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informe acceso informacion\informac.actualizada ofiiciosa-18\"/>
    </mc:Choice>
  </mc:AlternateContent>
  <bookViews>
    <workbookView xWindow="0" yWindow="0" windowWidth="15360" windowHeight="7530" firstSheet="19" activeTab="23"/>
  </bookViews>
  <sheets>
    <sheet name="Enero-18" sheetId="1" r:id="rId1"/>
    <sheet name="Resumen Enero" sheetId="2" r:id="rId2"/>
    <sheet name="FEBRERO-18" sheetId="28" r:id="rId3"/>
    <sheet name="Resumen Febrero" sheetId="5" r:id="rId4"/>
    <sheet name=" MARZO-18-1" sheetId="29" r:id="rId5"/>
    <sheet name="Resumen Marzo" sheetId="8" r:id="rId6"/>
    <sheet name="ABRIL-18" sheetId="30" r:id="rId7"/>
    <sheet name="Resumen ABRIL-18" sheetId="31" r:id="rId8"/>
    <sheet name="MAYO-18 " sheetId="32" r:id="rId9"/>
    <sheet name="Resumen MAYO-18 " sheetId="33" r:id="rId10"/>
    <sheet name="JUNIO-18 " sheetId="34" r:id="rId11"/>
    <sheet name="Resumen JUNIO-18 " sheetId="35" r:id="rId12"/>
    <sheet name="JULIO-18  " sheetId="36" r:id="rId13"/>
    <sheet name="Resumen JULIO -18  " sheetId="37" r:id="rId14"/>
    <sheet name="AGOST-18" sheetId="38" r:id="rId15"/>
    <sheet name="Resumen AGOSTO -18  " sheetId="39" r:id="rId16"/>
    <sheet name="SEPT-18" sheetId="40" r:id="rId17"/>
    <sheet name="Resum SEPT-18" sheetId="42" r:id="rId18"/>
    <sheet name="OCT-18" sheetId="3" r:id="rId19"/>
    <sheet name="RESUM.OCT-18" sheetId="43" r:id="rId20"/>
    <sheet name="NOV-18 " sheetId="44" r:id="rId21"/>
    <sheet name="RESUM.NOV-18 " sheetId="45" r:id="rId22"/>
    <sheet name="DIC-18" sheetId="46" r:id="rId23"/>
    <sheet name="RESUM.DIC-18 " sheetId="47" r:id="rId24"/>
    <sheet name="DIC-18-MES 13" sheetId="48" r:id="rId25"/>
  </sheets>
  <definedNames>
    <definedName name="_xlnm.Print_Area" localSheetId="4">' MARZO-18-1'!$A$1:$AA$844</definedName>
    <definedName name="_xlnm.Print_Area" localSheetId="6">'ABRIL-18'!$A$1:$AA$854</definedName>
    <definedName name="_xlnm.Print_Area" localSheetId="14">'AGOST-18'!$A$1:$AA$890</definedName>
    <definedName name="_xlnm.Print_Area" localSheetId="0">'Enero-18'!$A$1:$AA$835</definedName>
    <definedName name="_xlnm.Print_Area" localSheetId="2">'FEBRERO-18'!$A$1:$AA$840</definedName>
    <definedName name="_xlnm.Print_Area" localSheetId="12">'JULIO-18  '!$A$1:$AA$878</definedName>
    <definedName name="_xlnm.Print_Area" localSheetId="10">'JUNIO-18 '!$A$1:$AA$865</definedName>
    <definedName name="_xlnm.Print_Area" localSheetId="8">'MAYO-18 '!$A$1:$AA$865</definedName>
    <definedName name="_xlnm.Print_Area" localSheetId="16">'SEPT-18'!$A$1:$AA$899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51" i="48" l="1"/>
  <c r="G150" i="48"/>
  <c r="G149" i="48"/>
  <c r="G148" i="48"/>
  <c r="G147" i="48"/>
  <c r="G146" i="48"/>
  <c r="G145" i="48"/>
  <c r="G144" i="48"/>
  <c r="G143" i="48"/>
  <c r="G142" i="48"/>
  <c r="G141" i="48"/>
  <c r="G140" i="48"/>
  <c r="G139" i="48"/>
  <c r="J144" i="46" l="1"/>
  <c r="J151" i="46"/>
  <c r="H145" i="46"/>
  <c r="H134" i="46"/>
  <c r="H109" i="46"/>
  <c r="H139" i="46"/>
  <c r="H127" i="46"/>
  <c r="I311" i="44"/>
  <c r="K878" i="44"/>
  <c r="K877" i="44"/>
  <c r="G877" i="44"/>
  <c r="H18" i="42"/>
  <c r="F18" i="42"/>
  <c r="D18" i="42"/>
  <c r="J848" i="40"/>
  <c r="I848" i="40"/>
  <c r="K845" i="40"/>
  <c r="K840" i="40"/>
  <c r="H161" i="32" l="1"/>
  <c r="H137" i="46" l="1"/>
  <c r="H129" i="46"/>
  <c r="H106" i="46"/>
  <c r="H116" i="46"/>
  <c r="H144" i="46"/>
  <c r="H121" i="46"/>
  <c r="H133" i="46"/>
  <c r="H108" i="46"/>
  <c r="G851" i="48" l="1"/>
  <c r="G850" i="48"/>
  <c r="G848" i="48"/>
  <c r="G847" i="48"/>
  <c r="G846" i="48"/>
  <c r="G839" i="48"/>
  <c r="G830" i="48"/>
  <c r="G823" i="48"/>
  <c r="G810" i="48"/>
  <c r="G803" i="48"/>
  <c r="G801" i="48"/>
  <c r="G800" i="48"/>
  <c r="G790" i="48"/>
  <c r="G782" i="48"/>
  <c r="G774" i="48"/>
  <c r="G766" i="48"/>
  <c r="G758" i="48"/>
  <c r="G750" i="48"/>
  <c r="G742" i="48"/>
  <c r="G734" i="48"/>
  <c r="G726" i="48"/>
  <c r="G718" i="48"/>
  <c r="G710" i="48"/>
  <c r="G702" i="48"/>
  <c r="G694" i="48"/>
  <c r="G686" i="48"/>
  <c r="G678" i="48"/>
  <c r="G670" i="48"/>
  <c r="G661" i="48"/>
  <c r="G660" i="48"/>
  <c r="G652" i="48"/>
  <c r="G642" i="48"/>
  <c r="G634" i="48"/>
  <c r="G625" i="48"/>
  <c r="G617" i="48"/>
  <c r="G611" i="48"/>
  <c r="G602" i="48"/>
  <c r="G593" i="48"/>
  <c r="G584" i="48"/>
  <c r="G576" i="48"/>
  <c r="G567" i="48"/>
  <c r="G558" i="48"/>
  <c r="G552" i="48"/>
  <c r="G546" i="48"/>
  <c r="G538" i="48"/>
  <c r="G530" i="48"/>
  <c r="G522" i="48"/>
  <c r="G514" i="48"/>
  <c r="G503" i="48"/>
  <c r="G497" i="48"/>
  <c r="G492" i="48"/>
  <c r="G490" i="48"/>
  <c r="G487" i="48"/>
  <c r="G467" i="48"/>
  <c r="G466" i="48"/>
  <c r="G463" i="48"/>
  <c r="I463" i="48" s="1"/>
  <c r="G461" i="48"/>
  <c r="I461" i="48" s="1"/>
  <c r="G458" i="48"/>
  <c r="G452" i="48"/>
  <c r="G451" i="48"/>
  <c r="I451" i="48" s="1"/>
  <c r="G441" i="48"/>
  <c r="G440" i="48"/>
  <c r="G436" i="48"/>
  <c r="G433" i="48"/>
  <c r="G429" i="48"/>
  <c r="G421" i="48"/>
  <c r="G404" i="48"/>
  <c r="G399" i="48"/>
  <c r="G394" i="48"/>
  <c r="G386" i="48"/>
  <c r="G377" i="48"/>
  <c r="G369" i="48"/>
  <c r="G362" i="48"/>
  <c r="G355" i="48"/>
  <c r="G353" i="48"/>
  <c r="G345" i="48"/>
  <c r="G338" i="48"/>
  <c r="G332" i="48"/>
  <c r="G326" i="48"/>
  <c r="G315" i="48"/>
  <c r="G303" i="48"/>
  <c r="G296" i="48"/>
  <c r="G286" i="48"/>
  <c r="G284" i="48"/>
  <c r="G277" i="48"/>
  <c r="G269" i="48"/>
  <c r="G264" i="48"/>
  <c r="G259" i="48"/>
  <c r="G253" i="48"/>
  <c r="G247" i="48"/>
  <c r="G239" i="48"/>
  <c r="G233" i="48"/>
  <c r="G224" i="48"/>
  <c r="G221" i="48"/>
  <c r="G217" i="48"/>
  <c r="G208" i="48"/>
  <c r="G194" i="48"/>
  <c r="K901" i="48"/>
  <c r="J901" i="48"/>
  <c r="H901" i="48"/>
  <c r="H899" i="48"/>
  <c r="K897" i="48"/>
  <c r="J897" i="48"/>
  <c r="H897" i="48"/>
  <c r="G885" i="48"/>
  <c r="G873" i="48"/>
  <c r="G862" i="48"/>
  <c r="G858" i="48"/>
  <c r="K857" i="48"/>
  <c r="H857" i="48"/>
  <c r="K854" i="48"/>
  <c r="H854" i="48"/>
  <c r="K852" i="48"/>
  <c r="J852" i="48"/>
  <c r="H852" i="48"/>
  <c r="K468" i="48"/>
  <c r="J468" i="48"/>
  <c r="K159" i="48"/>
  <c r="J159" i="48"/>
  <c r="K151" i="48"/>
  <c r="J151" i="48"/>
  <c r="H151" i="48"/>
  <c r="K138" i="48"/>
  <c r="J138" i="48"/>
  <c r="H138" i="48"/>
  <c r="K126" i="48"/>
  <c r="J126" i="48"/>
  <c r="H126" i="48"/>
  <c r="K101" i="48"/>
  <c r="J101" i="48"/>
  <c r="K74" i="48"/>
  <c r="J74" i="48"/>
  <c r="H74" i="48"/>
  <c r="K61" i="48"/>
  <c r="J61" i="48"/>
  <c r="F18" i="47"/>
  <c r="D18" i="47"/>
  <c r="H14" i="47"/>
  <c r="F14" i="47"/>
  <c r="D14" i="47"/>
  <c r="H12" i="47"/>
  <c r="H13" i="47"/>
  <c r="F13" i="47"/>
  <c r="D13" i="47"/>
  <c r="D9" i="47"/>
  <c r="H6" i="47"/>
  <c r="F6" i="47"/>
  <c r="D6" i="47"/>
  <c r="H5" i="47"/>
  <c r="F5" i="47"/>
  <c r="D5" i="47"/>
  <c r="H4" i="47"/>
  <c r="H7" i="47" s="1"/>
  <c r="F4" i="47"/>
  <c r="D4" i="47"/>
  <c r="E23" i="47"/>
  <c r="C22" i="47"/>
  <c r="E21" i="47"/>
  <c r="F20" i="47"/>
  <c r="C19" i="47"/>
  <c r="G19" i="47" s="1"/>
  <c r="I19" i="47" s="1"/>
  <c r="F17" i="47"/>
  <c r="H16" i="47"/>
  <c r="G16" i="47"/>
  <c r="I16" i="47" s="1"/>
  <c r="C16" i="47"/>
  <c r="H54" i="46"/>
  <c r="H30" i="46"/>
  <c r="H96" i="46"/>
  <c r="H15" i="46"/>
  <c r="H468" i="48" l="1"/>
  <c r="H159" i="48"/>
  <c r="H101" i="48"/>
  <c r="H61" i="48"/>
  <c r="K902" i="48"/>
  <c r="J902" i="48"/>
  <c r="H15" i="47"/>
  <c r="J389" i="46"/>
  <c r="K237" i="46"/>
  <c r="J447" i="46"/>
  <c r="J182" i="46"/>
  <c r="H902" i="48" l="1"/>
  <c r="J904" i="48"/>
  <c r="H95" i="46"/>
  <c r="H72" i="46"/>
  <c r="H811" i="46"/>
  <c r="I463" i="46" l="1"/>
  <c r="H812" i="46" l="1"/>
  <c r="H818" i="46"/>
  <c r="H802" i="46"/>
  <c r="H484" i="46"/>
  <c r="H482" i="46"/>
  <c r="H485" i="46"/>
  <c r="H488" i="46"/>
  <c r="H462" i="46"/>
  <c r="H460" i="46"/>
  <c r="H459" i="46"/>
  <c r="H461" i="46"/>
  <c r="I461" i="46" s="1"/>
  <c r="H453" i="46"/>
  <c r="H451" i="46"/>
  <c r="I451" i="46"/>
  <c r="H437" i="46" l="1"/>
  <c r="H328" i="46"/>
  <c r="H327" i="46"/>
  <c r="H316" i="46" l="1"/>
  <c r="H304" i="46"/>
  <c r="H310" i="46"/>
  <c r="H308" i="46"/>
  <c r="H298" i="46"/>
  <c r="H290" i="46"/>
  <c r="H248" i="46"/>
  <c r="H243" i="46"/>
  <c r="H240" i="46"/>
  <c r="H241" i="46"/>
  <c r="H226" i="46"/>
  <c r="H228" i="46"/>
  <c r="H202" i="46"/>
  <c r="H199" i="46"/>
  <c r="H195" i="46"/>
  <c r="H200" i="46"/>
  <c r="H182" i="46"/>
  <c r="H185" i="46"/>
  <c r="H172" i="46"/>
  <c r="H176" i="46"/>
  <c r="H175" i="46"/>
  <c r="H156" i="46" l="1"/>
  <c r="H7" i="46" l="1"/>
  <c r="H59" i="46"/>
  <c r="H60" i="46"/>
  <c r="H14" i="46"/>
  <c r="H40" i="46"/>
  <c r="H42" i="46"/>
  <c r="H43" i="46"/>
  <c r="H90" i="46"/>
  <c r="H33" i="46"/>
  <c r="H98" i="46"/>
  <c r="H70" i="46"/>
  <c r="H47" i="46"/>
  <c r="H92" i="46"/>
  <c r="H53" i="46"/>
  <c r="H75" i="46"/>
  <c r="H62" i="46"/>
  <c r="H9" i="46"/>
  <c r="H38" i="46"/>
  <c r="H101" i="46" l="1"/>
  <c r="G885" i="46"/>
  <c r="G873" i="46"/>
  <c r="G862" i="46"/>
  <c r="G851" i="46"/>
  <c r="G850" i="46"/>
  <c r="G848" i="46"/>
  <c r="G847" i="46"/>
  <c r="G846" i="46"/>
  <c r="G839" i="46"/>
  <c r="G830" i="46"/>
  <c r="G823" i="46"/>
  <c r="G810" i="46"/>
  <c r="G803" i="46"/>
  <c r="G801" i="46"/>
  <c r="G800" i="46"/>
  <c r="G790" i="46"/>
  <c r="G782" i="46"/>
  <c r="G774" i="46"/>
  <c r="G766" i="46"/>
  <c r="G758" i="46"/>
  <c r="G750" i="46"/>
  <c r="G742" i="46"/>
  <c r="G734" i="46"/>
  <c r="G726" i="46"/>
  <c r="G718" i="46"/>
  <c r="G710" i="46"/>
  <c r="G702" i="46"/>
  <c r="G694" i="46"/>
  <c r="G686" i="46"/>
  <c r="G678" i="46"/>
  <c r="G670" i="46"/>
  <c r="G661" i="46"/>
  <c r="G660" i="46"/>
  <c r="G652" i="46"/>
  <c r="G642" i="46"/>
  <c r="G634" i="46"/>
  <c r="G625" i="46"/>
  <c r="G617" i="46"/>
  <c r="G611" i="46"/>
  <c r="G602" i="46"/>
  <c r="G593" i="46"/>
  <c r="G584" i="46"/>
  <c r="G576" i="46"/>
  <c r="G567" i="46"/>
  <c r="G558" i="46"/>
  <c r="G552" i="46"/>
  <c r="G546" i="46"/>
  <c r="G538" i="46"/>
  <c r="G530" i="46"/>
  <c r="G522" i="46"/>
  <c r="G514" i="46"/>
  <c r="G503" i="46"/>
  <c r="G497" i="46"/>
  <c r="G492" i="46"/>
  <c r="G490" i="46"/>
  <c r="G487" i="46"/>
  <c r="G467" i="46"/>
  <c r="G466" i="46"/>
  <c r="G458" i="46"/>
  <c r="G452" i="46"/>
  <c r="G441" i="46"/>
  <c r="G440" i="46"/>
  <c r="G436" i="46"/>
  <c r="G433" i="46"/>
  <c r="G429" i="46"/>
  <c r="G421" i="46"/>
  <c r="G404" i="46"/>
  <c r="G399" i="46"/>
  <c r="G394" i="46"/>
  <c r="G386" i="46"/>
  <c r="G377" i="46"/>
  <c r="G369" i="46"/>
  <c r="G362" i="46"/>
  <c r="G355" i="46"/>
  <c r="G353" i="46"/>
  <c r="G345" i="46"/>
  <c r="G338" i="46"/>
  <c r="G332" i="46"/>
  <c r="G326" i="46"/>
  <c r="G315" i="46"/>
  <c r="G303" i="46"/>
  <c r="G296" i="46"/>
  <c r="G286" i="46"/>
  <c r="G284" i="46"/>
  <c r="G277" i="46"/>
  <c r="G269" i="46"/>
  <c r="G264" i="46"/>
  <c r="G259" i="46"/>
  <c r="G253" i="46"/>
  <c r="G247" i="46"/>
  <c r="G239" i="46"/>
  <c r="G233" i="46"/>
  <c r="G224" i="46"/>
  <c r="G221" i="46"/>
  <c r="G217" i="46"/>
  <c r="G208" i="46"/>
  <c r="G194" i="46"/>
  <c r="K901" i="46"/>
  <c r="J901" i="46"/>
  <c r="H901" i="46"/>
  <c r="H899" i="46"/>
  <c r="K897" i="46"/>
  <c r="J897" i="46"/>
  <c r="H897" i="46"/>
  <c r="G858" i="46"/>
  <c r="K857" i="46"/>
  <c r="H857" i="46"/>
  <c r="K854" i="46"/>
  <c r="H854" i="46"/>
  <c r="K852" i="46"/>
  <c r="J852" i="46"/>
  <c r="J468" i="46"/>
  <c r="K468" i="46"/>
  <c r="K159" i="46"/>
  <c r="J159" i="46"/>
  <c r="H159" i="46"/>
  <c r="K151" i="46"/>
  <c r="F10" i="47" s="1"/>
  <c r="D10" i="47"/>
  <c r="H151" i="46"/>
  <c r="H10" i="47" s="1"/>
  <c r="K138" i="46"/>
  <c r="F9" i="47" s="1"/>
  <c r="J138" i="46"/>
  <c r="K126" i="46"/>
  <c r="J126" i="46"/>
  <c r="H126" i="46"/>
  <c r="H8" i="47" s="1"/>
  <c r="K101" i="46"/>
  <c r="J101" i="46"/>
  <c r="K74" i="46"/>
  <c r="J74" i="46"/>
  <c r="H74" i="46"/>
  <c r="K61" i="46"/>
  <c r="D8" i="47" l="1"/>
  <c r="F8" i="47"/>
  <c r="H61" i="46"/>
  <c r="H138" i="46"/>
  <c r="H9" i="47" s="1"/>
  <c r="J61" i="46"/>
  <c r="J902" i="46" s="1"/>
  <c r="H468" i="46"/>
  <c r="H852" i="46"/>
  <c r="K902" i="46"/>
  <c r="I806" i="44"/>
  <c r="G808" i="46" s="1"/>
  <c r="I808" i="46" s="1"/>
  <c r="G808" i="48" s="1"/>
  <c r="I808" i="48" s="1"/>
  <c r="I805" i="44"/>
  <c r="G807" i="46" s="1"/>
  <c r="I807" i="46" s="1"/>
  <c r="G807" i="48" s="1"/>
  <c r="I807" i="48" s="1"/>
  <c r="I804" i="44"/>
  <c r="G806" i="46" s="1"/>
  <c r="I806" i="46" s="1"/>
  <c r="G806" i="48" s="1"/>
  <c r="I806" i="48" s="1"/>
  <c r="I803" i="44"/>
  <c r="G805" i="46" s="1"/>
  <c r="I805" i="46" s="1"/>
  <c r="G805" i="48" s="1"/>
  <c r="I805" i="48" s="1"/>
  <c r="I802" i="44"/>
  <c r="G804" i="46" s="1"/>
  <c r="I804" i="46" s="1"/>
  <c r="G804" i="48" s="1"/>
  <c r="I804" i="48" s="1"/>
  <c r="E23" i="45"/>
  <c r="C22" i="45"/>
  <c r="E21" i="45"/>
  <c r="C19" i="45"/>
  <c r="G19" i="45" s="1"/>
  <c r="I19" i="45" s="1"/>
  <c r="D21" i="47" l="1"/>
  <c r="F21" i="47"/>
  <c r="H11" i="47"/>
  <c r="H21" i="47" s="1"/>
  <c r="H902" i="46"/>
  <c r="J904" i="46"/>
  <c r="H139" i="3"/>
  <c r="H127" i="3"/>
  <c r="H102" i="3"/>
  <c r="E22" i="47" l="1"/>
  <c r="H207" i="44"/>
  <c r="H134" i="44" l="1"/>
  <c r="H60" i="44" l="1"/>
  <c r="H40" i="3"/>
  <c r="I462" i="44" l="1"/>
  <c r="G464" i="46" s="1"/>
  <c r="I464" i="46" s="1"/>
  <c r="G464" i="48" s="1"/>
  <c r="I464" i="48" s="1"/>
  <c r="I461" i="44"/>
  <c r="G462" i="46" s="1"/>
  <c r="I462" i="46" s="1"/>
  <c r="G462" i="48" s="1"/>
  <c r="I462" i="48" s="1"/>
  <c r="I460" i="44"/>
  <c r="G460" i="46" s="1"/>
  <c r="I460" i="46" s="1"/>
  <c r="G460" i="48" s="1"/>
  <c r="I460" i="48" s="1"/>
  <c r="I459" i="44"/>
  <c r="G459" i="46" s="1"/>
  <c r="I459" i="46" s="1"/>
  <c r="G459" i="48" s="1"/>
  <c r="I459" i="48" s="1"/>
  <c r="G847" i="44" l="1"/>
  <c r="I847" i="44" s="1"/>
  <c r="G849" i="46" s="1"/>
  <c r="I849" i="46" s="1"/>
  <c r="G849" i="48" s="1"/>
  <c r="I849" i="48" s="1"/>
  <c r="K275" i="44" l="1"/>
  <c r="K381" i="44"/>
  <c r="K379" i="44"/>
  <c r="J159" i="44" l="1"/>
  <c r="D12" i="45" s="1"/>
  <c r="K159" i="44"/>
  <c r="F12" i="45" s="1"/>
  <c r="H142" i="44" l="1"/>
  <c r="H139" i="44"/>
  <c r="H106" i="44"/>
  <c r="H90" i="44" l="1"/>
  <c r="H59" i="44"/>
  <c r="H454" i="44"/>
  <c r="H455" i="44"/>
  <c r="H57" i="44"/>
  <c r="H38" i="44"/>
  <c r="H21" i="44"/>
  <c r="H15" i="44"/>
  <c r="H184" i="44"/>
  <c r="H77" i="3" l="1"/>
  <c r="H15" i="3"/>
  <c r="H8" i="3"/>
  <c r="H114" i="44" l="1"/>
  <c r="H116" i="44"/>
  <c r="H145" i="44"/>
  <c r="H109" i="44"/>
  <c r="H121" i="44"/>
  <c r="H144" i="44"/>
  <c r="H133" i="44"/>
  <c r="H108" i="44"/>
  <c r="H144" i="3" l="1"/>
  <c r="H145" i="3"/>
  <c r="H878" i="44" l="1"/>
  <c r="I878" i="44" s="1"/>
  <c r="I877" i="44"/>
  <c r="H873" i="44"/>
  <c r="H809" i="44"/>
  <c r="H817" i="44"/>
  <c r="H811" i="44"/>
  <c r="H812" i="44"/>
  <c r="H818" i="44"/>
  <c r="H814" i="44"/>
  <c r="H813" i="44"/>
  <c r="G880" i="46" l="1"/>
  <c r="I880" i="46" s="1"/>
  <c r="G880" i="48"/>
  <c r="I880" i="48" s="1"/>
  <c r="G879" i="46"/>
  <c r="I879" i="46" s="1"/>
  <c r="G879" i="48"/>
  <c r="I879" i="48" s="1"/>
  <c r="G347" i="44"/>
  <c r="I173" i="44"/>
  <c r="G173" i="46" s="1"/>
  <c r="I173" i="46" s="1"/>
  <c r="G173" i="48" s="1"/>
  <c r="I173" i="48" s="1"/>
  <c r="K31" i="44"/>
  <c r="J75" i="44"/>
  <c r="J62" i="44"/>
  <c r="J60" i="44"/>
  <c r="J42" i="44"/>
  <c r="J38" i="44"/>
  <c r="H486" i="44" l="1"/>
  <c r="H482" i="44"/>
  <c r="H481" i="44"/>
  <c r="H480" i="44"/>
  <c r="H478" i="44"/>
  <c r="H453" i="44"/>
  <c r="H450" i="44"/>
  <c r="I450" i="44" s="1"/>
  <c r="G449" i="46" s="1"/>
  <c r="I449" i="46" s="1"/>
  <c r="G449" i="48" s="1"/>
  <c r="I449" i="48" s="1"/>
  <c r="H449" i="44"/>
  <c r="H448" i="44"/>
  <c r="H443" i="44"/>
  <c r="H447" i="44"/>
  <c r="H446" i="44"/>
  <c r="I446" i="44" s="1"/>
  <c r="G445" i="46" s="1"/>
  <c r="I445" i="46" s="1"/>
  <c r="G445" i="48" s="1"/>
  <c r="I445" i="48" s="1"/>
  <c r="H440" i="44"/>
  <c r="H438" i="44"/>
  <c r="H390" i="44"/>
  <c r="H394" i="44"/>
  <c r="H347" i="44"/>
  <c r="I347" i="44" s="1"/>
  <c r="G346" i="46" s="1"/>
  <c r="I346" i="46" s="1"/>
  <c r="G346" i="48" s="1"/>
  <c r="I346" i="48" s="1"/>
  <c r="H328" i="44"/>
  <c r="H329" i="44"/>
  <c r="H318" i="44"/>
  <c r="H317" i="44"/>
  <c r="H305" i="44"/>
  <c r="H308" i="44"/>
  <c r="H307" i="44"/>
  <c r="H306" i="44"/>
  <c r="H304" i="44"/>
  <c r="H297" i="44"/>
  <c r="H298" i="44"/>
  <c r="H290" i="44"/>
  <c r="H291" i="44"/>
  <c r="H248" i="44"/>
  <c r="H240" i="44"/>
  <c r="H237" i="44"/>
  <c r="H225" i="44"/>
  <c r="H228" i="44"/>
  <c r="H227" i="44"/>
  <c r="H226" i="44"/>
  <c r="H199" i="44"/>
  <c r="H198" i="44"/>
  <c r="H195" i="44"/>
  <c r="H202" i="44"/>
  <c r="I202" i="44" s="1"/>
  <c r="G202" i="46" s="1"/>
  <c r="I202" i="46" s="1"/>
  <c r="G202" i="48" s="1"/>
  <c r="I202" i="48" s="1"/>
  <c r="H206" i="44"/>
  <c r="I206" i="44" s="1"/>
  <c r="G206" i="46" s="1"/>
  <c r="I206" i="46" s="1"/>
  <c r="G206" i="48" s="1"/>
  <c r="I206" i="48" s="1"/>
  <c r="H196" i="44"/>
  <c r="I196" i="44" s="1"/>
  <c r="G196" i="46" s="1"/>
  <c r="I196" i="46" s="1"/>
  <c r="G196" i="48" s="1"/>
  <c r="I196" i="48" s="1"/>
  <c r="H185" i="44"/>
  <c r="H182" i="44"/>
  <c r="H186" i="44"/>
  <c r="H172" i="44"/>
  <c r="I174" i="44"/>
  <c r="G174" i="46" s="1"/>
  <c r="I174" i="46" s="1"/>
  <c r="G174" i="48" s="1"/>
  <c r="I174" i="48" s="1"/>
  <c r="H163" i="44"/>
  <c r="H42" i="44"/>
  <c r="H16" i="44"/>
  <c r="H85" i="44"/>
  <c r="H96" i="44"/>
  <c r="H76" i="44"/>
  <c r="H12" i="44"/>
  <c r="H89" i="44"/>
  <c r="H40" i="44"/>
  <c r="H17" i="44"/>
  <c r="H14" i="44"/>
  <c r="H95" i="44"/>
  <c r="H54" i="44" l="1"/>
  <c r="H93" i="44"/>
  <c r="G883" i="44" l="1"/>
  <c r="G871" i="44"/>
  <c r="G860" i="44"/>
  <c r="G846" i="44"/>
  <c r="G845" i="44"/>
  <c r="G844" i="44"/>
  <c r="G837" i="44"/>
  <c r="G828" i="44"/>
  <c r="G821" i="44"/>
  <c r="G808" i="44"/>
  <c r="G788" i="44"/>
  <c r="G780" i="44"/>
  <c r="G772" i="44"/>
  <c r="G764" i="44"/>
  <c r="G756" i="44"/>
  <c r="G748" i="44"/>
  <c r="G740" i="44"/>
  <c r="G732" i="44"/>
  <c r="G724" i="44"/>
  <c r="G716" i="44"/>
  <c r="G708" i="44"/>
  <c r="G700" i="44"/>
  <c r="G692" i="44"/>
  <c r="G684" i="44"/>
  <c r="G676" i="44"/>
  <c r="G668" i="44"/>
  <c r="G659" i="44"/>
  <c r="G658" i="44"/>
  <c r="G650" i="44"/>
  <c r="G640" i="44"/>
  <c r="G632" i="44"/>
  <c r="G623" i="44"/>
  <c r="G615" i="44"/>
  <c r="G609" i="44"/>
  <c r="G600" i="44"/>
  <c r="G591" i="44"/>
  <c r="G582" i="44"/>
  <c r="G574" i="44"/>
  <c r="G565" i="44"/>
  <c r="G556" i="44"/>
  <c r="G550" i="44"/>
  <c r="G544" i="44"/>
  <c r="G536" i="44"/>
  <c r="G528" i="44"/>
  <c r="G520" i="44"/>
  <c r="G512" i="44"/>
  <c r="G501" i="44"/>
  <c r="G495" i="44"/>
  <c r="G490" i="44"/>
  <c r="G488" i="44"/>
  <c r="G485" i="44"/>
  <c r="G465" i="44"/>
  <c r="G464" i="44"/>
  <c r="G463" i="44"/>
  <c r="I463" i="44" s="1"/>
  <c r="G465" i="46" s="1"/>
  <c r="I465" i="46" s="1"/>
  <c r="G465" i="48" s="1"/>
  <c r="I465" i="48" s="1"/>
  <c r="G452" i="44"/>
  <c r="G442" i="44"/>
  <c r="G441" i="44"/>
  <c r="G437" i="44"/>
  <c r="G434" i="44"/>
  <c r="G430" i="44"/>
  <c r="G422" i="44"/>
  <c r="G405" i="44"/>
  <c r="G400" i="44"/>
  <c r="G395" i="44"/>
  <c r="G387" i="44"/>
  <c r="G378" i="44"/>
  <c r="G370" i="44"/>
  <c r="G363" i="44"/>
  <c r="G356" i="44"/>
  <c r="G354" i="44"/>
  <c r="G346" i="44"/>
  <c r="G339" i="44"/>
  <c r="G333" i="44"/>
  <c r="G327" i="44"/>
  <c r="G316" i="44"/>
  <c r="G303" i="44"/>
  <c r="G296" i="44"/>
  <c r="G286" i="44"/>
  <c r="G284" i="44"/>
  <c r="G277" i="44"/>
  <c r="G269" i="44"/>
  <c r="G264" i="44"/>
  <c r="G259" i="44"/>
  <c r="G253" i="44"/>
  <c r="G247" i="44"/>
  <c r="G239" i="44"/>
  <c r="G233" i="44"/>
  <c r="G224" i="44"/>
  <c r="G221" i="44"/>
  <c r="G217" i="44"/>
  <c r="G208" i="44"/>
  <c r="G194" i="44"/>
  <c r="G90" i="44"/>
  <c r="I90" i="44" s="1"/>
  <c r="G90" i="46" s="1"/>
  <c r="I90" i="46" s="1"/>
  <c r="G90" i="48" s="1"/>
  <c r="I90" i="48" s="1"/>
  <c r="K899" i="44"/>
  <c r="J899" i="44"/>
  <c r="H899" i="44"/>
  <c r="H897" i="44"/>
  <c r="K895" i="44"/>
  <c r="F18" i="45" s="1"/>
  <c r="J895" i="44"/>
  <c r="D18" i="45" s="1"/>
  <c r="H895" i="44"/>
  <c r="H18" i="45" s="1"/>
  <c r="G856" i="44"/>
  <c r="K855" i="44"/>
  <c r="H855" i="44"/>
  <c r="K852" i="44"/>
  <c r="H852" i="44"/>
  <c r="K850" i="44"/>
  <c r="F14" i="45" s="1"/>
  <c r="H850" i="44"/>
  <c r="H14" i="45" s="1"/>
  <c r="J466" i="44"/>
  <c r="D13" i="45" s="1"/>
  <c r="H466" i="44"/>
  <c r="H13" i="45" s="1"/>
  <c r="K466" i="44"/>
  <c r="F13" i="45" s="1"/>
  <c r="H159" i="44"/>
  <c r="K151" i="44"/>
  <c r="F10" i="45" s="1"/>
  <c r="J151" i="44"/>
  <c r="D10" i="45" s="1"/>
  <c r="H151" i="44"/>
  <c r="H10" i="45" s="1"/>
  <c r="K138" i="44"/>
  <c r="F9" i="45" s="1"/>
  <c r="J138" i="44"/>
  <c r="D9" i="45" s="1"/>
  <c r="H138" i="44"/>
  <c r="H9" i="45" s="1"/>
  <c r="K126" i="44"/>
  <c r="F8" i="45" s="1"/>
  <c r="J126" i="44"/>
  <c r="D8" i="45" s="1"/>
  <c r="H126" i="44"/>
  <c r="H8" i="45" s="1"/>
  <c r="K101" i="44"/>
  <c r="F6" i="45" s="1"/>
  <c r="J101" i="44"/>
  <c r="D6" i="45" s="1"/>
  <c r="K74" i="44"/>
  <c r="F5" i="45" s="1"/>
  <c r="J74" i="44"/>
  <c r="D5" i="45" s="1"/>
  <c r="H74" i="44"/>
  <c r="H5" i="45" s="1"/>
  <c r="K61" i="44"/>
  <c r="F4" i="45" s="1"/>
  <c r="J61" i="44"/>
  <c r="D4" i="45" s="1"/>
  <c r="E23" i="43"/>
  <c r="C22" i="43"/>
  <c r="E21" i="43"/>
  <c r="C19" i="43"/>
  <c r="G19" i="43" s="1"/>
  <c r="I19" i="43" s="1"/>
  <c r="E24" i="42"/>
  <c r="C23" i="42"/>
  <c r="E21" i="42"/>
  <c r="C19" i="42"/>
  <c r="G19" i="42" s="1"/>
  <c r="I19" i="42" s="1"/>
  <c r="H786" i="3"/>
  <c r="H11" i="45" l="1"/>
  <c r="H61" i="44"/>
  <c r="H4" i="45" s="1"/>
  <c r="H101" i="44"/>
  <c r="H6" i="45" s="1"/>
  <c r="J850" i="44"/>
  <c r="K900" i="44"/>
  <c r="H172" i="40"/>
  <c r="H172" i="3"/>
  <c r="H302" i="3"/>
  <c r="H193" i="3"/>
  <c r="J900" i="44" l="1"/>
  <c r="J902" i="44" s="1"/>
  <c r="D14" i="45"/>
  <c r="D21" i="45" s="1"/>
  <c r="H7" i="45"/>
  <c r="H900" i="44"/>
  <c r="H122" i="3"/>
  <c r="H104" i="3"/>
  <c r="H121" i="3"/>
  <c r="H133" i="3"/>
  <c r="H108" i="3"/>
  <c r="H116" i="3"/>
  <c r="H114" i="3"/>
  <c r="H115" i="3"/>
  <c r="H142" i="3"/>
  <c r="H106" i="3"/>
  <c r="H109" i="3"/>
  <c r="H134" i="3"/>
  <c r="H76" i="3"/>
  <c r="H59" i="3"/>
  <c r="H60" i="3"/>
  <c r="H92" i="3"/>
  <c r="H96" i="3"/>
  <c r="H95" i="3"/>
  <c r="H42" i="3"/>
  <c r="H12" i="3"/>
  <c r="H73" i="3"/>
  <c r="H38" i="3"/>
  <c r="H84" i="3"/>
  <c r="H69" i="3"/>
  <c r="H68" i="3"/>
  <c r="H70" i="3"/>
  <c r="H14" i="3"/>
  <c r="H85" i="3"/>
  <c r="H21" i="3"/>
  <c r="H30" i="3"/>
  <c r="H16" i="3"/>
  <c r="H52" i="3"/>
  <c r="J464" i="3" l="1"/>
  <c r="K168" i="3"/>
  <c r="I783" i="3" l="1"/>
  <c r="G797" i="44" s="1"/>
  <c r="I797" i="44" s="1"/>
  <c r="G799" i="46" s="1"/>
  <c r="I799" i="46" s="1"/>
  <c r="G799" i="48" s="1"/>
  <c r="I799" i="48" s="1"/>
  <c r="I784" i="3"/>
  <c r="G807" i="44" s="1"/>
  <c r="I807" i="44" s="1"/>
  <c r="G809" i="46" s="1"/>
  <c r="I809" i="46" s="1"/>
  <c r="G809" i="48" s="1"/>
  <c r="I809" i="48" s="1"/>
  <c r="H180" i="3" l="1"/>
  <c r="H792" i="3"/>
  <c r="H788" i="3"/>
  <c r="H472" i="3"/>
  <c r="H444" i="3"/>
  <c r="H445" i="3"/>
  <c r="H448" i="3"/>
  <c r="H446" i="3"/>
  <c r="H447" i="3"/>
  <c r="H436" i="3"/>
  <c r="H440" i="3"/>
  <c r="H439" i="3"/>
  <c r="I437" i="3"/>
  <c r="G444" i="44" s="1"/>
  <c r="I444" i="44" s="1"/>
  <c r="G443" i="46" s="1"/>
  <c r="I443" i="46" s="1"/>
  <c r="G443" i="48" s="1"/>
  <c r="I443" i="48" s="1"/>
  <c r="H433" i="3"/>
  <c r="H287" i="3"/>
  <c r="I287" i="3" s="1"/>
  <c r="G292" i="44" s="1"/>
  <c r="I292" i="44" s="1"/>
  <c r="G292" i="46" s="1"/>
  <c r="I292" i="46" s="1"/>
  <c r="G292" i="48" s="1"/>
  <c r="I292" i="48" s="1"/>
  <c r="H396" i="3"/>
  <c r="H383" i="3"/>
  <c r="H382" i="3"/>
  <c r="H342" i="3"/>
  <c r="H343" i="3"/>
  <c r="H341" i="3"/>
  <c r="H323" i="3"/>
  <c r="H322" i="3"/>
  <c r="I315" i="3"/>
  <c r="G321" i="44" s="1"/>
  <c r="I321" i="44" s="1"/>
  <c r="G320" i="46" s="1"/>
  <c r="I320" i="46" s="1"/>
  <c r="G320" i="48" s="1"/>
  <c r="I320" i="48" s="1"/>
  <c r="H317" i="3"/>
  <c r="H313" i="3"/>
  <c r="H311" i="3"/>
  <c r="I309" i="3"/>
  <c r="G315" i="44" s="1"/>
  <c r="I315" i="44" s="1"/>
  <c r="G314" i="46" s="1"/>
  <c r="I314" i="46" s="1"/>
  <c r="G314" i="48" s="1"/>
  <c r="I314" i="48" s="1"/>
  <c r="H303" i="3"/>
  <c r="H301" i="3"/>
  <c r="H306" i="3"/>
  <c r="H299" i="3"/>
  <c r="H304" i="3"/>
  <c r="H282" i="3"/>
  <c r="H290" i="3"/>
  <c r="H243" i="3"/>
  <c r="H235" i="3"/>
  <c r="H241" i="3"/>
  <c r="H238" i="3"/>
  <c r="H221" i="3"/>
  <c r="H220" i="3"/>
  <c r="H222" i="3"/>
  <c r="H223" i="3"/>
  <c r="H197" i="3"/>
  <c r="H196" i="3"/>
  <c r="H184" i="3"/>
  <c r="H183" i="3"/>
  <c r="I175" i="3"/>
  <c r="G177" i="44" s="1"/>
  <c r="I177" i="44" s="1"/>
  <c r="G177" i="46" s="1"/>
  <c r="I177" i="46" s="1"/>
  <c r="G177" i="48" s="1"/>
  <c r="I177" i="48" s="1"/>
  <c r="H173" i="3"/>
  <c r="G836" i="3" l="1"/>
  <c r="G847" i="3"/>
  <c r="G858" i="3"/>
  <c r="G832" i="3"/>
  <c r="G471" i="3" l="1"/>
  <c r="G474" i="3"/>
  <c r="G476" i="3"/>
  <c r="G481" i="3"/>
  <c r="G487" i="3"/>
  <c r="G498" i="3"/>
  <c r="G506" i="3"/>
  <c r="G514" i="3"/>
  <c r="G522" i="3"/>
  <c r="G530" i="3"/>
  <c r="G536" i="3"/>
  <c r="G542" i="3"/>
  <c r="G551" i="3"/>
  <c r="G560" i="3"/>
  <c r="G568" i="3"/>
  <c r="G577" i="3"/>
  <c r="G586" i="3"/>
  <c r="G595" i="3"/>
  <c r="G601" i="3"/>
  <c r="G609" i="3"/>
  <c r="G618" i="3"/>
  <c r="G626" i="3"/>
  <c r="G636" i="3"/>
  <c r="G644" i="3"/>
  <c r="G645" i="3"/>
  <c r="G654" i="3"/>
  <c r="G662" i="3"/>
  <c r="G670" i="3"/>
  <c r="G678" i="3"/>
  <c r="G686" i="3"/>
  <c r="G694" i="3"/>
  <c r="G702" i="3"/>
  <c r="G710" i="3"/>
  <c r="G718" i="3"/>
  <c r="G726" i="3"/>
  <c r="G734" i="3"/>
  <c r="G742" i="3"/>
  <c r="G750" i="3"/>
  <c r="G758" i="3"/>
  <c r="G766" i="3"/>
  <c r="G774" i="3"/>
  <c r="G785" i="3"/>
  <c r="G798" i="3"/>
  <c r="G805" i="3"/>
  <c r="G814" i="3"/>
  <c r="G192" i="3"/>
  <c r="G203" i="3"/>
  <c r="G212" i="3"/>
  <c r="G216" i="3"/>
  <c r="G219" i="3"/>
  <c r="G228" i="3"/>
  <c r="G234" i="3"/>
  <c r="G242" i="3"/>
  <c r="G248" i="3"/>
  <c r="G254" i="3"/>
  <c r="G259" i="3"/>
  <c r="G264" i="3"/>
  <c r="G272" i="3"/>
  <c r="G279" i="3"/>
  <c r="G281" i="3"/>
  <c r="G291" i="3"/>
  <c r="G298" i="3"/>
  <c r="G310" i="3"/>
  <c r="G321" i="3"/>
  <c r="G327" i="3"/>
  <c r="G333" i="3"/>
  <c r="G340" i="3"/>
  <c r="G347" i="3"/>
  <c r="G349" i="3"/>
  <c r="G356" i="3"/>
  <c r="G363" i="3"/>
  <c r="G371" i="3"/>
  <c r="G380" i="3"/>
  <c r="G388" i="3"/>
  <c r="G393" i="3"/>
  <c r="G398" i="3"/>
  <c r="G415" i="3"/>
  <c r="G423" i="3"/>
  <c r="G427" i="3"/>
  <c r="G430" i="3"/>
  <c r="G434" i="3"/>
  <c r="G435" i="3"/>
  <c r="G443" i="3"/>
  <c r="G449" i="3"/>
  <c r="G450" i="3"/>
  <c r="G451" i="3"/>
  <c r="J138" i="3" l="1"/>
  <c r="D9" i="43" s="1"/>
  <c r="K138" i="3"/>
  <c r="F9" i="43" s="1"/>
  <c r="K874" i="3"/>
  <c r="J874" i="3"/>
  <c r="H874" i="3"/>
  <c r="H872" i="3"/>
  <c r="K870" i="3"/>
  <c r="J870" i="3"/>
  <c r="J872" i="3" s="1"/>
  <c r="H870" i="3"/>
  <c r="K831" i="3"/>
  <c r="H831" i="3"/>
  <c r="K828" i="3"/>
  <c r="H828" i="3"/>
  <c r="K826" i="3"/>
  <c r="F14" i="43" s="1"/>
  <c r="J826" i="3"/>
  <c r="D14" i="43" s="1"/>
  <c r="K452" i="3"/>
  <c r="F13" i="43" s="1"/>
  <c r="J452" i="3"/>
  <c r="D13" i="43" s="1"/>
  <c r="H159" i="3"/>
  <c r="J151" i="3"/>
  <c r="D10" i="43" s="1"/>
  <c r="H151" i="3"/>
  <c r="H10" i="43" s="1"/>
  <c r="K151" i="3"/>
  <c r="F10" i="43" s="1"/>
  <c r="H138" i="3"/>
  <c r="H9" i="43" s="1"/>
  <c r="K126" i="3"/>
  <c r="F8" i="43" s="1"/>
  <c r="J126" i="3"/>
  <c r="D8" i="43" s="1"/>
  <c r="K101" i="3"/>
  <c r="F6" i="43" s="1"/>
  <c r="J101" i="3"/>
  <c r="D6" i="43" s="1"/>
  <c r="H101" i="3"/>
  <c r="H6" i="43" s="1"/>
  <c r="K74" i="3"/>
  <c r="F5" i="43" s="1"/>
  <c r="J74" i="3"/>
  <c r="D5" i="43" s="1"/>
  <c r="H74" i="3"/>
  <c r="H5" i="43" s="1"/>
  <c r="K61" i="3"/>
  <c r="F4" i="43" s="1"/>
  <c r="J61" i="3"/>
  <c r="D4" i="43" s="1"/>
  <c r="F20" i="45" l="1"/>
  <c r="F20" i="43"/>
  <c r="F17" i="45"/>
  <c r="F17" i="43"/>
  <c r="H12" i="45"/>
  <c r="H15" i="45" s="1"/>
  <c r="H21" i="45" s="1"/>
  <c r="H12" i="43"/>
  <c r="J875" i="3"/>
  <c r="H61" i="3"/>
  <c r="H4" i="43" s="1"/>
  <c r="H126" i="3"/>
  <c r="H8" i="43" s="1"/>
  <c r="H452" i="3"/>
  <c r="H13" i="43" s="1"/>
  <c r="H826" i="3"/>
  <c r="H14" i="43" s="1"/>
  <c r="K875" i="3"/>
  <c r="K139" i="40"/>
  <c r="H70" i="40"/>
  <c r="F21" i="45" l="1"/>
  <c r="E22" i="45" s="1"/>
  <c r="H875" i="3"/>
  <c r="J877" i="3"/>
  <c r="H429" i="40"/>
  <c r="H319" i="40"/>
  <c r="H316" i="38"/>
  <c r="H144" i="40" l="1"/>
  <c r="H139" i="40"/>
  <c r="H130" i="40"/>
  <c r="H127" i="40"/>
  <c r="J116" i="40"/>
  <c r="H102" i="40"/>
  <c r="H104" i="40"/>
  <c r="H98" i="40" l="1"/>
  <c r="H95" i="40"/>
  <c r="H90" i="40"/>
  <c r="H83" i="40"/>
  <c r="H73" i="40"/>
  <c r="H72" i="40"/>
  <c r="H54" i="38"/>
  <c r="H40" i="38"/>
  <c r="H40" i="40"/>
  <c r="H33" i="40"/>
  <c r="H28" i="40"/>
  <c r="H22" i="40"/>
  <c r="H18" i="40"/>
  <c r="H16" i="40"/>
  <c r="H15" i="40"/>
  <c r="H133" i="40" l="1"/>
  <c r="H108" i="40"/>
  <c r="H116" i="40"/>
  <c r="H142" i="40"/>
  <c r="H114" i="40"/>
  <c r="H145" i="40"/>
  <c r="H134" i="40"/>
  <c r="H109" i="40"/>
  <c r="H141" i="40"/>
  <c r="H427" i="40"/>
  <c r="H779" i="40"/>
  <c r="H785" i="40"/>
  <c r="H783" i="40"/>
  <c r="H781" i="40"/>
  <c r="H467" i="40"/>
  <c r="H463" i="40"/>
  <c r="H462" i="40"/>
  <c r="H461" i="40"/>
  <c r="H464" i="40"/>
  <c r="H459" i="40"/>
  <c r="H454" i="40"/>
  <c r="H432" i="40"/>
  <c r="H434" i="40"/>
  <c r="H435" i="40"/>
  <c r="H379" i="40"/>
  <c r="H315" i="40"/>
  <c r="H308" i="40"/>
  <c r="H313" i="40"/>
  <c r="H311" i="40"/>
  <c r="H303" i="40"/>
  <c r="H301" i="40"/>
  <c r="H300" i="40"/>
  <c r="H297" i="40"/>
  <c r="H302" i="40"/>
  <c r="H298" i="40"/>
  <c r="H288" i="40"/>
  <c r="H285" i="40"/>
  <c r="H339" i="40"/>
  <c r="H338" i="40"/>
  <c r="H341" i="40"/>
  <c r="H243" i="40"/>
  <c r="H242" i="40"/>
  <c r="H234" i="40"/>
  <c r="H240" i="40"/>
  <c r="H231" i="40"/>
  <c r="I781" i="40" l="1"/>
  <c r="G788" i="3" s="1"/>
  <c r="I788" i="3" s="1"/>
  <c r="G811" i="44" s="1"/>
  <c r="I811" i="44" s="1"/>
  <c r="G813" i="46" s="1"/>
  <c r="I813" i="46" s="1"/>
  <c r="G813" i="48" s="1"/>
  <c r="I813" i="48" s="1"/>
  <c r="I298" i="40"/>
  <c r="G300" i="3" s="1"/>
  <c r="I300" i="3" s="1"/>
  <c r="G305" i="44" s="1"/>
  <c r="I305" i="44" s="1"/>
  <c r="G305" i="46" s="1"/>
  <c r="I305" i="46" s="1"/>
  <c r="G305" i="48" s="1"/>
  <c r="I305" i="48" s="1"/>
  <c r="I339" i="40"/>
  <c r="G343" i="3" s="1"/>
  <c r="I343" i="3" s="1"/>
  <c r="G350" i="44" s="1"/>
  <c r="I350" i="44" s="1"/>
  <c r="G349" i="46" s="1"/>
  <c r="I349" i="46" s="1"/>
  <c r="G349" i="48" s="1"/>
  <c r="I349" i="48" s="1"/>
  <c r="H222" i="40" l="1"/>
  <c r="H223" i="40"/>
  <c r="H221" i="40"/>
  <c r="H195" i="40"/>
  <c r="H192" i="40"/>
  <c r="I193" i="40"/>
  <c r="G194" i="3" s="1"/>
  <c r="I194" i="3" s="1"/>
  <c r="G197" i="44" s="1"/>
  <c r="I197" i="44" s="1"/>
  <c r="G197" i="46" s="1"/>
  <c r="I197" i="46" s="1"/>
  <c r="G197" i="48" s="1"/>
  <c r="I197" i="48" s="1"/>
  <c r="H196" i="40"/>
  <c r="H179" i="40"/>
  <c r="I189" i="40"/>
  <c r="G190" i="3" s="1"/>
  <c r="I190" i="3" s="1"/>
  <c r="G192" i="44" s="1"/>
  <c r="I192" i="44" s="1"/>
  <c r="G192" i="46" s="1"/>
  <c r="I192" i="46" s="1"/>
  <c r="G192" i="48" s="1"/>
  <c r="I192" i="48" s="1"/>
  <c r="H184" i="40"/>
  <c r="H164" i="40"/>
  <c r="H165" i="40"/>
  <c r="H57" i="40"/>
  <c r="H38" i="40"/>
  <c r="H42" i="40"/>
  <c r="H60" i="40"/>
  <c r="H59" i="40"/>
  <c r="H30" i="40"/>
  <c r="H68" i="40"/>
  <c r="H77" i="40"/>
  <c r="H12" i="40"/>
  <c r="H8" i="40"/>
  <c r="H69" i="40"/>
  <c r="H58" i="40" l="1"/>
  <c r="H39" i="40"/>
  <c r="H14" i="40"/>
  <c r="G851" i="40"/>
  <c r="G839" i="40"/>
  <c r="G828" i="40"/>
  <c r="G824" i="40"/>
  <c r="G807" i="40" l="1"/>
  <c r="G798" i="40"/>
  <c r="G791" i="40"/>
  <c r="G778" i="40"/>
  <c r="G769" i="40"/>
  <c r="G761" i="40"/>
  <c r="G753" i="40"/>
  <c r="G745" i="40"/>
  <c r="G737" i="40"/>
  <c r="G729" i="40"/>
  <c r="G721" i="40"/>
  <c r="G713" i="40"/>
  <c r="G705" i="40"/>
  <c r="G697" i="40"/>
  <c r="G689" i="40"/>
  <c r="G681" i="40"/>
  <c r="G673" i="40"/>
  <c r="G665" i="40"/>
  <c r="G657" i="40"/>
  <c r="G649" i="40"/>
  <c r="G640" i="40"/>
  <c r="G639" i="40"/>
  <c r="G631" i="40"/>
  <c r="G621" i="40"/>
  <c r="G613" i="40"/>
  <c r="G604" i="40"/>
  <c r="G596" i="40"/>
  <c r="G590" i="40"/>
  <c r="G581" i="40"/>
  <c r="G572" i="40"/>
  <c r="G563" i="40"/>
  <c r="G555" i="40"/>
  <c r="G546" i="40"/>
  <c r="G537" i="40"/>
  <c r="G531" i="40"/>
  <c r="G525" i="40"/>
  <c r="G517" i="40"/>
  <c r="G509" i="40"/>
  <c r="G501" i="40"/>
  <c r="G493" i="40"/>
  <c r="G482" i="40"/>
  <c r="G476" i="40"/>
  <c r="G471" i="40"/>
  <c r="G469" i="40"/>
  <c r="G466" i="40"/>
  <c r="G446" i="40"/>
  <c r="G445" i="40"/>
  <c r="G444" i="40"/>
  <c r="G438" i="40"/>
  <c r="G431" i="40"/>
  <c r="G430" i="40"/>
  <c r="G426" i="40"/>
  <c r="G423" i="40"/>
  <c r="G419" i="40"/>
  <c r="G411" i="40"/>
  <c r="G394" i="40"/>
  <c r="G389" i="40"/>
  <c r="G384" i="40"/>
  <c r="G376" i="40"/>
  <c r="G367" i="40"/>
  <c r="G359" i="40"/>
  <c r="G352" i="40"/>
  <c r="G345" i="40"/>
  <c r="G343" i="40"/>
  <c r="G336" i="40"/>
  <c r="G329" i="40"/>
  <c r="G323" i="40"/>
  <c r="G317" i="40"/>
  <c r="G307" i="40"/>
  <c r="G296" i="40"/>
  <c r="G289" i="40"/>
  <c r="G280" i="40"/>
  <c r="G278" i="40"/>
  <c r="G271" i="40"/>
  <c r="G263" i="40"/>
  <c r="G258" i="40"/>
  <c r="G253" i="40"/>
  <c r="G247" i="40"/>
  <c r="G241" i="40"/>
  <c r="G233" i="40"/>
  <c r="G227" i="40"/>
  <c r="G218" i="40"/>
  <c r="G215" i="40"/>
  <c r="G211" i="40"/>
  <c r="G202" i="40"/>
  <c r="G191" i="40"/>
  <c r="K867" i="40"/>
  <c r="F20" i="42" s="1"/>
  <c r="J867" i="40"/>
  <c r="H867" i="40"/>
  <c r="H865" i="40"/>
  <c r="K863" i="40"/>
  <c r="J863" i="40"/>
  <c r="H863" i="40"/>
  <c r="K823" i="40"/>
  <c r="F17" i="42" s="1"/>
  <c r="H823" i="40"/>
  <c r="K820" i="40"/>
  <c r="H820" i="40"/>
  <c r="K818" i="40"/>
  <c r="F14" i="42" s="1"/>
  <c r="J818" i="40"/>
  <c r="D14" i="42" s="1"/>
  <c r="H818" i="40"/>
  <c r="H14" i="42" s="1"/>
  <c r="K447" i="40"/>
  <c r="F13" i="42" s="1"/>
  <c r="J447" i="40"/>
  <c r="D13" i="42" s="1"/>
  <c r="H447" i="40"/>
  <c r="H13" i="42" s="1"/>
  <c r="H159" i="40"/>
  <c r="H12" i="42" s="1"/>
  <c r="K151" i="40"/>
  <c r="F10" i="42" s="1"/>
  <c r="J151" i="40"/>
  <c r="D10" i="42" s="1"/>
  <c r="K138" i="40"/>
  <c r="F9" i="42" s="1"/>
  <c r="J138" i="40"/>
  <c r="D9" i="42" s="1"/>
  <c r="H138" i="40"/>
  <c r="H9" i="42" s="1"/>
  <c r="K126" i="40"/>
  <c r="F8" i="42" s="1"/>
  <c r="J126" i="40"/>
  <c r="D8" i="42" s="1"/>
  <c r="H126" i="40"/>
  <c r="H8" i="42" s="1"/>
  <c r="K101" i="40"/>
  <c r="F6" i="42" s="1"/>
  <c r="J101" i="40"/>
  <c r="D6" i="42" s="1"/>
  <c r="K74" i="40"/>
  <c r="F5" i="42" s="1"/>
  <c r="J74" i="40"/>
  <c r="D5" i="42" s="1"/>
  <c r="H74" i="40"/>
  <c r="H5" i="42" s="1"/>
  <c r="K61" i="40"/>
  <c r="F4" i="42" s="1"/>
  <c r="J61" i="40"/>
  <c r="D4" i="42" s="1"/>
  <c r="H61" i="40"/>
  <c r="H4" i="42" s="1"/>
  <c r="H151" i="40" l="1"/>
  <c r="H10" i="42" s="1"/>
  <c r="J868" i="40"/>
  <c r="K868" i="40"/>
  <c r="H101" i="40"/>
  <c r="H6" i="42" s="1"/>
  <c r="H15" i="38"/>
  <c r="J870" i="40" l="1"/>
  <c r="H868" i="40"/>
  <c r="H92" i="38"/>
  <c r="H83" i="38"/>
  <c r="H82" i="38"/>
  <c r="H91" i="38"/>
  <c r="H14" i="38"/>
  <c r="H162" i="38" l="1"/>
  <c r="H296" i="34"/>
  <c r="H161" i="34"/>
  <c r="H54" i="34"/>
  <c r="I439" i="38" l="1"/>
  <c r="G443" i="40" s="1"/>
  <c r="I443" i="40" s="1"/>
  <c r="G448" i="3" s="1"/>
  <c r="I448" i="3" s="1"/>
  <c r="G457" i="44" s="1"/>
  <c r="I457" i="44" s="1"/>
  <c r="G457" i="46" s="1"/>
  <c r="I457" i="46" s="1"/>
  <c r="G457" i="48" s="1"/>
  <c r="I457" i="48" s="1"/>
  <c r="I438" i="38"/>
  <c r="G442" i="40" s="1"/>
  <c r="I442" i="40" s="1"/>
  <c r="G447" i="3" s="1"/>
  <c r="I447" i="3" s="1"/>
  <c r="G456" i="44" s="1"/>
  <c r="I456" i="44" s="1"/>
  <c r="G456" i="46" s="1"/>
  <c r="I456" i="46" s="1"/>
  <c r="G456" i="48" s="1"/>
  <c r="I456" i="48" s="1"/>
  <c r="I437" i="38"/>
  <c r="G441" i="40" s="1"/>
  <c r="I441" i="40" s="1"/>
  <c r="G446" i="3" s="1"/>
  <c r="I446" i="3" s="1"/>
  <c r="G455" i="44" s="1"/>
  <c r="I455" i="44" s="1"/>
  <c r="G455" i="46" s="1"/>
  <c r="I455" i="46" s="1"/>
  <c r="G455" i="48" s="1"/>
  <c r="I455" i="48" s="1"/>
  <c r="I436" i="38"/>
  <c r="G440" i="40" s="1"/>
  <c r="I440" i="40" s="1"/>
  <c r="G445" i="3" s="1"/>
  <c r="I445" i="3" s="1"/>
  <c r="G454" i="44" s="1"/>
  <c r="I454" i="44" s="1"/>
  <c r="G454" i="46" s="1"/>
  <c r="I454" i="46" s="1"/>
  <c r="G454" i="48" s="1"/>
  <c r="I454" i="48" s="1"/>
  <c r="I435" i="38"/>
  <c r="G439" i="40" s="1"/>
  <c r="I439" i="40" s="1"/>
  <c r="G444" i="3" s="1"/>
  <c r="I444" i="3" s="1"/>
  <c r="G453" i="44" s="1"/>
  <c r="I453" i="44" s="1"/>
  <c r="G453" i="46" s="1"/>
  <c r="I453" i="46" s="1"/>
  <c r="G453" i="48" s="1"/>
  <c r="I453" i="48" s="1"/>
  <c r="H432" i="34" l="1"/>
  <c r="H764" i="36" l="1"/>
  <c r="H459" i="38" l="1"/>
  <c r="H460" i="38"/>
  <c r="E24" i="39" l="1"/>
  <c r="C23" i="39"/>
  <c r="E21" i="39"/>
  <c r="C19" i="39"/>
  <c r="G19" i="39" s="1"/>
  <c r="I19" i="39" s="1"/>
  <c r="H180" i="34" l="1"/>
  <c r="H142" i="38" l="1"/>
  <c r="H122" i="38"/>
  <c r="H141" i="38"/>
  <c r="H139" i="38"/>
  <c r="H127" i="38"/>
  <c r="H102" i="38"/>
  <c r="H104" i="38"/>
  <c r="H106" i="38"/>
  <c r="H121" i="38"/>
  <c r="H109" i="38"/>
  <c r="H134" i="38"/>
  <c r="H145" i="38"/>
  <c r="H108" i="38"/>
  <c r="H133" i="38"/>
  <c r="H144" i="38"/>
  <c r="H130" i="38"/>
  <c r="H114" i="38"/>
  <c r="H116" i="38"/>
  <c r="H751" i="34" l="1"/>
  <c r="H212" i="34"/>
  <c r="H425" i="38" l="1"/>
  <c r="H781" i="38"/>
  <c r="H775" i="38"/>
  <c r="I783" i="38" l="1"/>
  <c r="G788" i="40" s="1"/>
  <c r="I788" i="40" s="1"/>
  <c r="G795" i="3" s="1"/>
  <c r="I795" i="3" s="1"/>
  <c r="G818" i="44" s="1"/>
  <c r="I818" i="44" s="1"/>
  <c r="G820" i="46" s="1"/>
  <c r="I820" i="46" s="1"/>
  <c r="G820" i="48" s="1"/>
  <c r="I820" i="48" s="1"/>
  <c r="H463" i="38" l="1"/>
  <c r="K101" i="38" l="1"/>
  <c r="K61" i="38"/>
  <c r="J101" i="38"/>
  <c r="K423" i="38"/>
  <c r="F4" i="39" l="1"/>
  <c r="D6" i="39"/>
  <c r="F6" i="39"/>
  <c r="H458" i="38"/>
  <c r="H461" i="38"/>
  <c r="H445" i="38"/>
  <c r="H455" i="38"/>
  <c r="H450" i="38"/>
  <c r="H428" i="38"/>
  <c r="I429" i="38"/>
  <c r="G433" i="40" s="1"/>
  <c r="I433" i="40" s="1"/>
  <c r="G438" i="3" s="1"/>
  <c r="I438" i="3" s="1"/>
  <c r="G445" i="44" s="1"/>
  <c r="I445" i="44" s="1"/>
  <c r="G444" i="46" s="1"/>
  <c r="I444" i="46" s="1"/>
  <c r="G444" i="48" s="1"/>
  <c r="I444" i="48" s="1"/>
  <c r="H432" i="38"/>
  <c r="H431" i="38"/>
  <c r="H430" i="38"/>
  <c r="G424" i="38"/>
  <c r="I424" i="38" s="1"/>
  <c r="G428" i="40" s="1"/>
  <c r="I428" i="40" s="1"/>
  <c r="G432" i="3" s="1"/>
  <c r="I432" i="3" s="1"/>
  <c r="G439" i="44" s="1"/>
  <c r="I439" i="44" s="1"/>
  <c r="G438" i="46" s="1"/>
  <c r="I438" i="46" s="1"/>
  <c r="G438" i="48" s="1"/>
  <c r="I438" i="48" s="1"/>
  <c r="H374" i="38"/>
  <c r="H305" i="38"/>
  <c r="H312" i="38"/>
  <c r="H295" i="38"/>
  <c r="H299" i="38"/>
  <c r="H298" i="38"/>
  <c r="H296" i="38"/>
  <c r="H297" i="38"/>
  <c r="H288" i="38"/>
  <c r="G286" i="38"/>
  <c r="I286" i="38" s="1"/>
  <c r="G288" i="40" s="1"/>
  <c r="I288" i="40" s="1"/>
  <c r="G290" i="3" s="1"/>
  <c r="I290" i="3" s="1"/>
  <c r="G295" i="44" s="1"/>
  <c r="I295" i="44" s="1"/>
  <c r="G295" i="46" s="1"/>
  <c r="I295" i="46" s="1"/>
  <c r="G295" i="48" s="1"/>
  <c r="I295" i="48" s="1"/>
  <c r="H240" i="38"/>
  <c r="H232" i="38"/>
  <c r="H235" i="38"/>
  <c r="H218" i="38"/>
  <c r="H219" i="38"/>
  <c r="H220" i="38"/>
  <c r="G200" i="38"/>
  <c r="I198" i="38"/>
  <c r="G200" i="40" s="1"/>
  <c r="I200" i="40" s="1"/>
  <c r="G201" i="3" s="1"/>
  <c r="I201" i="3" s="1"/>
  <c r="G205" i="44" s="1"/>
  <c r="I205" i="44" s="1"/>
  <c r="G205" i="46" s="1"/>
  <c r="I205" i="46" s="1"/>
  <c r="G205" i="48" s="1"/>
  <c r="I205" i="48" s="1"/>
  <c r="H191" i="38"/>
  <c r="H193" i="38"/>
  <c r="H179" i="38"/>
  <c r="H172" i="38"/>
  <c r="I176" i="38"/>
  <c r="G176" i="40" s="1"/>
  <c r="I176" i="40" s="1"/>
  <c r="G177" i="3" s="1"/>
  <c r="I177" i="3" s="1"/>
  <c r="G179" i="44" s="1"/>
  <c r="I179" i="44" s="1"/>
  <c r="G179" i="46" s="1"/>
  <c r="I179" i="46" s="1"/>
  <c r="G179" i="48" s="1"/>
  <c r="I179" i="48" s="1"/>
  <c r="H174" i="38"/>
  <c r="H163" i="38"/>
  <c r="H158" i="38"/>
  <c r="H59" i="38" l="1"/>
  <c r="H93" i="38"/>
  <c r="H95" i="38"/>
  <c r="H60" i="38"/>
  <c r="H38" i="38"/>
  <c r="H33" i="38"/>
  <c r="H85" i="38" l="1"/>
  <c r="H21" i="38"/>
  <c r="H7" i="38" l="1"/>
  <c r="H76" i="38"/>
  <c r="H70" i="38"/>
  <c r="H69" i="38"/>
  <c r="H81" i="38"/>
  <c r="H31" i="38"/>
  <c r="H96" i="38"/>
  <c r="H41" i="38"/>
  <c r="K162" i="38" l="1"/>
  <c r="K443" i="38" s="1"/>
  <c r="K858" i="38"/>
  <c r="G842" i="38"/>
  <c r="G831" i="38"/>
  <c r="G820" i="38"/>
  <c r="G816" i="38"/>
  <c r="G802" i="38"/>
  <c r="G793" i="38"/>
  <c r="G786" i="38"/>
  <c r="G774" i="38"/>
  <c r="G765" i="38"/>
  <c r="G757" i="38"/>
  <c r="G749" i="38"/>
  <c r="G741" i="38"/>
  <c r="G733" i="38"/>
  <c r="G725" i="38"/>
  <c r="G717" i="38"/>
  <c r="G709" i="38"/>
  <c r="G701" i="38"/>
  <c r="G693" i="38"/>
  <c r="G685" i="38"/>
  <c r="G677" i="38"/>
  <c r="G669" i="38"/>
  <c r="G661" i="38"/>
  <c r="G653" i="38"/>
  <c r="G645" i="38"/>
  <c r="G636" i="38"/>
  <c r="G635" i="38"/>
  <c r="G627" i="38"/>
  <c r="G617" i="38"/>
  <c r="G609" i="38"/>
  <c r="G600" i="38"/>
  <c r="G592" i="38"/>
  <c r="G586" i="38"/>
  <c r="G577" i="38"/>
  <c r="G568" i="38"/>
  <c r="G559" i="38"/>
  <c r="G551" i="38"/>
  <c r="G542" i="38"/>
  <c r="G533" i="38"/>
  <c r="G527" i="38"/>
  <c r="G521" i="38"/>
  <c r="G513" i="38"/>
  <c r="G505" i="38"/>
  <c r="G497" i="38"/>
  <c r="G489" i="38"/>
  <c r="G478" i="38"/>
  <c r="G472" i="38"/>
  <c r="G467" i="38"/>
  <c r="G465" i="38"/>
  <c r="G462" i="38"/>
  <c r="G442" i="38"/>
  <c r="G441" i="38"/>
  <c r="G427" i="38"/>
  <c r="G426" i="38"/>
  <c r="G422" i="38"/>
  <c r="G419" i="38"/>
  <c r="G415" i="38"/>
  <c r="G407" i="38"/>
  <c r="G400" i="38"/>
  <c r="I400" i="38" s="1"/>
  <c r="G404" i="40" s="1"/>
  <c r="I404" i="40" s="1"/>
  <c r="G408" i="3" s="1"/>
  <c r="I408" i="3" s="1"/>
  <c r="G415" i="44" s="1"/>
  <c r="I415" i="44" s="1"/>
  <c r="G414" i="46" s="1"/>
  <c r="I414" i="46" s="1"/>
  <c r="G414" i="48" s="1"/>
  <c r="I414" i="48" s="1"/>
  <c r="G390" i="38"/>
  <c r="G385" i="38"/>
  <c r="G380" i="38"/>
  <c r="G372" i="38"/>
  <c r="G363" i="38"/>
  <c r="G355" i="38"/>
  <c r="G348" i="38"/>
  <c r="G341" i="38"/>
  <c r="G339" i="38"/>
  <c r="G333" i="38"/>
  <c r="G326" i="38"/>
  <c r="G320" i="38"/>
  <c r="G314" i="38"/>
  <c r="G304" i="38"/>
  <c r="G294" i="38"/>
  <c r="G287" i="38"/>
  <c r="G278" i="38"/>
  <c r="G276" i="38"/>
  <c r="G269" i="38"/>
  <c r="G261" i="38"/>
  <c r="G256" i="38"/>
  <c r="G251" i="38"/>
  <c r="G245" i="38"/>
  <c r="G239" i="38"/>
  <c r="G231" i="38"/>
  <c r="G225" i="38"/>
  <c r="G216" i="38"/>
  <c r="G213" i="38"/>
  <c r="G209" i="38"/>
  <c r="G190" i="38"/>
  <c r="J858" i="38"/>
  <c r="H858" i="38"/>
  <c r="H856" i="38"/>
  <c r="K854" i="38"/>
  <c r="J854" i="38"/>
  <c r="J856" i="38" s="1"/>
  <c r="H854" i="38"/>
  <c r="K815" i="38"/>
  <c r="H815" i="38"/>
  <c r="K812" i="38"/>
  <c r="H812" i="38"/>
  <c r="K810" i="38"/>
  <c r="J810" i="38"/>
  <c r="H810" i="38"/>
  <c r="J443" i="38"/>
  <c r="H443" i="38"/>
  <c r="H159" i="38"/>
  <c r="K151" i="38"/>
  <c r="J151" i="38"/>
  <c r="K138" i="38"/>
  <c r="J138" i="38"/>
  <c r="H138" i="38"/>
  <c r="K126" i="38"/>
  <c r="J126" i="38"/>
  <c r="H126" i="38"/>
  <c r="H101" i="38"/>
  <c r="K74" i="38"/>
  <c r="J74" i="38"/>
  <c r="H74" i="38"/>
  <c r="J61" i="38"/>
  <c r="H61" i="38"/>
  <c r="H4" i="39" l="1"/>
  <c r="F5" i="39"/>
  <c r="F8" i="39"/>
  <c r="D10" i="39"/>
  <c r="D13" i="39"/>
  <c r="D4" i="39"/>
  <c r="H6" i="39"/>
  <c r="H9" i="39"/>
  <c r="F10" i="39"/>
  <c r="H14" i="39"/>
  <c r="F9" i="39"/>
  <c r="H5" i="39"/>
  <c r="H8" i="39"/>
  <c r="D9" i="39"/>
  <c r="H12" i="39"/>
  <c r="D14" i="39"/>
  <c r="F20" i="39"/>
  <c r="D5" i="39"/>
  <c r="H13" i="39"/>
  <c r="F14" i="39"/>
  <c r="F17" i="39"/>
  <c r="F13" i="39"/>
  <c r="K859" i="38"/>
  <c r="J859" i="38"/>
  <c r="H151" i="38"/>
  <c r="H59" i="34"/>
  <c r="H15" i="43" l="1"/>
  <c r="H7" i="42"/>
  <c r="F21" i="42"/>
  <c r="H7" i="43"/>
  <c r="H10" i="39"/>
  <c r="H11" i="43"/>
  <c r="H11" i="42"/>
  <c r="H15" i="42"/>
  <c r="F21" i="43"/>
  <c r="H859" i="38"/>
  <c r="J861" i="38"/>
  <c r="E24" i="37"/>
  <c r="H121" i="36"/>
  <c r="H144" i="36"/>
  <c r="H133" i="36"/>
  <c r="H108" i="36"/>
  <c r="H106" i="36"/>
  <c r="H142" i="36"/>
  <c r="H130" i="36"/>
  <c r="H141" i="36"/>
  <c r="H145" i="36"/>
  <c r="H134" i="36"/>
  <c r="H109" i="36"/>
  <c r="H21" i="42" l="1"/>
  <c r="H21" i="43"/>
  <c r="H218" i="36"/>
  <c r="J428" i="36" l="1"/>
  <c r="J425" i="36"/>
  <c r="J426" i="36"/>
  <c r="J151" i="36"/>
  <c r="K74" i="36"/>
  <c r="F5" i="37" l="1"/>
  <c r="D10" i="37"/>
  <c r="I129" i="36"/>
  <c r="G129" i="38" s="1"/>
  <c r="I129" i="38" s="1"/>
  <c r="G129" i="40" s="1"/>
  <c r="I129" i="40" s="1"/>
  <c r="G129" i="3" s="1"/>
  <c r="I129" i="3" s="1"/>
  <c r="G129" i="44" s="1"/>
  <c r="I129" i="44" s="1"/>
  <c r="G129" i="46" s="1"/>
  <c r="I129" i="46" s="1"/>
  <c r="G129" i="48" s="1"/>
  <c r="I129" i="48" s="1"/>
  <c r="H767" i="36" l="1"/>
  <c r="H765" i="36"/>
  <c r="H771" i="36"/>
  <c r="H452" i="36"/>
  <c r="H449" i="36"/>
  <c r="H447" i="36"/>
  <c r="H448" i="36"/>
  <c r="H439" i="36"/>
  <c r="H434" i="36"/>
  <c r="I442" i="36"/>
  <c r="G453" i="38" s="1"/>
  <c r="I453" i="38" s="1"/>
  <c r="G457" i="40" s="1"/>
  <c r="I457" i="40" s="1"/>
  <c r="G462" i="3" s="1"/>
  <c r="I462" i="3" s="1"/>
  <c r="G476" i="44" s="1"/>
  <c r="I476" i="44" s="1"/>
  <c r="G478" i="46" s="1"/>
  <c r="I478" i="46" s="1"/>
  <c r="G478" i="48" s="1"/>
  <c r="I478" i="48" s="1"/>
  <c r="H440" i="36"/>
  <c r="I437" i="36"/>
  <c r="G448" i="38" s="1"/>
  <c r="I448" i="38" s="1"/>
  <c r="G452" i="40" s="1"/>
  <c r="I452" i="40" s="1"/>
  <c r="G457" i="3" s="1"/>
  <c r="I457" i="3" s="1"/>
  <c r="G471" i="44" s="1"/>
  <c r="I471" i="44" s="1"/>
  <c r="G473" i="46" s="1"/>
  <c r="I473" i="46" s="1"/>
  <c r="G473" i="48" s="1"/>
  <c r="I473" i="48" s="1"/>
  <c r="H425" i="36"/>
  <c r="I425" i="36" s="1"/>
  <c r="G428" i="38" s="1"/>
  <c r="I428" i="38" s="1"/>
  <c r="G432" i="40" s="1"/>
  <c r="I432" i="40" s="1"/>
  <c r="G436" i="3" s="1"/>
  <c r="I436" i="3" s="1"/>
  <c r="G443" i="44" s="1"/>
  <c r="I443" i="44" s="1"/>
  <c r="G442" i="46" s="1"/>
  <c r="I442" i="46" s="1"/>
  <c r="G442" i="48" s="1"/>
  <c r="I442" i="48" s="1"/>
  <c r="I429" i="36"/>
  <c r="G433" i="38" s="1"/>
  <c r="I433" i="38" s="1"/>
  <c r="G437" i="40" s="1"/>
  <c r="I437" i="40" s="1"/>
  <c r="G442" i="3" s="1"/>
  <c r="I442" i="3" s="1"/>
  <c r="G451" i="44" s="1"/>
  <c r="I451" i="44" s="1"/>
  <c r="G450" i="46" s="1"/>
  <c r="I450" i="46" s="1"/>
  <c r="G450" i="48" s="1"/>
  <c r="I450" i="48" s="1"/>
  <c r="I428" i="36"/>
  <c r="G432" i="38" s="1"/>
  <c r="I432" i="38" s="1"/>
  <c r="G436" i="40" s="1"/>
  <c r="I436" i="40" s="1"/>
  <c r="G441" i="3" s="1"/>
  <c r="I441" i="3" s="1"/>
  <c r="G449" i="44" s="1"/>
  <c r="I449" i="44" s="1"/>
  <c r="G448" i="46" s="1"/>
  <c r="I448" i="46" s="1"/>
  <c r="G448" i="48" s="1"/>
  <c r="I448" i="48" s="1"/>
  <c r="I427" i="36"/>
  <c r="G431" i="38" s="1"/>
  <c r="I431" i="38" s="1"/>
  <c r="G435" i="40" s="1"/>
  <c r="I435" i="40" s="1"/>
  <c r="G440" i="3" s="1"/>
  <c r="I440" i="3" s="1"/>
  <c r="G448" i="44" s="1"/>
  <c r="I448" i="44" s="1"/>
  <c r="G447" i="46" s="1"/>
  <c r="I447" i="46" s="1"/>
  <c r="G447" i="48" s="1"/>
  <c r="I447" i="48" s="1"/>
  <c r="I426" i="36"/>
  <c r="G430" i="38" s="1"/>
  <c r="I430" i="38" s="1"/>
  <c r="G434" i="40" s="1"/>
  <c r="I434" i="40" s="1"/>
  <c r="G439" i="3" s="1"/>
  <c r="I439" i="3" s="1"/>
  <c r="G447" i="44" s="1"/>
  <c r="I447" i="44" s="1"/>
  <c r="G446" i="46" s="1"/>
  <c r="I446" i="46" s="1"/>
  <c r="G446" i="48" s="1"/>
  <c r="I446" i="48" s="1"/>
  <c r="H371" i="36"/>
  <c r="H325" i="36"/>
  <c r="H327" i="36"/>
  <c r="H313" i="36"/>
  <c r="H21" i="36"/>
  <c r="H304" i="36" l="1"/>
  <c r="H305" i="36"/>
  <c r="H295" i="36" l="1"/>
  <c r="H292" i="36"/>
  <c r="H297" i="36"/>
  <c r="I298" i="36"/>
  <c r="G301" i="38" s="1"/>
  <c r="I301" i="38" s="1"/>
  <c r="G304" i="40" s="1"/>
  <c r="I304" i="40" s="1"/>
  <c r="G306" i="3" s="1"/>
  <c r="I306" i="3" s="1"/>
  <c r="G312" i="44" s="1"/>
  <c r="I312" i="44" s="1"/>
  <c r="G311" i="46" s="1"/>
  <c r="I311" i="46" s="1"/>
  <c r="G311" i="48" s="1"/>
  <c r="I311" i="48" s="1"/>
  <c r="H293" i="36"/>
  <c r="H299" i="36"/>
  <c r="H230" i="36"/>
  <c r="H215" i="36"/>
  <c r="H190" i="36"/>
  <c r="H178" i="36"/>
  <c r="I184" i="36"/>
  <c r="G185" i="38" s="1"/>
  <c r="I185" i="38" s="1"/>
  <c r="G185" i="40" s="1"/>
  <c r="I185" i="40" s="1"/>
  <c r="G186" i="3" s="1"/>
  <c r="I186" i="3" s="1"/>
  <c r="G188" i="44" s="1"/>
  <c r="I188" i="44" s="1"/>
  <c r="G188" i="46" s="1"/>
  <c r="I188" i="46" s="1"/>
  <c r="G188" i="48" s="1"/>
  <c r="I188" i="48" s="1"/>
  <c r="H183" i="36"/>
  <c r="H182" i="36"/>
  <c r="H181" i="36"/>
  <c r="H187" i="36"/>
  <c r="H172" i="36"/>
  <c r="H173" i="36"/>
  <c r="I174" i="36"/>
  <c r="G174" i="38" s="1"/>
  <c r="I174" i="38" s="1"/>
  <c r="G174" i="40" s="1"/>
  <c r="I174" i="40" s="1"/>
  <c r="G174" i="3" s="1"/>
  <c r="I174" i="3" s="1"/>
  <c r="G176" i="44" s="1"/>
  <c r="I176" i="44" s="1"/>
  <c r="G176" i="46" s="1"/>
  <c r="I176" i="46" s="1"/>
  <c r="G176" i="48" s="1"/>
  <c r="I176" i="48" s="1"/>
  <c r="H164" i="36"/>
  <c r="H163" i="36"/>
  <c r="H15" i="36"/>
  <c r="H432" i="36" l="1"/>
  <c r="J74" i="36"/>
  <c r="D5" i="37" l="1"/>
  <c r="H13" i="37"/>
  <c r="H30" i="36"/>
  <c r="H38" i="36"/>
  <c r="H59" i="36"/>
  <c r="H40" i="36"/>
  <c r="H42" i="36"/>
  <c r="H60" i="36"/>
  <c r="H85" i="36"/>
  <c r="H33" i="36"/>
  <c r="H77" i="36"/>
  <c r="H31" i="36"/>
  <c r="H90" i="36"/>
  <c r="H18" i="36"/>
  <c r="H92" i="36"/>
  <c r="H95" i="36"/>
  <c r="H25" i="36"/>
  <c r="H69" i="36"/>
  <c r="H68" i="36"/>
  <c r="H89" i="36"/>
  <c r="G830" i="36" l="1"/>
  <c r="G819" i="36"/>
  <c r="G808" i="36"/>
  <c r="G790" i="36"/>
  <c r="G781" i="36"/>
  <c r="G774" i="36"/>
  <c r="G763" i="36"/>
  <c r="G754" i="36"/>
  <c r="G746" i="36"/>
  <c r="G738" i="36"/>
  <c r="G730" i="36"/>
  <c r="G722" i="36"/>
  <c r="G714" i="36"/>
  <c r="G706" i="36"/>
  <c r="G698" i="36"/>
  <c r="G690" i="36"/>
  <c r="G682" i="36"/>
  <c r="G674" i="36"/>
  <c r="G666" i="36"/>
  <c r="G658" i="36"/>
  <c r="G650" i="36"/>
  <c r="G642" i="36"/>
  <c r="G634" i="36"/>
  <c r="G625" i="36"/>
  <c r="G624" i="36"/>
  <c r="G616" i="36"/>
  <c r="G606" i="36"/>
  <c r="G598" i="36"/>
  <c r="G589" i="36"/>
  <c r="G581" i="36"/>
  <c r="G575" i="36"/>
  <c r="G566" i="36"/>
  <c r="G557" i="36"/>
  <c r="G548" i="36"/>
  <c r="G540" i="36"/>
  <c r="G531" i="36"/>
  <c r="G522" i="36"/>
  <c r="G516" i="36"/>
  <c r="G510" i="36"/>
  <c r="G502" i="36"/>
  <c r="G494" i="36"/>
  <c r="G486" i="36"/>
  <c r="G478" i="36"/>
  <c r="G467" i="36"/>
  <c r="G461" i="36"/>
  <c r="G456" i="36"/>
  <c r="G454" i="36"/>
  <c r="G451" i="36"/>
  <c r="G431" i="36"/>
  <c r="G423" i="36"/>
  <c r="G421" i="36"/>
  <c r="G419" i="36"/>
  <c r="G416" i="36"/>
  <c r="G412" i="36"/>
  <c r="G404" i="36"/>
  <c r="G397" i="36"/>
  <c r="G387" i="36"/>
  <c r="G382" i="36"/>
  <c r="G377" i="36"/>
  <c r="G369" i="36"/>
  <c r="G360" i="36"/>
  <c r="G352" i="36"/>
  <c r="G345" i="36"/>
  <c r="G338" i="36"/>
  <c r="G336" i="36"/>
  <c r="G330" i="36"/>
  <c r="G323" i="36"/>
  <c r="G317" i="36"/>
  <c r="G311" i="36"/>
  <c r="G301" i="36"/>
  <c r="G291" i="36"/>
  <c r="G284" i="36"/>
  <c r="G276" i="36"/>
  <c r="G274" i="36"/>
  <c r="G267" i="36"/>
  <c r="G259" i="36"/>
  <c r="G254" i="36"/>
  <c r="G249" i="36"/>
  <c r="G243" i="36"/>
  <c r="G237" i="36"/>
  <c r="G229" i="36"/>
  <c r="G223" i="36"/>
  <c r="G214" i="36"/>
  <c r="G211" i="36"/>
  <c r="G207" i="36"/>
  <c r="G198" i="36"/>
  <c r="G189" i="36"/>
  <c r="C23" i="37" l="1"/>
  <c r="E21" i="37"/>
  <c r="C19" i="37"/>
  <c r="G19" i="37" s="1"/>
  <c r="I19" i="37" s="1"/>
  <c r="J846" i="36"/>
  <c r="H846" i="36"/>
  <c r="H844" i="36"/>
  <c r="K842" i="36"/>
  <c r="J842" i="36"/>
  <c r="J844" i="36" s="1"/>
  <c r="H842" i="36"/>
  <c r="K803" i="36"/>
  <c r="H803" i="36"/>
  <c r="K800" i="36"/>
  <c r="H800" i="36"/>
  <c r="K798" i="36"/>
  <c r="J798" i="36"/>
  <c r="K432" i="36"/>
  <c r="J432" i="36"/>
  <c r="H159" i="36"/>
  <c r="H151" i="36"/>
  <c r="K151" i="36"/>
  <c r="K138" i="36"/>
  <c r="J138" i="36"/>
  <c r="H138" i="36"/>
  <c r="K126" i="36"/>
  <c r="J126" i="36"/>
  <c r="H126" i="36"/>
  <c r="K101" i="36"/>
  <c r="J101" i="36"/>
  <c r="K61" i="36"/>
  <c r="J61" i="36"/>
  <c r="H61" i="36"/>
  <c r="D21" i="43" l="1"/>
  <c r="E22" i="43" s="1"/>
  <c r="D21" i="42"/>
  <c r="E23" i="42" s="1"/>
  <c r="H4" i="37"/>
  <c r="F6" i="37"/>
  <c r="H9" i="37"/>
  <c r="H10" i="37"/>
  <c r="D14" i="37"/>
  <c r="D4" i="37"/>
  <c r="H8" i="37"/>
  <c r="H11" i="39"/>
  <c r="D9" i="37"/>
  <c r="H12" i="37"/>
  <c r="F14" i="37"/>
  <c r="F4" i="37"/>
  <c r="D8" i="37"/>
  <c r="D8" i="39"/>
  <c r="F9" i="37"/>
  <c r="D13" i="37"/>
  <c r="H18" i="37"/>
  <c r="D6" i="37"/>
  <c r="F8" i="37"/>
  <c r="F10" i="37"/>
  <c r="F13" i="37"/>
  <c r="H74" i="36"/>
  <c r="H101" i="36"/>
  <c r="H798" i="36"/>
  <c r="K847" i="36"/>
  <c r="J847" i="36"/>
  <c r="H439" i="34"/>
  <c r="H179" i="34"/>
  <c r="H60" i="34"/>
  <c r="H5" i="37" l="1"/>
  <c r="H7" i="39"/>
  <c r="F21" i="39"/>
  <c r="H14" i="37"/>
  <c r="H15" i="39"/>
  <c r="H6" i="37"/>
  <c r="D21" i="39"/>
  <c r="J849" i="36"/>
  <c r="H847" i="36"/>
  <c r="D5" i="35"/>
  <c r="H21" i="39" l="1"/>
  <c r="E23" i="39"/>
  <c r="I429" i="32"/>
  <c r="H812" i="32" l="1"/>
  <c r="H821" i="32" l="1"/>
  <c r="H823" i="32"/>
  <c r="H801" i="32"/>
  <c r="H804" i="32"/>
  <c r="H800" i="32"/>
  <c r="H799" i="32"/>
  <c r="H756" i="34"/>
  <c r="K138" i="34"/>
  <c r="K150" i="34" s="1"/>
  <c r="K137" i="34"/>
  <c r="J137" i="34"/>
  <c r="F10" i="35" l="1"/>
  <c r="D9" i="35"/>
  <c r="F9" i="35"/>
  <c r="H141" i="34"/>
  <c r="H143" i="34"/>
  <c r="H108" i="34"/>
  <c r="H144" i="34"/>
  <c r="H133" i="34"/>
  <c r="H109" i="34"/>
  <c r="H121" i="34"/>
  <c r="H132" i="34"/>
  <c r="H106" i="34"/>
  <c r="H102" i="34"/>
  <c r="H104" i="34"/>
  <c r="H15" i="34" l="1"/>
  <c r="H435" i="34" l="1"/>
  <c r="H436" i="34"/>
  <c r="H434" i="34"/>
  <c r="H433" i="34"/>
  <c r="H429" i="34"/>
  <c r="H427" i="34"/>
  <c r="H423" i="34"/>
  <c r="H428" i="34"/>
  <c r="H321" i="34" l="1"/>
  <c r="H320" i="34"/>
  <c r="H308" i="34"/>
  <c r="H309" i="34"/>
  <c r="H289" i="34"/>
  <c r="H235" i="34"/>
  <c r="H227" i="34" l="1"/>
  <c r="H224" i="34"/>
  <c r="H217" i="34"/>
  <c r="H215" i="34"/>
  <c r="H213" i="34"/>
  <c r="H187" i="34"/>
  <c r="H176" i="34"/>
  <c r="H181" i="34"/>
  <c r="H162" i="34"/>
  <c r="H111" i="34"/>
  <c r="H95" i="34" l="1"/>
  <c r="H42" i="34"/>
  <c r="H70" i="34"/>
  <c r="H85" i="34"/>
  <c r="H21" i="34"/>
  <c r="H8" i="34"/>
  <c r="H11" i="34"/>
  <c r="H5" i="34"/>
  <c r="H76" i="34" l="1"/>
  <c r="H93" i="34"/>
  <c r="H33" i="34"/>
  <c r="H18" i="34"/>
  <c r="H16" i="34"/>
  <c r="H63" i="34"/>
  <c r="H7" i="34"/>
  <c r="H4" i="34"/>
  <c r="H73" i="34"/>
  <c r="G817" i="34"/>
  <c r="G806" i="34"/>
  <c r="G795" i="34"/>
  <c r="G777" i="34"/>
  <c r="G768" i="34"/>
  <c r="G761" i="34"/>
  <c r="G750" i="34"/>
  <c r="G741" i="34"/>
  <c r="G733" i="34"/>
  <c r="G725" i="34"/>
  <c r="G717" i="34"/>
  <c r="G709" i="34"/>
  <c r="G701" i="34"/>
  <c r="G693" i="34"/>
  <c r="G685" i="34"/>
  <c r="G677" i="34"/>
  <c r="G669" i="34"/>
  <c r="G661" i="34"/>
  <c r="G653" i="34"/>
  <c r="G645" i="34"/>
  <c r="G637" i="34"/>
  <c r="G629" i="34"/>
  <c r="G621" i="34"/>
  <c r="G612" i="34"/>
  <c r="G611" i="34"/>
  <c r="G603" i="34"/>
  <c r="G593" i="34"/>
  <c r="G585" i="34"/>
  <c r="G576" i="34"/>
  <c r="G568" i="34"/>
  <c r="G562" i="34"/>
  <c r="G553" i="34"/>
  <c r="G544" i="34"/>
  <c r="G535" i="34"/>
  <c r="G527" i="34"/>
  <c r="G518" i="34"/>
  <c r="G509" i="34"/>
  <c r="G503" i="34"/>
  <c r="G497" i="34"/>
  <c r="G489" i="34"/>
  <c r="G481" i="34"/>
  <c r="G473" i="34"/>
  <c r="G465" i="34"/>
  <c r="G454" i="34"/>
  <c r="G448" i="34"/>
  <c r="G443" i="34"/>
  <c r="G441" i="34"/>
  <c r="G438" i="34"/>
  <c r="G429" i="34"/>
  <c r="I429" i="34" s="1"/>
  <c r="G441" i="36" s="1"/>
  <c r="I441" i="36" s="1"/>
  <c r="G452" i="38" s="1"/>
  <c r="I452" i="38" s="1"/>
  <c r="G456" i="40" s="1"/>
  <c r="I456" i="40" s="1"/>
  <c r="G461" i="3" s="1"/>
  <c r="I461" i="3" s="1"/>
  <c r="G475" i="44" s="1"/>
  <c r="I475" i="44" s="1"/>
  <c r="G477" i="46" s="1"/>
  <c r="I477" i="46" s="1"/>
  <c r="G477" i="48" s="1"/>
  <c r="I477" i="48" s="1"/>
  <c r="G420" i="34"/>
  <c r="G419" i="34"/>
  <c r="G417" i="34"/>
  <c r="G415" i="34"/>
  <c r="G412" i="34"/>
  <c r="G408" i="34"/>
  <c r="G400" i="34"/>
  <c r="G393" i="34"/>
  <c r="G383" i="34"/>
  <c r="G378" i="34"/>
  <c r="G373" i="34"/>
  <c r="G365" i="34"/>
  <c r="G356" i="34"/>
  <c r="G348" i="34"/>
  <c r="G341" i="34"/>
  <c r="G334" i="34"/>
  <c r="G332" i="34"/>
  <c r="G326" i="34"/>
  <c r="G319" i="34"/>
  <c r="G313" i="34"/>
  <c r="G307" i="34"/>
  <c r="G297" i="34"/>
  <c r="G288" i="34"/>
  <c r="G281" i="34"/>
  <c r="G273" i="34"/>
  <c r="G271" i="34"/>
  <c r="G264" i="34"/>
  <c r="G256" i="34"/>
  <c r="G251" i="34"/>
  <c r="G246" i="34"/>
  <c r="G240" i="34"/>
  <c r="G234" i="34"/>
  <c r="G226" i="34"/>
  <c r="G220" i="34"/>
  <c r="G211" i="34"/>
  <c r="G208" i="34"/>
  <c r="G204" i="34"/>
  <c r="G195" i="34"/>
  <c r="G186" i="34"/>
  <c r="C23" i="35" l="1"/>
  <c r="E21" i="35"/>
  <c r="C19" i="35"/>
  <c r="G19" i="35" s="1"/>
  <c r="I19" i="35" s="1"/>
  <c r="J833" i="34"/>
  <c r="H833" i="34"/>
  <c r="H831" i="34"/>
  <c r="K829" i="34"/>
  <c r="J829" i="34"/>
  <c r="J831" i="34" s="1"/>
  <c r="H829" i="34"/>
  <c r="K790" i="34"/>
  <c r="H790" i="34"/>
  <c r="K787" i="34"/>
  <c r="H787" i="34"/>
  <c r="K785" i="34"/>
  <c r="J785" i="34"/>
  <c r="K421" i="34"/>
  <c r="J421" i="34"/>
  <c r="H421" i="34"/>
  <c r="H158" i="34"/>
  <c r="J150" i="34"/>
  <c r="H150" i="34"/>
  <c r="H137" i="34"/>
  <c r="K126" i="34"/>
  <c r="J126" i="34"/>
  <c r="K101" i="34"/>
  <c r="J101" i="34"/>
  <c r="H101" i="34"/>
  <c r="K74" i="34"/>
  <c r="H74" i="34"/>
  <c r="K61" i="34"/>
  <c r="J61" i="34"/>
  <c r="H61" i="34"/>
  <c r="H4" i="35" l="1"/>
  <c r="F4" i="35"/>
  <c r="F5" i="35"/>
  <c r="D6" i="35"/>
  <c r="D8" i="35"/>
  <c r="H9" i="35"/>
  <c r="D10" i="35"/>
  <c r="H13" i="35"/>
  <c r="F13" i="35"/>
  <c r="F14" i="35"/>
  <c r="D4" i="35"/>
  <c r="H5" i="35"/>
  <c r="H6" i="35"/>
  <c r="F6" i="35"/>
  <c r="F8" i="35"/>
  <c r="H10" i="35"/>
  <c r="D13" i="35"/>
  <c r="D14" i="35"/>
  <c r="K834" i="34"/>
  <c r="H126" i="34"/>
  <c r="H785" i="34"/>
  <c r="J834" i="34"/>
  <c r="J427" i="32"/>
  <c r="H14" i="35" l="1"/>
  <c r="H8" i="35"/>
  <c r="H11" i="37"/>
  <c r="D21" i="37"/>
  <c r="F21" i="37"/>
  <c r="H7" i="37"/>
  <c r="J836" i="34"/>
  <c r="H834" i="34"/>
  <c r="H60" i="32"/>
  <c r="H121" i="32"/>
  <c r="H143" i="32"/>
  <c r="H108" i="32"/>
  <c r="H133" i="32"/>
  <c r="H109" i="32"/>
  <c r="H15" i="32"/>
  <c r="E23" i="37" l="1"/>
  <c r="H111" i="32"/>
  <c r="J418" i="32"/>
  <c r="J512" i="32"/>
  <c r="H106" i="32" l="1"/>
  <c r="H87" i="32"/>
  <c r="H96" i="32"/>
  <c r="H95" i="32"/>
  <c r="H92" i="32"/>
  <c r="H35" i="32"/>
  <c r="H512" i="32" l="1"/>
  <c r="H439" i="32" l="1"/>
  <c r="D9" i="33" l="1"/>
  <c r="D5" i="33"/>
  <c r="C20" i="33"/>
  <c r="H751" i="32"/>
  <c r="H756" i="32"/>
  <c r="H308" i="32"/>
  <c r="H309" i="32"/>
  <c r="H163" i="32"/>
  <c r="H11" i="32" l="1"/>
  <c r="H5" i="32"/>
  <c r="J4" i="32"/>
  <c r="H4" i="32"/>
  <c r="H57" i="32"/>
  <c r="H138" i="32"/>
  <c r="H127" i="32"/>
  <c r="H102" i="32"/>
  <c r="H144" i="32"/>
  <c r="H132" i="32"/>
  <c r="H104" i="32"/>
  <c r="H110" i="32"/>
  <c r="H119" i="32"/>
  <c r="H120" i="32"/>
  <c r="H32" i="32"/>
  <c r="H31" i="32"/>
  <c r="H69" i="32"/>
  <c r="H68" i="32"/>
  <c r="H33" i="32"/>
  <c r="H77" i="32"/>
  <c r="H59" i="32"/>
  <c r="H14" i="32"/>
  <c r="H93" i="32"/>
  <c r="H81" i="32"/>
  <c r="H76" i="32"/>
  <c r="H63" i="32"/>
  <c r="H7" i="32"/>
  <c r="H54" i="32"/>
  <c r="K784" i="32" l="1"/>
  <c r="I416" i="32"/>
  <c r="G416" i="34" s="1"/>
  <c r="I416" i="34" s="1"/>
  <c r="G420" i="36" s="1"/>
  <c r="I420" i="36" s="1"/>
  <c r="G423" i="38" s="1"/>
  <c r="I423" i="38" s="1"/>
  <c r="G427" i="40" s="1"/>
  <c r="I427" i="40" s="1"/>
  <c r="G431" i="3" s="1"/>
  <c r="I431" i="3" s="1"/>
  <c r="G438" i="44" s="1"/>
  <c r="I438" i="44" s="1"/>
  <c r="G437" i="46" s="1"/>
  <c r="I437" i="46" s="1"/>
  <c r="G437" i="48" s="1"/>
  <c r="I437" i="48" s="1"/>
  <c r="I418" i="32"/>
  <c r="G418" i="34" s="1"/>
  <c r="I418" i="34" s="1"/>
  <c r="G422" i="36" s="1"/>
  <c r="I422" i="36" s="1"/>
  <c r="G425" i="38" s="1"/>
  <c r="I425" i="38" s="1"/>
  <c r="G429" i="40" s="1"/>
  <c r="I429" i="40" s="1"/>
  <c r="G433" i="3" s="1"/>
  <c r="I433" i="3" s="1"/>
  <c r="G440" i="44" s="1"/>
  <c r="I440" i="44" s="1"/>
  <c r="G439" i="46" s="1"/>
  <c r="I439" i="46" s="1"/>
  <c r="G439" i="48" s="1"/>
  <c r="I439" i="48" s="1"/>
  <c r="I413" i="32"/>
  <c r="G413" i="34" s="1"/>
  <c r="I413" i="34" s="1"/>
  <c r="G417" i="36" s="1"/>
  <c r="I417" i="36" s="1"/>
  <c r="G420" i="38" s="1"/>
  <c r="I420" i="38" s="1"/>
  <c r="G424" i="40" s="1"/>
  <c r="I424" i="40" s="1"/>
  <c r="G428" i="3" s="1"/>
  <c r="I428" i="3" s="1"/>
  <c r="G435" i="44" s="1"/>
  <c r="I435" i="44" s="1"/>
  <c r="G434" i="46" s="1"/>
  <c r="I434" i="46" s="1"/>
  <c r="G434" i="48" s="1"/>
  <c r="I434" i="48" s="1"/>
  <c r="J101" i="32"/>
  <c r="K101" i="32"/>
  <c r="K74" i="32"/>
  <c r="I119" i="32"/>
  <c r="G119" i="34" s="1"/>
  <c r="I119" i="34" s="1"/>
  <c r="G119" i="36" s="1"/>
  <c r="I119" i="36" s="1"/>
  <c r="G119" i="38" s="1"/>
  <c r="I119" i="38" s="1"/>
  <c r="G119" i="40" s="1"/>
  <c r="I119" i="40" s="1"/>
  <c r="G119" i="3" s="1"/>
  <c r="I119" i="3" s="1"/>
  <c r="G119" i="44" s="1"/>
  <c r="I119" i="44" s="1"/>
  <c r="G119" i="46" s="1"/>
  <c r="I119" i="46" s="1"/>
  <c r="G119" i="48" s="1"/>
  <c r="I119" i="48" s="1"/>
  <c r="I110" i="32"/>
  <c r="G110" i="34" s="1"/>
  <c r="I110" i="34" s="1"/>
  <c r="G110" i="36" s="1"/>
  <c r="I110" i="36" s="1"/>
  <c r="G110" i="38" s="1"/>
  <c r="I110" i="38" s="1"/>
  <c r="G110" i="40" s="1"/>
  <c r="I110" i="40" s="1"/>
  <c r="G110" i="3" s="1"/>
  <c r="I110" i="3" s="1"/>
  <c r="G110" i="44" s="1"/>
  <c r="I110" i="44" s="1"/>
  <c r="G110" i="46" s="1"/>
  <c r="I110" i="46" s="1"/>
  <c r="G110" i="48" s="1"/>
  <c r="I110" i="48" s="1"/>
  <c r="I105" i="32"/>
  <c r="G105" i="34" s="1"/>
  <c r="I105" i="34" s="1"/>
  <c r="G105" i="36" s="1"/>
  <c r="I105" i="36" s="1"/>
  <c r="G105" i="38" s="1"/>
  <c r="I105" i="38" s="1"/>
  <c r="G105" i="40" s="1"/>
  <c r="I105" i="40" s="1"/>
  <c r="G105" i="3" s="1"/>
  <c r="I105" i="3" s="1"/>
  <c r="G105" i="44" s="1"/>
  <c r="I105" i="44" s="1"/>
  <c r="G105" i="46" s="1"/>
  <c r="I105" i="46" s="1"/>
  <c r="G105" i="48" s="1"/>
  <c r="I105" i="48" s="1"/>
  <c r="F6" i="33" l="1"/>
  <c r="F5" i="33"/>
  <c r="D6" i="33"/>
  <c r="C24" i="33"/>
  <c r="E22" i="33"/>
  <c r="G817" i="32"/>
  <c r="G806" i="32"/>
  <c r="G795" i="32"/>
  <c r="G777" i="32"/>
  <c r="G768" i="32"/>
  <c r="G761" i="32"/>
  <c r="G750" i="32"/>
  <c r="G741" i="32"/>
  <c r="G733" i="32"/>
  <c r="G725" i="32"/>
  <c r="G717" i="32"/>
  <c r="G709" i="32"/>
  <c r="G701" i="32"/>
  <c r="G693" i="32"/>
  <c r="G685" i="32"/>
  <c r="G677" i="32"/>
  <c r="G669" i="32"/>
  <c r="G661" i="32"/>
  <c r="G653" i="32"/>
  <c r="G645" i="32"/>
  <c r="G637" i="32"/>
  <c r="G629" i="32"/>
  <c r="G621" i="32"/>
  <c r="G612" i="32"/>
  <c r="G611" i="32"/>
  <c r="G603" i="32"/>
  <c r="G593" i="32"/>
  <c r="G585" i="32"/>
  <c r="G576" i="32"/>
  <c r="G568" i="32"/>
  <c r="G562" i="32"/>
  <c r="G553" i="32"/>
  <c r="G544" i="32"/>
  <c r="G535" i="32"/>
  <c r="G527" i="32"/>
  <c r="G518" i="32"/>
  <c r="G509" i="32"/>
  <c r="G503" i="32"/>
  <c r="G489" i="32"/>
  <c r="G481" i="32"/>
  <c r="G473" i="32"/>
  <c r="G465" i="32"/>
  <c r="G454" i="32"/>
  <c r="G448" i="32"/>
  <c r="G443" i="32"/>
  <c r="G441" i="32"/>
  <c r="G438" i="32"/>
  <c r="G405" i="30"/>
  <c r="G409" i="30"/>
  <c r="G278" i="30"/>
  <c r="G270" i="30"/>
  <c r="G268" i="30"/>
  <c r="G261" i="30"/>
  <c r="G253" i="30"/>
  <c r="G248" i="30"/>
  <c r="G243" i="30"/>
  <c r="G237" i="30"/>
  <c r="G231" i="30"/>
  <c r="G223" i="30"/>
  <c r="G217" i="30"/>
  <c r="G208" i="30"/>
  <c r="G205" i="30"/>
  <c r="G201" i="30"/>
  <c r="G192" i="30"/>
  <c r="G420" i="32"/>
  <c r="G414" i="32"/>
  <c r="I414" i="32" s="1"/>
  <c r="G414" i="34" s="1"/>
  <c r="I414" i="34" s="1"/>
  <c r="G418" i="36" s="1"/>
  <c r="I418" i="36" s="1"/>
  <c r="G421" i="38" s="1"/>
  <c r="I421" i="38" s="1"/>
  <c r="G425" i="40" s="1"/>
  <c r="I425" i="40" s="1"/>
  <c r="G429" i="3" s="1"/>
  <c r="I429" i="3" s="1"/>
  <c r="G436" i="44" s="1"/>
  <c r="I436" i="44" s="1"/>
  <c r="G435" i="46" s="1"/>
  <c r="I435" i="46" s="1"/>
  <c r="G435" i="48" s="1"/>
  <c r="I435" i="48" s="1"/>
  <c r="G408" i="32"/>
  <c r="G400" i="32"/>
  <c r="G393" i="32"/>
  <c r="G383" i="32"/>
  <c r="G378" i="32"/>
  <c r="G373" i="32"/>
  <c r="G365" i="32"/>
  <c r="G356" i="32"/>
  <c r="G348" i="32"/>
  <c r="G341" i="32"/>
  <c r="G334" i="32"/>
  <c r="G332" i="32"/>
  <c r="G326" i="32"/>
  <c r="G319" i="32"/>
  <c r="G313" i="32"/>
  <c r="G307" i="32"/>
  <c r="G297" i="32"/>
  <c r="G288" i="32"/>
  <c r="G281" i="32"/>
  <c r="G273" i="32"/>
  <c r="G271" i="32"/>
  <c r="G264" i="32"/>
  <c r="G256" i="32"/>
  <c r="G251" i="32"/>
  <c r="G246" i="32"/>
  <c r="G240" i="32"/>
  <c r="G234" i="32"/>
  <c r="G226" i="32"/>
  <c r="G220" i="32"/>
  <c r="G211" i="32"/>
  <c r="G208" i="32"/>
  <c r="G204" i="32"/>
  <c r="G195" i="32"/>
  <c r="G186" i="32"/>
  <c r="G179" i="30"/>
  <c r="J833" i="32"/>
  <c r="H833" i="32"/>
  <c r="H831" i="32"/>
  <c r="K829" i="32"/>
  <c r="F18" i="33" s="1"/>
  <c r="J829" i="32"/>
  <c r="D18" i="33" s="1"/>
  <c r="H829" i="32"/>
  <c r="H18" i="33" s="1"/>
  <c r="H19" i="33" s="1"/>
  <c r="K790" i="32"/>
  <c r="H790" i="32"/>
  <c r="K787" i="32"/>
  <c r="H787" i="32"/>
  <c r="J785" i="32"/>
  <c r="H785" i="32"/>
  <c r="J421" i="32"/>
  <c r="K421" i="32"/>
  <c r="H421" i="32"/>
  <c r="H158" i="32"/>
  <c r="H15" i="37" s="1"/>
  <c r="H21" i="37" s="1"/>
  <c r="K150" i="32"/>
  <c r="J150" i="32"/>
  <c r="H150" i="32"/>
  <c r="H137" i="32"/>
  <c r="K126" i="32"/>
  <c r="J126" i="32"/>
  <c r="H101" i="32"/>
  <c r="H74" i="32"/>
  <c r="K61" i="32"/>
  <c r="J61" i="32"/>
  <c r="H61" i="32"/>
  <c r="F4" i="33" l="1"/>
  <c r="H10" i="33"/>
  <c r="H13" i="33"/>
  <c r="D13" i="33"/>
  <c r="D14" i="33"/>
  <c r="H4" i="33"/>
  <c r="H6" i="33"/>
  <c r="F8" i="33"/>
  <c r="F10" i="33"/>
  <c r="D4" i="33"/>
  <c r="H5" i="33"/>
  <c r="D8" i="33"/>
  <c r="H9" i="33"/>
  <c r="D10" i="33"/>
  <c r="H12" i="33"/>
  <c r="H12" i="35"/>
  <c r="F13" i="33"/>
  <c r="H14" i="33"/>
  <c r="H126" i="32"/>
  <c r="H11" i="35" s="1"/>
  <c r="J834" i="32"/>
  <c r="K785" i="32"/>
  <c r="H15" i="33" l="1"/>
  <c r="H15" i="35"/>
  <c r="D21" i="35"/>
  <c r="H7" i="35"/>
  <c r="F21" i="35"/>
  <c r="H7" i="33"/>
  <c r="K834" i="32"/>
  <c r="J836" i="32" s="1"/>
  <c r="F14" i="33"/>
  <c r="H834" i="32"/>
  <c r="H8" i="33"/>
  <c r="H11" i="33" s="1"/>
  <c r="H137" i="29"/>
  <c r="H137" i="28"/>
  <c r="H137" i="1"/>
  <c r="H129" i="30"/>
  <c r="H125" i="29"/>
  <c r="H125" i="1"/>
  <c r="H107" i="30"/>
  <c r="H21" i="35" l="1"/>
  <c r="H22" i="33"/>
  <c r="E23" i="35"/>
  <c r="H38" i="30"/>
  <c r="H15" i="30"/>
  <c r="H95" i="30" l="1"/>
  <c r="H60" i="30" l="1"/>
  <c r="H444" i="30" l="1"/>
  <c r="J61" i="30" l="1"/>
  <c r="I4" i="30"/>
  <c r="G4" i="32" s="1"/>
  <c r="H295" i="28"/>
  <c r="I4" i="32" l="1"/>
  <c r="G4" i="34" s="1"/>
  <c r="C17" i="31"/>
  <c r="J279" i="30"/>
  <c r="H184" i="30"/>
  <c r="H279" i="30"/>
  <c r="K283" i="30"/>
  <c r="H280" i="30"/>
  <c r="J280" i="30"/>
  <c r="H133" i="30"/>
  <c r="H174" i="30"/>
  <c r="K447" i="30"/>
  <c r="J446" i="30"/>
  <c r="K445" i="30"/>
  <c r="K450" i="30"/>
  <c r="K449" i="30"/>
  <c r="K448" i="30"/>
  <c r="H446" i="30"/>
  <c r="J499" i="30"/>
  <c r="K506" i="30"/>
  <c r="K497" i="30"/>
  <c r="H499" i="30"/>
  <c r="H168" i="30"/>
  <c r="H173" i="30"/>
  <c r="K123" i="30"/>
  <c r="J123" i="30"/>
  <c r="K61" i="30"/>
  <c r="I4" i="34" l="1"/>
  <c r="G4" i="36" s="1"/>
  <c r="I4" i="36" s="1"/>
  <c r="G4" i="38" s="1"/>
  <c r="I4" i="38" s="1"/>
  <c r="G4" i="40" s="1"/>
  <c r="F4" i="31"/>
  <c r="F7" i="31"/>
  <c r="D7" i="31"/>
  <c r="H33" i="30"/>
  <c r="H22" i="30"/>
  <c r="H42" i="30" l="1"/>
  <c r="H306" i="30"/>
  <c r="H132" i="30"/>
  <c r="H59" i="30"/>
  <c r="H14" i="30"/>
  <c r="H423" i="30" l="1"/>
  <c r="H428" i="30"/>
  <c r="H417" i="30"/>
  <c r="H420" i="30"/>
  <c r="H419" i="30"/>
  <c r="I171" i="30" l="1"/>
  <c r="G174" i="32" s="1"/>
  <c r="I174" i="32" s="1"/>
  <c r="G174" i="34" s="1"/>
  <c r="I174" i="34" s="1"/>
  <c r="G176" i="36" s="1"/>
  <c r="I176" i="36" s="1"/>
  <c r="G177" i="38" s="1"/>
  <c r="I177" i="38" s="1"/>
  <c r="G177" i="40" s="1"/>
  <c r="I177" i="40" s="1"/>
  <c r="G178" i="3" s="1"/>
  <c r="I178" i="3" s="1"/>
  <c r="G180" i="44" s="1"/>
  <c r="I180" i="44" s="1"/>
  <c r="G180" i="46" s="1"/>
  <c r="I180" i="46" s="1"/>
  <c r="G180" i="48" s="1"/>
  <c r="I180" i="48" s="1"/>
  <c r="J822" i="30"/>
  <c r="H822" i="30"/>
  <c r="H17" i="31" l="1"/>
  <c r="D17" i="31"/>
  <c r="H339" i="30"/>
  <c r="H819" i="30" l="1"/>
  <c r="H820" i="30" s="1"/>
  <c r="H16" i="31" l="1"/>
  <c r="H342" i="30"/>
  <c r="H297" i="30"/>
  <c r="H232" i="30"/>
  <c r="H133" i="1" l="1"/>
  <c r="H122" i="1"/>
  <c r="H101" i="1"/>
  <c r="H112" i="30"/>
  <c r="H140" i="30"/>
  <c r="J147" i="30"/>
  <c r="K147" i="30"/>
  <c r="H139" i="30"/>
  <c r="H127" i="30"/>
  <c r="H141" i="30"/>
  <c r="H130" i="30"/>
  <c r="H108" i="30"/>
  <c r="I116" i="30"/>
  <c r="G118" i="32" s="1"/>
  <c r="I118" i="32" s="1"/>
  <c r="G118" i="34" s="1"/>
  <c r="I118" i="34" s="1"/>
  <c r="G118" i="36" s="1"/>
  <c r="I118" i="36" s="1"/>
  <c r="G118" i="38" s="1"/>
  <c r="I118" i="38" s="1"/>
  <c r="G118" i="40" s="1"/>
  <c r="I118" i="40" s="1"/>
  <c r="G118" i="3" s="1"/>
  <c r="I118" i="3" s="1"/>
  <c r="G118" i="44" s="1"/>
  <c r="I118" i="44" s="1"/>
  <c r="G118" i="46" s="1"/>
  <c r="I118" i="46" s="1"/>
  <c r="G118" i="48" s="1"/>
  <c r="I118" i="48" s="1"/>
  <c r="H109" i="30"/>
  <c r="D9" i="31" l="1"/>
  <c r="F9" i="31"/>
  <c r="H74" i="30"/>
  <c r="H94" i="1" l="1"/>
  <c r="H766" i="28" l="1"/>
  <c r="H117" i="29"/>
  <c r="H155" i="28"/>
  <c r="J411" i="30" l="1"/>
  <c r="D4" i="31"/>
  <c r="H30" i="30"/>
  <c r="H46" i="30"/>
  <c r="D11" i="31" l="1"/>
  <c r="H92" i="30"/>
  <c r="H40" i="30" l="1"/>
  <c r="H61" i="30" l="1"/>
  <c r="H224" i="30"/>
  <c r="I280" i="30"/>
  <c r="G283" i="32" s="1"/>
  <c r="I283" i="32" s="1"/>
  <c r="G283" i="34" s="1"/>
  <c r="I283" i="34" s="1"/>
  <c r="G286" i="36" s="1"/>
  <c r="I286" i="36" s="1"/>
  <c r="G289" i="38" s="1"/>
  <c r="I289" i="38" s="1"/>
  <c r="G291" i="40" s="1"/>
  <c r="I291" i="40" s="1"/>
  <c r="G293" i="3" s="1"/>
  <c r="I293" i="3" s="1"/>
  <c r="G298" i="44" s="1"/>
  <c r="I298" i="44" s="1"/>
  <c r="G298" i="46" s="1"/>
  <c r="I298" i="46" s="1"/>
  <c r="G298" i="48" s="1"/>
  <c r="I298" i="48" s="1"/>
  <c r="H501" i="30"/>
  <c r="I451" i="30"/>
  <c r="G462" i="32" s="1"/>
  <c r="I462" i="32" s="1"/>
  <c r="G462" i="34" s="1"/>
  <c r="I462" i="34" s="1"/>
  <c r="G475" i="36" s="1"/>
  <c r="I475" i="36" s="1"/>
  <c r="G486" i="38" s="1"/>
  <c r="I486" i="38" s="1"/>
  <c r="G490" i="40" s="1"/>
  <c r="I490" i="40" s="1"/>
  <c r="G495" i="3" s="1"/>
  <c r="I495" i="3" s="1"/>
  <c r="G509" i="44" s="1"/>
  <c r="I509" i="44" s="1"/>
  <c r="G511" i="46" s="1"/>
  <c r="I511" i="46" s="1"/>
  <c r="G511" i="48" s="1"/>
  <c r="I511" i="48" s="1"/>
  <c r="H424" i="30"/>
  <c r="H215" i="30"/>
  <c r="H211" i="30"/>
  <c r="H210" i="30"/>
  <c r="H212" i="30"/>
  <c r="K181" i="30"/>
  <c r="K411" i="30" s="1"/>
  <c r="I179" i="30"/>
  <c r="G182" i="32" s="1"/>
  <c r="I182" i="32" s="1"/>
  <c r="G182" i="34" s="1"/>
  <c r="I182" i="34" s="1"/>
  <c r="G185" i="36" s="1"/>
  <c r="I185" i="36" s="1"/>
  <c r="G186" i="38" s="1"/>
  <c r="I186" i="38" s="1"/>
  <c r="G186" i="40" s="1"/>
  <c r="I186" i="40" s="1"/>
  <c r="G187" i="3" s="1"/>
  <c r="I187" i="3" s="1"/>
  <c r="G189" i="44" s="1"/>
  <c r="I189" i="44" s="1"/>
  <c r="G189" i="46" s="1"/>
  <c r="I189" i="46" s="1"/>
  <c r="G189" i="48" s="1"/>
  <c r="I189" i="48" s="1"/>
  <c r="I174" i="30"/>
  <c r="G177" i="32" s="1"/>
  <c r="I177" i="32" s="1"/>
  <c r="G177" i="34" s="1"/>
  <c r="I177" i="34" s="1"/>
  <c r="G179" i="36" s="1"/>
  <c r="I179" i="36" s="1"/>
  <c r="G180" i="38" s="1"/>
  <c r="I180" i="38" s="1"/>
  <c r="G180" i="40" s="1"/>
  <c r="I180" i="40" s="1"/>
  <c r="G181" i="3" s="1"/>
  <c r="I181" i="3" s="1"/>
  <c r="G183" i="44" s="1"/>
  <c r="I183" i="44" s="1"/>
  <c r="G183" i="46" s="1"/>
  <c r="I183" i="46" s="1"/>
  <c r="G183" i="48" s="1"/>
  <c r="I183" i="48" s="1"/>
  <c r="H160" i="30"/>
  <c r="F11" i="31" l="1"/>
  <c r="H4" i="31"/>
  <c r="G821" i="30"/>
  <c r="I821" i="30" s="1"/>
  <c r="G832" i="32" s="1"/>
  <c r="G806" i="30"/>
  <c r="G795" i="30"/>
  <c r="G784" i="30"/>
  <c r="G780" i="30"/>
  <c r="G766" i="30"/>
  <c r="G757" i="30"/>
  <c r="G750" i="30"/>
  <c r="G739" i="30"/>
  <c r="G730" i="30"/>
  <c r="G722" i="30"/>
  <c r="G714" i="30"/>
  <c r="G706" i="30"/>
  <c r="G698" i="30"/>
  <c r="G690" i="30"/>
  <c r="G682" i="30"/>
  <c r="G674" i="30"/>
  <c r="G666" i="30"/>
  <c r="G658" i="30"/>
  <c r="G650" i="30"/>
  <c r="G642" i="30"/>
  <c r="G634" i="30"/>
  <c r="G626" i="30"/>
  <c r="G618" i="30"/>
  <c r="G610" i="30"/>
  <c r="G601" i="30"/>
  <c r="G600" i="30"/>
  <c r="G592" i="30"/>
  <c r="G582" i="30"/>
  <c r="G574" i="30"/>
  <c r="G565" i="30"/>
  <c r="G557" i="30"/>
  <c r="G551" i="30"/>
  <c r="G542" i="30"/>
  <c r="G533" i="30"/>
  <c r="G524" i="30"/>
  <c r="G516" i="30"/>
  <c r="G507" i="30"/>
  <c r="G498" i="30"/>
  <c r="G492" i="30"/>
  <c r="G478" i="30"/>
  <c r="G470" i="30"/>
  <c r="G462" i="30"/>
  <c r="G454" i="30"/>
  <c r="G443" i="30"/>
  <c r="G437" i="30"/>
  <c r="G432" i="30"/>
  <c r="G430" i="30"/>
  <c r="G427" i="30"/>
  <c r="I146" i="30"/>
  <c r="G149" i="32" s="1"/>
  <c r="I149" i="32" s="1"/>
  <c r="G149" i="34" s="1"/>
  <c r="I149" i="34" s="1"/>
  <c r="G150" i="36" s="1"/>
  <c r="I150" i="36" s="1"/>
  <c r="G150" i="38" s="1"/>
  <c r="I150" i="38" s="1"/>
  <c r="G150" i="40" s="1"/>
  <c r="I150" i="40" s="1"/>
  <c r="G150" i="3" s="1"/>
  <c r="I150" i="3" s="1"/>
  <c r="G150" i="44" s="1"/>
  <c r="I150" i="44" s="1"/>
  <c r="C20" i="31"/>
  <c r="E18" i="31"/>
  <c r="G17" i="31"/>
  <c r="I17" i="31" s="1"/>
  <c r="J818" i="30"/>
  <c r="J820" i="30" s="1"/>
  <c r="K818" i="30"/>
  <c r="H818" i="30"/>
  <c r="K779" i="30"/>
  <c r="H779" i="30"/>
  <c r="K776" i="30"/>
  <c r="H776" i="30"/>
  <c r="J774" i="30"/>
  <c r="H411" i="30"/>
  <c r="H155" i="30"/>
  <c r="H147" i="30"/>
  <c r="H134" i="30"/>
  <c r="H123" i="30"/>
  <c r="H101" i="30"/>
  <c r="G150" i="46" l="1"/>
  <c r="I150" i="46" s="1"/>
  <c r="I150" i="48"/>
  <c r="I832" i="32"/>
  <c r="G832" i="34" s="1"/>
  <c r="G833" i="32"/>
  <c r="H7" i="31"/>
  <c r="H9" i="31"/>
  <c r="H11" i="31"/>
  <c r="H15" i="31"/>
  <c r="H6" i="31"/>
  <c r="H8" i="31"/>
  <c r="H10" i="31"/>
  <c r="D12" i="31"/>
  <c r="D22" i="33"/>
  <c r="D16" i="31"/>
  <c r="D18" i="31" s="1"/>
  <c r="J823" i="30"/>
  <c r="H774" i="30"/>
  <c r="K774" i="30"/>
  <c r="F22" i="33" s="1"/>
  <c r="H16" i="8"/>
  <c r="J60" i="29"/>
  <c r="D4" i="8" s="1"/>
  <c r="C20" i="35" l="1"/>
  <c r="G20" i="35" s="1"/>
  <c r="I20" i="35" s="1"/>
  <c r="C21" i="33"/>
  <c r="G21" i="33" s="1"/>
  <c r="I21" i="33" s="1"/>
  <c r="G833" i="34"/>
  <c r="I832" i="34"/>
  <c r="G845" i="36" s="1"/>
  <c r="E24" i="33"/>
  <c r="K823" i="30"/>
  <c r="J825" i="30" s="1"/>
  <c r="F12" i="31"/>
  <c r="H823" i="30"/>
  <c r="H12" i="31"/>
  <c r="H59" i="29"/>
  <c r="H59" i="28"/>
  <c r="H58" i="29"/>
  <c r="H58" i="28"/>
  <c r="H58" i="1"/>
  <c r="H14" i="29"/>
  <c r="H14" i="28"/>
  <c r="H13" i="28"/>
  <c r="H13" i="1"/>
  <c r="H802" i="29"/>
  <c r="I845" i="36" l="1"/>
  <c r="G857" i="38" s="1"/>
  <c r="I857" i="38" s="1"/>
  <c r="G866" i="40" s="1"/>
  <c r="G846" i="36"/>
  <c r="K767" i="29"/>
  <c r="F13" i="8" s="1"/>
  <c r="K768" i="29"/>
  <c r="K770" i="29" s="1"/>
  <c r="F14" i="8" s="1"/>
  <c r="K764" i="29"/>
  <c r="G867" i="40" l="1"/>
  <c r="C20" i="42" s="1"/>
  <c r="I866" i="40"/>
  <c r="C20" i="37"/>
  <c r="G20" i="37" s="1"/>
  <c r="I20" i="37" s="1"/>
  <c r="J177" i="29"/>
  <c r="J183" i="29"/>
  <c r="J182" i="29"/>
  <c r="J180" i="29"/>
  <c r="J179" i="29"/>
  <c r="J174" i="29"/>
  <c r="J171" i="29"/>
  <c r="G900" i="46" l="1"/>
  <c r="G900" i="48"/>
  <c r="G901" i="46"/>
  <c r="I900" i="46"/>
  <c r="G873" i="3"/>
  <c r="I873" i="3" s="1"/>
  <c r="G898" i="44"/>
  <c r="J409" i="29"/>
  <c r="J412" i="29"/>
  <c r="K804" i="29"/>
  <c r="K807" i="29"/>
  <c r="K805" i="29"/>
  <c r="K803" i="29"/>
  <c r="K801" i="29"/>
  <c r="K799" i="29"/>
  <c r="J806" i="29"/>
  <c r="J802" i="29"/>
  <c r="G901" i="48" l="1"/>
  <c r="I900" i="48"/>
  <c r="G874" i="3"/>
  <c r="C20" i="47" s="1"/>
  <c r="G20" i="47" s="1"/>
  <c r="I20" i="47" s="1"/>
  <c r="C20" i="45"/>
  <c r="G20" i="45" s="1"/>
  <c r="I20" i="45" s="1"/>
  <c r="C20" i="43"/>
  <c r="G899" i="44"/>
  <c r="I898" i="44"/>
  <c r="J809" i="29"/>
  <c r="D15" i="8" s="1"/>
  <c r="K809" i="29"/>
  <c r="F15" i="8" s="1"/>
  <c r="H772" i="29"/>
  <c r="I806" i="29"/>
  <c r="G815" i="30" s="1"/>
  <c r="I815" i="30" s="1"/>
  <c r="G826" i="32" s="1"/>
  <c r="I826" i="32" s="1"/>
  <c r="G826" i="34" s="1"/>
  <c r="I826" i="34" s="1"/>
  <c r="G839" i="36" s="1"/>
  <c r="I839" i="36" s="1"/>
  <c r="G851" i="38" s="1"/>
  <c r="I851" i="38" s="1"/>
  <c r="G860" i="40" s="1"/>
  <c r="I860" i="40" s="1"/>
  <c r="G867" i="3" s="1"/>
  <c r="I867" i="3" s="1"/>
  <c r="G892" i="44" s="1"/>
  <c r="I892" i="44" s="1"/>
  <c r="H801" i="29"/>
  <c r="H803" i="29"/>
  <c r="H798" i="29"/>
  <c r="H787" i="29"/>
  <c r="H796" i="29"/>
  <c r="H785" i="29"/>
  <c r="H779" i="29"/>
  <c r="H780" i="29"/>
  <c r="H776" i="29"/>
  <c r="H732" i="29"/>
  <c r="H736" i="29"/>
  <c r="H739" i="29"/>
  <c r="H737" i="29"/>
  <c r="J758" i="29"/>
  <c r="K763" i="29"/>
  <c r="K762" i="29"/>
  <c r="K761" i="29"/>
  <c r="K760" i="29"/>
  <c r="K759" i="29"/>
  <c r="H758" i="29"/>
  <c r="H759" i="29"/>
  <c r="H490" i="29"/>
  <c r="H492" i="29"/>
  <c r="J486" i="29"/>
  <c r="K475" i="29"/>
  <c r="K474" i="29"/>
  <c r="K473" i="29"/>
  <c r="K471" i="29"/>
  <c r="K470" i="29"/>
  <c r="K480" i="29"/>
  <c r="K487" i="29"/>
  <c r="K485" i="29"/>
  <c r="K484" i="29"/>
  <c r="H486" i="29"/>
  <c r="J480" i="29"/>
  <c r="K476" i="29"/>
  <c r="J472" i="29"/>
  <c r="K482" i="29"/>
  <c r="G894" i="46" l="1"/>
  <c r="I894" i="46" s="1"/>
  <c r="G894" i="48"/>
  <c r="I894" i="48" s="1"/>
  <c r="K765" i="29"/>
  <c r="F12" i="8" s="1"/>
  <c r="H482" i="29"/>
  <c r="H480" i="29"/>
  <c r="H476" i="29"/>
  <c r="H472" i="29"/>
  <c r="H460" i="29"/>
  <c r="H452" i="29"/>
  <c r="H448" i="29"/>
  <c r="J448" i="29"/>
  <c r="H447" i="29"/>
  <c r="H444" i="29"/>
  <c r="H439" i="29"/>
  <c r="H438" i="29"/>
  <c r="H442" i="29"/>
  <c r="H436" i="29"/>
  <c r="H433" i="29"/>
  <c r="H432" i="29"/>
  <c r="H282" i="29"/>
  <c r="H350" i="29"/>
  <c r="H420" i="29"/>
  <c r="H417" i="29"/>
  <c r="H416" i="29"/>
  <c r="H414" i="29"/>
  <c r="H411" i="29"/>
  <c r="H409" i="29"/>
  <c r="H410" i="29"/>
  <c r="H357" i="29"/>
  <c r="H331" i="29"/>
  <c r="H334" i="29"/>
  <c r="H333" i="29"/>
  <c r="H332" i="29"/>
  <c r="H306" i="29"/>
  <c r="H304" i="29"/>
  <c r="H303" i="29"/>
  <c r="H298" i="29"/>
  <c r="H289" i="29"/>
  <c r="H290" i="29"/>
  <c r="H284" i="29"/>
  <c r="H281" i="29"/>
  <c r="H272" i="29"/>
  <c r="H267" i="29"/>
  <c r="H237" i="29"/>
  <c r="I226" i="29"/>
  <c r="H225" i="29"/>
  <c r="H220" i="29"/>
  <c r="H217" i="29"/>
  <c r="H214" i="29"/>
  <c r="H203" i="29"/>
  <c r="H207" i="29"/>
  <c r="H204" i="29"/>
  <c r="H208" i="29"/>
  <c r="H205" i="29"/>
  <c r="H177" i="29"/>
  <c r="H168" i="29"/>
  <c r="H165" i="29"/>
  <c r="I166" i="29"/>
  <c r="J165" i="29"/>
  <c r="J403" i="29" s="1"/>
  <c r="D11" i="8" s="1"/>
  <c r="H159" i="29"/>
  <c r="H155" i="29"/>
  <c r="H157" i="29"/>
  <c r="H149" i="29"/>
  <c r="H151" i="29"/>
  <c r="H133" i="29"/>
  <c r="H122" i="29"/>
  <c r="H101" i="29"/>
  <c r="H103" i="29"/>
  <c r="H111" i="29"/>
  <c r="H104" i="29"/>
  <c r="H113" i="29"/>
  <c r="H126" i="29"/>
  <c r="H138" i="29"/>
  <c r="H139" i="29"/>
  <c r="H128" i="29"/>
  <c r="H107" i="29"/>
  <c r="H116" i="29"/>
  <c r="H127" i="29"/>
  <c r="H106" i="29"/>
  <c r="H84" i="29"/>
  <c r="H20" i="29"/>
  <c r="H94" i="29"/>
  <c r="H41" i="29"/>
  <c r="H13" i="29"/>
  <c r="H34" i="29"/>
  <c r="H37" i="29"/>
  <c r="H91" i="29"/>
  <c r="H32" i="29"/>
  <c r="H15" i="29"/>
  <c r="H29" i="29"/>
  <c r="H49" i="29"/>
  <c r="G233" i="30" l="1"/>
  <c r="I233" i="30" s="1"/>
  <c r="G236" i="32" s="1"/>
  <c r="I236" i="32" s="1"/>
  <c r="G236" i="34" s="1"/>
  <c r="I236" i="34" s="1"/>
  <c r="G239" i="36" s="1"/>
  <c r="I239" i="36" s="1"/>
  <c r="G241" i="38" s="1"/>
  <c r="I241" i="38" s="1"/>
  <c r="G243" i="40" s="1"/>
  <c r="I243" i="40" s="1"/>
  <c r="G244" i="3" s="1"/>
  <c r="I244" i="3" s="1"/>
  <c r="G249" i="44" s="1"/>
  <c r="I249" i="44" s="1"/>
  <c r="G249" i="46" s="1"/>
  <c r="I249" i="46" s="1"/>
  <c r="G249" i="48" s="1"/>
  <c r="I249" i="48" s="1"/>
  <c r="G169" i="30"/>
  <c r="I169" i="30" s="1"/>
  <c r="G172" i="32" s="1"/>
  <c r="I172" i="32" s="1"/>
  <c r="G172" i="34" s="1"/>
  <c r="I172" i="34" s="1"/>
  <c r="G173" i="36" s="1"/>
  <c r="I173" i="36" s="1"/>
  <c r="G173" i="38" s="1"/>
  <c r="I173" i="38" s="1"/>
  <c r="G173" i="40" s="1"/>
  <c r="I173" i="40" s="1"/>
  <c r="G173" i="3" s="1"/>
  <c r="I173" i="3" s="1"/>
  <c r="G175" i="44" s="1"/>
  <c r="I175" i="44" s="1"/>
  <c r="G175" i="46" s="1"/>
  <c r="I175" i="46" s="1"/>
  <c r="G175" i="48" s="1"/>
  <c r="I175" i="48" s="1"/>
  <c r="J765" i="29"/>
  <c r="D12" i="8" s="1"/>
  <c r="H45" i="29"/>
  <c r="H39" i="29"/>
  <c r="H90" i="29"/>
  <c r="H100" i="29" s="1"/>
  <c r="H6" i="8" s="1"/>
  <c r="G811" i="29"/>
  <c r="G797" i="29"/>
  <c r="G786" i="29"/>
  <c r="G775" i="29"/>
  <c r="G771" i="29"/>
  <c r="G757" i="29"/>
  <c r="G748" i="29"/>
  <c r="G741" i="29"/>
  <c r="G730" i="29"/>
  <c r="G721" i="29"/>
  <c r="G713" i="29"/>
  <c r="G705" i="29"/>
  <c r="G697" i="29"/>
  <c r="G689" i="29"/>
  <c r="G681" i="29"/>
  <c r="G673" i="29"/>
  <c r="G665" i="29"/>
  <c r="G657" i="29"/>
  <c r="G649" i="29"/>
  <c r="G641" i="29"/>
  <c r="G633" i="29"/>
  <c r="G625" i="29"/>
  <c r="G617" i="29"/>
  <c r="G609" i="29"/>
  <c r="G601" i="29"/>
  <c r="G592" i="29"/>
  <c r="G591" i="29"/>
  <c r="G583" i="29"/>
  <c r="G573" i="29"/>
  <c r="G565" i="29"/>
  <c r="G556" i="29"/>
  <c r="G548" i="29"/>
  <c r="G542" i="29"/>
  <c r="G533" i="29"/>
  <c r="G524" i="29"/>
  <c r="G515" i="29"/>
  <c r="G507" i="29"/>
  <c r="G498" i="29"/>
  <c r="G489" i="29"/>
  <c r="G483" i="29"/>
  <c r="G477" i="29"/>
  <c r="G469" i="29"/>
  <c r="G461" i="29"/>
  <c r="G453" i="29"/>
  <c r="G445" i="29"/>
  <c r="G435" i="29"/>
  <c r="G429" i="29"/>
  <c r="G424" i="29"/>
  <c r="G422" i="29"/>
  <c r="G419" i="29"/>
  <c r="G402" i="29"/>
  <c r="G401" i="29"/>
  <c r="G397" i="29"/>
  <c r="G389" i="29"/>
  <c r="G382" i="29"/>
  <c r="G372" i="29"/>
  <c r="G367" i="29"/>
  <c r="G362" i="29"/>
  <c r="G354" i="29"/>
  <c r="G345" i="29"/>
  <c r="G337" i="29"/>
  <c r="G330" i="29"/>
  <c r="G323" i="29"/>
  <c r="G321" i="29"/>
  <c r="G315" i="29"/>
  <c r="G308" i="29"/>
  <c r="G302" i="29"/>
  <c r="G296" i="29"/>
  <c r="G286" i="29"/>
  <c r="G277" i="29"/>
  <c r="G271" i="29"/>
  <c r="G263" i="29"/>
  <c r="G261" i="29"/>
  <c r="G254" i="29"/>
  <c r="G246" i="29"/>
  <c r="G241" i="29"/>
  <c r="G236" i="29"/>
  <c r="G230" i="29"/>
  <c r="G224" i="29"/>
  <c r="G216" i="29"/>
  <c r="G210" i="29"/>
  <c r="G201" i="29"/>
  <c r="G198" i="29"/>
  <c r="G194" i="29"/>
  <c r="G185" i="29"/>
  <c r="G176" i="29"/>
  <c r="J812" i="29"/>
  <c r="H770" i="29"/>
  <c r="H767" i="29"/>
  <c r="H16" i="45" s="1"/>
  <c r="K403" i="29"/>
  <c r="F18" i="31" s="1"/>
  <c r="E20" i="31" s="1"/>
  <c r="H152" i="29"/>
  <c r="H10" i="8" s="1"/>
  <c r="H144" i="29"/>
  <c r="H9" i="8" s="1"/>
  <c r="H132" i="29"/>
  <c r="H8" i="8" s="1"/>
  <c r="H73" i="29"/>
  <c r="H16" i="43" l="1"/>
  <c r="H16" i="42"/>
  <c r="H16" i="37"/>
  <c r="H16" i="39"/>
  <c r="H16" i="33"/>
  <c r="H16" i="35"/>
  <c r="H5" i="8"/>
  <c r="H5" i="31"/>
  <c r="H13" i="8"/>
  <c r="H13" i="31"/>
  <c r="H14" i="8"/>
  <c r="K813" i="29"/>
  <c r="F11" i="8"/>
  <c r="H60" i="29"/>
  <c r="H4" i="8" s="1"/>
  <c r="H121" i="29"/>
  <c r="H403" i="29"/>
  <c r="H11" i="8" s="1"/>
  <c r="J813" i="29"/>
  <c r="H809" i="29"/>
  <c r="H15" i="8" s="1"/>
  <c r="H765" i="29"/>
  <c r="H12" i="8" s="1"/>
  <c r="H7" i="8" l="1"/>
  <c r="J815" i="29"/>
  <c r="H813" i="29"/>
  <c r="J400" i="28"/>
  <c r="D11" i="5" s="1"/>
  <c r="K400" i="28"/>
  <c r="F11" i="5" s="1"/>
  <c r="J805" i="28"/>
  <c r="D15" i="5" s="1"/>
  <c r="K805" i="28"/>
  <c r="F15" i="5" s="1"/>
  <c r="J762" i="28"/>
  <c r="D12" i="5" s="1"/>
  <c r="K762" i="28"/>
  <c r="F12" i="5" s="1"/>
  <c r="J808" i="28"/>
  <c r="H18" i="31" l="1"/>
  <c r="H443" i="28"/>
  <c r="H767" i="1" l="1"/>
  <c r="H450" i="1" l="1"/>
  <c r="H16" i="5" l="1"/>
  <c r="D16" i="5"/>
  <c r="D17" i="5" s="1"/>
  <c r="I806" i="28"/>
  <c r="I16" i="5" l="1"/>
  <c r="G810" i="29"/>
  <c r="I810" i="29" s="1"/>
  <c r="I808" i="28"/>
  <c r="G812" i="29" s="1"/>
  <c r="C16" i="8" s="1"/>
  <c r="H769" i="28"/>
  <c r="H735" i="28"/>
  <c r="H737" i="28"/>
  <c r="H728" i="28"/>
  <c r="H734" i="28"/>
  <c r="H733" i="28"/>
  <c r="H732" i="28"/>
  <c r="H413" i="28"/>
  <c r="H415" i="28"/>
  <c r="H412" i="28"/>
  <c r="H410" i="28"/>
  <c r="H407" i="28"/>
  <c r="H418" i="28"/>
  <c r="H417" i="28"/>
  <c r="H333" i="28"/>
  <c r="H328" i="28"/>
  <c r="H277" i="28"/>
  <c r="H276" i="28"/>
  <c r="H271" i="28"/>
  <c r="H267" i="28"/>
  <c r="H261" i="28"/>
  <c r="I812" i="29" l="1"/>
  <c r="G820" i="30"/>
  <c r="G819" i="30"/>
  <c r="I819" i="30" s="1"/>
  <c r="G843" i="36" s="1"/>
  <c r="I843" i="36" s="1"/>
  <c r="H297" i="28"/>
  <c r="I844" i="36" l="1"/>
  <c r="G855" i="38"/>
  <c r="G830" i="32"/>
  <c r="I830" i="32" s="1"/>
  <c r="I831" i="32" s="1"/>
  <c r="I833" i="32" s="1"/>
  <c r="G830" i="34"/>
  <c r="I830" i="34" s="1"/>
  <c r="I831" i="34" s="1"/>
  <c r="I833" i="34" s="1"/>
  <c r="C16" i="31"/>
  <c r="G16" i="31" s="1"/>
  <c r="I16" i="31" s="1"/>
  <c r="G20" i="33"/>
  <c r="I20" i="33" s="1"/>
  <c r="I820" i="30"/>
  <c r="I822" i="30" s="1"/>
  <c r="H358" i="28"/>
  <c r="H241" i="28"/>
  <c r="H236" i="28"/>
  <c r="H234" i="28"/>
  <c r="H225" i="28"/>
  <c r="H220" i="28"/>
  <c r="H215" i="28"/>
  <c r="H218" i="28"/>
  <c r="H211" i="28"/>
  <c r="H206" i="28"/>
  <c r="H203" i="28"/>
  <c r="H207" i="28"/>
  <c r="H156" i="28"/>
  <c r="H797" i="28"/>
  <c r="H799" i="28"/>
  <c r="H798" i="28"/>
  <c r="H800" i="28"/>
  <c r="H795" i="28"/>
  <c r="H788" i="28"/>
  <c r="H784" i="28"/>
  <c r="H778" i="28"/>
  <c r="H777" i="28"/>
  <c r="H775" i="28"/>
  <c r="H776" i="28"/>
  <c r="H773" i="28"/>
  <c r="I855" i="38" l="1"/>
  <c r="I856" i="38" s="1"/>
  <c r="I858" i="38" s="1"/>
  <c r="G864" i="40"/>
  <c r="I846" i="36"/>
  <c r="G858" i="38" s="1"/>
  <c r="G856" i="38"/>
  <c r="H756" i="28"/>
  <c r="I756" i="28" s="1"/>
  <c r="G759" i="29" s="1"/>
  <c r="I759" i="29" s="1"/>
  <c r="G768" i="30" s="1"/>
  <c r="I768" i="30" s="1"/>
  <c r="G779" i="32" s="1"/>
  <c r="I779" i="32" s="1"/>
  <c r="G779" i="34" s="1"/>
  <c r="I779" i="34" s="1"/>
  <c r="G792" i="36" s="1"/>
  <c r="I792" i="36" s="1"/>
  <c r="G804" i="38" s="1"/>
  <c r="I804" i="38" s="1"/>
  <c r="G809" i="40" s="1"/>
  <c r="I809" i="40" s="1"/>
  <c r="G816" i="3" s="1"/>
  <c r="I816" i="3" s="1"/>
  <c r="G839" i="44" s="1"/>
  <c r="I839" i="44" s="1"/>
  <c r="G841" i="46" s="1"/>
  <c r="I841" i="46" s="1"/>
  <c r="G841" i="48" s="1"/>
  <c r="I841" i="48" s="1"/>
  <c r="H755" i="28"/>
  <c r="H487" i="28"/>
  <c r="H489" i="28"/>
  <c r="H488" i="28"/>
  <c r="H491" i="28"/>
  <c r="H483" i="28"/>
  <c r="H481" i="28"/>
  <c r="H477" i="28"/>
  <c r="H452" i="28"/>
  <c r="H453" i="28"/>
  <c r="H451" i="28"/>
  <c r="H445" i="28"/>
  <c r="H434" i="28"/>
  <c r="H437" i="28"/>
  <c r="H435" i="28"/>
  <c r="H433" i="28"/>
  <c r="H423" i="28"/>
  <c r="H186" i="28"/>
  <c r="H133" i="28"/>
  <c r="H122" i="28"/>
  <c r="H101" i="28"/>
  <c r="H103" i="28"/>
  <c r="H125" i="28"/>
  <c r="H138" i="28"/>
  <c r="H111" i="28"/>
  <c r="H104" i="28"/>
  <c r="H139" i="28"/>
  <c r="H128" i="28"/>
  <c r="H107" i="28"/>
  <c r="H127" i="28"/>
  <c r="H106" i="28"/>
  <c r="H131" i="28"/>
  <c r="H113" i="28"/>
  <c r="H11" i="28"/>
  <c r="H32" i="28"/>
  <c r="H37" i="28"/>
  <c r="H94" i="28"/>
  <c r="H45" i="28"/>
  <c r="H39" i="28"/>
  <c r="H89" i="28"/>
  <c r="C20" i="39" l="1"/>
  <c r="G20" i="39" s="1"/>
  <c r="I20" i="39" s="1"/>
  <c r="G20" i="43"/>
  <c r="I20" i="43" s="1"/>
  <c r="G20" i="42"/>
  <c r="I20" i="42" s="1"/>
  <c r="G865" i="40"/>
  <c r="I864" i="40"/>
  <c r="G898" i="48" s="1"/>
  <c r="H95" i="28"/>
  <c r="H100" i="28" s="1"/>
  <c r="H6" i="5" s="1"/>
  <c r="H42" i="28"/>
  <c r="H60" i="28" s="1"/>
  <c r="G754" i="28"/>
  <c r="G745" i="28"/>
  <c r="G738" i="28"/>
  <c r="G727" i="28"/>
  <c r="G718" i="28"/>
  <c r="G710" i="28"/>
  <c r="G702" i="28"/>
  <c r="G694" i="28"/>
  <c r="G686" i="28"/>
  <c r="G678" i="28"/>
  <c r="G670" i="28"/>
  <c r="G662" i="28"/>
  <c r="G654" i="28"/>
  <c r="G646" i="28"/>
  <c r="G614" i="28"/>
  <c r="G588" i="28"/>
  <c r="G562" i="28"/>
  <c r="G545" i="28"/>
  <c r="G539" i="28"/>
  <c r="G495" i="28"/>
  <c r="G486" i="28"/>
  <c r="G480" i="28"/>
  <c r="G474" i="28"/>
  <c r="G466" i="28"/>
  <c r="G458" i="28"/>
  <c r="G450" i="28"/>
  <c r="G442" i="28"/>
  <c r="G432" i="28"/>
  <c r="G426" i="28"/>
  <c r="G421" i="28"/>
  <c r="G419" i="28"/>
  <c r="G399" i="28"/>
  <c r="G398" i="28"/>
  <c r="G394" i="28"/>
  <c r="G386" i="28"/>
  <c r="G379" i="28"/>
  <c r="G364" i="28"/>
  <c r="G342" i="28"/>
  <c r="G334" i="28"/>
  <c r="G327" i="28"/>
  <c r="G320" i="28"/>
  <c r="G318" i="28"/>
  <c r="G312" i="28"/>
  <c r="G305" i="28"/>
  <c r="G299" i="28"/>
  <c r="G274" i="28"/>
  <c r="G268" i="28"/>
  <c r="G251" i="28"/>
  <c r="G243" i="28"/>
  <c r="G238" i="28"/>
  <c r="G233" i="28"/>
  <c r="G227" i="28"/>
  <c r="G222" i="28"/>
  <c r="G196" i="28"/>
  <c r="G192" i="28"/>
  <c r="G183" i="28"/>
  <c r="G174" i="28"/>
  <c r="K809" i="28"/>
  <c r="H805" i="28"/>
  <c r="H15" i="5" s="1"/>
  <c r="H767" i="28"/>
  <c r="H14" i="5" s="1"/>
  <c r="H764" i="28"/>
  <c r="H13" i="5" s="1"/>
  <c r="H762" i="28"/>
  <c r="H12" i="5" s="1"/>
  <c r="H400" i="28"/>
  <c r="H11" i="5" s="1"/>
  <c r="H152" i="28"/>
  <c r="H10" i="5" s="1"/>
  <c r="H144" i="28"/>
  <c r="H9" i="5" s="1"/>
  <c r="H73" i="28"/>
  <c r="H5" i="5" s="1"/>
  <c r="G899" i="48" l="1"/>
  <c r="I898" i="48"/>
  <c r="G896" i="44"/>
  <c r="I896" i="44" s="1"/>
  <c r="G898" i="46"/>
  <c r="I865" i="40"/>
  <c r="I867" i="40" s="1"/>
  <c r="G871" i="3"/>
  <c r="H4" i="5"/>
  <c r="H121" i="28"/>
  <c r="H132" i="28"/>
  <c r="H8" i="5" s="1"/>
  <c r="I134" i="1"/>
  <c r="G134" i="28" s="1"/>
  <c r="I134" i="28" s="1"/>
  <c r="G134" i="29" s="1"/>
  <c r="I134" i="29" s="1"/>
  <c r="G136" i="30" s="1"/>
  <c r="I136" i="30" s="1"/>
  <c r="G139" i="32" s="1"/>
  <c r="I139" i="32" s="1"/>
  <c r="G139" i="34" s="1"/>
  <c r="I139" i="34" s="1"/>
  <c r="G140" i="36" s="1"/>
  <c r="I140" i="36" s="1"/>
  <c r="G140" i="38" s="1"/>
  <c r="I140" i="38" s="1"/>
  <c r="G140" i="40" s="1"/>
  <c r="I140" i="40" s="1"/>
  <c r="G140" i="3" s="1"/>
  <c r="I140" i="3" s="1"/>
  <c r="G140" i="44" s="1"/>
  <c r="I140" i="44" s="1"/>
  <c r="G140" i="46" l="1"/>
  <c r="I140" i="46" s="1"/>
  <c r="I140" i="48"/>
  <c r="I899" i="48"/>
  <c r="I901" i="48"/>
  <c r="G897" i="44"/>
  <c r="G899" i="46"/>
  <c r="I898" i="46"/>
  <c r="I899" i="46" s="1"/>
  <c r="I901" i="46" s="1"/>
  <c r="I897" i="44"/>
  <c r="I899" i="44" s="1"/>
  <c r="G872" i="3"/>
  <c r="I871" i="3"/>
  <c r="I872" i="3" s="1"/>
  <c r="I874" i="3" s="1"/>
  <c r="H7" i="5"/>
  <c r="H809" i="28"/>
  <c r="H765" i="1"/>
  <c r="G765" i="1"/>
  <c r="H762" i="1"/>
  <c r="I759" i="1"/>
  <c r="G761" i="28" s="1"/>
  <c r="I761" i="28" s="1"/>
  <c r="G764" i="29" s="1"/>
  <c r="I764" i="29" s="1"/>
  <c r="G773" i="30" s="1"/>
  <c r="I773" i="30" s="1"/>
  <c r="G784" i="32" s="1"/>
  <c r="I784" i="32" s="1"/>
  <c r="G784" i="34" s="1"/>
  <c r="I784" i="34" s="1"/>
  <c r="G797" i="36" s="1"/>
  <c r="I797" i="36" s="1"/>
  <c r="G809" i="38" s="1"/>
  <c r="I809" i="38" s="1"/>
  <c r="G817" i="40" s="1"/>
  <c r="I817" i="40" s="1"/>
  <c r="G762" i="1"/>
  <c r="H14" i="2"/>
  <c r="C14" i="2"/>
  <c r="C13" i="2"/>
  <c r="H803" i="1"/>
  <c r="H410" i="1"/>
  <c r="H417" i="1"/>
  <c r="H267" i="1"/>
  <c r="H273" i="1"/>
  <c r="H358" i="1"/>
  <c r="H297" i="1"/>
  <c r="H207" i="1"/>
  <c r="H220" i="1"/>
  <c r="H155" i="1"/>
  <c r="H758" i="1"/>
  <c r="H432" i="1"/>
  <c r="H430" i="1"/>
  <c r="H421" i="1"/>
  <c r="H422" i="1"/>
  <c r="H482" i="1"/>
  <c r="H481" i="1"/>
  <c r="H480" i="1"/>
  <c r="H474" i="1"/>
  <c r="H476" i="1"/>
  <c r="H475" i="1"/>
  <c r="H469" i="1"/>
  <c r="H468" i="1"/>
  <c r="H486" i="1"/>
  <c r="H444" i="1"/>
  <c r="H443" i="1"/>
  <c r="H442" i="1"/>
  <c r="H452" i="1"/>
  <c r="H451" i="1"/>
  <c r="H186" i="1"/>
  <c r="H190" i="1"/>
  <c r="H184" i="1"/>
  <c r="H191" i="1"/>
  <c r="H103" i="1"/>
  <c r="I825" i="3" l="1"/>
  <c r="G824" i="3"/>
  <c r="I824" i="3" s="1"/>
  <c r="G800" i="44" s="1"/>
  <c r="I800" i="44" s="1"/>
  <c r="G802" i="46" s="1"/>
  <c r="I802" i="46" s="1"/>
  <c r="G802" i="48" s="1"/>
  <c r="I802" i="48" s="1"/>
  <c r="I765" i="1"/>
  <c r="H400" i="1"/>
  <c r="H760" i="1"/>
  <c r="I762" i="1"/>
  <c r="H13" i="2"/>
  <c r="H138" i="1"/>
  <c r="H112" i="1"/>
  <c r="H105" i="1"/>
  <c r="H130" i="1"/>
  <c r="H39" i="1" l="1"/>
  <c r="H14" i="1"/>
  <c r="H95" i="1"/>
  <c r="H41" i="1"/>
  <c r="H59" i="1"/>
  <c r="H89" i="1"/>
  <c r="H93" i="1"/>
  <c r="H68" i="1"/>
  <c r="H21" i="1"/>
  <c r="H37" i="1"/>
  <c r="H92" i="1"/>
  <c r="H42" i="1"/>
  <c r="H91" i="1"/>
  <c r="H34" i="1"/>
  <c r="H53" i="1"/>
  <c r="K804" i="1"/>
  <c r="J804" i="1"/>
  <c r="I410" i="1"/>
  <c r="G410" i="28" s="1"/>
  <c r="I410" i="28" s="1"/>
  <c r="G413" i="29" s="1"/>
  <c r="I413" i="29" s="1"/>
  <c r="G421" i="30" s="1"/>
  <c r="I421" i="30" s="1"/>
  <c r="G432" i="32" s="1"/>
  <c r="I432" i="32" s="1"/>
  <c r="G432" i="34" s="1"/>
  <c r="I432" i="34" s="1"/>
  <c r="G445" i="36" s="1"/>
  <c r="I445" i="36" s="1"/>
  <c r="G456" i="38" s="1"/>
  <c r="I456" i="38" s="1"/>
  <c r="G460" i="40" s="1"/>
  <c r="I460" i="40" s="1"/>
  <c r="G465" i="3" s="1"/>
  <c r="I465" i="3" s="1"/>
  <c r="G479" i="44" s="1"/>
  <c r="I479" i="44" s="1"/>
  <c r="G481" i="46" s="1"/>
  <c r="I481" i="46" s="1"/>
  <c r="G481" i="48" s="1"/>
  <c r="I481" i="48" s="1"/>
  <c r="I719" i="1"/>
  <c r="G720" i="28" s="1"/>
  <c r="I720" i="28" s="1"/>
  <c r="G723" i="29" s="1"/>
  <c r="I723" i="29" s="1"/>
  <c r="G732" i="30" s="1"/>
  <c r="I732" i="30" s="1"/>
  <c r="G743" i="32" s="1"/>
  <c r="I743" i="32" s="1"/>
  <c r="G743" i="34" s="1"/>
  <c r="I743" i="34" s="1"/>
  <c r="G756" i="36" s="1"/>
  <c r="I756" i="36" s="1"/>
  <c r="G767" i="38" s="1"/>
  <c r="I767" i="38" s="1"/>
  <c r="G771" i="40" s="1"/>
  <c r="I771" i="40" s="1"/>
  <c r="G776" i="3" s="1"/>
  <c r="I776" i="3" s="1"/>
  <c r="G790" i="44" s="1"/>
  <c r="I790" i="44" s="1"/>
  <c r="G792" i="46" s="1"/>
  <c r="I792" i="46" s="1"/>
  <c r="G792" i="48" s="1"/>
  <c r="I792" i="48" s="1"/>
  <c r="I459" i="1"/>
  <c r="G460" i="28" s="1"/>
  <c r="I460" i="28" s="1"/>
  <c r="G463" i="29" s="1"/>
  <c r="I463" i="29" s="1"/>
  <c r="G472" i="30" s="1"/>
  <c r="I472" i="30" s="1"/>
  <c r="G483" i="32" s="1"/>
  <c r="I483" i="32" s="1"/>
  <c r="G483" i="34" s="1"/>
  <c r="I483" i="34" s="1"/>
  <c r="G496" i="36" s="1"/>
  <c r="I496" i="36" s="1"/>
  <c r="G507" i="38" s="1"/>
  <c r="I507" i="38" s="1"/>
  <c r="G511" i="40" s="1"/>
  <c r="I511" i="40" s="1"/>
  <c r="G516" i="3" s="1"/>
  <c r="I516" i="3" s="1"/>
  <c r="G530" i="44" s="1"/>
  <c r="I530" i="44" s="1"/>
  <c r="G532" i="46" s="1"/>
  <c r="I532" i="46" s="1"/>
  <c r="G532" i="48" s="1"/>
  <c r="I532" i="48" s="1"/>
  <c r="G803" i="1"/>
  <c r="I802" i="1"/>
  <c r="G804" i="28" s="1"/>
  <c r="I804" i="28" s="1"/>
  <c r="G808" i="29" s="1"/>
  <c r="I808" i="29" s="1"/>
  <c r="G817" i="30" s="1"/>
  <c r="I817" i="30" s="1"/>
  <c r="G828" i="32" s="1"/>
  <c r="I828" i="32" s="1"/>
  <c r="G828" i="34" s="1"/>
  <c r="I828" i="34" s="1"/>
  <c r="G841" i="36" s="1"/>
  <c r="I841" i="36" s="1"/>
  <c r="G853" i="38" s="1"/>
  <c r="I853" i="38" s="1"/>
  <c r="G862" i="40" s="1"/>
  <c r="I862" i="40" s="1"/>
  <c r="G869" i="3" s="1"/>
  <c r="I869" i="3" s="1"/>
  <c r="G894" i="44" s="1"/>
  <c r="I894" i="44" s="1"/>
  <c r="I801" i="1"/>
  <c r="G803" i="28" s="1"/>
  <c r="I803" i="28" s="1"/>
  <c r="G807" i="29" s="1"/>
  <c r="I807" i="29" s="1"/>
  <c r="G816" i="30" s="1"/>
  <c r="I816" i="30" s="1"/>
  <c r="G827" i="32" s="1"/>
  <c r="I827" i="32" s="1"/>
  <c r="G827" i="34" s="1"/>
  <c r="I827" i="34" s="1"/>
  <c r="G840" i="36" s="1"/>
  <c r="I840" i="36" s="1"/>
  <c r="G852" i="38" s="1"/>
  <c r="I852" i="38" s="1"/>
  <c r="G861" i="40" s="1"/>
  <c r="I861" i="40" s="1"/>
  <c r="G868" i="3" s="1"/>
  <c r="I868" i="3" s="1"/>
  <c r="G893" i="44" s="1"/>
  <c r="I893" i="44" s="1"/>
  <c r="I800" i="1"/>
  <c r="G802" i="28" s="1"/>
  <c r="I802" i="28" s="1"/>
  <c r="G805" i="29" s="1"/>
  <c r="I805" i="29" s="1"/>
  <c r="G814" i="30" s="1"/>
  <c r="I814" i="30" s="1"/>
  <c r="G825" i="32" s="1"/>
  <c r="I825" i="32" s="1"/>
  <c r="G825" i="34" s="1"/>
  <c r="I825" i="34" s="1"/>
  <c r="G838" i="36" s="1"/>
  <c r="I838" i="36" s="1"/>
  <c r="G850" i="38" s="1"/>
  <c r="I850" i="38" s="1"/>
  <c r="G859" i="40" s="1"/>
  <c r="I859" i="40" s="1"/>
  <c r="G866" i="3" s="1"/>
  <c r="I866" i="3" s="1"/>
  <c r="G891" i="44" s="1"/>
  <c r="I891" i="44" s="1"/>
  <c r="I799" i="1"/>
  <c r="G801" i="28" s="1"/>
  <c r="I801" i="28" s="1"/>
  <c r="G804" i="29" s="1"/>
  <c r="I804" i="29" s="1"/>
  <c r="G813" i="30" s="1"/>
  <c r="I813" i="30" s="1"/>
  <c r="G824" i="32" s="1"/>
  <c r="I824" i="32" s="1"/>
  <c r="G824" i="34" s="1"/>
  <c r="I824" i="34" s="1"/>
  <c r="G837" i="36" s="1"/>
  <c r="I837" i="36" s="1"/>
  <c r="G849" i="38" s="1"/>
  <c r="I849" i="38" s="1"/>
  <c r="G858" i="40" s="1"/>
  <c r="I858" i="40" s="1"/>
  <c r="G865" i="3" s="1"/>
  <c r="I865" i="3" s="1"/>
  <c r="G890" i="44" s="1"/>
  <c r="I890" i="44" s="1"/>
  <c r="I798" i="1"/>
  <c r="G800" i="28" s="1"/>
  <c r="I800" i="28" s="1"/>
  <c r="G803" i="29" s="1"/>
  <c r="I803" i="29" s="1"/>
  <c r="G812" i="30" s="1"/>
  <c r="I812" i="30" s="1"/>
  <c r="G823" i="32" s="1"/>
  <c r="I823" i="32" s="1"/>
  <c r="G823" i="34" s="1"/>
  <c r="I823" i="34" s="1"/>
  <c r="G836" i="36" s="1"/>
  <c r="I836" i="36" s="1"/>
  <c r="G848" i="38" s="1"/>
  <c r="I848" i="38" s="1"/>
  <c r="G857" i="40" s="1"/>
  <c r="I857" i="40" s="1"/>
  <c r="G864" i="3" s="1"/>
  <c r="I864" i="3" s="1"/>
  <c r="G889" i="44" s="1"/>
  <c r="I889" i="44" s="1"/>
  <c r="I797" i="1"/>
  <c r="G799" i="28" s="1"/>
  <c r="I799" i="28" s="1"/>
  <c r="G802" i="29" s="1"/>
  <c r="I802" i="29" s="1"/>
  <c r="G811" i="30" s="1"/>
  <c r="I811" i="30" s="1"/>
  <c r="G822" i="32" s="1"/>
  <c r="I822" i="32" s="1"/>
  <c r="G822" i="34" s="1"/>
  <c r="I822" i="34" s="1"/>
  <c r="G835" i="36" s="1"/>
  <c r="I835" i="36" s="1"/>
  <c r="G847" i="38" s="1"/>
  <c r="I847" i="38" s="1"/>
  <c r="G856" i="40" s="1"/>
  <c r="I856" i="40" s="1"/>
  <c r="G863" i="3" s="1"/>
  <c r="I863" i="3" s="1"/>
  <c r="G888" i="44" s="1"/>
  <c r="I888" i="44" s="1"/>
  <c r="I796" i="1"/>
  <c r="G798" i="28" s="1"/>
  <c r="I798" i="28" s="1"/>
  <c r="G801" i="29" s="1"/>
  <c r="I801" i="29" s="1"/>
  <c r="G810" i="30" s="1"/>
  <c r="I810" i="30" s="1"/>
  <c r="G821" i="32" s="1"/>
  <c r="I821" i="32" s="1"/>
  <c r="G821" i="34" s="1"/>
  <c r="I821" i="34" s="1"/>
  <c r="G834" i="36" s="1"/>
  <c r="I834" i="36" s="1"/>
  <c r="G846" i="38" s="1"/>
  <c r="I846" i="38" s="1"/>
  <c r="G855" i="40" s="1"/>
  <c r="I855" i="40" s="1"/>
  <c r="G862" i="3" s="1"/>
  <c r="I862" i="3" s="1"/>
  <c r="G887" i="44" s="1"/>
  <c r="I887" i="44" s="1"/>
  <c r="I795" i="1"/>
  <c r="G797" i="28" s="1"/>
  <c r="I797" i="28" s="1"/>
  <c r="G800" i="29" s="1"/>
  <c r="I800" i="29" s="1"/>
  <c r="G809" i="30" s="1"/>
  <c r="I809" i="30" s="1"/>
  <c r="G820" i="32" s="1"/>
  <c r="I820" i="32" s="1"/>
  <c r="G820" i="34" s="1"/>
  <c r="I820" i="34" s="1"/>
  <c r="G833" i="36" s="1"/>
  <c r="I833" i="36" s="1"/>
  <c r="G845" i="38" s="1"/>
  <c r="I845" i="38" s="1"/>
  <c r="G854" i="40" s="1"/>
  <c r="I854" i="40" s="1"/>
  <c r="G861" i="3" s="1"/>
  <c r="I861" i="3" s="1"/>
  <c r="G886" i="44" s="1"/>
  <c r="I886" i="44" s="1"/>
  <c r="I794" i="1"/>
  <c r="G796" i="28" s="1"/>
  <c r="I796" i="28" s="1"/>
  <c r="G799" i="29" s="1"/>
  <c r="I799" i="29" s="1"/>
  <c r="G808" i="30" s="1"/>
  <c r="I808" i="30" s="1"/>
  <c r="G819" i="32" s="1"/>
  <c r="I819" i="32" s="1"/>
  <c r="G819" i="34" s="1"/>
  <c r="I819" i="34" s="1"/>
  <c r="G832" i="36" s="1"/>
  <c r="I832" i="36" s="1"/>
  <c r="G844" i="38" s="1"/>
  <c r="I844" i="38" s="1"/>
  <c r="G853" i="40" s="1"/>
  <c r="I853" i="40" s="1"/>
  <c r="G860" i="3" s="1"/>
  <c r="I860" i="3" s="1"/>
  <c r="G885" i="44" s="1"/>
  <c r="I885" i="44" s="1"/>
  <c r="I793" i="1"/>
  <c r="G795" i="28" s="1"/>
  <c r="I795" i="28" s="1"/>
  <c r="G798" i="29" s="1"/>
  <c r="I798" i="29" s="1"/>
  <c r="G807" i="30" s="1"/>
  <c r="I807" i="30" s="1"/>
  <c r="G818" i="32" s="1"/>
  <c r="I818" i="32" s="1"/>
  <c r="G818" i="34" s="1"/>
  <c r="I818" i="34" s="1"/>
  <c r="G831" i="36" s="1"/>
  <c r="I831" i="36" s="1"/>
  <c r="G843" i="38" s="1"/>
  <c r="I843" i="38" s="1"/>
  <c r="G852" i="40" s="1"/>
  <c r="I852" i="40" s="1"/>
  <c r="G859" i="3" s="1"/>
  <c r="I859" i="3" s="1"/>
  <c r="G884" i="44" s="1"/>
  <c r="I884" i="44" s="1"/>
  <c r="I792" i="1"/>
  <c r="I791" i="1"/>
  <c r="G793" i="28" s="1"/>
  <c r="I793" i="28" s="1"/>
  <c r="G796" i="29" s="1"/>
  <c r="I796" i="29" s="1"/>
  <c r="G805" i="30" s="1"/>
  <c r="I805" i="30" s="1"/>
  <c r="G816" i="32" s="1"/>
  <c r="I816" i="32" s="1"/>
  <c r="G816" i="34" s="1"/>
  <c r="I816" i="34" s="1"/>
  <c r="G829" i="36" s="1"/>
  <c r="I829" i="36" s="1"/>
  <c r="G841" i="38" s="1"/>
  <c r="I841" i="38" s="1"/>
  <c r="G850" i="40" s="1"/>
  <c r="I850" i="40" s="1"/>
  <c r="G857" i="3" s="1"/>
  <c r="I857" i="3" s="1"/>
  <c r="G882" i="44" s="1"/>
  <c r="I882" i="44" s="1"/>
  <c r="I790" i="1"/>
  <c r="G792" i="28" s="1"/>
  <c r="I792" i="28" s="1"/>
  <c r="G795" i="29" s="1"/>
  <c r="I795" i="29" s="1"/>
  <c r="G804" i="30" s="1"/>
  <c r="I804" i="30" s="1"/>
  <c r="G815" i="32" s="1"/>
  <c r="I815" i="32" s="1"/>
  <c r="G815" i="34" s="1"/>
  <c r="I815" i="34" s="1"/>
  <c r="G828" i="36" s="1"/>
  <c r="I828" i="36" s="1"/>
  <c r="G840" i="38" s="1"/>
  <c r="I840" i="38" s="1"/>
  <c r="G849" i="40" s="1"/>
  <c r="I849" i="40" s="1"/>
  <c r="G856" i="3" s="1"/>
  <c r="I856" i="3" s="1"/>
  <c r="G881" i="44" s="1"/>
  <c r="I881" i="44" s="1"/>
  <c r="I789" i="1"/>
  <c r="G791" i="28" s="1"/>
  <c r="I791" i="28" s="1"/>
  <c r="G794" i="29" s="1"/>
  <c r="I794" i="29" s="1"/>
  <c r="G803" i="30" s="1"/>
  <c r="I803" i="30" s="1"/>
  <c r="G814" i="32" s="1"/>
  <c r="I814" i="32" s="1"/>
  <c r="G814" i="34" s="1"/>
  <c r="I814" i="34" s="1"/>
  <c r="G827" i="36" s="1"/>
  <c r="I827" i="36" s="1"/>
  <c r="G839" i="38" s="1"/>
  <c r="I839" i="38" s="1"/>
  <c r="G847" i="40" s="1"/>
  <c r="I847" i="40" s="1"/>
  <c r="G855" i="3" s="1"/>
  <c r="I855" i="3" s="1"/>
  <c r="G880" i="44" s="1"/>
  <c r="I880" i="44" s="1"/>
  <c r="I788" i="1"/>
  <c r="G790" i="28" s="1"/>
  <c r="I790" i="28" s="1"/>
  <c r="G793" i="29" s="1"/>
  <c r="I793" i="29" s="1"/>
  <c r="G802" i="30" s="1"/>
  <c r="I802" i="30" s="1"/>
  <c r="G813" i="32" s="1"/>
  <c r="I813" i="32" s="1"/>
  <c r="G813" i="34" s="1"/>
  <c r="I813" i="34" s="1"/>
  <c r="G826" i="36" s="1"/>
  <c r="I826" i="36" s="1"/>
  <c r="G838" i="38" s="1"/>
  <c r="I838" i="38" s="1"/>
  <c r="G846" i="40" s="1"/>
  <c r="I846" i="40" s="1"/>
  <c r="G854" i="3" s="1"/>
  <c r="I854" i="3" s="1"/>
  <c r="G879" i="44" s="1"/>
  <c r="I879" i="44" s="1"/>
  <c r="I787" i="1"/>
  <c r="G789" i="28" s="1"/>
  <c r="I789" i="28" s="1"/>
  <c r="G792" i="29" s="1"/>
  <c r="I792" i="29" s="1"/>
  <c r="G801" i="30" s="1"/>
  <c r="I801" i="30" s="1"/>
  <c r="G812" i="32" s="1"/>
  <c r="I812" i="32" s="1"/>
  <c r="G812" i="34" s="1"/>
  <c r="I812" i="34" s="1"/>
  <c r="G825" i="36" s="1"/>
  <c r="I825" i="36" s="1"/>
  <c r="G837" i="38" s="1"/>
  <c r="I837" i="38" s="1"/>
  <c r="G845" i="40" s="1"/>
  <c r="I845" i="40" s="1"/>
  <c r="G853" i="3" s="1"/>
  <c r="I853" i="3" s="1"/>
  <c r="I786" i="1"/>
  <c r="G788" i="28" s="1"/>
  <c r="I788" i="28" s="1"/>
  <c r="G791" i="29" s="1"/>
  <c r="I791" i="29" s="1"/>
  <c r="G800" i="30" s="1"/>
  <c r="I800" i="30" s="1"/>
  <c r="G811" i="32" s="1"/>
  <c r="I811" i="32" s="1"/>
  <c r="G811" i="34" s="1"/>
  <c r="I811" i="34" s="1"/>
  <c r="G824" i="36" s="1"/>
  <c r="I824" i="36" s="1"/>
  <c r="G836" i="38" s="1"/>
  <c r="I836" i="38" s="1"/>
  <c r="G844" i="40" s="1"/>
  <c r="I844" i="40" s="1"/>
  <c r="G852" i="3" s="1"/>
  <c r="I852" i="3" s="1"/>
  <c r="G876" i="44" s="1"/>
  <c r="I876" i="44" s="1"/>
  <c r="I785" i="1"/>
  <c r="G787" i="28" s="1"/>
  <c r="I787" i="28" s="1"/>
  <c r="G790" i="29" s="1"/>
  <c r="I790" i="29" s="1"/>
  <c r="G799" i="30" s="1"/>
  <c r="I799" i="30" s="1"/>
  <c r="G810" i="32" s="1"/>
  <c r="I810" i="32" s="1"/>
  <c r="G810" i="34" s="1"/>
  <c r="I810" i="34" s="1"/>
  <c r="G823" i="36" s="1"/>
  <c r="I823" i="36" s="1"/>
  <c r="G835" i="38" s="1"/>
  <c r="I835" i="38" s="1"/>
  <c r="G843" i="40" s="1"/>
  <c r="I843" i="40" s="1"/>
  <c r="G851" i="3" s="1"/>
  <c r="I851" i="3" s="1"/>
  <c r="G875" i="44" s="1"/>
  <c r="I875" i="44" s="1"/>
  <c r="I784" i="1"/>
  <c r="G786" i="28" s="1"/>
  <c r="I786" i="28" s="1"/>
  <c r="G789" i="29" s="1"/>
  <c r="I789" i="29" s="1"/>
  <c r="G798" i="30" s="1"/>
  <c r="I798" i="30" s="1"/>
  <c r="G809" i="32" s="1"/>
  <c r="I809" i="32" s="1"/>
  <c r="G809" i="34" s="1"/>
  <c r="I809" i="34" s="1"/>
  <c r="G822" i="36" s="1"/>
  <c r="I822" i="36" s="1"/>
  <c r="G834" i="38" s="1"/>
  <c r="I834" i="38" s="1"/>
  <c r="G842" i="40" s="1"/>
  <c r="I842" i="40" s="1"/>
  <c r="G850" i="3" s="1"/>
  <c r="I850" i="3" s="1"/>
  <c r="G874" i="44" s="1"/>
  <c r="I874" i="44" s="1"/>
  <c r="I783" i="1"/>
  <c r="G785" i="28" s="1"/>
  <c r="I785" i="28" s="1"/>
  <c r="G788" i="29" s="1"/>
  <c r="I788" i="29" s="1"/>
  <c r="G797" i="30" s="1"/>
  <c r="I797" i="30" s="1"/>
  <c r="G808" i="32" s="1"/>
  <c r="I808" i="32" s="1"/>
  <c r="G808" i="34" s="1"/>
  <c r="I808" i="34" s="1"/>
  <c r="G821" i="36" s="1"/>
  <c r="I821" i="36" s="1"/>
  <c r="G833" i="38" s="1"/>
  <c r="I833" i="38" s="1"/>
  <c r="G841" i="40" s="1"/>
  <c r="I841" i="40" s="1"/>
  <c r="G849" i="3" s="1"/>
  <c r="I849" i="3" s="1"/>
  <c r="G873" i="44" s="1"/>
  <c r="I873" i="44" s="1"/>
  <c r="I782" i="1"/>
  <c r="G784" i="28" s="1"/>
  <c r="I784" i="28" s="1"/>
  <c r="G787" i="29" s="1"/>
  <c r="I787" i="29" s="1"/>
  <c r="G796" i="30" s="1"/>
  <c r="I796" i="30" s="1"/>
  <c r="G807" i="32" s="1"/>
  <c r="I807" i="32" s="1"/>
  <c r="G807" i="34" s="1"/>
  <c r="I807" i="34" s="1"/>
  <c r="G820" i="36" s="1"/>
  <c r="I820" i="36" s="1"/>
  <c r="G832" i="38" s="1"/>
  <c r="I832" i="38" s="1"/>
  <c r="G840" i="40" s="1"/>
  <c r="I840" i="40" s="1"/>
  <c r="G848" i="3" s="1"/>
  <c r="I848" i="3" s="1"/>
  <c r="G872" i="44" s="1"/>
  <c r="I872" i="44" s="1"/>
  <c r="I780" i="1"/>
  <c r="G782" i="28" s="1"/>
  <c r="I782" i="28" s="1"/>
  <c r="G785" i="29" s="1"/>
  <c r="I785" i="29" s="1"/>
  <c r="G794" i="30" s="1"/>
  <c r="I794" i="30" s="1"/>
  <c r="G805" i="32" s="1"/>
  <c r="I805" i="32" s="1"/>
  <c r="G805" i="34" s="1"/>
  <c r="I805" i="34" s="1"/>
  <c r="G818" i="36" s="1"/>
  <c r="I818" i="36" s="1"/>
  <c r="G830" i="38" s="1"/>
  <c r="I830" i="38" s="1"/>
  <c r="G838" i="40" s="1"/>
  <c r="I838" i="40" s="1"/>
  <c r="G846" i="3" s="1"/>
  <c r="I846" i="3" s="1"/>
  <c r="G870" i="44" s="1"/>
  <c r="I870" i="44" s="1"/>
  <c r="I779" i="1"/>
  <c r="G781" i="28" s="1"/>
  <c r="I781" i="28" s="1"/>
  <c r="G784" i="29" s="1"/>
  <c r="I784" i="29" s="1"/>
  <c r="G793" i="30" s="1"/>
  <c r="I793" i="30" s="1"/>
  <c r="G804" i="32" s="1"/>
  <c r="I804" i="32" s="1"/>
  <c r="G804" i="34" s="1"/>
  <c r="I804" i="34" s="1"/>
  <c r="G817" i="36" s="1"/>
  <c r="I817" i="36" s="1"/>
  <c r="G829" i="38" s="1"/>
  <c r="I829" i="38" s="1"/>
  <c r="G837" i="40" s="1"/>
  <c r="I837" i="40" s="1"/>
  <c r="G845" i="3" s="1"/>
  <c r="I845" i="3" s="1"/>
  <c r="G869" i="44" s="1"/>
  <c r="I869" i="44" s="1"/>
  <c r="I778" i="1"/>
  <c r="G780" i="28" s="1"/>
  <c r="I780" i="28" s="1"/>
  <c r="G783" i="29" s="1"/>
  <c r="I783" i="29" s="1"/>
  <c r="G792" i="30" s="1"/>
  <c r="I792" i="30" s="1"/>
  <c r="G803" i="32" s="1"/>
  <c r="I803" i="32" s="1"/>
  <c r="G803" i="34" s="1"/>
  <c r="I803" i="34" s="1"/>
  <c r="G816" i="36" s="1"/>
  <c r="I816" i="36" s="1"/>
  <c r="G828" i="38" s="1"/>
  <c r="I828" i="38" s="1"/>
  <c r="G836" i="40" s="1"/>
  <c r="I836" i="40" s="1"/>
  <c r="G844" i="3" s="1"/>
  <c r="I844" i="3" s="1"/>
  <c r="G868" i="44" s="1"/>
  <c r="I868" i="44" s="1"/>
  <c r="I777" i="1"/>
  <c r="G779" i="28" s="1"/>
  <c r="I779" i="28" s="1"/>
  <c r="G782" i="29" s="1"/>
  <c r="I782" i="29" s="1"/>
  <c r="G791" i="30" s="1"/>
  <c r="I791" i="30" s="1"/>
  <c r="G802" i="32" s="1"/>
  <c r="I802" i="32" s="1"/>
  <c r="G802" i="34" s="1"/>
  <c r="I802" i="34" s="1"/>
  <c r="G815" i="36" s="1"/>
  <c r="I815" i="36" s="1"/>
  <c r="G827" i="38" s="1"/>
  <c r="I827" i="38" s="1"/>
  <c r="G835" i="40" s="1"/>
  <c r="I835" i="40" s="1"/>
  <c r="G843" i="3" s="1"/>
  <c r="I843" i="3" s="1"/>
  <c r="G867" i="44" s="1"/>
  <c r="I867" i="44" s="1"/>
  <c r="I776" i="1"/>
  <c r="G778" i="28" s="1"/>
  <c r="I778" i="28" s="1"/>
  <c r="G781" i="29" s="1"/>
  <c r="I781" i="29" s="1"/>
  <c r="G790" i="30" s="1"/>
  <c r="I790" i="30" s="1"/>
  <c r="G801" i="32" s="1"/>
  <c r="I801" i="32" s="1"/>
  <c r="G801" i="34" s="1"/>
  <c r="I801" i="34" s="1"/>
  <c r="G814" i="36" s="1"/>
  <c r="I814" i="36" s="1"/>
  <c r="G826" i="38" s="1"/>
  <c r="I826" i="38" s="1"/>
  <c r="G834" i="40" s="1"/>
  <c r="I834" i="40" s="1"/>
  <c r="G842" i="3" s="1"/>
  <c r="I842" i="3" s="1"/>
  <c r="G866" i="44" s="1"/>
  <c r="I866" i="44" s="1"/>
  <c r="I775" i="1"/>
  <c r="G777" i="28" s="1"/>
  <c r="I777" i="28" s="1"/>
  <c r="G780" i="29" s="1"/>
  <c r="I780" i="29" s="1"/>
  <c r="G789" i="30" s="1"/>
  <c r="I789" i="30" s="1"/>
  <c r="G800" i="32" s="1"/>
  <c r="I800" i="32" s="1"/>
  <c r="G800" i="34" s="1"/>
  <c r="I800" i="34" s="1"/>
  <c r="G813" i="36" s="1"/>
  <c r="I813" i="36" s="1"/>
  <c r="G825" i="38" s="1"/>
  <c r="I825" i="38" s="1"/>
  <c r="G833" i="40" s="1"/>
  <c r="I833" i="40" s="1"/>
  <c r="G841" i="3" s="1"/>
  <c r="I841" i="3" s="1"/>
  <c r="G865" i="44" s="1"/>
  <c r="I865" i="44" s="1"/>
  <c r="I774" i="1"/>
  <c r="G776" i="28" s="1"/>
  <c r="I776" i="28" s="1"/>
  <c r="G779" i="29" s="1"/>
  <c r="I779" i="29" s="1"/>
  <c r="G788" i="30" s="1"/>
  <c r="I788" i="30" s="1"/>
  <c r="G799" i="32" s="1"/>
  <c r="I799" i="32" s="1"/>
  <c r="G799" i="34" s="1"/>
  <c r="I799" i="34" s="1"/>
  <c r="G812" i="36" s="1"/>
  <c r="I812" i="36" s="1"/>
  <c r="G824" i="38" s="1"/>
  <c r="I824" i="38" s="1"/>
  <c r="G832" i="40" s="1"/>
  <c r="I832" i="40" s="1"/>
  <c r="G840" i="3" s="1"/>
  <c r="I840" i="3" s="1"/>
  <c r="G864" i="44" s="1"/>
  <c r="I864" i="44" s="1"/>
  <c r="I773" i="1"/>
  <c r="G775" i="28" s="1"/>
  <c r="I775" i="28" s="1"/>
  <c r="G778" i="29" s="1"/>
  <c r="I778" i="29" s="1"/>
  <c r="G787" i="30" s="1"/>
  <c r="I787" i="30" s="1"/>
  <c r="G798" i="32" s="1"/>
  <c r="I798" i="32" s="1"/>
  <c r="G798" i="34" s="1"/>
  <c r="I798" i="34" s="1"/>
  <c r="G811" i="36" s="1"/>
  <c r="I811" i="36" s="1"/>
  <c r="G823" i="38" s="1"/>
  <c r="I823" i="38" s="1"/>
  <c r="G831" i="40" s="1"/>
  <c r="I831" i="40" s="1"/>
  <c r="G839" i="3" s="1"/>
  <c r="I839" i="3" s="1"/>
  <c r="G863" i="44" s="1"/>
  <c r="I863" i="44" s="1"/>
  <c r="I772" i="1"/>
  <c r="G774" i="28" s="1"/>
  <c r="I774" i="28" s="1"/>
  <c r="G777" i="29" s="1"/>
  <c r="I777" i="29" s="1"/>
  <c r="G786" i="30" s="1"/>
  <c r="I786" i="30" s="1"/>
  <c r="G797" i="32" s="1"/>
  <c r="I797" i="32" s="1"/>
  <c r="G797" i="34" s="1"/>
  <c r="I797" i="34" s="1"/>
  <c r="G810" i="36" s="1"/>
  <c r="I810" i="36" s="1"/>
  <c r="G822" i="38" s="1"/>
  <c r="I822" i="38" s="1"/>
  <c r="G830" i="40" s="1"/>
  <c r="I830" i="40" s="1"/>
  <c r="G838" i="3" s="1"/>
  <c r="I838" i="3" s="1"/>
  <c r="G862" i="44" s="1"/>
  <c r="I862" i="44" s="1"/>
  <c r="I771" i="1"/>
  <c r="G773" i="28" s="1"/>
  <c r="I769" i="1"/>
  <c r="G771" i="28" s="1"/>
  <c r="I771" i="28" s="1"/>
  <c r="G774" i="29" s="1"/>
  <c r="I774" i="29" s="1"/>
  <c r="G783" i="30" s="1"/>
  <c r="I783" i="30" s="1"/>
  <c r="G794" i="32" s="1"/>
  <c r="I794" i="32" s="1"/>
  <c r="G794" i="34" s="1"/>
  <c r="I794" i="34" s="1"/>
  <c r="G807" i="36" s="1"/>
  <c r="I807" i="36" s="1"/>
  <c r="G819" i="38" s="1"/>
  <c r="I819" i="38" s="1"/>
  <c r="G827" i="40" s="1"/>
  <c r="I827" i="40" s="1"/>
  <c r="G835" i="3" s="1"/>
  <c r="I835" i="3" s="1"/>
  <c r="G859" i="44" s="1"/>
  <c r="I859" i="44" s="1"/>
  <c r="I768" i="1"/>
  <c r="G770" i="28" s="1"/>
  <c r="I770" i="28" s="1"/>
  <c r="G773" i="29" s="1"/>
  <c r="I773" i="29" s="1"/>
  <c r="G782" i="30" s="1"/>
  <c r="I782" i="30" s="1"/>
  <c r="G793" i="32" s="1"/>
  <c r="I793" i="32" s="1"/>
  <c r="G793" i="34" s="1"/>
  <c r="I793" i="34" s="1"/>
  <c r="G806" i="36" s="1"/>
  <c r="I806" i="36" s="1"/>
  <c r="G818" i="38" s="1"/>
  <c r="I818" i="38" s="1"/>
  <c r="G826" i="40" s="1"/>
  <c r="I826" i="40" s="1"/>
  <c r="G834" i="3" s="1"/>
  <c r="I834" i="3" s="1"/>
  <c r="G858" i="44" s="1"/>
  <c r="I858" i="44" s="1"/>
  <c r="I767" i="1"/>
  <c r="G769" i="28" s="1"/>
  <c r="I769" i="28" s="1"/>
  <c r="G772" i="29" s="1"/>
  <c r="I772" i="29" s="1"/>
  <c r="G781" i="30" s="1"/>
  <c r="I781" i="30" s="1"/>
  <c r="G792" i="32" s="1"/>
  <c r="I792" i="32" s="1"/>
  <c r="G792" i="34" s="1"/>
  <c r="I792" i="34" s="1"/>
  <c r="G805" i="36" s="1"/>
  <c r="I805" i="36" s="1"/>
  <c r="G817" i="38" s="1"/>
  <c r="I817" i="38" s="1"/>
  <c r="G825" i="40" s="1"/>
  <c r="G760" i="1"/>
  <c r="C12" i="2" s="1"/>
  <c r="I764" i="1"/>
  <c r="G766" i="28" s="1"/>
  <c r="I763" i="1"/>
  <c r="G765" i="28" s="1"/>
  <c r="I765" i="28" s="1"/>
  <c r="G768" i="29" s="1"/>
  <c r="I768" i="29" s="1"/>
  <c r="G777" i="30" s="1"/>
  <c r="I777" i="30" s="1"/>
  <c r="G788" i="32" s="1"/>
  <c r="I788" i="32" s="1"/>
  <c r="G788" i="34" s="1"/>
  <c r="I788" i="34" s="1"/>
  <c r="G801" i="36" s="1"/>
  <c r="I801" i="36" s="1"/>
  <c r="G813" i="38" s="1"/>
  <c r="I813" i="38" s="1"/>
  <c r="G821" i="40" s="1"/>
  <c r="I761" i="1"/>
  <c r="G763" i="28" s="1"/>
  <c r="I758" i="1"/>
  <c r="G760" i="28" s="1"/>
  <c r="I760" i="28" s="1"/>
  <c r="G763" i="29" s="1"/>
  <c r="I763" i="29" s="1"/>
  <c r="G772" i="30" s="1"/>
  <c r="I772" i="30" s="1"/>
  <c r="G783" i="32" s="1"/>
  <c r="I783" i="32" s="1"/>
  <c r="G783" i="34" s="1"/>
  <c r="I783" i="34" s="1"/>
  <c r="G796" i="36" s="1"/>
  <c r="I796" i="36" s="1"/>
  <c r="G808" i="38" s="1"/>
  <c r="I808" i="38" s="1"/>
  <c r="G813" i="40" s="1"/>
  <c r="I813" i="40" s="1"/>
  <c r="G820" i="3" s="1"/>
  <c r="I820" i="3" s="1"/>
  <c r="G843" i="44" s="1"/>
  <c r="I843" i="44" s="1"/>
  <c r="G845" i="46" s="1"/>
  <c r="I845" i="46" s="1"/>
  <c r="G845" i="48" s="1"/>
  <c r="I845" i="48" s="1"/>
  <c r="I757" i="1"/>
  <c r="G759" i="28" s="1"/>
  <c r="I759" i="28" s="1"/>
  <c r="G762" i="29" s="1"/>
  <c r="I762" i="29" s="1"/>
  <c r="G771" i="30" s="1"/>
  <c r="I771" i="30" s="1"/>
  <c r="G782" i="32" s="1"/>
  <c r="I782" i="32" s="1"/>
  <c r="G782" i="34" s="1"/>
  <c r="I782" i="34" s="1"/>
  <c r="G795" i="36" s="1"/>
  <c r="I795" i="36" s="1"/>
  <c r="G807" i="38" s="1"/>
  <c r="I807" i="38" s="1"/>
  <c r="G812" i="40" s="1"/>
  <c r="I812" i="40" s="1"/>
  <c r="G819" i="3" s="1"/>
  <c r="I819" i="3" s="1"/>
  <c r="G842" i="44" s="1"/>
  <c r="I842" i="44" s="1"/>
  <c r="G844" i="46" s="1"/>
  <c r="I844" i="46" s="1"/>
  <c r="G844" i="48" s="1"/>
  <c r="I844" i="48" s="1"/>
  <c r="I756" i="1"/>
  <c r="G758" i="28" s="1"/>
  <c r="I758" i="28" s="1"/>
  <c r="G761" i="29" s="1"/>
  <c r="I761" i="29" s="1"/>
  <c r="G770" i="30" s="1"/>
  <c r="I770" i="30" s="1"/>
  <c r="G781" i="32" s="1"/>
  <c r="I781" i="32" s="1"/>
  <c r="G781" i="34" s="1"/>
  <c r="I781" i="34" s="1"/>
  <c r="G794" i="36" s="1"/>
  <c r="I794" i="36" s="1"/>
  <c r="G806" i="38" s="1"/>
  <c r="I806" i="38" s="1"/>
  <c r="G811" i="40" s="1"/>
  <c r="I811" i="40" s="1"/>
  <c r="G818" i="3" s="1"/>
  <c r="I818" i="3" s="1"/>
  <c r="G841" i="44" s="1"/>
  <c r="I841" i="44" s="1"/>
  <c r="G843" i="46" s="1"/>
  <c r="I843" i="46" s="1"/>
  <c r="G843" i="48" s="1"/>
  <c r="I843" i="48" s="1"/>
  <c r="I755" i="1"/>
  <c r="G757" i="28" s="1"/>
  <c r="I757" i="28" s="1"/>
  <c r="G760" i="29" s="1"/>
  <c r="I760" i="29" s="1"/>
  <c r="G769" i="30" s="1"/>
  <c r="I769" i="30" s="1"/>
  <c r="G780" i="32" s="1"/>
  <c r="I780" i="32" s="1"/>
  <c r="G780" i="34" s="1"/>
  <c r="I780" i="34" s="1"/>
  <c r="G793" i="36" s="1"/>
  <c r="I793" i="36" s="1"/>
  <c r="G805" i="38" s="1"/>
  <c r="I805" i="38" s="1"/>
  <c r="G810" i="40" s="1"/>
  <c r="I810" i="40" s="1"/>
  <c r="G817" i="3" s="1"/>
  <c r="I817" i="3" s="1"/>
  <c r="G840" i="44" s="1"/>
  <c r="I840" i="44" s="1"/>
  <c r="G842" i="46" s="1"/>
  <c r="I842" i="46" s="1"/>
  <c r="G842" i="48" s="1"/>
  <c r="I842" i="48" s="1"/>
  <c r="I754" i="1"/>
  <c r="G755" i="28" s="1"/>
  <c r="I755" i="28" s="1"/>
  <c r="G758" i="29" s="1"/>
  <c r="I758" i="29" s="1"/>
  <c r="G767" i="30" s="1"/>
  <c r="I767" i="30" s="1"/>
  <c r="G778" i="32" s="1"/>
  <c r="I778" i="32" s="1"/>
  <c r="G778" i="34" s="1"/>
  <c r="I778" i="34" s="1"/>
  <c r="G791" i="36" s="1"/>
  <c r="I791" i="36" s="1"/>
  <c r="G803" i="38" s="1"/>
  <c r="I803" i="38" s="1"/>
  <c r="G808" i="40" s="1"/>
  <c r="I808" i="40" s="1"/>
  <c r="G815" i="3" s="1"/>
  <c r="I815" i="3" s="1"/>
  <c r="G838" i="44" s="1"/>
  <c r="I838" i="44" s="1"/>
  <c r="G840" i="46" s="1"/>
  <c r="I840" i="46" s="1"/>
  <c r="G840" i="48" s="1"/>
  <c r="I840" i="48" s="1"/>
  <c r="G876" i="46" l="1"/>
  <c r="I876" i="46" s="1"/>
  <c r="G876" i="48"/>
  <c r="I876" i="48" s="1"/>
  <c r="G889" i="46"/>
  <c r="I889" i="46" s="1"/>
  <c r="G889" i="48"/>
  <c r="I889" i="48" s="1"/>
  <c r="G864" i="46"/>
  <c r="I864" i="46" s="1"/>
  <c r="G864" i="48"/>
  <c r="I864" i="48" s="1"/>
  <c r="G868" i="46"/>
  <c r="I868" i="46" s="1"/>
  <c r="G868" i="48"/>
  <c r="I868" i="48" s="1"/>
  <c r="G872" i="46"/>
  <c r="I872" i="46" s="1"/>
  <c r="G872" i="48"/>
  <c r="I872" i="48" s="1"/>
  <c r="G877" i="46"/>
  <c r="I877" i="46" s="1"/>
  <c r="G877" i="48"/>
  <c r="I877" i="48" s="1"/>
  <c r="G882" i="46"/>
  <c r="I882" i="46" s="1"/>
  <c r="G882" i="48"/>
  <c r="I882" i="48" s="1"/>
  <c r="G886" i="46"/>
  <c r="I886" i="46" s="1"/>
  <c r="G886" i="48"/>
  <c r="I886" i="48" s="1"/>
  <c r="G890" i="46"/>
  <c r="I890" i="46" s="1"/>
  <c r="G890" i="48"/>
  <c r="I890" i="48" s="1"/>
  <c r="G895" i="46"/>
  <c r="I895" i="46" s="1"/>
  <c r="G895" i="48"/>
  <c r="I895" i="48" s="1"/>
  <c r="G867" i="46"/>
  <c r="I867" i="46" s="1"/>
  <c r="G867" i="48"/>
  <c r="I867" i="48" s="1"/>
  <c r="G860" i="46"/>
  <c r="I860" i="46" s="1"/>
  <c r="G860" i="48"/>
  <c r="I860" i="48" s="1"/>
  <c r="G869" i="46"/>
  <c r="I869" i="46" s="1"/>
  <c r="G869" i="48"/>
  <c r="I869" i="48" s="1"/>
  <c r="G874" i="46"/>
  <c r="I874" i="46" s="1"/>
  <c r="G874" i="48"/>
  <c r="I874" i="48" s="1"/>
  <c r="G878" i="46"/>
  <c r="I878" i="46" s="1"/>
  <c r="G878" i="48"/>
  <c r="I878" i="48" s="1"/>
  <c r="G883" i="46"/>
  <c r="I883" i="46" s="1"/>
  <c r="G883" i="48"/>
  <c r="I883" i="48" s="1"/>
  <c r="G887" i="46"/>
  <c r="I887" i="46" s="1"/>
  <c r="G887" i="48"/>
  <c r="I887" i="48" s="1"/>
  <c r="G891" i="46"/>
  <c r="I891" i="46" s="1"/>
  <c r="G891" i="48"/>
  <c r="I891" i="48" s="1"/>
  <c r="G896" i="46"/>
  <c r="I896" i="46" s="1"/>
  <c r="G896" i="48"/>
  <c r="I896" i="48" s="1"/>
  <c r="G871" i="46"/>
  <c r="I871" i="46" s="1"/>
  <c r="G871" i="48"/>
  <c r="I871" i="48" s="1"/>
  <c r="G881" i="46"/>
  <c r="I881" i="46" s="1"/>
  <c r="G881" i="48"/>
  <c r="I881" i="48" s="1"/>
  <c r="G893" i="46"/>
  <c r="I893" i="46" s="1"/>
  <c r="G893" i="48"/>
  <c r="I893" i="48" s="1"/>
  <c r="G865" i="46"/>
  <c r="I865" i="46" s="1"/>
  <c r="G865" i="48"/>
  <c r="I865" i="48" s="1"/>
  <c r="G861" i="46"/>
  <c r="I861" i="46" s="1"/>
  <c r="G861" i="48"/>
  <c r="I861" i="48" s="1"/>
  <c r="G866" i="46"/>
  <c r="I866" i="46" s="1"/>
  <c r="G866" i="48"/>
  <c r="I866" i="48" s="1"/>
  <c r="G870" i="46"/>
  <c r="I870" i="46" s="1"/>
  <c r="G870" i="48"/>
  <c r="I870" i="48" s="1"/>
  <c r="G875" i="46"/>
  <c r="I875" i="46" s="1"/>
  <c r="G875" i="48"/>
  <c r="I875" i="48" s="1"/>
  <c r="G884" i="46"/>
  <c r="I884" i="46" s="1"/>
  <c r="G884" i="48"/>
  <c r="I884" i="48" s="1"/>
  <c r="G888" i="46"/>
  <c r="I888" i="46" s="1"/>
  <c r="G888" i="48"/>
  <c r="I888" i="48" s="1"/>
  <c r="G892" i="46"/>
  <c r="I892" i="46" s="1"/>
  <c r="G892" i="48"/>
  <c r="I892" i="48" s="1"/>
  <c r="I821" i="40"/>
  <c r="I825" i="40"/>
  <c r="G833" i="3" s="1"/>
  <c r="I763" i="28"/>
  <c r="G766" i="29" s="1"/>
  <c r="I766" i="29" s="1"/>
  <c r="G764" i="28"/>
  <c r="G767" i="28"/>
  <c r="I766" i="28"/>
  <c r="G769" i="29" s="1"/>
  <c r="I769" i="29" s="1"/>
  <c r="G778" i="30" s="1"/>
  <c r="I778" i="30" s="1"/>
  <c r="G789" i="32" s="1"/>
  <c r="I789" i="32" s="1"/>
  <c r="G789" i="34" s="1"/>
  <c r="I789" i="34" s="1"/>
  <c r="G802" i="36" s="1"/>
  <c r="I802" i="36" s="1"/>
  <c r="G814" i="38" s="1"/>
  <c r="I814" i="38" s="1"/>
  <c r="G822" i="40" s="1"/>
  <c r="I822" i="40" s="1"/>
  <c r="I773" i="28"/>
  <c r="G776" i="29" s="1"/>
  <c r="I776" i="29" s="1"/>
  <c r="G785" i="30" s="1"/>
  <c r="I785" i="30" s="1"/>
  <c r="G796" i="32" s="1"/>
  <c r="I796" i="32" s="1"/>
  <c r="G796" i="34" s="1"/>
  <c r="I796" i="34" s="1"/>
  <c r="G809" i="36" s="1"/>
  <c r="I809" i="36" s="1"/>
  <c r="G821" i="38" s="1"/>
  <c r="I821" i="38" s="1"/>
  <c r="G829" i="40" s="1"/>
  <c r="I829" i="40" s="1"/>
  <c r="G837" i="3" s="1"/>
  <c r="I837" i="3" s="1"/>
  <c r="G861" i="44" s="1"/>
  <c r="I861" i="44" s="1"/>
  <c r="G805" i="28"/>
  <c r="I14" i="2"/>
  <c r="C15" i="2"/>
  <c r="I752" i="1"/>
  <c r="G753" i="28" s="1"/>
  <c r="I753" i="28" s="1"/>
  <c r="G756" i="29" s="1"/>
  <c r="I756" i="29" s="1"/>
  <c r="G765" i="30" s="1"/>
  <c r="I765" i="30" s="1"/>
  <c r="G776" i="32" s="1"/>
  <c r="I776" i="32" s="1"/>
  <c r="G776" i="34" s="1"/>
  <c r="I776" i="34" s="1"/>
  <c r="G789" i="36" s="1"/>
  <c r="I789" i="36" s="1"/>
  <c r="G801" i="38" s="1"/>
  <c r="I801" i="38" s="1"/>
  <c r="G806" i="40" s="1"/>
  <c r="I806" i="40" s="1"/>
  <c r="G813" i="3" s="1"/>
  <c r="I813" i="3" s="1"/>
  <c r="G836" i="44" s="1"/>
  <c r="I836" i="44" s="1"/>
  <c r="G838" i="46" s="1"/>
  <c r="I838" i="46" s="1"/>
  <c r="G838" i="48" s="1"/>
  <c r="I838" i="48" s="1"/>
  <c r="I751" i="1"/>
  <c r="G752" i="28" s="1"/>
  <c r="I752" i="28" s="1"/>
  <c r="G755" i="29" s="1"/>
  <c r="I755" i="29" s="1"/>
  <c r="G764" i="30" s="1"/>
  <c r="I764" i="30" s="1"/>
  <c r="G775" i="32" s="1"/>
  <c r="I775" i="32" s="1"/>
  <c r="G775" i="34" s="1"/>
  <c r="I775" i="34" s="1"/>
  <c r="G788" i="36" s="1"/>
  <c r="I788" i="36" s="1"/>
  <c r="G800" i="38" s="1"/>
  <c r="I800" i="38" s="1"/>
  <c r="G805" i="40" s="1"/>
  <c r="I805" i="40" s="1"/>
  <c r="G812" i="3" s="1"/>
  <c r="I812" i="3" s="1"/>
  <c r="G835" i="44" s="1"/>
  <c r="I835" i="44" s="1"/>
  <c r="G837" i="46" s="1"/>
  <c r="I837" i="46" s="1"/>
  <c r="G837" i="48" s="1"/>
  <c r="I837" i="48" s="1"/>
  <c r="I750" i="1"/>
  <c r="G751" i="28" s="1"/>
  <c r="I751" i="28" s="1"/>
  <c r="G754" i="29" s="1"/>
  <c r="I754" i="29" s="1"/>
  <c r="G763" i="30" s="1"/>
  <c r="I763" i="30" s="1"/>
  <c r="G774" i="32" s="1"/>
  <c r="I774" i="32" s="1"/>
  <c r="G774" i="34" s="1"/>
  <c r="I774" i="34" s="1"/>
  <c r="G787" i="36" s="1"/>
  <c r="I787" i="36" s="1"/>
  <c r="G799" i="38" s="1"/>
  <c r="I799" i="38" s="1"/>
  <c r="G804" i="40" s="1"/>
  <c r="I804" i="40" s="1"/>
  <c r="G811" i="3" s="1"/>
  <c r="I811" i="3" s="1"/>
  <c r="G834" i="44" s="1"/>
  <c r="I834" i="44" s="1"/>
  <c r="G836" i="46" s="1"/>
  <c r="I836" i="46" s="1"/>
  <c r="G836" i="48" s="1"/>
  <c r="I836" i="48" s="1"/>
  <c r="I749" i="1"/>
  <c r="G750" i="28" s="1"/>
  <c r="I750" i="28" s="1"/>
  <c r="G753" i="29" s="1"/>
  <c r="I753" i="29" s="1"/>
  <c r="G762" i="30" s="1"/>
  <c r="I762" i="30" s="1"/>
  <c r="G773" i="32" s="1"/>
  <c r="I773" i="32" s="1"/>
  <c r="G773" i="34" s="1"/>
  <c r="I773" i="34" s="1"/>
  <c r="G786" i="36" s="1"/>
  <c r="I786" i="36" s="1"/>
  <c r="G798" i="38" s="1"/>
  <c r="I798" i="38" s="1"/>
  <c r="G803" i="40" s="1"/>
  <c r="I803" i="40" s="1"/>
  <c r="G810" i="3" s="1"/>
  <c r="I810" i="3" s="1"/>
  <c r="G833" i="44" s="1"/>
  <c r="I833" i="44" s="1"/>
  <c r="G835" i="46" s="1"/>
  <c r="I835" i="46" s="1"/>
  <c r="G835" i="48" s="1"/>
  <c r="I835" i="48" s="1"/>
  <c r="I748" i="1"/>
  <c r="G749" i="28" s="1"/>
  <c r="I749" i="28" s="1"/>
  <c r="G752" i="29" s="1"/>
  <c r="I752" i="29" s="1"/>
  <c r="G761" i="30" s="1"/>
  <c r="I761" i="30" s="1"/>
  <c r="G772" i="32" s="1"/>
  <c r="I772" i="32" s="1"/>
  <c r="G772" i="34" s="1"/>
  <c r="I772" i="34" s="1"/>
  <c r="G785" i="36" s="1"/>
  <c r="I785" i="36" s="1"/>
  <c r="G797" i="38" s="1"/>
  <c r="I797" i="38" s="1"/>
  <c r="G802" i="40" s="1"/>
  <c r="I802" i="40" s="1"/>
  <c r="G809" i="3" s="1"/>
  <c r="I809" i="3" s="1"/>
  <c r="G832" i="44" s="1"/>
  <c r="I832" i="44" s="1"/>
  <c r="G834" i="46" s="1"/>
  <c r="I834" i="46" s="1"/>
  <c r="G834" i="48" s="1"/>
  <c r="I834" i="48" s="1"/>
  <c r="I747" i="1"/>
  <c r="G748" i="28" s="1"/>
  <c r="I748" i="28" s="1"/>
  <c r="G751" i="29" s="1"/>
  <c r="I751" i="29" s="1"/>
  <c r="G760" i="30" s="1"/>
  <c r="I760" i="30" s="1"/>
  <c r="G771" i="32" s="1"/>
  <c r="I771" i="32" s="1"/>
  <c r="G771" i="34" s="1"/>
  <c r="I771" i="34" s="1"/>
  <c r="G784" i="36" s="1"/>
  <c r="I784" i="36" s="1"/>
  <c r="G796" i="38" s="1"/>
  <c r="I796" i="38" s="1"/>
  <c r="G801" i="40" s="1"/>
  <c r="I801" i="40" s="1"/>
  <c r="G808" i="3" s="1"/>
  <c r="I808" i="3" s="1"/>
  <c r="G831" i="44" s="1"/>
  <c r="I831" i="44" s="1"/>
  <c r="G833" i="46" s="1"/>
  <c r="I833" i="46" s="1"/>
  <c r="G833" i="48" s="1"/>
  <c r="I833" i="48" s="1"/>
  <c r="I746" i="1"/>
  <c r="G747" i="28" s="1"/>
  <c r="I747" i="28" s="1"/>
  <c r="G750" i="29" s="1"/>
  <c r="I750" i="29" s="1"/>
  <c r="G759" i="30" s="1"/>
  <c r="I759" i="30" s="1"/>
  <c r="G770" i="32" s="1"/>
  <c r="I770" i="32" s="1"/>
  <c r="G770" i="34" s="1"/>
  <c r="I770" i="34" s="1"/>
  <c r="G783" i="36" s="1"/>
  <c r="I783" i="36" s="1"/>
  <c r="G795" i="38" s="1"/>
  <c r="I795" i="38" s="1"/>
  <c r="G800" i="40" s="1"/>
  <c r="I800" i="40" s="1"/>
  <c r="G807" i="3" s="1"/>
  <c r="I807" i="3" s="1"/>
  <c r="G830" i="44" s="1"/>
  <c r="I830" i="44" s="1"/>
  <c r="G832" i="46" s="1"/>
  <c r="I832" i="46" s="1"/>
  <c r="G832" i="48" s="1"/>
  <c r="I832" i="48" s="1"/>
  <c r="I745" i="1"/>
  <c r="G746" i="28" s="1"/>
  <c r="I746" i="28" s="1"/>
  <c r="G749" i="29" s="1"/>
  <c r="I749" i="29" s="1"/>
  <c r="G758" i="30" s="1"/>
  <c r="I758" i="30" s="1"/>
  <c r="G769" i="32" s="1"/>
  <c r="I769" i="32" s="1"/>
  <c r="G769" i="34" s="1"/>
  <c r="I769" i="34" s="1"/>
  <c r="G782" i="36" s="1"/>
  <c r="I782" i="36" s="1"/>
  <c r="G794" i="38" s="1"/>
  <c r="I794" i="38" s="1"/>
  <c r="G799" i="40" s="1"/>
  <c r="I799" i="40" s="1"/>
  <c r="G806" i="3" s="1"/>
  <c r="I806" i="3" s="1"/>
  <c r="G829" i="44" s="1"/>
  <c r="I829" i="44" s="1"/>
  <c r="G831" i="46" s="1"/>
  <c r="I831" i="46" s="1"/>
  <c r="G831" i="48" s="1"/>
  <c r="I831" i="48" s="1"/>
  <c r="I743" i="1"/>
  <c r="G744" i="28" s="1"/>
  <c r="I744" i="28" s="1"/>
  <c r="G747" i="29" s="1"/>
  <c r="I747" i="29" s="1"/>
  <c r="G756" i="30" s="1"/>
  <c r="I756" i="30" s="1"/>
  <c r="G767" i="32" s="1"/>
  <c r="I767" i="32" s="1"/>
  <c r="G767" i="34" s="1"/>
  <c r="I767" i="34" s="1"/>
  <c r="G780" i="36" s="1"/>
  <c r="I780" i="36" s="1"/>
  <c r="G792" i="38" s="1"/>
  <c r="I792" i="38" s="1"/>
  <c r="G797" i="40" s="1"/>
  <c r="I797" i="40" s="1"/>
  <c r="G804" i="3" s="1"/>
  <c r="I804" i="3" s="1"/>
  <c r="G827" i="44" s="1"/>
  <c r="I827" i="44" s="1"/>
  <c r="G829" i="46" s="1"/>
  <c r="I829" i="46" s="1"/>
  <c r="G829" i="48" s="1"/>
  <c r="I829" i="48" s="1"/>
  <c r="I742" i="1"/>
  <c r="G743" i="28" s="1"/>
  <c r="I743" i="28" s="1"/>
  <c r="G746" i="29" s="1"/>
  <c r="I746" i="29" s="1"/>
  <c r="G755" i="30" s="1"/>
  <c r="I755" i="30" s="1"/>
  <c r="G766" i="32" s="1"/>
  <c r="I766" i="32" s="1"/>
  <c r="G766" i="34" s="1"/>
  <c r="I766" i="34" s="1"/>
  <c r="G779" i="36" s="1"/>
  <c r="I779" i="36" s="1"/>
  <c r="G791" i="38" s="1"/>
  <c r="I791" i="38" s="1"/>
  <c r="G796" i="40" s="1"/>
  <c r="I796" i="40" s="1"/>
  <c r="G803" i="3" s="1"/>
  <c r="I803" i="3" s="1"/>
  <c r="G826" i="44" s="1"/>
  <c r="I826" i="44" s="1"/>
  <c r="G828" i="46" s="1"/>
  <c r="I828" i="46" s="1"/>
  <c r="G828" i="48" s="1"/>
  <c r="I828" i="48" s="1"/>
  <c r="I741" i="1"/>
  <c r="G742" i="28" s="1"/>
  <c r="I742" i="28" s="1"/>
  <c r="G745" i="29" s="1"/>
  <c r="I745" i="29" s="1"/>
  <c r="G754" i="30" s="1"/>
  <c r="I754" i="30" s="1"/>
  <c r="G765" i="32" s="1"/>
  <c r="I765" i="32" s="1"/>
  <c r="G765" i="34" s="1"/>
  <c r="I765" i="34" s="1"/>
  <c r="G778" i="36" s="1"/>
  <c r="I778" i="36" s="1"/>
  <c r="G790" i="38" s="1"/>
  <c r="I790" i="38" s="1"/>
  <c r="G795" i="40" s="1"/>
  <c r="I795" i="40" s="1"/>
  <c r="G802" i="3" s="1"/>
  <c r="I802" i="3" s="1"/>
  <c r="G825" i="44" s="1"/>
  <c r="I825" i="44" s="1"/>
  <c r="G827" i="46" s="1"/>
  <c r="I827" i="46" s="1"/>
  <c r="G827" i="48" s="1"/>
  <c r="I827" i="48" s="1"/>
  <c r="I740" i="1"/>
  <c r="G741" i="28" s="1"/>
  <c r="I741" i="28" s="1"/>
  <c r="G744" i="29" s="1"/>
  <c r="I744" i="29" s="1"/>
  <c r="G753" i="30" s="1"/>
  <c r="I753" i="30" s="1"/>
  <c r="G764" i="32" s="1"/>
  <c r="I764" i="32" s="1"/>
  <c r="G764" i="34" s="1"/>
  <c r="I764" i="34" s="1"/>
  <c r="G777" i="36" s="1"/>
  <c r="I777" i="36" s="1"/>
  <c r="G789" i="38" s="1"/>
  <c r="I789" i="38" s="1"/>
  <c r="G794" i="40" s="1"/>
  <c r="I794" i="40" s="1"/>
  <c r="G801" i="3" s="1"/>
  <c r="I801" i="3" s="1"/>
  <c r="G824" i="44" s="1"/>
  <c r="I824" i="44" s="1"/>
  <c r="G826" i="46" s="1"/>
  <c r="I826" i="46" s="1"/>
  <c r="G826" i="48" s="1"/>
  <c r="I826" i="48" s="1"/>
  <c r="I739" i="1"/>
  <c r="G740" i="28" s="1"/>
  <c r="I740" i="28" s="1"/>
  <c r="G743" i="29" s="1"/>
  <c r="I743" i="29" s="1"/>
  <c r="G752" i="30" s="1"/>
  <c r="I752" i="30" s="1"/>
  <c r="G763" i="32" s="1"/>
  <c r="I763" i="32" s="1"/>
  <c r="G763" i="34" s="1"/>
  <c r="I763" i="34" s="1"/>
  <c r="G776" i="36" s="1"/>
  <c r="I776" i="36" s="1"/>
  <c r="G788" i="38" s="1"/>
  <c r="I788" i="38" s="1"/>
  <c r="G793" i="40" s="1"/>
  <c r="I793" i="40" s="1"/>
  <c r="G800" i="3" s="1"/>
  <c r="I800" i="3" s="1"/>
  <c r="G823" i="44" s="1"/>
  <c r="I823" i="44" s="1"/>
  <c r="G825" i="46" s="1"/>
  <c r="I825" i="46" s="1"/>
  <c r="G825" i="48" s="1"/>
  <c r="I825" i="48" s="1"/>
  <c r="I738" i="1"/>
  <c r="G739" i="28" s="1"/>
  <c r="I739" i="28" s="1"/>
  <c r="G742" i="29" s="1"/>
  <c r="I742" i="29" s="1"/>
  <c r="G751" i="30" s="1"/>
  <c r="I751" i="30" s="1"/>
  <c r="G762" i="32" s="1"/>
  <c r="I762" i="32" s="1"/>
  <c r="G762" i="34" s="1"/>
  <c r="I762" i="34" s="1"/>
  <c r="G775" i="36" s="1"/>
  <c r="I775" i="36" s="1"/>
  <c r="G787" i="38" s="1"/>
  <c r="I787" i="38" s="1"/>
  <c r="G792" i="40" s="1"/>
  <c r="I792" i="40" s="1"/>
  <c r="G799" i="3" s="1"/>
  <c r="I799" i="3" s="1"/>
  <c r="G822" i="44" s="1"/>
  <c r="I822" i="44" s="1"/>
  <c r="G824" i="46" s="1"/>
  <c r="I824" i="46" s="1"/>
  <c r="G824" i="48" s="1"/>
  <c r="I824" i="48" s="1"/>
  <c r="I736" i="1"/>
  <c r="G737" i="28" s="1"/>
  <c r="I737" i="28" s="1"/>
  <c r="G740" i="29" s="1"/>
  <c r="I740" i="29" s="1"/>
  <c r="G749" i="30" s="1"/>
  <c r="I749" i="30" s="1"/>
  <c r="G760" i="32" s="1"/>
  <c r="I760" i="32" s="1"/>
  <c r="G760" i="34" s="1"/>
  <c r="I760" i="34" s="1"/>
  <c r="G773" i="36" s="1"/>
  <c r="I773" i="36" s="1"/>
  <c r="G785" i="38" s="1"/>
  <c r="I785" i="38" s="1"/>
  <c r="G790" i="40" s="1"/>
  <c r="I790" i="40" s="1"/>
  <c r="G797" i="3" s="1"/>
  <c r="I797" i="3" s="1"/>
  <c r="G820" i="44" s="1"/>
  <c r="I820" i="44" s="1"/>
  <c r="G822" i="46" s="1"/>
  <c r="I822" i="46" s="1"/>
  <c r="G822" i="48" s="1"/>
  <c r="I822" i="48" s="1"/>
  <c r="I735" i="1"/>
  <c r="G736" i="28" s="1"/>
  <c r="I736" i="28" s="1"/>
  <c r="G739" i="29" s="1"/>
  <c r="I739" i="29" s="1"/>
  <c r="G748" i="30" s="1"/>
  <c r="I748" i="30" s="1"/>
  <c r="G759" i="32" s="1"/>
  <c r="I759" i="32" s="1"/>
  <c r="G759" i="34" s="1"/>
  <c r="I759" i="34" s="1"/>
  <c r="G772" i="36" s="1"/>
  <c r="I772" i="36" s="1"/>
  <c r="G784" i="38" s="1"/>
  <c r="I784" i="38" s="1"/>
  <c r="G789" i="40" s="1"/>
  <c r="I789" i="40" s="1"/>
  <c r="G796" i="3" s="1"/>
  <c r="I796" i="3" s="1"/>
  <c r="G819" i="44" s="1"/>
  <c r="I819" i="44" s="1"/>
  <c r="G821" i="46" s="1"/>
  <c r="I821" i="46" s="1"/>
  <c r="G821" i="48" s="1"/>
  <c r="I821" i="48" s="1"/>
  <c r="I734" i="1"/>
  <c r="G735" i="28" s="1"/>
  <c r="I735" i="28" s="1"/>
  <c r="G738" i="29" s="1"/>
  <c r="I738" i="29" s="1"/>
  <c r="G747" i="30" s="1"/>
  <c r="I747" i="30" s="1"/>
  <c r="G758" i="32" s="1"/>
  <c r="I758" i="32" s="1"/>
  <c r="G758" i="34" s="1"/>
  <c r="I758" i="34" s="1"/>
  <c r="G771" i="36" s="1"/>
  <c r="I771" i="36" s="1"/>
  <c r="G782" i="38" s="1"/>
  <c r="I782" i="38" s="1"/>
  <c r="G787" i="40" s="1"/>
  <c r="I787" i="40" s="1"/>
  <c r="G794" i="3" s="1"/>
  <c r="I794" i="3" s="1"/>
  <c r="G817" i="44" s="1"/>
  <c r="I817" i="44" s="1"/>
  <c r="G819" i="46" s="1"/>
  <c r="I819" i="46" s="1"/>
  <c r="G819" i="48" s="1"/>
  <c r="I819" i="48" s="1"/>
  <c r="I733" i="1"/>
  <c r="G734" i="28" s="1"/>
  <c r="I734" i="28" s="1"/>
  <c r="G737" i="29" s="1"/>
  <c r="I737" i="29" s="1"/>
  <c r="G746" i="30" s="1"/>
  <c r="I746" i="30" s="1"/>
  <c r="G757" i="32" s="1"/>
  <c r="I757" i="32" s="1"/>
  <c r="G757" i="34" s="1"/>
  <c r="I757" i="34" s="1"/>
  <c r="G770" i="36" s="1"/>
  <c r="I770" i="36" s="1"/>
  <c r="G781" i="38" s="1"/>
  <c r="I781" i="38" s="1"/>
  <c r="G786" i="40" s="1"/>
  <c r="I786" i="40" s="1"/>
  <c r="G793" i="3" s="1"/>
  <c r="I793" i="3" s="1"/>
  <c r="G816" i="44" s="1"/>
  <c r="I816" i="44" s="1"/>
  <c r="G818" i="46" s="1"/>
  <c r="I818" i="46" s="1"/>
  <c r="G818" i="48" s="1"/>
  <c r="I818" i="48" s="1"/>
  <c r="I732" i="1"/>
  <c r="G733" i="28" s="1"/>
  <c r="I733" i="28" s="1"/>
  <c r="G736" i="29" s="1"/>
  <c r="I736" i="29" s="1"/>
  <c r="G745" i="30" s="1"/>
  <c r="I745" i="30" s="1"/>
  <c r="G756" i="32" s="1"/>
  <c r="I756" i="32" s="1"/>
  <c r="G756" i="34" s="1"/>
  <c r="I756" i="34" s="1"/>
  <c r="G769" i="36" s="1"/>
  <c r="I769" i="36" s="1"/>
  <c r="G780" i="38" s="1"/>
  <c r="I780" i="38" s="1"/>
  <c r="G785" i="40" s="1"/>
  <c r="I785" i="40" s="1"/>
  <c r="G792" i="3" s="1"/>
  <c r="I792" i="3" s="1"/>
  <c r="G815" i="44" s="1"/>
  <c r="I815" i="44" s="1"/>
  <c r="G817" i="46" s="1"/>
  <c r="I817" i="46" s="1"/>
  <c r="G817" i="48" s="1"/>
  <c r="I817" i="48" s="1"/>
  <c r="I731" i="1"/>
  <c r="G732" i="28" s="1"/>
  <c r="I732" i="28" s="1"/>
  <c r="G735" i="29" s="1"/>
  <c r="I735" i="29" s="1"/>
  <c r="G744" i="30" s="1"/>
  <c r="I744" i="30" s="1"/>
  <c r="G755" i="32" s="1"/>
  <c r="I755" i="32" s="1"/>
  <c r="G755" i="34" s="1"/>
  <c r="I755" i="34" s="1"/>
  <c r="G768" i="36" s="1"/>
  <c r="I768" i="36" s="1"/>
  <c r="G779" i="38" s="1"/>
  <c r="I779" i="38" s="1"/>
  <c r="G784" i="40" s="1"/>
  <c r="I784" i="40" s="1"/>
  <c r="G791" i="3" s="1"/>
  <c r="I791" i="3" s="1"/>
  <c r="G814" i="44" s="1"/>
  <c r="I814" i="44" s="1"/>
  <c r="G816" i="46" s="1"/>
  <c r="I816" i="46" s="1"/>
  <c r="G816" i="48" s="1"/>
  <c r="I816" i="48" s="1"/>
  <c r="I730" i="1"/>
  <c r="G731" i="28" s="1"/>
  <c r="I731" i="28" s="1"/>
  <c r="G734" i="29" s="1"/>
  <c r="I734" i="29" s="1"/>
  <c r="G743" i="30" s="1"/>
  <c r="I743" i="30" s="1"/>
  <c r="G754" i="32" s="1"/>
  <c r="I754" i="32" s="1"/>
  <c r="G754" i="34" s="1"/>
  <c r="I754" i="34" s="1"/>
  <c r="G767" i="36" s="1"/>
  <c r="I767" i="36" s="1"/>
  <c r="G778" i="38" s="1"/>
  <c r="I778" i="38" s="1"/>
  <c r="G783" i="40" s="1"/>
  <c r="I783" i="40" s="1"/>
  <c r="G790" i="3" s="1"/>
  <c r="I790" i="3" s="1"/>
  <c r="G813" i="44" s="1"/>
  <c r="I813" i="44" s="1"/>
  <c r="G815" i="46" s="1"/>
  <c r="I815" i="46" s="1"/>
  <c r="G815" i="48" s="1"/>
  <c r="I815" i="48" s="1"/>
  <c r="I729" i="1"/>
  <c r="G730" i="28" s="1"/>
  <c r="I730" i="28" s="1"/>
  <c r="G733" i="29" s="1"/>
  <c r="I733" i="29" s="1"/>
  <c r="G742" i="30" s="1"/>
  <c r="I742" i="30" s="1"/>
  <c r="G753" i="32" s="1"/>
  <c r="I753" i="32" s="1"/>
  <c r="G753" i="34" s="1"/>
  <c r="I753" i="34" s="1"/>
  <c r="G766" i="36" s="1"/>
  <c r="I766" i="36" s="1"/>
  <c r="G777" i="38" s="1"/>
  <c r="I777" i="38" s="1"/>
  <c r="G782" i="40" s="1"/>
  <c r="I782" i="40" s="1"/>
  <c r="G789" i="3" s="1"/>
  <c r="I789" i="3" s="1"/>
  <c r="G812" i="44" s="1"/>
  <c r="I812" i="44" s="1"/>
  <c r="G814" i="46" s="1"/>
  <c r="I814" i="46" s="1"/>
  <c r="G814" i="48" s="1"/>
  <c r="I814" i="48" s="1"/>
  <c r="I728" i="1"/>
  <c r="G729" i="28" s="1"/>
  <c r="I729" i="28" s="1"/>
  <c r="G732" i="29" s="1"/>
  <c r="I732" i="29" s="1"/>
  <c r="G741" i="30" s="1"/>
  <c r="I741" i="30" s="1"/>
  <c r="G752" i="32" s="1"/>
  <c r="I752" i="32" s="1"/>
  <c r="G752" i="34" s="1"/>
  <c r="I752" i="34" s="1"/>
  <c r="G765" i="36" s="1"/>
  <c r="I765" i="36" s="1"/>
  <c r="G776" i="38" s="1"/>
  <c r="I776" i="38" s="1"/>
  <c r="G780" i="40" s="1"/>
  <c r="I780" i="40" s="1"/>
  <c r="G787" i="3" s="1"/>
  <c r="I787" i="3" s="1"/>
  <c r="G810" i="44" s="1"/>
  <c r="I810" i="44" s="1"/>
  <c r="G812" i="46" s="1"/>
  <c r="I812" i="46" s="1"/>
  <c r="G812" i="48" s="1"/>
  <c r="I812" i="48" s="1"/>
  <c r="I727" i="1"/>
  <c r="G728" i="28" s="1"/>
  <c r="I728" i="28" s="1"/>
  <c r="G731" i="29" s="1"/>
  <c r="I731" i="29" s="1"/>
  <c r="G740" i="30" s="1"/>
  <c r="I740" i="30" s="1"/>
  <c r="G751" i="32" s="1"/>
  <c r="I751" i="32" s="1"/>
  <c r="G751" i="34" s="1"/>
  <c r="I751" i="34" s="1"/>
  <c r="G764" i="36" s="1"/>
  <c r="I764" i="36" s="1"/>
  <c r="G775" i="38" s="1"/>
  <c r="I775" i="38" s="1"/>
  <c r="G779" i="40" s="1"/>
  <c r="I779" i="40" s="1"/>
  <c r="G786" i="3" s="1"/>
  <c r="I786" i="3" s="1"/>
  <c r="G809" i="44" s="1"/>
  <c r="I809" i="44" s="1"/>
  <c r="G811" i="46" s="1"/>
  <c r="I811" i="46" s="1"/>
  <c r="G811" i="48" s="1"/>
  <c r="I811" i="48" s="1"/>
  <c r="G863" i="46" l="1"/>
  <c r="I863" i="46" s="1"/>
  <c r="G863" i="48"/>
  <c r="I863" i="48" s="1"/>
  <c r="G830" i="3"/>
  <c r="I830" i="3" s="1"/>
  <c r="G854" i="44"/>
  <c r="I854" i="44" s="1"/>
  <c r="G829" i="3"/>
  <c r="G853" i="44"/>
  <c r="I833" i="3"/>
  <c r="G857" i="44" s="1"/>
  <c r="I857" i="44" s="1"/>
  <c r="G870" i="3"/>
  <c r="I829" i="3"/>
  <c r="G863" i="40"/>
  <c r="G823" i="40"/>
  <c r="G786" i="34"/>
  <c r="I786" i="34" s="1"/>
  <c r="G799" i="36"/>
  <c r="I799" i="36" s="1"/>
  <c r="G811" i="38" s="1"/>
  <c r="I811" i="38" s="1"/>
  <c r="G819" i="40" s="1"/>
  <c r="I819" i="40" s="1"/>
  <c r="G775" i="30"/>
  <c r="I775" i="30" s="1"/>
  <c r="G786" i="32"/>
  <c r="I786" i="32" s="1"/>
  <c r="C13" i="5"/>
  <c r="I764" i="28"/>
  <c r="G767" i="29" s="1"/>
  <c r="I805" i="28"/>
  <c r="G809" i="29" s="1"/>
  <c r="C15" i="5"/>
  <c r="I767" i="28"/>
  <c r="G770" i="29" s="1"/>
  <c r="C14" i="5"/>
  <c r="I725" i="1"/>
  <c r="G726" i="28" s="1"/>
  <c r="I726" i="28" s="1"/>
  <c r="G729" i="29" s="1"/>
  <c r="I729" i="29" s="1"/>
  <c r="G738" i="30" s="1"/>
  <c r="I738" i="30" s="1"/>
  <c r="G749" i="32" s="1"/>
  <c r="I749" i="32" s="1"/>
  <c r="G749" i="34" s="1"/>
  <c r="I749" i="34" s="1"/>
  <c r="G762" i="36" s="1"/>
  <c r="I762" i="36" s="1"/>
  <c r="G773" i="38" s="1"/>
  <c r="I773" i="38" s="1"/>
  <c r="G777" i="40" s="1"/>
  <c r="I777" i="40" s="1"/>
  <c r="G782" i="3" s="1"/>
  <c r="I782" i="3" s="1"/>
  <c r="G796" i="44" s="1"/>
  <c r="I796" i="44" s="1"/>
  <c r="G798" i="46" s="1"/>
  <c r="I798" i="46" s="1"/>
  <c r="G798" i="48" s="1"/>
  <c r="I798" i="48" s="1"/>
  <c r="I724" i="1"/>
  <c r="G725" i="28" s="1"/>
  <c r="I725" i="28" s="1"/>
  <c r="G728" i="29" s="1"/>
  <c r="I728" i="29" s="1"/>
  <c r="G737" i="30" s="1"/>
  <c r="I737" i="30" s="1"/>
  <c r="G748" i="32" s="1"/>
  <c r="I748" i="32" s="1"/>
  <c r="G748" i="34" s="1"/>
  <c r="I748" i="34" s="1"/>
  <c r="G761" i="36" s="1"/>
  <c r="I761" i="36" s="1"/>
  <c r="G772" i="38" s="1"/>
  <c r="I772" i="38" s="1"/>
  <c r="G776" i="40" s="1"/>
  <c r="I776" i="40" s="1"/>
  <c r="G781" i="3" s="1"/>
  <c r="I781" i="3" s="1"/>
  <c r="G795" i="44" s="1"/>
  <c r="I795" i="44" s="1"/>
  <c r="G797" i="46" s="1"/>
  <c r="I797" i="46" s="1"/>
  <c r="G797" i="48" s="1"/>
  <c r="I797" i="48" s="1"/>
  <c r="I723" i="1"/>
  <c r="G724" i="28" s="1"/>
  <c r="I724" i="28" s="1"/>
  <c r="G727" i="29" s="1"/>
  <c r="I727" i="29" s="1"/>
  <c r="G736" i="30" s="1"/>
  <c r="I736" i="30" s="1"/>
  <c r="G747" i="32" s="1"/>
  <c r="I747" i="32" s="1"/>
  <c r="G747" i="34" s="1"/>
  <c r="I747" i="34" s="1"/>
  <c r="G760" i="36" s="1"/>
  <c r="I760" i="36" s="1"/>
  <c r="G771" i="38" s="1"/>
  <c r="I771" i="38" s="1"/>
  <c r="G775" i="40" s="1"/>
  <c r="I775" i="40" s="1"/>
  <c r="G780" i="3" s="1"/>
  <c r="I780" i="3" s="1"/>
  <c r="G794" i="44" s="1"/>
  <c r="I794" i="44" s="1"/>
  <c r="G796" i="46" s="1"/>
  <c r="I796" i="46" s="1"/>
  <c r="G796" i="48" s="1"/>
  <c r="I796" i="48" s="1"/>
  <c r="I722" i="1"/>
  <c r="G723" i="28" s="1"/>
  <c r="I723" i="28" s="1"/>
  <c r="G726" i="29" s="1"/>
  <c r="I726" i="29" s="1"/>
  <c r="G735" i="30" s="1"/>
  <c r="I735" i="30" s="1"/>
  <c r="G746" i="32" s="1"/>
  <c r="I746" i="32" s="1"/>
  <c r="G746" i="34" s="1"/>
  <c r="I746" i="34" s="1"/>
  <c r="G759" i="36" s="1"/>
  <c r="I759" i="36" s="1"/>
  <c r="G770" i="38" s="1"/>
  <c r="I770" i="38" s="1"/>
  <c r="G774" i="40" s="1"/>
  <c r="I774" i="40" s="1"/>
  <c r="G779" i="3" s="1"/>
  <c r="I779" i="3" s="1"/>
  <c r="G793" i="44" s="1"/>
  <c r="I793" i="44" s="1"/>
  <c r="G795" i="46" s="1"/>
  <c r="I795" i="46" s="1"/>
  <c r="G795" i="48" s="1"/>
  <c r="I795" i="48" s="1"/>
  <c r="I721" i="1"/>
  <c r="G722" i="28" s="1"/>
  <c r="I722" i="28" s="1"/>
  <c r="G725" i="29" s="1"/>
  <c r="I725" i="29" s="1"/>
  <c r="G734" i="30" s="1"/>
  <c r="I734" i="30" s="1"/>
  <c r="G745" i="32" s="1"/>
  <c r="I745" i="32" s="1"/>
  <c r="G745" i="34" s="1"/>
  <c r="I745" i="34" s="1"/>
  <c r="G758" i="36" s="1"/>
  <c r="I758" i="36" s="1"/>
  <c r="G769" i="38" s="1"/>
  <c r="I769" i="38" s="1"/>
  <c r="G773" i="40" s="1"/>
  <c r="I773" i="40" s="1"/>
  <c r="G778" i="3" s="1"/>
  <c r="I778" i="3" s="1"/>
  <c r="G792" i="44" s="1"/>
  <c r="I792" i="44" s="1"/>
  <c r="G794" i="46" s="1"/>
  <c r="I794" i="46" s="1"/>
  <c r="G794" i="48" s="1"/>
  <c r="I794" i="48" s="1"/>
  <c r="I720" i="1"/>
  <c r="G721" i="28" s="1"/>
  <c r="I721" i="28" s="1"/>
  <c r="G724" i="29" s="1"/>
  <c r="I724" i="29" s="1"/>
  <c r="G733" i="30" s="1"/>
  <c r="I733" i="30" s="1"/>
  <c r="G744" i="32" s="1"/>
  <c r="I744" i="32" s="1"/>
  <c r="G744" i="34" s="1"/>
  <c r="I744" i="34" s="1"/>
  <c r="G757" i="36" s="1"/>
  <c r="I757" i="36" s="1"/>
  <c r="G768" i="38" s="1"/>
  <c r="I768" i="38" s="1"/>
  <c r="G772" i="40" s="1"/>
  <c r="I772" i="40" s="1"/>
  <c r="G777" i="3" s="1"/>
  <c r="I777" i="3" s="1"/>
  <c r="G791" i="44" s="1"/>
  <c r="I791" i="44" s="1"/>
  <c r="G793" i="46" s="1"/>
  <c r="I793" i="46" s="1"/>
  <c r="G793" i="48" s="1"/>
  <c r="I793" i="48" s="1"/>
  <c r="I718" i="1"/>
  <c r="G719" i="28" s="1"/>
  <c r="I719" i="28" s="1"/>
  <c r="G722" i="29" s="1"/>
  <c r="I722" i="29" s="1"/>
  <c r="G731" i="30" s="1"/>
  <c r="I731" i="30" s="1"/>
  <c r="G742" i="32" s="1"/>
  <c r="I742" i="32" s="1"/>
  <c r="G742" i="34" s="1"/>
  <c r="I742" i="34" s="1"/>
  <c r="G755" i="36" s="1"/>
  <c r="I755" i="36" s="1"/>
  <c r="G766" i="38" s="1"/>
  <c r="I766" i="38" s="1"/>
  <c r="G770" i="40" s="1"/>
  <c r="I770" i="40" s="1"/>
  <c r="G775" i="3" s="1"/>
  <c r="I775" i="3" s="1"/>
  <c r="G789" i="44" s="1"/>
  <c r="I789" i="44" s="1"/>
  <c r="G791" i="46" s="1"/>
  <c r="I791" i="46" s="1"/>
  <c r="G791" i="48" s="1"/>
  <c r="I791" i="48" s="1"/>
  <c r="I716" i="1"/>
  <c r="G717" i="28" s="1"/>
  <c r="I717" i="28" s="1"/>
  <c r="G720" i="29" s="1"/>
  <c r="I720" i="29" s="1"/>
  <c r="G729" i="30" s="1"/>
  <c r="I729" i="30" s="1"/>
  <c r="G740" i="32" s="1"/>
  <c r="I740" i="32" s="1"/>
  <c r="G740" i="34" s="1"/>
  <c r="I740" i="34" s="1"/>
  <c r="G753" i="36" s="1"/>
  <c r="I753" i="36" s="1"/>
  <c r="G764" i="38" s="1"/>
  <c r="I764" i="38" s="1"/>
  <c r="G768" i="40" s="1"/>
  <c r="I768" i="40" s="1"/>
  <c r="G773" i="3" s="1"/>
  <c r="I773" i="3" s="1"/>
  <c r="G787" i="44" s="1"/>
  <c r="I787" i="44" s="1"/>
  <c r="G789" i="46" s="1"/>
  <c r="I789" i="46" s="1"/>
  <c r="G789" i="48" s="1"/>
  <c r="I789" i="48" s="1"/>
  <c r="I715" i="1"/>
  <c r="G716" i="28" s="1"/>
  <c r="I716" i="28" s="1"/>
  <c r="G719" i="29" s="1"/>
  <c r="I719" i="29" s="1"/>
  <c r="G728" i="30" s="1"/>
  <c r="I728" i="30" s="1"/>
  <c r="G739" i="32" s="1"/>
  <c r="I739" i="32" s="1"/>
  <c r="G739" i="34" s="1"/>
  <c r="I739" i="34" s="1"/>
  <c r="G752" i="36" s="1"/>
  <c r="I752" i="36" s="1"/>
  <c r="G763" i="38" s="1"/>
  <c r="I763" i="38" s="1"/>
  <c r="G767" i="40" s="1"/>
  <c r="I767" i="40" s="1"/>
  <c r="G772" i="3" s="1"/>
  <c r="I772" i="3" s="1"/>
  <c r="G786" i="44" s="1"/>
  <c r="I786" i="44" s="1"/>
  <c r="G788" i="46" s="1"/>
  <c r="I788" i="46" s="1"/>
  <c r="G788" i="48" s="1"/>
  <c r="I788" i="48" s="1"/>
  <c r="I714" i="1"/>
  <c r="G715" i="28" s="1"/>
  <c r="I715" i="28" s="1"/>
  <c r="G718" i="29" s="1"/>
  <c r="I718" i="29" s="1"/>
  <c r="G727" i="30" s="1"/>
  <c r="I727" i="30" s="1"/>
  <c r="G738" i="32" s="1"/>
  <c r="I738" i="32" s="1"/>
  <c r="G738" i="34" s="1"/>
  <c r="I738" i="34" s="1"/>
  <c r="G751" i="36" s="1"/>
  <c r="I751" i="36" s="1"/>
  <c r="G762" i="38" s="1"/>
  <c r="I762" i="38" s="1"/>
  <c r="G766" i="40" s="1"/>
  <c r="I766" i="40" s="1"/>
  <c r="G771" i="3" s="1"/>
  <c r="I771" i="3" s="1"/>
  <c r="G785" i="44" s="1"/>
  <c r="I785" i="44" s="1"/>
  <c r="G787" i="46" s="1"/>
  <c r="I787" i="46" s="1"/>
  <c r="G787" i="48" s="1"/>
  <c r="I787" i="48" s="1"/>
  <c r="I713" i="1"/>
  <c r="G714" i="28" s="1"/>
  <c r="I714" i="28" s="1"/>
  <c r="G717" i="29" s="1"/>
  <c r="I717" i="29" s="1"/>
  <c r="G726" i="30" s="1"/>
  <c r="I726" i="30" s="1"/>
  <c r="G737" i="32" s="1"/>
  <c r="I737" i="32" s="1"/>
  <c r="G737" i="34" s="1"/>
  <c r="I737" i="34" s="1"/>
  <c r="G750" i="36" s="1"/>
  <c r="I750" i="36" s="1"/>
  <c r="G761" i="38" s="1"/>
  <c r="I761" i="38" s="1"/>
  <c r="G765" i="40" s="1"/>
  <c r="I765" i="40" s="1"/>
  <c r="G770" i="3" s="1"/>
  <c r="I770" i="3" s="1"/>
  <c r="G784" i="44" s="1"/>
  <c r="I784" i="44" s="1"/>
  <c r="G786" i="46" s="1"/>
  <c r="I786" i="46" s="1"/>
  <c r="G786" i="48" s="1"/>
  <c r="I786" i="48" s="1"/>
  <c r="I712" i="1"/>
  <c r="G713" i="28" s="1"/>
  <c r="I713" i="28" s="1"/>
  <c r="G716" i="29" s="1"/>
  <c r="I716" i="29" s="1"/>
  <c r="G725" i="30" s="1"/>
  <c r="I725" i="30" s="1"/>
  <c r="G736" i="32" s="1"/>
  <c r="I736" i="32" s="1"/>
  <c r="G736" i="34" s="1"/>
  <c r="I736" i="34" s="1"/>
  <c r="G749" i="36" s="1"/>
  <c r="I749" i="36" s="1"/>
  <c r="G760" i="38" s="1"/>
  <c r="I760" i="38" s="1"/>
  <c r="G764" i="40" s="1"/>
  <c r="I764" i="40" s="1"/>
  <c r="G769" i="3" s="1"/>
  <c r="I769" i="3" s="1"/>
  <c r="G783" i="44" s="1"/>
  <c r="I783" i="44" s="1"/>
  <c r="G785" i="46" s="1"/>
  <c r="I785" i="46" s="1"/>
  <c r="G785" i="48" s="1"/>
  <c r="I785" i="48" s="1"/>
  <c r="I711" i="1"/>
  <c r="G712" i="28" s="1"/>
  <c r="I712" i="28" s="1"/>
  <c r="G715" i="29" s="1"/>
  <c r="I715" i="29" s="1"/>
  <c r="G724" i="30" s="1"/>
  <c r="I724" i="30" s="1"/>
  <c r="G735" i="32" s="1"/>
  <c r="I735" i="32" s="1"/>
  <c r="G735" i="34" s="1"/>
  <c r="I735" i="34" s="1"/>
  <c r="G748" i="36" s="1"/>
  <c r="I748" i="36" s="1"/>
  <c r="G759" i="38" s="1"/>
  <c r="I759" i="38" s="1"/>
  <c r="G763" i="40" s="1"/>
  <c r="I763" i="40" s="1"/>
  <c r="G768" i="3" s="1"/>
  <c r="I768" i="3" s="1"/>
  <c r="G782" i="44" s="1"/>
  <c r="I782" i="44" s="1"/>
  <c r="G784" i="46" s="1"/>
  <c r="I784" i="46" s="1"/>
  <c r="G784" i="48" s="1"/>
  <c r="I784" i="48" s="1"/>
  <c r="I710" i="1"/>
  <c r="G711" i="28" s="1"/>
  <c r="I711" i="28" s="1"/>
  <c r="G714" i="29" s="1"/>
  <c r="I714" i="29" s="1"/>
  <c r="G723" i="30" s="1"/>
  <c r="I723" i="30" s="1"/>
  <c r="G734" i="32" s="1"/>
  <c r="I734" i="32" s="1"/>
  <c r="G734" i="34" s="1"/>
  <c r="I734" i="34" s="1"/>
  <c r="G747" i="36" s="1"/>
  <c r="I747" i="36" s="1"/>
  <c r="G758" i="38" s="1"/>
  <c r="I758" i="38" s="1"/>
  <c r="G762" i="40" s="1"/>
  <c r="I762" i="40" s="1"/>
  <c r="G767" i="3" s="1"/>
  <c r="I767" i="3" s="1"/>
  <c r="G781" i="44" s="1"/>
  <c r="I781" i="44" s="1"/>
  <c r="G783" i="46" s="1"/>
  <c r="I783" i="46" s="1"/>
  <c r="G783" i="48" s="1"/>
  <c r="I783" i="48" s="1"/>
  <c r="I708" i="1"/>
  <c r="G709" i="28" s="1"/>
  <c r="I709" i="28" s="1"/>
  <c r="G712" i="29" s="1"/>
  <c r="I712" i="29" s="1"/>
  <c r="G721" i="30" s="1"/>
  <c r="I721" i="30" s="1"/>
  <c r="G732" i="32" s="1"/>
  <c r="I732" i="32" s="1"/>
  <c r="G732" i="34" s="1"/>
  <c r="I732" i="34" s="1"/>
  <c r="G745" i="36" s="1"/>
  <c r="I745" i="36" s="1"/>
  <c r="G756" i="38" s="1"/>
  <c r="I756" i="38" s="1"/>
  <c r="G760" i="40" s="1"/>
  <c r="I760" i="40" s="1"/>
  <c r="G765" i="3" s="1"/>
  <c r="I765" i="3" s="1"/>
  <c r="G779" i="44" s="1"/>
  <c r="I779" i="44" s="1"/>
  <c r="G781" i="46" s="1"/>
  <c r="I781" i="46" s="1"/>
  <c r="G781" i="48" s="1"/>
  <c r="I781" i="48" s="1"/>
  <c r="I707" i="1"/>
  <c r="G708" i="28" s="1"/>
  <c r="I708" i="28" s="1"/>
  <c r="G711" i="29" s="1"/>
  <c r="I711" i="29" s="1"/>
  <c r="G720" i="30" s="1"/>
  <c r="I720" i="30" s="1"/>
  <c r="G731" i="32" s="1"/>
  <c r="I731" i="32" s="1"/>
  <c r="G731" i="34" s="1"/>
  <c r="I731" i="34" s="1"/>
  <c r="G744" i="36" s="1"/>
  <c r="I744" i="36" s="1"/>
  <c r="G755" i="38" s="1"/>
  <c r="I755" i="38" s="1"/>
  <c r="G759" i="40" s="1"/>
  <c r="I759" i="40" s="1"/>
  <c r="G764" i="3" s="1"/>
  <c r="I764" i="3" s="1"/>
  <c r="G778" i="44" s="1"/>
  <c r="I778" i="44" s="1"/>
  <c r="G780" i="46" s="1"/>
  <c r="I780" i="46" s="1"/>
  <c r="G780" i="48" s="1"/>
  <c r="I780" i="48" s="1"/>
  <c r="I706" i="1"/>
  <c r="G707" i="28" s="1"/>
  <c r="I707" i="28" s="1"/>
  <c r="G710" i="29" s="1"/>
  <c r="I710" i="29" s="1"/>
  <c r="G719" i="30" s="1"/>
  <c r="I719" i="30" s="1"/>
  <c r="G730" i="32" s="1"/>
  <c r="I730" i="32" s="1"/>
  <c r="G730" i="34" s="1"/>
  <c r="I730" i="34" s="1"/>
  <c r="G743" i="36" s="1"/>
  <c r="I743" i="36" s="1"/>
  <c r="G754" i="38" s="1"/>
  <c r="I754" i="38" s="1"/>
  <c r="G758" i="40" s="1"/>
  <c r="I758" i="40" s="1"/>
  <c r="G763" i="3" s="1"/>
  <c r="I763" i="3" s="1"/>
  <c r="G777" i="44" s="1"/>
  <c r="I777" i="44" s="1"/>
  <c r="G779" i="46" s="1"/>
  <c r="I779" i="46" s="1"/>
  <c r="G779" i="48" s="1"/>
  <c r="I779" i="48" s="1"/>
  <c r="I705" i="1"/>
  <c r="G706" i="28" s="1"/>
  <c r="I706" i="28" s="1"/>
  <c r="G709" i="29" s="1"/>
  <c r="I709" i="29" s="1"/>
  <c r="G718" i="30" s="1"/>
  <c r="I718" i="30" s="1"/>
  <c r="G729" i="32" s="1"/>
  <c r="I729" i="32" s="1"/>
  <c r="G729" i="34" s="1"/>
  <c r="I729" i="34" s="1"/>
  <c r="G742" i="36" s="1"/>
  <c r="I742" i="36" s="1"/>
  <c r="G753" i="38" s="1"/>
  <c r="I753" i="38" s="1"/>
  <c r="G757" i="40" s="1"/>
  <c r="I757" i="40" s="1"/>
  <c r="G762" i="3" s="1"/>
  <c r="I762" i="3" s="1"/>
  <c r="G776" i="44" s="1"/>
  <c r="I776" i="44" s="1"/>
  <c r="G778" i="46" s="1"/>
  <c r="I778" i="46" s="1"/>
  <c r="G778" i="48" s="1"/>
  <c r="I778" i="48" s="1"/>
  <c r="I704" i="1"/>
  <c r="G705" i="28" s="1"/>
  <c r="I705" i="28" s="1"/>
  <c r="G708" i="29" s="1"/>
  <c r="I708" i="29" s="1"/>
  <c r="G717" i="30" s="1"/>
  <c r="I717" i="30" s="1"/>
  <c r="G728" i="32" s="1"/>
  <c r="I728" i="32" s="1"/>
  <c r="G728" i="34" s="1"/>
  <c r="I728" i="34" s="1"/>
  <c r="G741" i="36" s="1"/>
  <c r="I741" i="36" s="1"/>
  <c r="G752" i="38" s="1"/>
  <c r="I752" i="38" s="1"/>
  <c r="G756" i="40" s="1"/>
  <c r="I756" i="40" s="1"/>
  <c r="G761" i="3" s="1"/>
  <c r="I761" i="3" s="1"/>
  <c r="G775" i="44" s="1"/>
  <c r="I775" i="44" s="1"/>
  <c r="G777" i="46" s="1"/>
  <c r="I777" i="46" s="1"/>
  <c r="G777" i="48" s="1"/>
  <c r="I777" i="48" s="1"/>
  <c r="I703" i="1"/>
  <c r="G704" i="28" s="1"/>
  <c r="I704" i="28" s="1"/>
  <c r="G707" i="29" s="1"/>
  <c r="I707" i="29" s="1"/>
  <c r="G716" i="30" s="1"/>
  <c r="I716" i="30" s="1"/>
  <c r="G727" i="32" s="1"/>
  <c r="I727" i="32" s="1"/>
  <c r="G727" i="34" s="1"/>
  <c r="I727" i="34" s="1"/>
  <c r="G740" i="36" s="1"/>
  <c r="I740" i="36" s="1"/>
  <c r="G751" i="38" s="1"/>
  <c r="I751" i="38" s="1"/>
  <c r="G755" i="40" s="1"/>
  <c r="I755" i="40" s="1"/>
  <c r="G760" i="3" s="1"/>
  <c r="I760" i="3" s="1"/>
  <c r="G774" i="44" s="1"/>
  <c r="I774" i="44" s="1"/>
  <c r="G776" i="46" s="1"/>
  <c r="I776" i="46" s="1"/>
  <c r="G776" i="48" s="1"/>
  <c r="I776" i="48" s="1"/>
  <c r="I702" i="1"/>
  <c r="G703" i="28" s="1"/>
  <c r="I703" i="28" s="1"/>
  <c r="G706" i="29" s="1"/>
  <c r="I706" i="29" s="1"/>
  <c r="G715" i="30" s="1"/>
  <c r="I715" i="30" s="1"/>
  <c r="G726" i="32" s="1"/>
  <c r="I726" i="32" s="1"/>
  <c r="G726" i="34" s="1"/>
  <c r="I726" i="34" s="1"/>
  <c r="G739" i="36" s="1"/>
  <c r="I739" i="36" s="1"/>
  <c r="G750" i="38" s="1"/>
  <c r="I750" i="38" s="1"/>
  <c r="G754" i="40" s="1"/>
  <c r="I754" i="40" s="1"/>
  <c r="G759" i="3" s="1"/>
  <c r="I759" i="3" s="1"/>
  <c r="G773" i="44" s="1"/>
  <c r="I773" i="44" s="1"/>
  <c r="G775" i="46" s="1"/>
  <c r="I775" i="46" s="1"/>
  <c r="G775" i="48" s="1"/>
  <c r="I775" i="48" s="1"/>
  <c r="I700" i="1"/>
  <c r="G701" i="28" s="1"/>
  <c r="I701" i="28" s="1"/>
  <c r="G704" i="29" s="1"/>
  <c r="I704" i="29" s="1"/>
  <c r="G713" i="30" s="1"/>
  <c r="I713" i="30" s="1"/>
  <c r="G724" i="32" s="1"/>
  <c r="I724" i="32" s="1"/>
  <c r="G724" i="34" s="1"/>
  <c r="I724" i="34" s="1"/>
  <c r="G737" i="36" s="1"/>
  <c r="I737" i="36" s="1"/>
  <c r="G748" i="38" s="1"/>
  <c r="I748" i="38" s="1"/>
  <c r="G752" i="40" s="1"/>
  <c r="I752" i="40" s="1"/>
  <c r="G757" i="3" s="1"/>
  <c r="I757" i="3" s="1"/>
  <c r="G771" i="44" s="1"/>
  <c r="I771" i="44" s="1"/>
  <c r="G773" i="46" s="1"/>
  <c r="I773" i="46" s="1"/>
  <c r="G773" i="48" s="1"/>
  <c r="I773" i="48" s="1"/>
  <c r="I699" i="1"/>
  <c r="G700" i="28" s="1"/>
  <c r="I700" i="28" s="1"/>
  <c r="G703" i="29" s="1"/>
  <c r="I703" i="29" s="1"/>
  <c r="G712" i="30" s="1"/>
  <c r="I712" i="30" s="1"/>
  <c r="G723" i="32" s="1"/>
  <c r="I723" i="32" s="1"/>
  <c r="G723" i="34" s="1"/>
  <c r="I723" i="34" s="1"/>
  <c r="G736" i="36" s="1"/>
  <c r="I736" i="36" s="1"/>
  <c r="G747" i="38" s="1"/>
  <c r="I747" i="38" s="1"/>
  <c r="G751" i="40" s="1"/>
  <c r="I751" i="40" s="1"/>
  <c r="G756" i="3" s="1"/>
  <c r="I756" i="3" s="1"/>
  <c r="G770" i="44" s="1"/>
  <c r="I770" i="44" s="1"/>
  <c r="G772" i="46" s="1"/>
  <c r="I772" i="46" s="1"/>
  <c r="G772" i="48" s="1"/>
  <c r="I772" i="48" s="1"/>
  <c r="I698" i="1"/>
  <c r="G699" i="28" s="1"/>
  <c r="I699" i="28" s="1"/>
  <c r="G702" i="29" s="1"/>
  <c r="I702" i="29" s="1"/>
  <c r="G711" i="30" s="1"/>
  <c r="I711" i="30" s="1"/>
  <c r="G722" i="32" s="1"/>
  <c r="I722" i="32" s="1"/>
  <c r="G722" i="34" s="1"/>
  <c r="I722" i="34" s="1"/>
  <c r="G735" i="36" s="1"/>
  <c r="I735" i="36" s="1"/>
  <c r="G746" i="38" s="1"/>
  <c r="I746" i="38" s="1"/>
  <c r="G750" i="40" s="1"/>
  <c r="I750" i="40" s="1"/>
  <c r="G755" i="3" s="1"/>
  <c r="I755" i="3" s="1"/>
  <c r="G769" i="44" s="1"/>
  <c r="I769" i="44" s="1"/>
  <c r="G771" i="46" s="1"/>
  <c r="I771" i="46" s="1"/>
  <c r="G771" i="48" s="1"/>
  <c r="I771" i="48" s="1"/>
  <c r="I697" i="1"/>
  <c r="G698" i="28" s="1"/>
  <c r="I698" i="28" s="1"/>
  <c r="G701" i="29" s="1"/>
  <c r="I701" i="29" s="1"/>
  <c r="G710" i="30" s="1"/>
  <c r="I710" i="30" s="1"/>
  <c r="G721" i="32" s="1"/>
  <c r="I721" i="32" s="1"/>
  <c r="G721" i="34" s="1"/>
  <c r="I721" i="34" s="1"/>
  <c r="G734" i="36" s="1"/>
  <c r="I734" i="36" s="1"/>
  <c r="G745" i="38" s="1"/>
  <c r="I745" i="38" s="1"/>
  <c r="G749" i="40" s="1"/>
  <c r="I749" i="40" s="1"/>
  <c r="G754" i="3" s="1"/>
  <c r="I754" i="3" s="1"/>
  <c r="G768" i="44" s="1"/>
  <c r="I768" i="44" s="1"/>
  <c r="G770" i="46" s="1"/>
  <c r="I770" i="46" s="1"/>
  <c r="G770" i="48" s="1"/>
  <c r="I770" i="48" s="1"/>
  <c r="I696" i="1"/>
  <c r="G697" i="28" s="1"/>
  <c r="I697" i="28" s="1"/>
  <c r="G700" i="29" s="1"/>
  <c r="I700" i="29" s="1"/>
  <c r="G709" i="30" s="1"/>
  <c r="I709" i="30" s="1"/>
  <c r="G720" i="32" s="1"/>
  <c r="I720" i="32" s="1"/>
  <c r="G720" i="34" s="1"/>
  <c r="I720" i="34" s="1"/>
  <c r="G733" i="36" s="1"/>
  <c r="I733" i="36" s="1"/>
  <c r="G744" i="38" s="1"/>
  <c r="I744" i="38" s="1"/>
  <c r="G748" i="40" s="1"/>
  <c r="I748" i="40" s="1"/>
  <c r="G753" i="3" s="1"/>
  <c r="I753" i="3" s="1"/>
  <c r="G767" i="44" s="1"/>
  <c r="I767" i="44" s="1"/>
  <c r="G769" i="46" s="1"/>
  <c r="I769" i="46" s="1"/>
  <c r="G769" i="48" s="1"/>
  <c r="I769" i="48" s="1"/>
  <c r="I695" i="1"/>
  <c r="G696" i="28" s="1"/>
  <c r="I696" i="28" s="1"/>
  <c r="G699" i="29" s="1"/>
  <c r="I699" i="29" s="1"/>
  <c r="G708" i="30" s="1"/>
  <c r="I708" i="30" s="1"/>
  <c r="G719" i="32" s="1"/>
  <c r="I719" i="32" s="1"/>
  <c r="G719" i="34" s="1"/>
  <c r="I719" i="34" s="1"/>
  <c r="G732" i="36" s="1"/>
  <c r="I732" i="36" s="1"/>
  <c r="G743" i="38" s="1"/>
  <c r="I743" i="38" s="1"/>
  <c r="G747" i="40" s="1"/>
  <c r="I747" i="40" s="1"/>
  <c r="G752" i="3" s="1"/>
  <c r="I752" i="3" s="1"/>
  <c r="G766" i="44" s="1"/>
  <c r="I766" i="44" s="1"/>
  <c r="G768" i="46" s="1"/>
  <c r="I768" i="46" s="1"/>
  <c r="G768" i="48" s="1"/>
  <c r="I768" i="48" s="1"/>
  <c r="I694" i="1"/>
  <c r="G695" i="28" s="1"/>
  <c r="I695" i="28" s="1"/>
  <c r="G698" i="29" s="1"/>
  <c r="I698" i="29" s="1"/>
  <c r="G707" i="30" s="1"/>
  <c r="I707" i="30" s="1"/>
  <c r="G718" i="32" s="1"/>
  <c r="I718" i="32" s="1"/>
  <c r="G718" i="34" s="1"/>
  <c r="I718" i="34" s="1"/>
  <c r="G731" i="36" s="1"/>
  <c r="I731" i="36" s="1"/>
  <c r="G742" i="38" s="1"/>
  <c r="I742" i="38" s="1"/>
  <c r="G746" i="40" s="1"/>
  <c r="I746" i="40" s="1"/>
  <c r="G751" i="3" s="1"/>
  <c r="I751" i="3" s="1"/>
  <c r="G765" i="44" s="1"/>
  <c r="I765" i="44" s="1"/>
  <c r="G767" i="46" s="1"/>
  <c r="I767" i="46" s="1"/>
  <c r="G767" i="48" s="1"/>
  <c r="I767" i="48" s="1"/>
  <c r="I692" i="1"/>
  <c r="G693" i="28" s="1"/>
  <c r="I693" i="28" s="1"/>
  <c r="G696" i="29" s="1"/>
  <c r="I696" i="29" s="1"/>
  <c r="G705" i="30" s="1"/>
  <c r="I705" i="30" s="1"/>
  <c r="G716" i="32" s="1"/>
  <c r="I716" i="32" s="1"/>
  <c r="G716" i="34" s="1"/>
  <c r="I716" i="34" s="1"/>
  <c r="G729" i="36" s="1"/>
  <c r="I729" i="36" s="1"/>
  <c r="G740" i="38" s="1"/>
  <c r="I740" i="38" s="1"/>
  <c r="G744" i="40" s="1"/>
  <c r="I744" i="40" s="1"/>
  <c r="G749" i="3" s="1"/>
  <c r="I749" i="3" s="1"/>
  <c r="G763" i="44" s="1"/>
  <c r="I763" i="44" s="1"/>
  <c r="G765" i="46" s="1"/>
  <c r="I765" i="46" s="1"/>
  <c r="G765" i="48" s="1"/>
  <c r="I765" i="48" s="1"/>
  <c r="I691" i="1"/>
  <c r="G692" i="28" s="1"/>
  <c r="I692" i="28" s="1"/>
  <c r="G695" i="29" s="1"/>
  <c r="I695" i="29" s="1"/>
  <c r="G704" i="30" s="1"/>
  <c r="I704" i="30" s="1"/>
  <c r="G715" i="32" s="1"/>
  <c r="I715" i="32" s="1"/>
  <c r="G715" i="34" s="1"/>
  <c r="I715" i="34" s="1"/>
  <c r="G728" i="36" s="1"/>
  <c r="I728" i="36" s="1"/>
  <c r="G739" i="38" s="1"/>
  <c r="I739" i="38" s="1"/>
  <c r="G743" i="40" s="1"/>
  <c r="I743" i="40" s="1"/>
  <c r="G748" i="3" s="1"/>
  <c r="I748" i="3" s="1"/>
  <c r="G762" i="44" s="1"/>
  <c r="I762" i="44" s="1"/>
  <c r="G764" i="46" s="1"/>
  <c r="I764" i="46" s="1"/>
  <c r="G764" i="48" s="1"/>
  <c r="I764" i="48" s="1"/>
  <c r="I690" i="1"/>
  <c r="G691" i="28" s="1"/>
  <c r="I691" i="28" s="1"/>
  <c r="G694" i="29" s="1"/>
  <c r="I694" i="29" s="1"/>
  <c r="G703" i="30" s="1"/>
  <c r="I703" i="30" s="1"/>
  <c r="G714" i="32" s="1"/>
  <c r="I714" i="32" s="1"/>
  <c r="G714" i="34" s="1"/>
  <c r="I714" i="34" s="1"/>
  <c r="G727" i="36" s="1"/>
  <c r="I727" i="36" s="1"/>
  <c r="G738" i="38" s="1"/>
  <c r="I738" i="38" s="1"/>
  <c r="G742" i="40" s="1"/>
  <c r="I742" i="40" s="1"/>
  <c r="G747" i="3" s="1"/>
  <c r="I747" i="3" s="1"/>
  <c r="G761" i="44" s="1"/>
  <c r="I761" i="44" s="1"/>
  <c r="G763" i="46" s="1"/>
  <c r="I763" i="46" s="1"/>
  <c r="G763" i="48" s="1"/>
  <c r="I763" i="48" s="1"/>
  <c r="I689" i="1"/>
  <c r="G690" i="28" s="1"/>
  <c r="I690" i="28" s="1"/>
  <c r="G693" i="29" s="1"/>
  <c r="I693" i="29" s="1"/>
  <c r="G702" i="30" s="1"/>
  <c r="I702" i="30" s="1"/>
  <c r="G713" i="32" s="1"/>
  <c r="I713" i="32" s="1"/>
  <c r="G713" i="34" s="1"/>
  <c r="I713" i="34" s="1"/>
  <c r="G726" i="36" s="1"/>
  <c r="I726" i="36" s="1"/>
  <c r="G737" i="38" s="1"/>
  <c r="I737" i="38" s="1"/>
  <c r="G741" i="40" s="1"/>
  <c r="I741" i="40" s="1"/>
  <c r="G746" i="3" s="1"/>
  <c r="I746" i="3" s="1"/>
  <c r="G760" i="44" s="1"/>
  <c r="I760" i="44" s="1"/>
  <c r="G762" i="46" s="1"/>
  <c r="I762" i="46" s="1"/>
  <c r="G762" i="48" s="1"/>
  <c r="I762" i="48" s="1"/>
  <c r="I688" i="1"/>
  <c r="G689" i="28" s="1"/>
  <c r="I689" i="28" s="1"/>
  <c r="G692" i="29" s="1"/>
  <c r="I692" i="29" s="1"/>
  <c r="G701" i="30" s="1"/>
  <c r="I701" i="30" s="1"/>
  <c r="G712" i="32" s="1"/>
  <c r="I712" i="32" s="1"/>
  <c r="G712" i="34" s="1"/>
  <c r="I712" i="34" s="1"/>
  <c r="G725" i="36" s="1"/>
  <c r="I725" i="36" s="1"/>
  <c r="G736" i="38" s="1"/>
  <c r="I736" i="38" s="1"/>
  <c r="G740" i="40" s="1"/>
  <c r="I740" i="40" s="1"/>
  <c r="G745" i="3" s="1"/>
  <c r="I745" i="3" s="1"/>
  <c r="G759" i="44" s="1"/>
  <c r="I759" i="44" s="1"/>
  <c r="G761" i="46" s="1"/>
  <c r="I761" i="46" s="1"/>
  <c r="G761" i="48" s="1"/>
  <c r="I761" i="48" s="1"/>
  <c r="I687" i="1"/>
  <c r="G688" i="28" s="1"/>
  <c r="I688" i="28" s="1"/>
  <c r="G691" i="29" s="1"/>
  <c r="I691" i="29" s="1"/>
  <c r="G700" i="30" s="1"/>
  <c r="I700" i="30" s="1"/>
  <c r="G711" i="32" s="1"/>
  <c r="I711" i="32" s="1"/>
  <c r="G711" i="34" s="1"/>
  <c r="I711" i="34" s="1"/>
  <c r="G724" i="36" s="1"/>
  <c r="I724" i="36" s="1"/>
  <c r="G735" i="38" s="1"/>
  <c r="I735" i="38" s="1"/>
  <c r="G739" i="40" s="1"/>
  <c r="I739" i="40" s="1"/>
  <c r="G744" i="3" s="1"/>
  <c r="I744" i="3" s="1"/>
  <c r="G758" i="44" s="1"/>
  <c r="I758" i="44" s="1"/>
  <c r="G760" i="46" s="1"/>
  <c r="I760" i="46" s="1"/>
  <c r="G760" i="48" s="1"/>
  <c r="I760" i="48" s="1"/>
  <c r="I686" i="1"/>
  <c r="G687" i="28" s="1"/>
  <c r="I687" i="28" s="1"/>
  <c r="G690" i="29" s="1"/>
  <c r="I690" i="29" s="1"/>
  <c r="G699" i="30" s="1"/>
  <c r="I699" i="30" s="1"/>
  <c r="G710" i="32" s="1"/>
  <c r="I710" i="32" s="1"/>
  <c r="G710" i="34" s="1"/>
  <c r="I710" i="34" s="1"/>
  <c r="G723" i="36" s="1"/>
  <c r="I723" i="36" s="1"/>
  <c r="G734" i="38" s="1"/>
  <c r="I734" i="38" s="1"/>
  <c r="G738" i="40" s="1"/>
  <c r="I738" i="40" s="1"/>
  <c r="G743" i="3" s="1"/>
  <c r="I743" i="3" s="1"/>
  <c r="G757" i="44" s="1"/>
  <c r="I757" i="44" s="1"/>
  <c r="G759" i="46" s="1"/>
  <c r="I759" i="46" s="1"/>
  <c r="G759" i="48" s="1"/>
  <c r="I759" i="48" s="1"/>
  <c r="I684" i="1"/>
  <c r="G685" i="28" s="1"/>
  <c r="I685" i="28" s="1"/>
  <c r="G688" i="29" s="1"/>
  <c r="I688" i="29" s="1"/>
  <c r="G697" i="30" s="1"/>
  <c r="I697" i="30" s="1"/>
  <c r="G708" i="32" s="1"/>
  <c r="I708" i="32" s="1"/>
  <c r="G708" i="34" s="1"/>
  <c r="I708" i="34" s="1"/>
  <c r="G721" i="36" s="1"/>
  <c r="I721" i="36" s="1"/>
  <c r="G732" i="38" s="1"/>
  <c r="I732" i="38" s="1"/>
  <c r="G736" i="40" s="1"/>
  <c r="I736" i="40" s="1"/>
  <c r="G741" i="3" s="1"/>
  <c r="I741" i="3" s="1"/>
  <c r="G755" i="44" s="1"/>
  <c r="I755" i="44" s="1"/>
  <c r="G757" i="46" s="1"/>
  <c r="I757" i="46" s="1"/>
  <c r="G757" i="48" s="1"/>
  <c r="I757" i="48" s="1"/>
  <c r="I683" i="1"/>
  <c r="G684" i="28" s="1"/>
  <c r="I684" i="28" s="1"/>
  <c r="G687" i="29" s="1"/>
  <c r="I687" i="29" s="1"/>
  <c r="G696" i="30" s="1"/>
  <c r="I696" i="30" s="1"/>
  <c r="G707" i="32" s="1"/>
  <c r="I707" i="32" s="1"/>
  <c r="G707" i="34" s="1"/>
  <c r="I707" i="34" s="1"/>
  <c r="G720" i="36" s="1"/>
  <c r="I720" i="36" s="1"/>
  <c r="G731" i="38" s="1"/>
  <c r="I731" i="38" s="1"/>
  <c r="G735" i="40" s="1"/>
  <c r="I735" i="40" s="1"/>
  <c r="G740" i="3" s="1"/>
  <c r="I740" i="3" s="1"/>
  <c r="G754" i="44" s="1"/>
  <c r="I754" i="44" s="1"/>
  <c r="G756" i="46" s="1"/>
  <c r="I756" i="46" s="1"/>
  <c r="G756" i="48" s="1"/>
  <c r="I756" i="48" s="1"/>
  <c r="I682" i="1"/>
  <c r="G683" i="28" s="1"/>
  <c r="I683" i="28" s="1"/>
  <c r="G686" i="29" s="1"/>
  <c r="I686" i="29" s="1"/>
  <c r="G695" i="30" s="1"/>
  <c r="I695" i="30" s="1"/>
  <c r="G706" i="32" s="1"/>
  <c r="I706" i="32" s="1"/>
  <c r="G706" i="34" s="1"/>
  <c r="I706" i="34" s="1"/>
  <c r="G719" i="36" s="1"/>
  <c r="I719" i="36" s="1"/>
  <c r="G730" i="38" s="1"/>
  <c r="I730" i="38" s="1"/>
  <c r="G734" i="40" s="1"/>
  <c r="I734" i="40" s="1"/>
  <c r="G739" i="3" s="1"/>
  <c r="I739" i="3" s="1"/>
  <c r="G753" i="44" s="1"/>
  <c r="I753" i="44" s="1"/>
  <c r="G755" i="46" s="1"/>
  <c r="I755" i="46" s="1"/>
  <c r="G755" i="48" s="1"/>
  <c r="I755" i="48" s="1"/>
  <c r="I681" i="1"/>
  <c r="G682" i="28" s="1"/>
  <c r="I682" i="28" s="1"/>
  <c r="G685" i="29" s="1"/>
  <c r="I685" i="29" s="1"/>
  <c r="G694" i="30" s="1"/>
  <c r="I694" i="30" s="1"/>
  <c r="G705" i="32" s="1"/>
  <c r="I705" i="32" s="1"/>
  <c r="G705" i="34" s="1"/>
  <c r="I705" i="34" s="1"/>
  <c r="G718" i="36" s="1"/>
  <c r="I718" i="36" s="1"/>
  <c r="G729" i="38" s="1"/>
  <c r="I729" i="38" s="1"/>
  <c r="G733" i="40" s="1"/>
  <c r="I733" i="40" s="1"/>
  <c r="G738" i="3" s="1"/>
  <c r="I738" i="3" s="1"/>
  <c r="G752" i="44" s="1"/>
  <c r="I752" i="44" s="1"/>
  <c r="G754" i="46" s="1"/>
  <c r="I754" i="46" s="1"/>
  <c r="G754" i="48" s="1"/>
  <c r="I754" i="48" s="1"/>
  <c r="I680" i="1"/>
  <c r="G681" i="28" s="1"/>
  <c r="I681" i="28" s="1"/>
  <c r="G684" i="29" s="1"/>
  <c r="I684" i="29" s="1"/>
  <c r="G693" i="30" s="1"/>
  <c r="I693" i="30" s="1"/>
  <c r="G704" i="32" s="1"/>
  <c r="I704" i="32" s="1"/>
  <c r="G704" i="34" s="1"/>
  <c r="I704" i="34" s="1"/>
  <c r="G717" i="36" s="1"/>
  <c r="I717" i="36" s="1"/>
  <c r="G728" i="38" s="1"/>
  <c r="I728" i="38" s="1"/>
  <c r="G732" i="40" s="1"/>
  <c r="I732" i="40" s="1"/>
  <c r="G737" i="3" s="1"/>
  <c r="I737" i="3" s="1"/>
  <c r="G751" i="44" s="1"/>
  <c r="I751" i="44" s="1"/>
  <c r="G753" i="46" s="1"/>
  <c r="I753" i="46" s="1"/>
  <c r="G753" i="48" s="1"/>
  <c r="I753" i="48" s="1"/>
  <c r="I679" i="1"/>
  <c r="G680" i="28" s="1"/>
  <c r="I680" i="28" s="1"/>
  <c r="G683" i="29" s="1"/>
  <c r="I683" i="29" s="1"/>
  <c r="G692" i="30" s="1"/>
  <c r="I692" i="30" s="1"/>
  <c r="G703" i="32" s="1"/>
  <c r="I703" i="32" s="1"/>
  <c r="G703" i="34" s="1"/>
  <c r="I703" i="34" s="1"/>
  <c r="G716" i="36" s="1"/>
  <c r="I716" i="36" s="1"/>
  <c r="G727" i="38" s="1"/>
  <c r="I727" i="38" s="1"/>
  <c r="G731" i="40" s="1"/>
  <c r="I731" i="40" s="1"/>
  <c r="G736" i="3" s="1"/>
  <c r="I736" i="3" s="1"/>
  <c r="G750" i="44" s="1"/>
  <c r="I750" i="44" s="1"/>
  <c r="G752" i="46" s="1"/>
  <c r="I752" i="46" s="1"/>
  <c r="G752" i="48" s="1"/>
  <c r="I752" i="48" s="1"/>
  <c r="I678" i="1"/>
  <c r="G679" i="28" s="1"/>
  <c r="I679" i="28" s="1"/>
  <c r="G682" i="29" s="1"/>
  <c r="I682" i="29" s="1"/>
  <c r="G691" i="30" s="1"/>
  <c r="I691" i="30" s="1"/>
  <c r="G702" i="32" s="1"/>
  <c r="I702" i="32" s="1"/>
  <c r="G702" i="34" s="1"/>
  <c r="I702" i="34" s="1"/>
  <c r="G715" i="36" s="1"/>
  <c r="I715" i="36" s="1"/>
  <c r="G726" i="38" s="1"/>
  <c r="I726" i="38" s="1"/>
  <c r="G730" i="40" s="1"/>
  <c r="I730" i="40" s="1"/>
  <c r="G735" i="3" s="1"/>
  <c r="I735" i="3" s="1"/>
  <c r="G749" i="44" s="1"/>
  <c r="I749" i="44" s="1"/>
  <c r="G751" i="46" s="1"/>
  <c r="I751" i="46" s="1"/>
  <c r="G751" i="48" s="1"/>
  <c r="I751" i="48" s="1"/>
  <c r="I676" i="1"/>
  <c r="G677" i="28" s="1"/>
  <c r="I677" i="28" s="1"/>
  <c r="G680" i="29" s="1"/>
  <c r="I680" i="29" s="1"/>
  <c r="G689" i="30" s="1"/>
  <c r="I689" i="30" s="1"/>
  <c r="G700" i="32" s="1"/>
  <c r="I700" i="32" s="1"/>
  <c r="G700" i="34" s="1"/>
  <c r="I700" i="34" s="1"/>
  <c r="G713" i="36" s="1"/>
  <c r="I713" i="36" s="1"/>
  <c r="G724" i="38" s="1"/>
  <c r="I724" i="38" s="1"/>
  <c r="G728" i="40" s="1"/>
  <c r="I728" i="40" s="1"/>
  <c r="G733" i="3" s="1"/>
  <c r="I733" i="3" s="1"/>
  <c r="G747" i="44" s="1"/>
  <c r="I747" i="44" s="1"/>
  <c r="G749" i="46" s="1"/>
  <c r="I749" i="46" s="1"/>
  <c r="G749" i="48" s="1"/>
  <c r="I749" i="48" s="1"/>
  <c r="I675" i="1"/>
  <c r="G676" i="28" s="1"/>
  <c r="I676" i="28" s="1"/>
  <c r="G679" i="29" s="1"/>
  <c r="I679" i="29" s="1"/>
  <c r="G688" i="30" s="1"/>
  <c r="I688" i="30" s="1"/>
  <c r="G699" i="32" s="1"/>
  <c r="I699" i="32" s="1"/>
  <c r="G699" i="34" s="1"/>
  <c r="I699" i="34" s="1"/>
  <c r="G712" i="36" s="1"/>
  <c r="I712" i="36" s="1"/>
  <c r="G723" i="38" s="1"/>
  <c r="I723" i="38" s="1"/>
  <c r="G727" i="40" s="1"/>
  <c r="I727" i="40" s="1"/>
  <c r="G732" i="3" s="1"/>
  <c r="I732" i="3" s="1"/>
  <c r="G746" i="44" s="1"/>
  <c r="I746" i="44" s="1"/>
  <c r="G748" i="46" s="1"/>
  <c r="I748" i="46" s="1"/>
  <c r="G748" i="48" s="1"/>
  <c r="I748" i="48" s="1"/>
  <c r="I674" i="1"/>
  <c r="G675" i="28" s="1"/>
  <c r="I675" i="28" s="1"/>
  <c r="G678" i="29" s="1"/>
  <c r="I678" i="29" s="1"/>
  <c r="G687" i="30" s="1"/>
  <c r="I687" i="30" s="1"/>
  <c r="G698" i="32" s="1"/>
  <c r="I698" i="32" s="1"/>
  <c r="G698" i="34" s="1"/>
  <c r="I698" i="34" s="1"/>
  <c r="G711" i="36" s="1"/>
  <c r="I711" i="36" s="1"/>
  <c r="G722" i="38" s="1"/>
  <c r="I722" i="38" s="1"/>
  <c r="G726" i="40" s="1"/>
  <c r="I726" i="40" s="1"/>
  <c r="G731" i="3" s="1"/>
  <c r="I731" i="3" s="1"/>
  <c r="G745" i="44" s="1"/>
  <c r="I745" i="44" s="1"/>
  <c r="G747" i="46" s="1"/>
  <c r="I747" i="46" s="1"/>
  <c r="G747" i="48" s="1"/>
  <c r="I747" i="48" s="1"/>
  <c r="I673" i="1"/>
  <c r="G674" i="28" s="1"/>
  <c r="I674" i="28" s="1"/>
  <c r="G677" i="29" s="1"/>
  <c r="I677" i="29" s="1"/>
  <c r="G686" i="30" s="1"/>
  <c r="I686" i="30" s="1"/>
  <c r="G697" i="32" s="1"/>
  <c r="I697" i="32" s="1"/>
  <c r="G697" i="34" s="1"/>
  <c r="I697" i="34" s="1"/>
  <c r="G710" i="36" s="1"/>
  <c r="I710" i="36" s="1"/>
  <c r="G721" i="38" s="1"/>
  <c r="I721" i="38" s="1"/>
  <c r="G725" i="40" s="1"/>
  <c r="I725" i="40" s="1"/>
  <c r="G730" i="3" s="1"/>
  <c r="I730" i="3" s="1"/>
  <c r="G744" i="44" s="1"/>
  <c r="I744" i="44" s="1"/>
  <c r="G746" i="46" s="1"/>
  <c r="I746" i="46" s="1"/>
  <c r="G746" i="48" s="1"/>
  <c r="I746" i="48" s="1"/>
  <c r="I672" i="1"/>
  <c r="G673" i="28" s="1"/>
  <c r="I673" i="28" s="1"/>
  <c r="G676" i="29" s="1"/>
  <c r="I676" i="29" s="1"/>
  <c r="G685" i="30" s="1"/>
  <c r="I685" i="30" s="1"/>
  <c r="G696" i="32" s="1"/>
  <c r="I696" i="32" s="1"/>
  <c r="G696" i="34" s="1"/>
  <c r="I696" i="34" s="1"/>
  <c r="G709" i="36" s="1"/>
  <c r="I709" i="36" s="1"/>
  <c r="G720" i="38" s="1"/>
  <c r="I720" i="38" s="1"/>
  <c r="G724" i="40" s="1"/>
  <c r="I724" i="40" s="1"/>
  <c r="G729" i="3" s="1"/>
  <c r="I729" i="3" s="1"/>
  <c r="G743" i="44" s="1"/>
  <c r="I743" i="44" s="1"/>
  <c r="G745" i="46" s="1"/>
  <c r="I745" i="46" s="1"/>
  <c r="G745" i="48" s="1"/>
  <c r="I745" i="48" s="1"/>
  <c r="I671" i="1"/>
  <c r="G672" i="28" s="1"/>
  <c r="I672" i="28" s="1"/>
  <c r="G675" i="29" s="1"/>
  <c r="I675" i="29" s="1"/>
  <c r="G684" i="30" s="1"/>
  <c r="I684" i="30" s="1"/>
  <c r="G695" i="32" s="1"/>
  <c r="I695" i="32" s="1"/>
  <c r="G695" i="34" s="1"/>
  <c r="I695" i="34" s="1"/>
  <c r="G708" i="36" s="1"/>
  <c r="I708" i="36" s="1"/>
  <c r="G719" i="38" s="1"/>
  <c r="I719" i="38" s="1"/>
  <c r="G723" i="40" s="1"/>
  <c r="I723" i="40" s="1"/>
  <c r="G728" i="3" s="1"/>
  <c r="I728" i="3" s="1"/>
  <c r="G742" i="44" s="1"/>
  <c r="I742" i="44" s="1"/>
  <c r="G744" i="46" s="1"/>
  <c r="I744" i="46" s="1"/>
  <c r="G744" i="48" s="1"/>
  <c r="I744" i="48" s="1"/>
  <c r="I670" i="1"/>
  <c r="G671" i="28" s="1"/>
  <c r="I671" i="28" s="1"/>
  <c r="G674" i="29" s="1"/>
  <c r="I674" i="29" s="1"/>
  <c r="G683" i="30" s="1"/>
  <c r="I683" i="30" s="1"/>
  <c r="G694" i="32" s="1"/>
  <c r="I694" i="32" s="1"/>
  <c r="G694" i="34" s="1"/>
  <c r="I694" i="34" s="1"/>
  <c r="G707" i="36" s="1"/>
  <c r="I707" i="36" s="1"/>
  <c r="G718" i="38" s="1"/>
  <c r="I718" i="38" s="1"/>
  <c r="G722" i="40" s="1"/>
  <c r="I722" i="40" s="1"/>
  <c r="G727" i="3" s="1"/>
  <c r="I727" i="3" s="1"/>
  <c r="G741" i="44" s="1"/>
  <c r="I741" i="44" s="1"/>
  <c r="G743" i="46" s="1"/>
  <c r="I743" i="46" s="1"/>
  <c r="G743" i="48" s="1"/>
  <c r="I743" i="48" s="1"/>
  <c r="I668" i="1"/>
  <c r="G669" i="28" s="1"/>
  <c r="I669" i="28" s="1"/>
  <c r="G672" i="29" s="1"/>
  <c r="I672" i="29" s="1"/>
  <c r="G681" i="30" s="1"/>
  <c r="I681" i="30" s="1"/>
  <c r="G692" i="32" s="1"/>
  <c r="I692" i="32" s="1"/>
  <c r="G692" i="34" s="1"/>
  <c r="I692" i="34" s="1"/>
  <c r="G705" i="36" s="1"/>
  <c r="I705" i="36" s="1"/>
  <c r="G716" i="38" s="1"/>
  <c r="I716" i="38" s="1"/>
  <c r="G720" i="40" s="1"/>
  <c r="I720" i="40" s="1"/>
  <c r="G725" i="3" s="1"/>
  <c r="I725" i="3" s="1"/>
  <c r="G739" i="44" s="1"/>
  <c r="I739" i="44" s="1"/>
  <c r="G741" i="46" s="1"/>
  <c r="I741" i="46" s="1"/>
  <c r="G741" i="48" s="1"/>
  <c r="I741" i="48" s="1"/>
  <c r="I667" i="1"/>
  <c r="G668" i="28" s="1"/>
  <c r="I668" i="28" s="1"/>
  <c r="G671" i="29" s="1"/>
  <c r="I671" i="29" s="1"/>
  <c r="G680" i="30" s="1"/>
  <c r="I680" i="30" s="1"/>
  <c r="G691" i="32" s="1"/>
  <c r="I691" i="32" s="1"/>
  <c r="G691" i="34" s="1"/>
  <c r="I691" i="34" s="1"/>
  <c r="G704" i="36" s="1"/>
  <c r="I704" i="36" s="1"/>
  <c r="G715" i="38" s="1"/>
  <c r="I715" i="38" s="1"/>
  <c r="G719" i="40" s="1"/>
  <c r="I719" i="40" s="1"/>
  <c r="G724" i="3" s="1"/>
  <c r="I724" i="3" s="1"/>
  <c r="G738" i="44" s="1"/>
  <c r="I738" i="44" s="1"/>
  <c r="G740" i="46" s="1"/>
  <c r="I740" i="46" s="1"/>
  <c r="G740" i="48" s="1"/>
  <c r="I740" i="48" s="1"/>
  <c r="I666" i="1"/>
  <c r="G667" i="28" s="1"/>
  <c r="I667" i="28" s="1"/>
  <c r="G670" i="29" s="1"/>
  <c r="I670" i="29" s="1"/>
  <c r="G679" i="30" s="1"/>
  <c r="I679" i="30" s="1"/>
  <c r="G690" i="32" s="1"/>
  <c r="I690" i="32" s="1"/>
  <c r="G690" i="34" s="1"/>
  <c r="I690" i="34" s="1"/>
  <c r="G703" i="36" s="1"/>
  <c r="I703" i="36" s="1"/>
  <c r="G714" i="38" s="1"/>
  <c r="I714" i="38" s="1"/>
  <c r="G718" i="40" s="1"/>
  <c r="I718" i="40" s="1"/>
  <c r="G723" i="3" s="1"/>
  <c r="I723" i="3" s="1"/>
  <c r="G737" i="44" s="1"/>
  <c r="I737" i="44" s="1"/>
  <c r="G739" i="46" s="1"/>
  <c r="I739" i="46" s="1"/>
  <c r="G739" i="48" s="1"/>
  <c r="I739" i="48" s="1"/>
  <c r="I665" i="1"/>
  <c r="G666" i="28" s="1"/>
  <c r="I666" i="28" s="1"/>
  <c r="G669" i="29" s="1"/>
  <c r="I669" i="29" s="1"/>
  <c r="G678" i="30" s="1"/>
  <c r="I678" i="30" s="1"/>
  <c r="G689" i="32" s="1"/>
  <c r="I689" i="32" s="1"/>
  <c r="G689" i="34" s="1"/>
  <c r="I689" i="34" s="1"/>
  <c r="G702" i="36" s="1"/>
  <c r="I702" i="36" s="1"/>
  <c r="G713" i="38" s="1"/>
  <c r="I713" i="38" s="1"/>
  <c r="G717" i="40" s="1"/>
  <c r="I717" i="40" s="1"/>
  <c r="G722" i="3" s="1"/>
  <c r="I722" i="3" s="1"/>
  <c r="G736" i="44" s="1"/>
  <c r="I736" i="44" s="1"/>
  <c r="G738" i="46" s="1"/>
  <c r="I738" i="46" s="1"/>
  <c r="G738" i="48" s="1"/>
  <c r="I738" i="48" s="1"/>
  <c r="I664" i="1"/>
  <c r="G665" i="28" s="1"/>
  <c r="I665" i="28" s="1"/>
  <c r="G668" i="29" s="1"/>
  <c r="I668" i="29" s="1"/>
  <c r="G677" i="30" s="1"/>
  <c r="I677" i="30" s="1"/>
  <c r="G688" i="32" s="1"/>
  <c r="I688" i="32" s="1"/>
  <c r="G688" i="34" s="1"/>
  <c r="I688" i="34" s="1"/>
  <c r="G701" i="36" s="1"/>
  <c r="I701" i="36" s="1"/>
  <c r="G712" i="38" s="1"/>
  <c r="I712" i="38" s="1"/>
  <c r="G716" i="40" s="1"/>
  <c r="I716" i="40" s="1"/>
  <c r="G721" i="3" s="1"/>
  <c r="I721" i="3" s="1"/>
  <c r="G735" i="44" s="1"/>
  <c r="I735" i="44" s="1"/>
  <c r="G737" i="46" s="1"/>
  <c r="I737" i="46" s="1"/>
  <c r="G737" i="48" s="1"/>
  <c r="I737" i="48" s="1"/>
  <c r="I663" i="1"/>
  <c r="G664" i="28" s="1"/>
  <c r="I664" i="28" s="1"/>
  <c r="G667" i="29" s="1"/>
  <c r="I667" i="29" s="1"/>
  <c r="G676" i="30" s="1"/>
  <c r="I676" i="30" s="1"/>
  <c r="G687" i="32" s="1"/>
  <c r="I687" i="32" s="1"/>
  <c r="G687" i="34" s="1"/>
  <c r="I687" i="34" s="1"/>
  <c r="G700" i="36" s="1"/>
  <c r="I700" i="36" s="1"/>
  <c r="G711" i="38" s="1"/>
  <c r="I711" i="38" s="1"/>
  <c r="G715" i="40" s="1"/>
  <c r="I715" i="40" s="1"/>
  <c r="G720" i="3" s="1"/>
  <c r="I720" i="3" s="1"/>
  <c r="G734" i="44" s="1"/>
  <c r="I734" i="44" s="1"/>
  <c r="G736" i="46" s="1"/>
  <c r="I736" i="46" s="1"/>
  <c r="G736" i="48" s="1"/>
  <c r="I736" i="48" s="1"/>
  <c r="I662" i="1"/>
  <c r="G663" i="28" s="1"/>
  <c r="I663" i="28" s="1"/>
  <c r="G666" i="29" s="1"/>
  <c r="I666" i="29" s="1"/>
  <c r="G675" i="30" s="1"/>
  <c r="I675" i="30" s="1"/>
  <c r="G686" i="32" s="1"/>
  <c r="I686" i="32" s="1"/>
  <c r="G686" i="34" s="1"/>
  <c r="I686" i="34" s="1"/>
  <c r="G699" i="36" s="1"/>
  <c r="I699" i="36" s="1"/>
  <c r="G710" i="38" s="1"/>
  <c r="I710" i="38" s="1"/>
  <c r="G714" i="40" s="1"/>
  <c r="I714" i="40" s="1"/>
  <c r="G719" i="3" s="1"/>
  <c r="I719" i="3" s="1"/>
  <c r="G733" i="44" s="1"/>
  <c r="I733" i="44" s="1"/>
  <c r="G735" i="46" s="1"/>
  <c r="I735" i="46" s="1"/>
  <c r="G735" i="48" s="1"/>
  <c r="I735" i="48" s="1"/>
  <c r="I660" i="1"/>
  <c r="G661" i="28" s="1"/>
  <c r="I661" i="28" s="1"/>
  <c r="G664" i="29" s="1"/>
  <c r="I664" i="29" s="1"/>
  <c r="G673" i="30" s="1"/>
  <c r="I673" i="30" s="1"/>
  <c r="G684" i="32" s="1"/>
  <c r="I684" i="32" s="1"/>
  <c r="G684" i="34" s="1"/>
  <c r="I684" i="34" s="1"/>
  <c r="G697" i="36" s="1"/>
  <c r="I697" i="36" s="1"/>
  <c r="G708" i="38" s="1"/>
  <c r="I708" i="38" s="1"/>
  <c r="G712" i="40" s="1"/>
  <c r="I712" i="40" s="1"/>
  <c r="G717" i="3" s="1"/>
  <c r="I717" i="3" s="1"/>
  <c r="G731" i="44" s="1"/>
  <c r="I731" i="44" s="1"/>
  <c r="G733" i="46" s="1"/>
  <c r="I733" i="46" s="1"/>
  <c r="G733" i="48" s="1"/>
  <c r="I733" i="48" s="1"/>
  <c r="I659" i="1"/>
  <c r="G660" i="28" s="1"/>
  <c r="I660" i="28" s="1"/>
  <c r="G663" i="29" s="1"/>
  <c r="I663" i="29" s="1"/>
  <c r="G672" i="30" s="1"/>
  <c r="I672" i="30" s="1"/>
  <c r="G683" i="32" s="1"/>
  <c r="I683" i="32" s="1"/>
  <c r="G683" i="34" s="1"/>
  <c r="I683" i="34" s="1"/>
  <c r="G696" i="36" s="1"/>
  <c r="I696" i="36" s="1"/>
  <c r="G707" i="38" s="1"/>
  <c r="I707" i="38" s="1"/>
  <c r="G711" i="40" s="1"/>
  <c r="I711" i="40" s="1"/>
  <c r="G716" i="3" s="1"/>
  <c r="I716" i="3" s="1"/>
  <c r="G730" i="44" s="1"/>
  <c r="I730" i="44" s="1"/>
  <c r="G732" i="46" s="1"/>
  <c r="I732" i="46" s="1"/>
  <c r="G732" i="48" s="1"/>
  <c r="I732" i="48" s="1"/>
  <c r="I658" i="1"/>
  <c r="G659" i="28" s="1"/>
  <c r="I659" i="28" s="1"/>
  <c r="G662" i="29" s="1"/>
  <c r="I662" i="29" s="1"/>
  <c r="G671" i="30" s="1"/>
  <c r="I671" i="30" s="1"/>
  <c r="G682" i="32" s="1"/>
  <c r="I682" i="32" s="1"/>
  <c r="G682" i="34" s="1"/>
  <c r="I682" i="34" s="1"/>
  <c r="G695" i="36" s="1"/>
  <c r="I695" i="36" s="1"/>
  <c r="G706" i="38" s="1"/>
  <c r="I706" i="38" s="1"/>
  <c r="G710" i="40" s="1"/>
  <c r="I710" i="40" s="1"/>
  <c r="G715" i="3" s="1"/>
  <c r="I715" i="3" s="1"/>
  <c r="G729" i="44" s="1"/>
  <c r="I729" i="44" s="1"/>
  <c r="G731" i="46" s="1"/>
  <c r="I731" i="46" s="1"/>
  <c r="G731" i="48" s="1"/>
  <c r="I731" i="48" s="1"/>
  <c r="I657" i="1"/>
  <c r="G658" i="28" s="1"/>
  <c r="I658" i="28" s="1"/>
  <c r="G661" i="29" s="1"/>
  <c r="I661" i="29" s="1"/>
  <c r="G670" i="30" s="1"/>
  <c r="I670" i="30" s="1"/>
  <c r="G681" i="32" s="1"/>
  <c r="I681" i="32" s="1"/>
  <c r="G681" i="34" s="1"/>
  <c r="I681" i="34" s="1"/>
  <c r="G694" i="36" s="1"/>
  <c r="I694" i="36" s="1"/>
  <c r="G705" i="38" s="1"/>
  <c r="I705" i="38" s="1"/>
  <c r="G709" i="40" s="1"/>
  <c r="I709" i="40" s="1"/>
  <c r="G714" i="3" s="1"/>
  <c r="I714" i="3" s="1"/>
  <c r="G728" i="44" s="1"/>
  <c r="I728" i="44" s="1"/>
  <c r="G730" i="46" s="1"/>
  <c r="I730" i="46" s="1"/>
  <c r="G730" i="48" s="1"/>
  <c r="I730" i="48" s="1"/>
  <c r="I656" i="1"/>
  <c r="G657" i="28" s="1"/>
  <c r="I657" i="28" s="1"/>
  <c r="G660" i="29" s="1"/>
  <c r="I660" i="29" s="1"/>
  <c r="G669" i="30" s="1"/>
  <c r="I669" i="30" s="1"/>
  <c r="G680" i="32" s="1"/>
  <c r="I680" i="32" s="1"/>
  <c r="G680" i="34" s="1"/>
  <c r="I680" i="34" s="1"/>
  <c r="G693" i="36" s="1"/>
  <c r="I693" i="36" s="1"/>
  <c r="G704" i="38" s="1"/>
  <c r="I704" i="38" s="1"/>
  <c r="G708" i="40" s="1"/>
  <c r="I708" i="40" s="1"/>
  <c r="G713" i="3" s="1"/>
  <c r="I713" i="3" s="1"/>
  <c r="G727" i="44" s="1"/>
  <c r="I727" i="44" s="1"/>
  <c r="G729" i="46" s="1"/>
  <c r="I729" i="46" s="1"/>
  <c r="G729" i="48" s="1"/>
  <c r="I729" i="48" s="1"/>
  <c r="I655" i="1"/>
  <c r="G656" i="28" s="1"/>
  <c r="I656" i="28" s="1"/>
  <c r="G659" i="29" s="1"/>
  <c r="I659" i="29" s="1"/>
  <c r="G668" i="30" s="1"/>
  <c r="I668" i="30" s="1"/>
  <c r="G679" i="32" s="1"/>
  <c r="I679" i="32" s="1"/>
  <c r="G679" i="34" s="1"/>
  <c r="I679" i="34" s="1"/>
  <c r="G692" i="36" s="1"/>
  <c r="I692" i="36" s="1"/>
  <c r="G703" i="38" s="1"/>
  <c r="I703" i="38" s="1"/>
  <c r="G707" i="40" s="1"/>
  <c r="I707" i="40" s="1"/>
  <c r="G712" i="3" s="1"/>
  <c r="I712" i="3" s="1"/>
  <c r="G726" i="44" s="1"/>
  <c r="I726" i="44" s="1"/>
  <c r="G728" i="46" s="1"/>
  <c r="I728" i="46" s="1"/>
  <c r="G728" i="48" s="1"/>
  <c r="I728" i="48" s="1"/>
  <c r="I654" i="1"/>
  <c r="G655" i="28" s="1"/>
  <c r="I655" i="28" s="1"/>
  <c r="G658" i="29" s="1"/>
  <c r="I658" i="29" s="1"/>
  <c r="G667" i="30" s="1"/>
  <c r="I667" i="30" s="1"/>
  <c r="G678" i="32" s="1"/>
  <c r="I678" i="32" s="1"/>
  <c r="G678" i="34" s="1"/>
  <c r="I678" i="34" s="1"/>
  <c r="G691" i="36" s="1"/>
  <c r="I691" i="36" s="1"/>
  <c r="G702" i="38" s="1"/>
  <c r="I702" i="38" s="1"/>
  <c r="G706" i="40" s="1"/>
  <c r="I706" i="40" s="1"/>
  <c r="G711" i="3" s="1"/>
  <c r="I711" i="3" s="1"/>
  <c r="G725" i="44" s="1"/>
  <c r="I725" i="44" s="1"/>
  <c r="G727" i="46" s="1"/>
  <c r="I727" i="46" s="1"/>
  <c r="G727" i="48" s="1"/>
  <c r="I727" i="48" s="1"/>
  <c r="I652" i="1"/>
  <c r="G653" i="28" s="1"/>
  <c r="I653" i="28" s="1"/>
  <c r="G656" i="29" s="1"/>
  <c r="I656" i="29" s="1"/>
  <c r="G665" i="30" s="1"/>
  <c r="I665" i="30" s="1"/>
  <c r="G676" i="32" s="1"/>
  <c r="I676" i="32" s="1"/>
  <c r="G676" i="34" s="1"/>
  <c r="I676" i="34" s="1"/>
  <c r="G689" i="36" s="1"/>
  <c r="I689" i="36" s="1"/>
  <c r="G700" i="38" s="1"/>
  <c r="I700" i="38" s="1"/>
  <c r="G704" i="40" s="1"/>
  <c r="I704" i="40" s="1"/>
  <c r="G709" i="3" s="1"/>
  <c r="I709" i="3" s="1"/>
  <c r="G723" i="44" s="1"/>
  <c r="I723" i="44" s="1"/>
  <c r="G725" i="46" s="1"/>
  <c r="I725" i="46" s="1"/>
  <c r="G725" i="48" s="1"/>
  <c r="I725" i="48" s="1"/>
  <c r="I651" i="1"/>
  <c r="G652" i="28" s="1"/>
  <c r="I652" i="28" s="1"/>
  <c r="G655" i="29" s="1"/>
  <c r="I655" i="29" s="1"/>
  <c r="G664" i="30" s="1"/>
  <c r="I664" i="30" s="1"/>
  <c r="G675" i="32" s="1"/>
  <c r="I675" i="32" s="1"/>
  <c r="G675" i="34" s="1"/>
  <c r="I675" i="34" s="1"/>
  <c r="G688" i="36" s="1"/>
  <c r="I688" i="36" s="1"/>
  <c r="G699" i="38" s="1"/>
  <c r="I699" i="38" s="1"/>
  <c r="G703" i="40" s="1"/>
  <c r="I703" i="40" s="1"/>
  <c r="G708" i="3" s="1"/>
  <c r="I708" i="3" s="1"/>
  <c r="G722" i="44" s="1"/>
  <c r="I722" i="44" s="1"/>
  <c r="G724" i="46" s="1"/>
  <c r="I724" i="46" s="1"/>
  <c r="G724" i="48" s="1"/>
  <c r="I724" i="48" s="1"/>
  <c r="I650" i="1"/>
  <c r="G651" i="28" s="1"/>
  <c r="I651" i="28" s="1"/>
  <c r="G654" i="29" s="1"/>
  <c r="I654" i="29" s="1"/>
  <c r="G663" i="30" s="1"/>
  <c r="I663" i="30" s="1"/>
  <c r="G674" i="32" s="1"/>
  <c r="I674" i="32" s="1"/>
  <c r="G674" i="34" s="1"/>
  <c r="I674" i="34" s="1"/>
  <c r="G687" i="36" s="1"/>
  <c r="I687" i="36" s="1"/>
  <c r="G698" i="38" s="1"/>
  <c r="I698" i="38" s="1"/>
  <c r="G702" i="40" s="1"/>
  <c r="I702" i="40" s="1"/>
  <c r="G707" i="3" s="1"/>
  <c r="I707" i="3" s="1"/>
  <c r="G721" i="44" s="1"/>
  <c r="I721" i="44" s="1"/>
  <c r="G723" i="46" s="1"/>
  <c r="I723" i="46" s="1"/>
  <c r="G723" i="48" s="1"/>
  <c r="I723" i="48" s="1"/>
  <c r="I649" i="1"/>
  <c r="G650" i="28" s="1"/>
  <c r="I650" i="28" s="1"/>
  <c r="G653" i="29" s="1"/>
  <c r="I653" i="29" s="1"/>
  <c r="G662" i="30" s="1"/>
  <c r="I662" i="30" s="1"/>
  <c r="G673" i="32" s="1"/>
  <c r="I673" i="32" s="1"/>
  <c r="G673" i="34" s="1"/>
  <c r="I673" i="34" s="1"/>
  <c r="G686" i="36" s="1"/>
  <c r="I686" i="36" s="1"/>
  <c r="G697" i="38" s="1"/>
  <c r="I697" i="38" s="1"/>
  <c r="G701" i="40" s="1"/>
  <c r="I701" i="40" s="1"/>
  <c r="G706" i="3" s="1"/>
  <c r="I706" i="3" s="1"/>
  <c r="G720" i="44" s="1"/>
  <c r="I720" i="44" s="1"/>
  <c r="G722" i="46" s="1"/>
  <c r="I722" i="46" s="1"/>
  <c r="G722" i="48" s="1"/>
  <c r="I722" i="48" s="1"/>
  <c r="I648" i="1"/>
  <c r="G649" i="28" s="1"/>
  <c r="I649" i="28" s="1"/>
  <c r="G652" i="29" s="1"/>
  <c r="I652" i="29" s="1"/>
  <c r="G661" i="30" s="1"/>
  <c r="I661" i="30" s="1"/>
  <c r="G672" i="32" s="1"/>
  <c r="I672" i="32" s="1"/>
  <c r="G672" i="34" s="1"/>
  <c r="I672" i="34" s="1"/>
  <c r="G685" i="36" s="1"/>
  <c r="I685" i="36" s="1"/>
  <c r="G696" i="38" s="1"/>
  <c r="I696" i="38" s="1"/>
  <c r="G700" i="40" s="1"/>
  <c r="I700" i="40" s="1"/>
  <c r="G705" i="3" s="1"/>
  <c r="I705" i="3" s="1"/>
  <c r="G719" i="44" s="1"/>
  <c r="I719" i="44" s="1"/>
  <c r="G721" i="46" s="1"/>
  <c r="I721" i="46" s="1"/>
  <c r="G721" i="48" s="1"/>
  <c r="I721" i="48" s="1"/>
  <c r="I647" i="1"/>
  <c r="G648" i="28" s="1"/>
  <c r="I648" i="28" s="1"/>
  <c r="G651" i="29" s="1"/>
  <c r="I651" i="29" s="1"/>
  <c r="G660" i="30" s="1"/>
  <c r="I660" i="30" s="1"/>
  <c r="G671" i="32" s="1"/>
  <c r="I671" i="32" s="1"/>
  <c r="G671" i="34" s="1"/>
  <c r="I671" i="34" s="1"/>
  <c r="G684" i="36" s="1"/>
  <c r="I684" i="36" s="1"/>
  <c r="G695" i="38" s="1"/>
  <c r="I695" i="38" s="1"/>
  <c r="G699" i="40" s="1"/>
  <c r="I699" i="40" s="1"/>
  <c r="G704" i="3" s="1"/>
  <c r="I704" i="3" s="1"/>
  <c r="G718" i="44" s="1"/>
  <c r="I718" i="44" s="1"/>
  <c r="G720" i="46" s="1"/>
  <c r="I720" i="46" s="1"/>
  <c r="G720" i="48" s="1"/>
  <c r="I720" i="48" s="1"/>
  <c r="I646" i="1"/>
  <c r="G647" i="28" s="1"/>
  <c r="I647" i="28" s="1"/>
  <c r="G650" i="29" s="1"/>
  <c r="I650" i="29" s="1"/>
  <c r="G659" i="30" s="1"/>
  <c r="I659" i="30" s="1"/>
  <c r="G670" i="32" s="1"/>
  <c r="I670" i="32" s="1"/>
  <c r="G670" i="34" s="1"/>
  <c r="I670" i="34" s="1"/>
  <c r="G683" i="36" s="1"/>
  <c r="I683" i="36" s="1"/>
  <c r="G694" i="38" s="1"/>
  <c r="I694" i="38" s="1"/>
  <c r="G698" i="40" s="1"/>
  <c r="I698" i="40" s="1"/>
  <c r="G703" i="3" s="1"/>
  <c r="I703" i="3" s="1"/>
  <c r="G717" i="44" s="1"/>
  <c r="I717" i="44" s="1"/>
  <c r="G719" i="46" s="1"/>
  <c r="I719" i="46" s="1"/>
  <c r="G719" i="48" s="1"/>
  <c r="I719" i="48" s="1"/>
  <c r="I644" i="1"/>
  <c r="G645" i="28" s="1"/>
  <c r="I645" i="28" s="1"/>
  <c r="G648" i="29" s="1"/>
  <c r="I648" i="29" s="1"/>
  <c r="G657" i="30" s="1"/>
  <c r="I657" i="30" s="1"/>
  <c r="G668" i="32" s="1"/>
  <c r="I668" i="32" s="1"/>
  <c r="G668" i="34" s="1"/>
  <c r="I668" i="34" s="1"/>
  <c r="G681" i="36" s="1"/>
  <c r="I681" i="36" s="1"/>
  <c r="G692" i="38" s="1"/>
  <c r="I692" i="38" s="1"/>
  <c r="G696" i="40" s="1"/>
  <c r="I696" i="40" s="1"/>
  <c r="G701" i="3" s="1"/>
  <c r="I701" i="3" s="1"/>
  <c r="G715" i="44" s="1"/>
  <c r="I715" i="44" s="1"/>
  <c r="G717" i="46" s="1"/>
  <c r="I717" i="46" s="1"/>
  <c r="G717" i="48" s="1"/>
  <c r="I717" i="48" s="1"/>
  <c r="I643" i="1"/>
  <c r="G644" i="28" s="1"/>
  <c r="I644" i="28" s="1"/>
  <c r="G647" i="29" s="1"/>
  <c r="I647" i="29" s="1"/>
  <c r="G656" i="30" s="1"/>
  <c r="I656" i="30" s="1"/>
  <c r="G667" i="32" s="1"/>
  <c r="I667" i="32" s="1"/>
  <c r="G667" i="34" s="1"/>
  <c r="I667" i="34" s="1"/>
  <c r="G680" i="36" s="1"/>
  <c r="I680" i="36" s="1"/>
  <c r="G691" i="38" s="1"/>
  <c r="I691" i="38" s="1"/>
  <c r="G695" i="40" s="1"/>
  <c r="I695" i="40" s="1"/>
  <c r="G700" i="3" s="1"/>
  <c r="I700" i="3" s="1"/>
  <c r="G714" i="44" s="1"/>
  <c r="I714" i="44" s="1"/>
  <c r="G716" i="46" s="1"/>
  <c r="I716" i="46" s="1"/>
  <c r="G716" i="48" s="1"/>
  <c r="I716" i="48" s="1"/>
  <c r="I642" i="1"/>
  <c r="G643" i="28" s="1"/>
  <c r="I643" i="28" s="1"/>
  <c r="G646" i="29" s="1"/>
  <c r="I646" i="29" s="1"/>
  <c r="G655" i="30" s="1"/>
  <c r="I655" i="30" s="1"/>
  <c r="G666" i="32" s="1"/>
  <c r="I666" i="32" s="1"/>
  <c r="G666" i="34" s="1"/>
  <c r="I666" i="34" s="1"/>
  <c r="G679" i="36" s="1"/>
  <c r="I679" i="36" s="1"/>
  <c r="G690" i="38" s="1"/>
  <c r="I690" i="38" s="1"/>
  <c r="G694" i="40" s="1"/>
  <c r="I694" i="40" s="1"/>
  <c r="G699" i="3" s="1"/>
  <c r="I699" i="3" s="1"/>
  <c r="G713" i="44" s="1"/>
  <c r="I713" i="44" s="1"/>
  <c r="G715" i="46" s="1"/>
  <c r="I715" i="46" s="1"/>
  <c r="G715" i="48" s="1"/>
  <c r="I715" i="48" s="1"/>
  <c r="I641" i="1"/>
  <c r="G642" i="28" s="1"/>
  <c r="I642" i="28" s="1"/>
  <c r="G645" i="29" s="1"/>
  <c r="I645" i="29" s="1"/>
  <c r="G654" i="30" s="1"/>
  <c r="I654" i="30" s="1"/>
  <c r="G665" i="32" s="1"/>
  <c r="I665" i="32" s="1"/>
  <c r="G665" i="34" s="1"/>
  <c r="I665" i="34" s="1"/>
  <c r="G678" i="36" s="1"/>
  <c r="I678" i="36" s="1"/>
  <c r="G689" i="38" s="1"/>
  <c r="I689" i="38" s="1"/>
  <c r="G693" i="40" s="1"/>
  <c r="I693" i="40" s="1"/>
  <c r="G698" i="3" s="1"/>
  <c r="I698" i="3" s="1"/>
  <c r="G712" i="44" s="1"/>
  <c r="I712" i="44" s="1"/>
  <c r="G714" i="46" s="1"/>
  <c r="I714" i="46" s="1"/>
  <c r="G714" i="48" s="1"/>
  <c r="I714" i="48" s="1"/>
  <c r="I640" i="1"/>
  <c r="G641" i="28" s="1"/>
  <c r="I641" i="28" s="1"/>
  <c r="G644" i="29" s="1"/>
  <c r="I644" i="29" s="1"/>
  <c r="G653" i="30" s="1"/>
  <c r="I653" i="30" s="1"/>
  <c r="G664" i="32" s="1"/>
  <c r="I664" i="32" s="1"/>
  <c r="G664" i="34" s="1"/>
  <c r="I664" i="34" s="1"/>
  <c r="G677" i="36" s="1"/>
  <c r="I677" i="36" s="1"/>
  <c r="G688" i="38" s="1"/>
  <c r="I688" i="38" s="1"/>
  <c r="G692" i="40" s="1"/>
  <c r="I692" i="40" s="1"/>
  <c r="G697" i="3" s="1"/>
  <c r="I697" i="3" s="1"/>
  <c r="G711" i="44" s="1"/>
  <c r="I711" i="44" s="1"/>
  <c r="G713" i="46" s="1"/>
  <c r="I713" i="46" s="1"/>
  <c r="G713" i="48" s="1"/>
  <c r="I713" i="48" s="1"/>
  <c r="I639" i="1"/>
  <c r="G640" i="28" s="1"/>
  <c r="I640" i="28" s="1"/>
  <c r="G643" i="29" s="1"/>
  <c r="I643" i="29" s="1"/>
  <c r="G652" i="30" s="1"/>
  <c r="I652" i="30" s="1"/>
  <c r="G663" i="32" s="1"/>
  <c r="I663" i="32" s="1"/>
  <c r="G663" i="34" s="1"/>
  <c r="I663" i="34" s="1"/>
  <c r="G676" i="36" s="1"/>
  <c r="I676" i="36" s="1"/>
  <c r="G687" i="38" s="1"/>
  <c r="I687" i="38" s="1"/>
  <c r="G691" i="40" s="1"/>
  <c r="I691" i="40" s="1"/>
  <c r="G696" i="3" s="1"/>
  <c r="I696" i="3" s="1"/>
  <c r="G710" i="44" s="1"/>
  <c r="I710" i="44" s="1"/>
  <c r="G712" i="46" s="1"/>
  <c r="I712" i="46" s="1"/>
  <c r="G712" i="48" s="1"/>
  <c r="I712" i="48" s="1"/>
  <c r="I638" i="1"/>
  <c r="G639" i="28" s="1"/>
  <c r="I639" i="28" s="1"/>
  <c r="G642" i="29" s="1"/>
  <c r="I642" i="29" s="1"/>
  <c r="G651" i="30" s="1"/>
  <c r="I651" i="30" s="1"/>
  <c r="G662" i="32" s="1"/>
  <c r="I662" i="32" s="1"/>
  <c r="G662" i="34" s="1"/>
  <c r="I662" i="34" s="1"/>
  <c r="G675" i="36" s="1"/>
  <c r="I675" i="36" s="1"/>
  <c r="G686" i="38" s="1"/>
  <c r="I686" i="38" s="1"/>
  <c r="G690" i="40" s="1"/>
  <c r="I690" i="40" s="1"/>
  <c r="G695" i="3" s="1"/>
  <c r="I695" i="3" s="1"/>
  <c r="G709" i="44" s="1"/>
  <c r="I709" i="44" s="1"/>
  <c r="G711" i="46" s="1"/>
  <c r="I711" i="46" s="1"/>
  <c r="G711" i="48" s="1"/>
  <c r="I711" i="48" s="1"/>
  <c r="I636" i="1"/>
  <c r="G637" i="28" s="1"/>
  <c r="I637" i="28" s="1"/>
  <c r="G640" i="29" s="1"/>
  <c r="I640" i="29" s="1"/>
  <c r="G649" i="30" s="1"/>
  <c r="I649" i="30" s="1"/>
  <c r="G660" i="32" s="1"/>
  <c r="I660" i="32" s="1"/>
  <c r="G660" i="34" s="1"/>
  <c r="I660" i="34" s="1"/>
  <c r="G673" i="36" s="1"/>
  <c r="I673" i="36" s="1"/>
  <c r="G684" i="38" s="1"/>
  <c r="I684" i="38" s="1"/>
  <c r="G688" i="40" s="1"/>
  <c r="I688" i="40" s="1"/>
  <c r="G693" i="3" s="1"/>
  <c r="I693" i="3" s="1"/>
  <c r="G707" i="44" s="1"/>
  <c r="I707" i="44" s="1"/>
  <c r="G709" i="46" s="1"/>
  <c r="I709" i="46" s="1"/>
  <c r="G709" i="48" s="1"/>
  <c r="I709" i="48" s="1"/>
  <c r="I635" i="1"/>
  <c r="G636" i="28" s="1"/>
  <c r="I636" i="28" s="1"/>
  <c r="G639" i="29" s="1"/>
  <c r="I639" i="29" s="1"/>
  <c r="G648" i="30" s="1"/>
  <c r="I648" i="30" s="1"/>
  <c r="G659" i="32" s="1"/>
  <c r="I659" i="32" s="1"/>
  <c r="G659" i="34" s="1"/>
  <c r="I659" i="34" s="1"/>
  <c r="G672" i="36" s="1"/>
  <c r="I672" i="36" s="1"/>
  <c r="G683" i="38" s="1"/>
  <c r="I683" i="38" s="1"/>
  <c r="G687" i="40" s="1"/>
  <c r="I687" i="40" s="1"/>
  <c r="G692" i="3" s="1"/>
  <c r="I692" i="3" s="1"/>
  <c r="G706" i="44" s="1"/>
  <c r="I706" i="44" s="1"/>
  <c r="G708" i="46" s="1"/>
  <c r="I708" i="46" s="1"/>
  <c r="G708" i="48" s="1"/>
  <c r="I708" i="48" s="1"/>
  <c r="I634" i="1"/>
  <c r="G635" i="28" s="1"/>
  <c r="I635" i="28" s="1"/>
  <c r="G638" i="29" s="1"/>
  <c r="I638" i="29" s="1"/>
  <c r="G647" i="30" s="1"/>
  <c r="I647" i="30" s="1"/>
  <c r="G658" i="32" s="1"/>
  <c r="I658" i="32" s="1"/>
  <c r="G658" i="34" s="1"/>
  <c r="I658" i="34" s="1"/>
  <c r="G671" i="36" s="1"/>
  <c r="I671" i="36" s="1"/>
  <c r="G682" i="38" s="1"/>
  <c r="I682" i="38" s="1"/>
  <c r="G686" i="40" s="1"/>
  <c r="I686" i="40" s="1"/>
  <c r="G691" i="3" s="1"/>
  <c r="I691" i="3" s="1"/>
  <c r="G705" i="44" s="1"/>
  <c r="I705" i="44" s="1"/>
  <c r="G707" i="46" s="1"/>
  <c r="I707" i="46" s="1"/>
  <c r="G707" i="48" s="1"/>
  <c r="I707" i="48" s="1"/>
  <c r="I633" i="1"/>
  <c r="G634" i="28" s="1"/>
  <c r="I634" i="28" s="1"/>
  <c r="G637" i="29" s="1"/>
  <c r="I637" i="29" s="1"/>
  <c r="G646" i="30" s="1"/>
  <c r="I646" i="30" s="1"/>
  <c r="G657" i="32" s="1"/>
  <c r="I657" i="32" s="1"/>
  <c r="G657" i="34" s="1"/>
  <c r="I657" i="34" s="1"/>
  <c r="G670" i="36" s="1"/>
  <c r="I670" i="36" s="1"/>
  <c r="G681" i="38" s="1"/>
  <c r="I681" i="38" s="1"/>
  <c r="G685" i="40" s="1"/>
  <c r="I685" i="40" s="1"/>
  <c r="G690" i="3" s="1"/>
  <c r="I690" i="3" s="1"/>
  <c r="G704" i="44" s="1"/>
  <c r="I704" i="44" s="1"/>
  <c r="G706" i="46" s="1"/>
  <c r="I706" i="46" s="1"/>
  <c r="G706" i="48" s="1"/>
  <c r="I706" i="48" s="1"/>
  <c r="I632" i="1"/>
  <c r="G633" i="28" s="1"/>
  <c r="I633" i="28" s="1"/>
  <c r="G636" i="29" s="1"/>
  <c r="I636" i="29" s="1"/>
  <c r="G645" i="30" s="1"/>
  <c r="I645" i="30" s="1"/>
  <c r="G656" i="32" s="1"/>
  <c r="I656" i="32" s="1"/>
  <c r="G656" i="34" s="1"/>
  <c r="I656" i="34" s="1"/>
  <c r="G669" i="36" s="1"/>
  <c r="I669" i="36" s="1"/>
  <c r="G680" i="38" s="1"/>
  <c r="I680" i="38" s="1"/>
  <c r="G684" i="40" s="1"/>
  <c r="I684" i="40" s="1"/>
  <c r="G689" i="3" s="1"/>
  <c r="I689" i="3" s="1"/>
  <c r="G703" i="44" s="1"/>
  <c r="I703" i="44" s="1"/>
  <c r="G705" i="46" s="1"/>
  <c r="I705" i="46" s="1"/>
  <c r="G705" i="48" s="1"/>
  <c r="I705" i="48" s="1"/>
  <c r="I631" i="1"/>
  <c r="G632" i="28" s="1"/>
  <c r="I632" i="28" s="1"/>
  <c r="G635" i="29" s="1"/>
  <c r="I635" i="29" s="1"/>
  <c r="G644" i="30" s="1"/>
  <c r="I644" i="30" s="1"/>
  <c r="G655" i="32" s="1"/>
  <c r="I655" i="32" s="1"/>
  <c r="G655" i="34" s="1"/>
  <c r="I655" i="34" s="1"/>
  <c r="G668" i="36" s="1"/>
  <c r="I668" i="36" s="1"/>
  <c r="G679" i="38" s="1"/>
  <c r="I679" i="38" s="1"/>
  <c r="G683" i="40" s="1"/>
  <c r="I683" i="40" s="1"/>
  <c r="G688" i="3" s="1"/>
  <c r="I688" i="3" s="1"/>
  <c r="G702" i="44" s="1"/>
  <c r="I702" i="44" s="1"/>
  <c r="G704" i="46" s="1"/>
  <c r="I704" i="46" s="1"/>
  <c r="G704" i="48" s="1"/>
  <c r="I704" i="48" s="1"/>
  <c r="I630" i="1"/>
  <c r="G631" i="28" s="1"/>
  <c r="I631" i="28" s="1"/>
  <c r="G634" i="29" s="1"/>
  <c r="I634" i="29" s="1"/>
  <c r="G643" i="30" s="1"/>
  <c r="I643" i="30" s="1"/>
  <c r="G654" i="32" s="1"/>
  <c r="I654" i="32" s="1"/>
  <c r="G654" i="34" s="1"/>
  <c r="I654" i="34" s="1"/>
  <c r="G667" i="36" s="1"/>
  <c r="I667" i="36" s="1"/>
  <c r="G678" i="38" s="1"/>
  <c r="I678" i="38" s="1"/>
  <c r="G682" i="40" s="1"/>
  <c r="I682" i="40" s="1"/>
  <c r="G687" i="3" s="1"/>
  <c r="I687" i="3" s="1"/>
  <c r="G701" i="44" s="1"/>
  <c r="I701" i="44" s="1"/>
  <c r="G703" i="46" s="1"/>
  <c r="I703" i="46" s="1"/>
  <c r="G703" i="48" s="1"/>
  <c r="I703" i="48" s="1"/>
  <c r="I628" i="1"/>
  <c r="G629" i="28" s="1"/>
  <c r="I629" i="28" s="1"/>
  <c r="G632" i="29" s="1"/>
  <c r="I632" i="29" s="1"/>
  <c r="G641" i="30" s="1"/>
  <c r="I641" i="30" s="1"/>
  <c r="G652" i="32" s="1"/>
  <c r="I652" i="32" s="1"/>
  <c r="G652" i="34" s="1"/>
  <c r="I652" i="34" s="1"/>
  <c r="G665" i="36" s="1"/>
  <c r="I665" i="36" s="1"/>
  <c r="G676" i="38" s="1"/>
  <c r="I676" i="38" s="1"/>
  <c r="G680" i="40" s="1"/>
  <c r="I680" i="40" s="1"/>
  <c r="G685" i="3" s="1"/>
  <c r="I685" i="3" s="1"/>
  <c r="G699" i="44" s="1"/>
  <c r="I699" i="44" s="1"/>
  <c r="G701" i="46" s="1"/>
  <c r="I701" i="46" s="1"/>
  <c r="G701" i="48" s="1"/>
  <c r="I701" i="48" s="1"/>
  <c r="I627" i="1"/>
  <c r="G628" i="28" s="1"/>
  <c r="I628" i="28" s="1"/>
  <c r="G631" i="29" s="1"/>
  <c r="I631" i="29" s="1"/>
  <c r="G640" i="30" s="1"/>
  <c r="I640" i="30" s="1"/>
  <c r="G651" i="32" s="1"/>
  <c r="I651" i="32" s="1"/>
  <c r="G651" i="34" s="1"/>
  <c r="I651" i="34" s="1"/>
  <c r="G664" i="36" s="1"/>
  <c r="I664" i="36" s="1"/>
  <c r="G675" i="38" s="1"/>
  <c r="I675" i="38" s="1"/>
  <c r="G679" i="40" s="1"/>
  <c r="I679" i="40" s="1"/>
  <c r="G684" i="3" s="1"/>
  <c r="I684" i="3" s="1"/>
  <c r="G698" i="44" s="1"/>
  <c r="I698" i="44" s="1"/>
  <c r="G700" i="46" s="1"/>
  <c r="I700" i="46" s="1"/>
  <c r="G700" i="48" s="1"/>
  <c r="I700" i="48" s="1"/>
  <c r="I626" i="1"/>
  <c r="G627" i="28" s="1"/>
  <c r="I627" i="28" s="1"/>
  <c r="G630" i="29" s="1"/>
  <c r="I630" i="29" s="1"/>
  <c r="G639" i="30" s="1"/>
  <c r="I639" i="30" s="1"/>
  <c r="G650" i="32" s="1"/>
  <c r="I650" i="32" s="1"/>
  <c r="G650" i="34" s="1"/>
  <c r="I650" i="34" s="1"/>
  <c r="G663" i="36" s="1"/>
  <c r="I663" i="36" s="1"/>
  <c r="G674" i="38" s="1"/>
  <c r="I674" i="38" s="1"/>
  <c r="G678" i="40" s="1"/>
  <c r="I678" i="40" s="1"/>
  <c r="G683" i="3" s="1"/>
  <c r="I683" i="3" s="1"/>
  <c r="G697" i="44" s="1"/>
  <c r="I697" i="44" s="1"/>
  <c r="G699" i="46" s="1"/>
  <c r="I699" i="46" s="1"/>
  <c r="G699" i="48" s="1"/>
  <c r="I699" i="48" s="1"/>
  <c r="I625" i="1"/>
  <c r="G626" i="28" s="1"/>
  <c r="I626" i="28" s="1"/>
  <c r="G629" i="29" s="1"/>
  <c r="I629" i="29" s="1"/>
  <c r="G638" i="30" s="1"/>
  <c r="I638" i="30" s="1"/>
  <c r="G649" i="32" s="1"/>
  <c r="I649" i="32" s="1"/>
  <c r="G649" i="34" s="1"/>
  <c r="I649" i="34" s="1"/>
  <c r="G662" i="36" s="1"/>
  <c r="I662" i="36" s="1"/>
  <c r="G673" i="38" s="1"/>
  <c r="I673" i="38" s="1"/>
  <c r="G677" i="40" s="1"/>
  <c r="I677" i="40" s="1"/>
  <c r="G682" i="3" s="1"/>
  <c r="I682" i="3" s="1"/>
  <c r="G696" i="44" s="1"/>
  <c r="I696" i="44" s="1"/>
  <c r="G698" i="46" s="1"/>
  <c r="I698" i="46" s="1"/>
  <c r="G698" i="48" s="1"/>
  <c r="I698" i="48" s="1"/>
  <c r="I624" i="1"/>
  <c r="G625" i="28" s="1"/>
  <c r="I625" i="28" s="1"/>
  <c r="G628" i="29" s="1"/>
  <c r="I628" i="29" s="1"/>
  <c r="G637" i="30" s="1"/>
  <c r="I637" i="30" s="1"/>
  <c r="G648" i="32" s="1"/>
  <c r="I648" i="32" s="1"/>
  <c r="G648" i="34" s="1"/>
  <c r="I648" i="34" s="1"/>
  <c r="G661" i="36" s="1"/>
  <c r="I661" i="36" s="1"/>
  <c r="G672" i="38" s="1"/>
  <c r="I672" i="38" s="1"/>
  <c r="G676" i="40" s="1"/>
  <c r="I676" i="40" s="1"/>
  <c r="G681" i="3" s="1"/>
  <c r="I681" i="3" s="1"/>
  <c r="G695" i="44" s="1"/>
  <c r="I695" i="44" s="1"/>
  <c r="G697" i="46" s="1"/>
  <c r="I697" i="46" s="1"/>
  <c r="G697" i="48" s="1"/>
  <c r="I697" i="48" s="1"/>
  <c r="I623" i="1"/>
  <c r="G624" i="28" s="1"/>
  <c r="I624" i="28" s="1"/>
  <c r="G627" i="29" s="1"/>
  <c r="I627" i="29" s="1"/>
  <c r="G636" i="30" s="1"/>
  <c r="I636" i="30" s="1"/>
  <c r="G647" i="32" s="1"/>
  <c r="I647" i="32" s="1"/>
  <c r="G647" i="34" s="1"/>
  <c r="I647" i="34" s="1"/>
  <c r="G660" i="36" s="1"/>
  <c r="I660" i="36" s="1"/>
  <c r="G671" i="38" s="1"/>
  <c r="I671" i="38" s="1"/>
  <c r="G675" i="40" s="1"/>
  <c r="I675" i="40" s="1"/>
  <c r="G680" i="3" s="1"/>
  <c r="I680" i="3" s="1"/>
  <c r="G694" i="44" s="1"/>
  <c r="I694" i="44" s="1"/>
  <c r="G696" i="46" s="1"/>
  <c r="I696" i="46" s="1"/>
  <c r="G696" i="48" s="1"/>
  <c r="I696" i="48" s="1"/>
  <c r="I622" i="1"/>
  <c r="G623" i="28" s="1"/>
  <c r="I623" i="28" s="1"/>
  <c r="G626" i="29" s="1"/>
  <c r="I626" i="29" s="1"/>
  <c r="G635" i="30" s="1"/>
  <c r="I635" i="30" s="1"/>
  <c r="G646" i="32" s="1"/>
  <c r="I646" i="32" s="1"/>
  <c r="G646" i="34" s="1"/>
  <c r="I646" i="34" s="1"/>
  <c r="G659" i="36" s="1"/>
  <c r="I659" i="36" s="1"/>
  <c r="G670" i="38" s="1"/>
  <c r="I670" i="38" s="1"/>
  <c r="G674" i="40" s="1"/>
  <c r="I674" i="40" s="1"/>
  <c r="G679" i="3" s="1"/>
  <c r="I679" i="3" s="1"/>
  <c r="G693" i="44" s="1"/>
  <c r="I693" i="44" s="1"/>
  <c r="G695" i="46" s="1"/>
  <c r="I695" i="46" s="1"/>
  <c r="G695" i="48" s="1"/>
  <c r="I695" i="48" s="1"/>
  <c r="I620" i="1"/>
  <c r="G621" i="28" s="1"/>
  <c r="I621" i="28" s="1"/>
  <c r="G624" i="29" s="1"/>
  <c r="I624" i="29" s="1"/>
  <c r="G633" i="30" s="1"/>
  <c r="I633" i="30" s="1"/>
  <c r="G644" i="32" s="1"/>
  <c r="I644" i="32" s="1"/>
  <c r="G644" i="34" s="1"/>
  <c r="I644" i="34" s="1"/>
  <c r="G657" i="36" s="1"/>
  <c r="I657" i="36" s="1"/>
  <c r="G668" i="38" s="1"/>
  <c r="I668" i="38" s="1"/>
  <c r="G672" i="40" s="1"/>
  <c r="I672" i="40" s="1"/>
  <c r="G677" i="3" s="1"/>
  <c r="I677" i="3" s="1"/>
  <c r="G691" i="44" s="1"/>
  <c r="I691" i="44" s="1"/>
  <c r="G693" i="46" s="1"/>
  <c r="I693" i="46" s="1"/>
  <c r="G693" i="48" s="1"/>
  <c r="I693" i="48" s="1"/>
  <c r="I619" i="1"/>
  <c r="G620" i="28" s="1"/>
  <c r="I620" i="28" s="1"/>
  <c r="G623" i="29" s="1"/>
  <c r="I623" i="29" s="1"/>
  <c r="G632" i="30" s="1"/>
  <c r="I632" i="30" s="1"/>
  <c r="G643" i="32" s="1"/>
  <c r="I643" i="32" s="1"/>
  <c r="G643" i="34" s="1"/>
  <c r="I643" i="34" s="1"/>
  <c r="G656" i="36" s="1"/>
  <c r="I656" i="36" s="1"/>
  <c r="G667" i="38" s="1"/>
  <c r="I667" i="38" s="1"/>
  <c r="G671" i="40" s="1"/>
  <c r="I671" i="40" s="1"/>
  <c r="G676" i="3" s="1"/>
  <c r="I676" i="3" s="1"/>
  <c r="G690" i="44" s="1"/>
  <c r="I690" i="44" s="1"/>
  <c r="G692" i="46" s="1"/>
  <c r="I692" i="46" s="1"/>
  <c r="G692" i="48" s="1"/>
  <c r="I692" i="48" s="1"/>
  <c r="I618" i="1"/>
  <c r="G619" i="28" s="1"/>
  <c r="I619" i="28" s="1"/>
  <c r="G622" i="29" s="1"/>
  <c r="I622" i="29" s="1"/>
  <c r="G631" i="30" s="1"/>
  <c r="I631" i="30" s="1"/>
  <c r="G642" i="32" s="1"/>
  <c r="I642" i="32" s="1"/>
  <c r="G642" i="34" s="1"/>
  <c r="I642" i="34" s="1"/>
  <c r="G655" i="36" s="1"/>
  <c r="I655" i="36" s="1"/>
  <c r="G666" i="38" s="1"/>
  <c r="I666" i="38" s="1"/>
  <c r="G670" i="40" s="1"/>
  <c r="I670" i="40" s="1"/>
  <c r="G675" i="3" s="1"/>
  <c r="I675" i="3" s="1"/>
  <c r="G689" i="44" s="1"/>
  <c r="I689" i="44" s="1"/>
  <c r="G691" i="46" s="1"/>
  <c r="I691" i="46" s="1"/>
  <c r="G691" i="48" s="1"/>
  <c r="I691" i="48" s="1"/>
  <c r="I617" i="1"/>
  <c r="G618" i="28" s="1"/>
  <c r="I618" i="28" s="1"/>
  <c r="G621" i="29" s="1"/>
  <c r="I621" i="29" s="1"/>
  <c r="G630" i="30" s="1"/>
  <c r="I630" i="30" s="1"/>
  <c r="G641" i="32" s="1"/>
  <c r="I641" i="32" s="1"/>
  <c r="G641" i="34" s="1"/>
  <c r="I641" i="34" s="1"/>
  <c r="G654" i="36" s="1"/>
  <c r="I654" i="36" s="1"/>
  <c r="G665" i="38" s="1"/>
  <c r="I665" i="38" s="1"/>
  <c r="G669" i="40" s="1"/>
  <c r="I669" i="40" s="1"/>
  <c r="G674" i="3" s="1"/>
  <c r="I674" i="3" s="1"/>
  <c r="G688" i="44" s="1"/>
  <c r="I688" i="44" s="1"/>
  <c r="G690" i="46" s="1"/>
  <c r="I690" i="46" s="1"/>
  <c r="G690" i="48" s="1"/>
  <c r="I690" i="48" s="1"/>
  <c r="I616" i="1"/>
  <c r="G617" i="28" s="1"/>
  <c r="I617" i="28" s="1"/>
  <c r="G620" i="29" s="1"/>
  <c r="I620" i="29" s="1"/>
  <c r="G629" i="30" s="1"/>
  <c r="I629" i="30" s="1"/>
  <c r="G640" i="32" s="1"/>
  <c r="I640" i="32" s="1"/>
  <c r="G640" i="34" s="1"/>
  <c r="I640" i="34" s="1"/>
  <c r="G653" i="36" s="1"/>
  <c r="I653" i="36" s="1"/>
  <c r="G664" i="38" s="1"/>
  <c r="I664" i="38" s="1"/>
  <c r="G668" i="40" s="1"/>
  <c r="I668" i="40" s="1"/>
  <c r="G673" i="3" s="1"/>
  <c r="I673" i="3" s="1"/>
  <c r="G687" i="44" s="1"/>
  <c r="I687" i="44" s="1"/>
  <c r="G689" i="46" s="1"/>
  <c r="I689" i="46" s="1"/>
  <c r="G689" i="48" s="1"/>
  <c r="I689" i="48" s="1"/>
  <c r="I615" i="1"/>
  <c r="G616" i="28" s="1"/>
  <c r="I616" i="28" s="1"/>
  <c r="G619" i="29" s="1"/>
  <c r="I619" i="29" s="1"/>
  <c r="G628" i="30" s="1"/>
  <c r="I628" i="30" s="1"/>
  <c r="G639" i="32" s="1"/>
  <c r="I639" i="32" s="1"/>
  <c r="G639" i="34" s="1"/>
  <c r="I639" i="34" s="1"/>
  <c r="G652" i="36" s="1"/>
  <c r="I652" i="36" s="1"/>
  <c r="G663" i="38" s="1"/>
  <c r="I663" i="38" s="1"/>
  <c r="G667" i="40" s="1"/>
  <c r="I667" i="40" s="1"/>
  <c r="G672" i="3" s="1"/>
  <c r="I672" i="3" s="1"/>
  <c r="G686" i="44" s="1"/>
  <c r="I686" i="44" s="1"/>
  <c r="G688" i="46" s="1"/>
  <c r="I688" i="46" s="1"/>
  <c r="G688" i="48" s="1"/>
  <c r="I688" i="48" s="1"/>
  <c r="I614" i="1"/>
  <c r="G615" i="28" s="1"/>
  <c r="I615" i="28" s="1"/>
  <c r="G618" i="29" s="1"/>
  <c r="I618" i="29" s="1"/>
  <c r="G627" i="30" s="1"/>
  <c r="I627" i="30" s="1"/>
  <c r="G638" i="32" s="1"/>
  <c r="I638" i="32" s="1"/>
  <c r="G638" i="34" s="1"/>
  <c r="I638" i="34" s="1"/>
  <c r="G651" i="36" s="1"/>
  <c r="I651" i="36" s="1"/>
  <c r="G662" i="38" s="1"/>
  <c r="I662" i="38" s="1"/>
  <c r="G666" i="40" s="1"/>
  <c r="I666" i="40" s="1"/>
  <c r="G671" i="3" s="1"/>
  <c r="I671" i="3" s="1"/>
  <c r="G685" i="44" s="1"/>
  <c r="I685" i="44" s="1"/>
  <c r="G687" i="46" s="1"/>
  <c r="I687" i="46" s="1"/>
  <c r="G687" i="48" s="1"/>
  <c r="I687" i="48" s="1"/>
  <c r="I612" i="1"/>
  <c r="G613" i="28" s="1"/>
  <c r="I613" i="28" s="1"/>
  <c r="G616" i="29" s="1"/>
  <c r="I616" i="29" s="1"/>
  <c r="G625" i="30" s="1"/>
  <c r="I625" i="30" s="1"/>
  <c r="G636" i="32" s="1"/>
  <c r="I636" i="32" s="1"/>
  <c r="G636" i="34" s="1"/>
  <c r="I636" i="34" s="1"/>
  <c r="G649" i="36" s="1"/>
  <c r="I649" i="36" s="1"/>
  <c r="G660" i="38" s="1"/>
  <c r="I660" i="38" s="1"/>
  <c r="G664" i="40" s="1"/>
  <c r="I664" i="40" s="1"/>
  <c r="G669" i="3" s="1"/>
  <c r="I669" i="3" s="1"/>
  <c r="G683" i="44" s="1"/>
  <c r="I683" i="44" s="1"/>
  <c r="G685" i="46" s="1"/>
  <c r="I685" i="46" s="1"/>
  <c r="G685" i="48" s="1"/>
  <c r="I685" i="48" s="1"/>
  <c r="I611" i="1"/>
  <c r="G612" i="28" s="1"/>
  <c r="I612" i="28" s="1"/>
  <c r="G615" i="29" s="1"/>
  <c r="I615" i="29" s="1"/>
  <c r="G624" i="30" s="1"/>
  <c r="I624" i="30" s="1"/>
  <c r="G635" i="32" s="1"/>
  <c r="I635" i="32" s="1"/>
  <c r="G635" i="34" s="1"/>
  <c r="I635" i="34" s="1"/>
  <c r="G648" i="36" s="1"/>
  <c r="I648" i="36" s="1"/>
  <c r="G659" i="38" s="1"/>
  <c r="I659" i="38" s="1"/>
  <c r="G663" i="40" s="1"/>
  <c r="I663" i="40" s="1"/>
  <c r="G668" i="3" s="1"/>
  <c r="I668" i="3" s="1"/>
  <c r="G682" i="44" s="1"/>
  <c r="I682" i="44" s="1"/>
  <c r="G684" i="46" s="1"/>
  <c r="I684" i="46" s="1"/>
  <c r="G684" i="48" s="1"/>
  <c r="I684" i="48" s="1"/>
  <c r="I610" i="1"/>
  <c r="G611" i="28" s="1"/>
  <c r="I611" i="28" s="1"/>
  <c r="G614" i="29" s="1"/>
  <c r="I614" i="29" s="1"/>
  <c r="G623" i="30" s="1"/>
  <c r="I623" i="30" s="1"/>
  <c r="G634" i="32" s="1"/>
  <c r="I634" i="32" s="1"/>
  <c r="G634" i="34" s="1"/>
  <c r="I634" i="34" s="1"/>
  <c r="G647" i="36" s="1"/>
  <c r="I647" i="36" s="1"/>
  <c r="G658" i="38" s="1"/>
  <c r="I658" i="38" s="1"/>
  <c r="G662" i="40" s="1"/>
  <c r="I662" i="40" s="1"/>
  <c r="G667" i="3" s="1"/>
  <c r="I667" i="3" s="1"/>
  <c r="G681" i="44" s="1"/>
  <c r="I681" i="44" s="1"/>
  <c r="G683" i="46" s="1"/>
  <c r="I683" i="46" s="1"/>
  <c r="G683" i="48" s="1"/>
  <c r="I683" i="48" s="1"/>
  <c r="I609" i="1"/>
  <c r="G610" i="28" s="1"/>
  <c r="I610" i="28" s="1"/>
  <c r="G613" i="29" s="1"/>
  <c r="I613" i="29" s="1"/>
  <c r="G622" i="30" s="1"/>
  <c r="I622" i="30" s="1"/>
  <c r="G633" i="32" s="1"/>
  <c r="I633" i="32" s="1"/>
  <c r="G633" i="34" s="1"/>
  <c r="I633" i="34" s="1"/>
  <c r="G646" i="36" s="1"/>
  <c r="I646" i="36" s="1"/>
  <c r="G657" i="38" s="1"/>
  <c r="I657" i="38" s="1"/>
  <c r="G661" i="40" s="1"/>
  <c r="I661" i="40" s="1"/>
  <c r="G666" i="3" s="1"/>
  <c r="I666" i="3" s="1"/>
  <c r="G680" i="44" s="1"/>
  <c r="I680" i="44" s="1"/>
  <c r="G682" i="46" s="1"/>
  <c r="I682" i="46" s="1"/>
  <c r="G682" i="48" s="1"/>
  <c r="I682" i="48" s="1"/>
  <c r="I608" i="1"/>
  <c r="G609" i="28" s="1"/>
  <c r="I609" i="28" s="1"/>
  <c r="G612" i="29" s="1"/>
  <c r="I612" i="29" s="1"/>
  <c r="G621" i="30" s="1"/>
  <c r="I621" i="30" s="1"/>
  <c r="G632" i="32" s="1"/>
  <c r="I632" i="32" s="1"/>
  <c r="G632" i="34" s="1"/>
  <c r="I632" i="34" s="1"/>
  <c r="G645" i="36" s="1"/>
  <c r="I645" i="36" s="1"/>
  <c r="G656" i="38" s="1"/>
  <c r="I656" i="38" s="1"/>
  <c r="G660" i="40" s="1"/>
  <c r="I660" i="40" s="1"/>
  <c r="G665" i="3" s="1"/>
  <c r="I665" i="3" s="1"/>
  <c r="G679" i="44" s="1"/>
  <c r="I679" i="44" s="1"/>
  <c r="G681" i="46" s="1"/>
  <c r="I681" i="46" s="1"/>
  <c r="G681" i="48" s="1"/>
  <c r="I681" i="48" s="1"/>
  <c r="I607" i="1"/>
  <c r="G608" i="28" s="1"/>
  <c r="I608" i="28" s="1"/>
  <c r="G611" i="29" s="1"/>
  <c r="I611" i="29" s="1"/>
  <c r="G620" i="30" s="1"/>
  <c r="I620" i="30" s="1"/>
  <c r="G631" i="32" s="1"/>
  <c r="I631" i="32" s="1"/>
  <c r="G631" i="34" s="1"/>
  <c r="I631" i="34" s="1"/>
  <c r="G644" i="36" s="1"/>
  <c r="I644" i="36" s="1"/>
  <c r="G655" i="38" s="1"/>
  <c r="I655" i="38" s="1"/>
  <c r="G659" i="40" s="1"/>
  <c r="I659" i="40" s="1"/>
  <c r="G664" i="3" s="1"/>
  <c r="I664" i="3" s="1"/>
  <c r="G678" i="44" s="1"/>
  <c r="I678" i="44" s="1"/>
  <c r="G680" i="46" s="1"/>
  <c r="I680" i="46" s="1"/>
  <c r="G680" i="48" s="1"/>
  <c r="I680" i="48" s="1"/>
  <c r="I606" i="1"/>
  <c r="G607" i="28" s="1"/>
  <c r="I607" i="28" s="1"/>
  <c r="G610" i="29" s="1"/>
  <c r="I610" i="29" s="1"/>
  <c r="G619" i="30" s="1"/>
  <c r="I619" i="30" s="1"/>
  <c r="G630" i="32" s="1"/>
  <c r="I630" i="32" s="1"/>
  <c r="G630" i="34" s="1"/>
  <c r="I630" i="34" s="1"/>
  <c r="G643" i="36" s="1"/>
  <c r="I643" i="36" s="1"/>
  <c r="G654" i="38" s="1"/>
  <c r="I654" i="38" s="1"/>
  <c r="G658" i="40" s="1"/>
  <c r="I658" i="40" s="1"/>
  <c r="G663" i="3" s="1"/>
  <c r="I663" i="3" s="1"/>
  <c r="G677" i="44" s="1"/>
  <c r="I677" i="44" s="1"/>
  <c r="G679" i="46" s="1"/>
  <c r="I679" i="46" s="1"/>
  <c r="G679" i="48" s="1"/>
  <c r="I679" i="48" s="1"/>
  <c r="I604" i="1"/>
  <c r="G605" i="28" s="1"/>
  <c r="I605" i="28" s="1"/>
  <c r="G608" i="29" s="1"/>
  <c r="I608" i="29" s="1"/>
  <c r="G617" i="30" s="1"/>
  <c r="I617" i="30" s="1"/>
  <c r="G628" i="32" s="1"/>
  <c r="I628" i="32" s="1"/>
  <c r="G628" i="34" s="1"/>
  <c r="I628" i="34" s="1"/>
  <c r="G641" i="36" s="1"/>
  <c r="I641" i="36" s="1"/>
  <c r="G652" i="38" s="1"/>
  <c r="I652" i="38" s="1"/>
  <c r="G656" i="40" s="1"/>
  <c r="I656" i="40" s="1"/>
  <c r="G661" i="3" s="1"/>
  <c r="I661" i="3" s="1"/>
  <c r="G675" i="44" s="1"/>
  <c r="I675" i="44" s="1"/>
  <c r="G677" i="46" s="1"/>
  <c r="I677" i="46" s="1"/>
  <c r="G677" i="48" s="1"/>
  <c r="I677" i="48" s="1"/>
  <c r="I603" i="1"/>
  <c r="G604" i="28" s="1"/>
  <c r="I604" i="28" s="1"/>
  <c r="G607" i="29" s="1"/>
  <c r="I607" i="29" s="1"/>
  <c r="G616" i="30" s="1"/>
  <c r="I616" i="30" s="1"/>
  <c r="G627" i="32" s="1"/>
  <c r="I627" i="32" s="1"/>
  <c r="G627" i="34" s="1"/>
  <c r="I627" i="34" s="1"/>
  <c r="G640" i="36" s="1"/>
  <c r="I640" i="36" s="1"/>
  <c r="G651" i="38" s="1"/>
  <c r="I651" i="38" s="1"/>
  <c r="G655" i="40" s="1"/>
  <c r="I655" i="40" s="1"/>
  <c r="G660" i="3" s="1"/>
  <c r="I660" i="3" s="1"/>
  <c r="G674" i="44" s="1"/>
  <c r="I674" i="44" s="1"/>
  <c r="G676" i="46" s="1"/>
  <c r="I676" i="46" s="1"/>
  <c r="G676" i="48" s="1"/>
  <c r="I676" i="48" s="1"/>
  <c r="I602" i="1"/>
  <c r="G603" i="28" s="1"/>
  <c r="I603" i="28" s="1"/>
  <c r="G606" i="29" s="1"/>
  <c r="I606" i="29" s="1"/>
  <c r="G615" i="30" s="1"/>
  <c r="I615" i="30" s="1"/>
  <c r="G626" i="32" s="1"/>
  <c r="I626" i="32" s="1"/>
  <c r="G626" i="34" s="1"/>
  <c r="I626" i="34" s="1"/>
  <c r="G639" i="36" s="1"/>
  <c r="I639" i="36" s="1"/>
  <c r="G650" i="38" s="1"/>
  <c r="I650" i="38" s="1"/>
  <c r="G654" i="40" s="1"/>
  <c r="I654" i="40" s="1"/>
  <c r="G659" i="3" s="1"/>
  <c r="I659" i="3" s="1"/>
  <c r="G673" i="44" s="1"/>
  <c r="I673" i="44" s="1"/>
  <c r="G675" i="46" s="1"/>
  <c r="I675" i="46" s="1"/>
  <c r="G675" i="48" s="1"/>
  <c r="I675" i="48" s="1"/>
  <c r="I601" i="1"/>
  <c r="G602" i="28" s="1"/>
  <c r="I602" i="28" s="1"/>
  <c r="G605" i="29" s="1"/>
  <c r="I605" i="29" s="1"/>
  <c r="G614" i="30" s="1"/>
  <c r="I614" i="30" s="1"/>
  <c r="G625" i="32" s="1"/>
  <c r="I625" i="32" s="1"/>
  <c r="G625" i="34" s="1"/>
  <c r="I625" i="34" s="1"/>
  <c r="G638" i="36" s="1"/>
  <c r="I638" i="36" s="1"/>
  <c r="G649" i="38" s="1"/>
  <c r="I649" i="38" s="1"/>
  <c r="G653" i="40" s="1"/>
  <c r="I653" i="40" s="1"/>
  <c r="G658" i="3" s="1"/>
  <c r="I658" i="3" s="1"/>
  <c r="G672" i="44" s="1"/>
  <c r="I672" i="44" s="1"/>
  <c r="G674" i="46" s="1"/>
  <c r="I674" i="46" s="1"/>
  <c r="G674" i="48" s="1"/>
  <c r="I674" i="48" s="1"/>
  <c r="I600" i="1"/>
  <c r="G601" i="28" s="1"/>
  <c r="I601" i="28" s="1"/>
  <c r="G604" i="29" s="1"/>
  <c r="I604" i="29" s="1"/>
  <c r="G613" i="30" s="1"/>
  <c r="I613" i="30" s="1"/>
  <c r="G624" i="32" s="1"/>
  <c r="I624" i="32" s="1"/>
  <c r="G624" i="34" s="1"/>
  <c r="I624" i="34" s="1"/>
  <c r="G637" i="36" s="1"/>
  <c r="I637" i="36" s="1"/>
  <c r="G648" i="38" s="1"/>
  <c r="I648" i="38" s="1"/>
  <c r="G652" i="40" s="1"/>
  <c r="I652" i="40" s="1"/>
  <c r="G657" i="3" s="1"/>
  <c r="I657" i="3" s="1"/>
  <c r="G671" i="44" s="1"/>
  <c r="I671" i="44" s="1"/>
  <c r="G673" i="46" s="1"/>
  <c r="I673" i="46" s="1"/>
  <c r="G673" i="48" s="1"/>
  <c r="I673" i="48" s="1"/>
  <c r="I599" i="1"/>
  <c r="G600" i="28" s="1"/>
  <c r="I600" i="28" s="1"/>
  <c r="G603" i="29" s="1"/>
  <c r="I603" i="29" s="1"/>
  <c r="G612" i="30" s="1"/>
  <c r="I612" i="30" s="1"/>
  <c r="G623" i="32" s="1"/>
  <c r="I623" i="32" s="1"/>
  <c r="G623" i="34" s="1"/>
  <c r="I623" i="34" s="1"/>
  <c r="G636" i="36" s="1"/>
  <c r="I636" i="36" s="1"/>
  <c r="G647" i="38" s="1"/>
  <c r="I647" i="38" s="1"/>
  <c r="G651" i="40" s="1"/>
  <c r="I651" i="40" s="1"/>
  <c r="G656" i="3" s="1"/>
  <c r="I656" i="3" s="1"/>
  <c r="G670" i="44" s="1"/>
  <c r="I670" i="44" s="1"/>
  <c r="G672" i="46" s="1"/>
  <c r="I672" i="46" s="1"/>
  <c r="G672" i="48" s="1"/>
  <c r="I672" i="48" s="1"/>
  <c r="I598" i="1"/>
  <c r="G599" i="28" s="1"/>
  <c r="I599" i="28" s="1"/>
  <c r="G602" i="29" s="1"/>
  <c r="I602" i="29" s="1"/>
  <c r="G611" i="30" s="1"/>
  <c r="I611" i="30" s="1"/>
  <c r="G622" i="32" s="1"/>
  <c r="I622" i="32" s="1"/>
  <c r="G622" i="34" s="1"/>
  <c r="I622" i="34" s="1"/>
  <c r="G635" i="36" s="1"/>
  <c r="I635" i="36" s="1"/>
  <c r="G646" i="38" s="1"/>
  <c r="I646" i="38" s="1"/>
  <c r="G650" i="40" s="1"/>
  <c r="I650" i="40" s="1"/>
  <c r="G655" i="3" s="1"/>
  <c r="I655" i="3" s="1"/>
  <c r="G669" i="44" s="1"/>
  <c r="I669" i="44" s="1"/>
  <c r="G671" i="46" s="1"/>
  <c r="I671" i="46" s="1"/>
  <c r="G671" i="48" s="1"/>
  <c r="I671" i="48" s="1"/>
  <c r="I596" i="1"/>
  <c r="G597" i="28" s="1"/>
  <c r="I597" i="28" s="1"/>
  <c r="G600" i="29" s="1"/>
  <c r="I600" i="29" s="1"/>
  <c r="G609" i="30" s="1"/>
  <c r="I609" i="30" s="1"/>
  <c r="G620" i="32" s="1"/>
  <c r="I620" i="32" s="1"/>
  <c r="G620" i="34" s="1"/>
  <c r="I620" i="34" s="1"/>
  <c r="G633" i="36" s="1"/>
  <c r="I633" i="36" s="1"/>
  <c r="G644" i="38" s="1"/>
  <c r="I644" i="38" s="1"/>
  <c r="G648" i="40" s="1"/>
  <c r="I648" i="40" s="1"/>
  <c r="G653" i="3" s="1"/>
  <c r="I653" i="3" s="1"/>
  <c r="G667" i="44" s="1"/>
  <c r="I667" i="44" s="1"/>
  <c r="G669" i="46" s="1"/>
  <c r="I669" i="46" s="1"/>
  <c r="G669" i="48" s="1"/>
  <c r="I669" i="48" s="1"/>
  <c r="I595" i="1"/>
  <c r="G596" i="28" s="1"/>
  <c r="I596" i="28" s="1"/>
  <c r="G599" i="29" s="1"/>
  <c r="I599" i="29" s="1"/>
  <c r="G608" i="30" s="1"/>
  <c r="I608" i="30" s="1"/>
  <c r="G619" i="32" s="1"/>
  <c r="I619" i="32" s="1"/>
  <c r="G619" i="34" s="1"/>
  <c r="I619" i="34" s="1"/>
  <c r="G632" i="36" s="1"/>
  <c r="I632" i="36" s="1"/>
  <c r="G643" i="38" s="1"/>
  <c r="I643" i="38" s="1"/>
  <c r="G647" i="40" s="1"/>
  <c r="I647" i="40" s="1"/>
  <c r="G652" i="3" s="1"/>
  <c r="I652" i="3" s="1"/>
  <c r="G666" i="44" s="1"/>
  <c r="I666" i="44" s="1"/>
  <c r="G668" i="46" s="1"/>
  <c r="I668" i="46" s="1"/>
  <c r="G668" i="48" s="1"/>
  <c r="I668" i="48" s="1"/>
  <c r="I594" i="1"/>
  <c r="G595" i="28" s="1"/>
  <c r="I595" i="28" s="1"/>
  <c r="G598" i="29" s="1"/>
  <c r="I598" i="29" s="1"/>
  <c r="G607" i="30" s="1"/>
  <c r="I607" i="30" s="1"/>
  <c r="G618" i="32" s="1"/>
  <c r="I618" i="32" s="1"/>
  <c r="G618" i="34" s="1"/>
  <c r="I618" i="34" s="1"/>
  <c r="G631" i="36" s="1"/>
  <c r="I631" i="36" s="1"/>
  <c r="G642" i="38" s="1"/>
  <c r="I642" i="38" s="1"/>
  <c r="G646" i="40" s="1"/>
  <c r="I646" i="40" s="1"/>
  <c r="G651" i="3" s="1"/>
  <c r="I651" i="3" s="1"/>
  <c r="G665" i="44" s="1"/>
  <c r="I665" i="44" s="1"/>
  <c r="G667" i="46" s="1"/>
  <c r="I667" i="46" s="1"/>
  <c r="G667" i="48" s="1"/>
  <c r="I667" i="48" s="1"/>
  <c r="I593" i="1"/>
  <c r="G594" i="28" s="1"/>
  <c r="I594" i="28" s="1"/>
  <c r="G597" i="29" s="1"/>
  <c r="I597" i="29" s="1"/>
  <c r="G606" i="30" s="1"/>
  <c r="I606" i="30" s="1"/>
  <c r="G617" i="32" s="1"/>
  <c r="I617" i="32" s="1"/>
  <c r="G617" i="34" s="1"/>
  <c r="I617" i="34" s="1"/>
  <c r="G630" i="36" s="1"/>
  <c r="I630" i="36" s="1"/>
  <c r="G641" i="38" s="1"/>
  <c r="I641" i="38" s="1"/>
  <c r="G645" i="40" s="1"/>
  <c r="I645" i="40" s="1"/>
  <c r="G650" i="3" s="1"/>
  <c r="I650" i="3" s="1"/>
  <c r="G664" i="44" s="1"/>
  <c r="I664" i="44" s="1"/>
  <c r="G666" i="46" s="1"/>
  <c r="I666" i="46" s="1"/>
  <c r="G666" i="48" s="1"/>
  <c r="I666" i="48" s="1"/>
  <c r="I592" i="1"/>
  <c r="G593" i="28" s="1"/>
  <c r="I593" i="28" s="1"/>
  <c r="G596" i="29" s="1"/>
  <c r="I596" i="29" s="1"/>
  <c r="G605" i="30" s="1"/>
  <c r="I605" i="30" s="1"/>
  <c r="G616" i="32" s="1"/>
  <c r="I616" i="32" s="1"/>
  <c r="G616" i="34" s="1"/>
  <c r="I616" i="34" s="1"/>
  <c r="G629" i="36" s="1"/>
  <c r="I629" i="36" s="1"/>
  <c r="G640" i="38" s="1"/>
  <c r="I640" i="38" s="1"/>
  <c r="G644" i="40" s="1"/>
  <c r="I644" i="40" s="1"/>
  <c r="G649" i="3" s="1"/>
  <c r="I649" i="3" s="1"/>
  <c r="G663" i="44" s="1"/>
  <c r="I663" i="44" s="1"/>
  <c r="G665" i="46" s="1"/>
  <c r="I665" i="46" s="1"/>
  <c r="G665" i="48" s="1"/>
  <c r="I665" i="48" s="1"/>
  <c r="I591" i="1"/>
  <c r="G592" i="28" s="1"/>
  <c r="I592" i="28" s="1"/>
  <c r="G595" i="29" s="1"/>
  <c r="I595" i="29" s="1"/>
  <c r="G604" i="30" s="1"/>
  <c r="I604" i="30" s="1"/>
  <c r="G615" i="32" s="1"/>
  <c r="I615" i="32" s="1"/>
  <c r="G615" i="34" s="1"/>
  <c r="I615" i="34" s="1"/>
  <c r="G628" i="36" s="1"/>
  <c r="I628" i="36" s="1"/>
  <c r="G639" i="38" s="1"/>
  <c r="I639" i="38" s="1"/>
  <c r="G643" i="40" s="1"/>
  <c r="I643" i="40" s="1"/>
  <c r="G648" i="3" s="1"/>
  <c r="I648" i="3" s="1"/>
  <c r="G662" i="44" s="1"/>
  <c r="I662" i="44" s="1"/>
  <c r="G664" i="46" s="1"/>
  <c r="I664" i="46" s="1"/>
  <c r="G664" i="48" s="1"/>
  <c r="I664" i="48" s="1"/>
  <c r="I590" i="1"/>
  <c r="G591" i="28" s="1"/>
  <c r="I591" i="28" s="1"/>
  <c r="G594" i="29" s="1"/>
  <c r="I594" i="29" s="1"/>
  <c r="G603" i="30" s="1"/>
  <c r="I603" i="30" s="1"/>
  <c r="G614" i="32" s="1"/>
  <c r="I614" i="32" s="1"/>
  <c r="G614" i="34" s="1"/>
  <c r="I614" i="34" s="1"/>
  <c r="G627" i="36" s="1"/>
  <c r="I627" i="36" s="1"/>
  <c r="G638" i="38" s="1"/>
  <c r="I638" i="38" s="1"/>
  <c r="G642" i="40" s="1"/>
  <c r="I642" i="40" s="1"/>
  <c r="G647" i="3" s="1"/>
  <c r="I647" i="3" s="1"/>
  <c r="G661" i="44" s="1"/>
  <c r="I661" i="44" s="1"/>
  <c r="G663" i="46" s="1"/>
  <c r="I663" i="46" s="1"/>
  <c r="G663" i="48" s="1"/>
  <c r="I663" i="48" s="1"/>
  <c r="I589" i="1"/>
  <c r="G590" i="28" s="1"/>
  <c r="I590" i="28" s="1"/>
  <c r="G593" i="29" s="1"/>
  <c r="I593" i="29" s="1"/>
  <c r="G602" i="30" s="1"/>
  <c r="I602" i="30" s="1"/>
  <c r="G613" i="32" s="1"/>
  <c r="I613" i="32" s="1"/>
  <c r="G613" i="34" s="1"/>
  <c r="I613" i="34" s="1"/>
  <c r="G626" i="36" s="1"/>
  <c r="I626" i="36" s="1"/>
  <c r="G637" i="38" s="1"/>
  <c r="I637" i="38" s="1"/>
  <c r="G641" i="40" s="1"/>
  <c r="I641" i="40" s="1"/>
  <c r="G646" i="3" s="1"/>
  <c r="I646" i="3" s="1"/>
  <c r="G660" i="44" s="1"/>
  <c r="I660" i="44" s="1"/>
  <c r="G662" i="46" s="1"/>
  <c r="I662" i="46" s="1"/>
  <c r="G662" i="48" s="1"/>
  <c r="I662" i="48" s="1"/>
  <c r="I586" i="1"/>
  <c r="G587" i="28" s="1"/>
  <c r="I587" i="28" s="1"/>
  <c r="G590" i="29" s="1"/>
  <c r="I590" i="29" s="1"/>
  <c r="G599" i="30" s="1"/>
  <c r="I599" i="30" s="1"/>
  <c r="G610" i="32" s="1"/>
  <c r="I610" i="32" s="1"/>
  <c r="G610" i="34" s="1"/>
  <c r="I610" i="34" s="1"/>
  <c r="G623" i="36" s="1"/>
  <c r="I623" i="36" s="1"/>
  <c r="G634" i="38" s="1"/>
  <c r="I634" i="38" s="1"/>
  <c r="G638" i="40" s="1"/>
  <c r="I638" i="40" s="1"/>
  <c r="G643" i="3" s="1"/>
  <c r="I643" i="3" s="1"/>
  <c r="G657" i="44" s="1"/>
  <c r="I657" i="44" s="1"/>
  <c r="G659" i="46" s="1"/>
  <c r="I659" i="46" s="1"/>
  <c r="G659" i="48" s="1"/>
  <c r="I659" i="48" s="1"/>
  <c r="I585" i="1"/>
  <c r="G586" i="28" s="1"/>
  <c r="I586" i="28" s="1"/>
  <c r="G589" i="29" s="1"/>
  <c r="I589" i="29" s="1"/>
  <c r="G598" i="30" s="1"/>
  <c r="I598" i="30" s="1"/>
  <c r="G609" i="32" s="1"/>
  <c r="I609" i="32" s="1"/>
  <c r="G609" i="34" s="1"/>
  <c r="I609" i="34" s="1"/>
  <c r="G622" i="36" s="1"/>
  <c r="I622" i="36" s="1"/>
  <c r="G633" i="38" s="1"/>
  <c r="I633" i="38" s="1"/>
  <c r="G637" i="40" s="1"/>
  <c r="I637" i="40" s="1"/>
  <c r="G642" i="3" s="1"/>
  <c r="I642" i="3" s="1"/>
  <c r="G656" i="44" s="1"/>
  <c r="I656" i="44" s="1"/>
  <c r="G658" i="46" s="1"/>
  <c r="I658" i="46" s="1"/>
  <c r="G658" i="48" s="1"/>
  <c r="I658" i="48" s="1"/>
  <c r="I584" i="1"/>
  <c r="G585" i="28" s="1"/>
  <c r="I585" i="28" s="1"/>
  <c r="G588" i="29" s="1"/>
  <c r="I588" i="29" s="1"/>
  <c r="G597" i="30" s="1"/>
  <c r="I597" i="30" s="1"/>
  <c r="G608" i="32" s="1"/>
  <c r="I608" i="32" s="1"/>
  <c r="G608" i="34" s="1"/>
  <c r="I608" i="34" s="1"/>
  <c r="G621" i="36" s="1"/>
  <c r="I621" i="36" s="1"/>
  <c r="G632" i="38" s="1"/>
  <c r="I632" i="38" s="1"/>
  <c r="G636" i="40" s="1"/>
  <c r="I636" i="40" s="1"/>
  <c r="G641" i="3" s="1"/>
  <c r="I641" i="3" s="1"/>
  <c r="G655" i="44" s="1"/>
  <c r="I655" i="44" s="1"/>
  <c r="G657" i="46" s="1"/>
  <c r="I657" i="46" s="1"/>
  <c r="G657" i="48" s="1"/>
  <c r="I657" i="48" s="1"/>
  <c r="I583" i="1"/>
  <c r="G584" i="28" s="1"/>
  <c r="I584" i="28" s="1"/>
  <c r="G587" i="29" s="1"/>
  <c r="I587" i="29" s="1"/>
  <c r="G596" i="30" s="1"/>
  <c r="I596" i="30" s="1"/>
  <c r="G607" i="32" s="1"/>
  <c r="I607" i="32" s="1"/>
  <c r="G607" i="34" s="1"/>
  <c r="I607" i="34" s="1"/>
  <c r="G620" i="36" s="1"/>
  <c r="I620" i="36" s="1"/>
  <c r="G631" i="38" s="1"/>
  <c r="I631" i="38" s="1"/>
  <c r="G635" i="40" s="1"/>
  <c r="I635" i="40" s="1"/>
  <c r="G640" i="3" s="1"/>
  <c r="I640" i="3" s="1"/>
  <c r="G654" i="44" s="1"/>
  <c r="I654" i="44" s="1"/>
  <c r="G656" i="46" s="1"/>
  <c r="I656" i="46" s="1"/>
  <c r="G656" i="48" s="1"/>
  <c r="I656" i="48" s="1"/>
  <c r="I582" i="1"/>
  <c r="G583" i="28" s="1"/>
  <c r="I583" i="28" s="1"/>
  <c r="G586" i="29" s="1"/>
  <c r="I586" i="29" s="1"/>
  <c r="G595" i="30" s="1"/>
  <c r="I595" i="30" s="1"/>
  <c r="G606" i="32" s="1"/>
  <c r="I606" i="32" s="1"/>
  <c r="G606" i="34" s="1"/>
  <c r="I606" i="34" s="1"/>
  <c r="G619" i="36" s="1"/>
  <c r="I619" i="36" s="1"/>
  <c r="G630" i="38" s="1"/>
  <c r="I630" i="38" s="1"/>
  <c r="G634" i="40" s="1"/>
  <c r="I634" i="40" s="1"/>
  <c r="G639" i="3" s="1"/>
  <c r="I639" i="3" s="1"/>
  <c r="G653" i="44" s="1"/>
  <c r="I653" i="44" s="1"/>
  <c r="G655" i="46" s="1"/>
  <c r="I655" i="46" s="1"/>
  <c r="G655" i="48" s="1"/>
  <c r="I655" i="48" s="1"/>
  <c r="I581" i="1"/>
  <c r="G582" i="28" s="1"/>
  <c r="I582" i="28" s="1"/>
  <c r="G585" i="29" s="1"/>
  <c r="I585" i="29" s="1"/>
  <c r="G594" i="30" s="1"/>
  <c r="I594" i="30" s="1"/>
  <c r="G605" i="32" s="1"/>
  <c r="I605" i="32" s="1"/>
  <c r="G605" i="34" s="1"/>
  <c r="I605" i="34" s="1"/>
  <c r="G618" i="36" s="1"/>
  <c r="I618" i="36" s="1"/>
  <c r="G629" i="38" s="1"/>
  <c r="I629" i="38" s="1"/>
  <c r="G633" i="40" s="1"/>
  <c r="I633" i="40" s="1"/>
  <c r="G638" i="3" s="1"/>
  <c r="I638" i="3" s="1"/>
  <c r="G652" i="44" s="1"/>
  <c r="I652" i="44" s="1"/>
  <c r="G654" i="46" s="1"/>
  <c r="I654" i="46" s="1"/>
  <c r="G654" i="48" s="1"/>
  <c r="I654" i="48" s="1"/>
  <c r="I580" i="1"/>
  <c r="G581" i="28" s="1"/>
  <c r="I581" i="28" s="1"/>
  <c r="G584" i="29" s="1"/>
  <c r="I584" i="29" s="1"/>
  <c r="G593" i="30" s="1"/>
  <c r="I593" i="30" s="1"/>
  <c r="G604" i="32" s="1"/>
  <c r="I604" i="32" s="1"/>
  <c r="G604" i="34" s="1"/>
  <c r="I604" i="34" s="1"/>
  <c r="G617" i="36" s="1"/>
  <c r="I617" i="36" s="1"/>
  <c r="G628" i="38" s="1"/>
  <c r="I628" i="38" s="1"/>
  <c r="G632" i="40" s="1"/>
  <c r="I632" i="40" s="1"/>
  <c r="G637" i="3" s="1"/>
  <c r="I637" i="3" s="1"/>
  <c r="G651" i="44" s="1"/>
  <c r="I651" i="44" s="1"/>
  <c r="G653" i="46" s="1"/>
  <c r="I653" i="46" s="1"/>
  <c r="G653" i="48" s="1"/>
  <c r="I653" i="48" s="1"/>
  <c r="I578" i="1"/>
  <c r="G579" i="28" s="1"/>
  <c r="I579" i="28" s="1"/>
  <c r="G582" i="29" s="1"/>
  <c r="I582" i="29" s="1"/>
  <c r="G591" i="30" s="1"/>
  <c r="I591" i="30" s="1"/>
  <c r="G602" i="32" s="1"/>
  <c r="I602" i="32" s="1"/>
  <c r="G602" i="34" s="1"/>
  <c r="I602" i="34" s="1"/>
  <c r="G615" i="36" s="1"/>
  <c r="I615" i="36" s="1"/>
  <c r="G626" i="38" s="1"/>
  <c r="I626" i="38" s="1"/>
  <c r="G630" i="40" s="1"/>
  <c r="I630" i="40" s="1"/>
  <c r="G635" i="3" s="1"/>
  <c r="I635" i="3" s="1"/>
  <c r="G649" i="44" s="1"/>
  <c r="I649" i="44" s="1"/>
  <c r="G651" i="46" s="1"/>
  <c r="I651" i="46" s="1"/>
  <c r="G651" i="48" s="1"/>
  <c r="I651" i="48" s="1"/>
  <c r="I577" i="1"/>
  <c r="G578" i="28" s="1"/>
  <c r="I578" i="28" s="1"/>
  <c r="G581" i="29" s="1"/>
  <c r="I581" i="29" s="1"/>
  <c r="G590" i="30" s="1"/>
  <c r="I590" i="30" s="1"/>
  <c r="G601" i="32" s="1"/>
  <c r="I601" i="32" s="1"/>
  <c r="G601" i="34" s="1"/>
  <c r="I601" i="34" s="1"/>
  <c r="G614" i="36" s="1"/>
  <c r="I614" i="36" s="1"/>
  <c r="G625" i="38" s="1"/>
  <c r="I625" i="38" s="1"/>
  <c r="G629" i="40" s="1"/>
  <c r="I629" i="40" s="1"/>
  <c r="G634" i="3" s="1"/>
  <c r="I634" i="3" s="1"/>
  <c r="G648" i="44" s="1"/>
  <c r="I648" i="44" s="1"/>
  <c r="G650" i="46" s="1"/>
  <c r="I650" i="46" s="1"/>
  <c r="G650" i="48" s="1"/>
  <c r="I650" i="48" s="1"/>
  <c r="I576" i="1"/>
  <c r="G577" i="28" s="1"/>
  <c r="I577" i="28" s="1"/>
  <c r="G580" i="29" s="1"/>
  <c r="I580" i="29" s="1"/>
  <c r="G589" i="30" s="1"/>
  <c r="I589" i="30" s="1"/>
  <c r="G600" i="32" s="1"/>
  <c r="I600" i="32" s="1"/>
  <c r="G600" i="34" s="1"/>
  <c r="I600" i="34" s="1"/>
  <c r="G613" i="36" s="1"/>
  <c r="I613" i="36" s="1"/>
  <c r="G624" i="38" s="1"/>
  <c r="I624" i="38" s="1"/>
  <c r="G628" i="40" s="1"/>
  <c r="I628" i="40" s="1"/>
  <c r="G633" i="3" s="1"/>
  <c r="I633" i="3" s="1"/>
  <c r="G647" i="44" s="1"/>
  <c r="I647" i="44" s="1"/>
  <c r="G649" i="46" s="1"/>
  <c r="I649" i="46" s="1"/>
  <c r="G649" i="48" s="1"/>
  <c r="I649" i="48" s="1"/>
  <c r="I575" i="1"/>
  <c r="G576" i="28" s="1"/>
  <c r="I576" i="28" s="1"/>
  <c r="G579" i="29" s="1"/>
  <c r="I579" i="29" s="1"/>
  <c r="G588" i="30" s="1"/>
  <c r="I588" i="30" s="1"/>
  <c r="G599" i="32" s="1"/>
  <c r="I599" i="32" s="1"/>
  <c r="G599" i="34" s="1"/>
  <c r="I599" i="34" s="1"/>
  <c r="G612" i="36" s="1"/>
  <c r="I612" i="36" s="1"/>
  <c r="G623" i="38" s="1"/>
  <c r="I623" i="38" s="1"/>
  <c r="G627" i="40" s="1"/>
  <c r="I627" i="40" s="1"/>
  <c r="G632" i="3" s="1"/>
  <c r="I632" i="3" s="1"/>
  <c r="G646" i="44" s="1"/>
  <c r="I646" i="44" s="1"/>
  <c r="G648" i="46" s="1"/>
  <c r="I648" i="46" s="1"/>
  <c r="G648" i="48" s="1"/>
  <c r="I648" i="48" s="1"/>
  <c r="I574" i="1"/>
  <c r="G575" i="28" s="1"/>
  <c r="I575" i="28" s="1"/>
  <c r="G578" i="29" s="1"/>
  <c r="I578" i="29" s="1"/>
  <c r="G587" i="30" s="1"/>
  <c r="I587" i="30" s="1"/>
  <c r="G598" i="32" s="1"/>
  <c r="I598" i="32" s="1"/>
  <c r="G598" i="34" s="1"/>
  <c r="I598" i="34" s="1"/>
  <c r="G611" i="36" s="1"/>
  <c r="I611" i="36" s="1"/>
  <c r="G622" i="38" s="1"/>
  <c r="I622" i="38" s="1"/>
  <c r="G626" i="40" s="1"/>
  <c r="I626" i="40" s="1"/>
  <c r="G631" i="3" s="1"/>
  <c r="I631" i="3" s="1"/>
  <c r="G645" i="44" s="1"/>
  <c r="I645" i="44" s="1"/>
  <c r="G647" i="46" s="1"/>
  <c r="I647" i="46" s="1"/>
  <c r="G647" i="48" s="1"/>
  <c r="I647" i="48" s="1"/>
  <c r="I573" i="1"/>
  <c r="G574" i="28" s="1"/>
  <c r="I574" i="28" s="1"/>
  <c r="G577" i="29" s="1"/>
  <c r="I577" i="29" s="1"/>
  <c r="G586" i="30" s="1"/>
  <c r="I586" i="30" s="1"/>
  <c r="G597" i="32" s="1"/>
  <c r="I597" i="32" s="1"/>
  <c r="G597" i="34" s="1"/>
  <c r="I597" i="34" s="1"/>
  <c r="G610" i="36" s="1"/>
  <c r="I610" i="36" s="1"/>
  <c r="G621" i="38" s="1"/>
  <c r="I621" i="38" s="1"/>
  <c r="G625" i="40" s="1"/>
  <c r="I625" i="40" s="1"/>
  <c r="G630" i="3" s="1"/>
  <c r="I630" i="3" s="1"/>
  <c r="G644" i="44" s="1"/>
  <c r="I644" i="44" s="1"/>
  <c r="G646" i="46" s="1"/>
  <c r="I646" i="46" s="1"/>
  <c r="G646" i="48" s="1"/>
  <c r="I646" i="48" s="1"/>
  <c r="I572" i="1"/>
  <c r="G573" i="28" s="1"/>
  <c r="I573" i="28" s="1"/>
  <c r="G576" i="29" s="1"/>
  <c r="I576" i="29" s="1"/>
  <c r="G585" i="30" s="1"/>
  <c r="I585" i="30" s="1"/>
  <c r="G596" i="32" s="1"/>
  <c r="I596" i="32" s="1"/>
  <c r="G596" i="34" s="1"/>
  <c r="I596" i="34" s="1"/>
  <c r="G609" i="36" s="1"/>
  <c r="I609" i="36" s="1"/>
  <c r="G620" i="38" s="1"/>
  <c r="I620" i="38" s="1"/>
  <c r="G624" i="40" s="1"/>
  <c r="I624" i="40" s="1"/>
  <c r="G629" i="3" s="1"/>
  <c r="I629" i="3" s="1"/>
  <c r="G643" i="44" s="1"/>
  <c r="I643" i="44" s="1"/>
  <c r="G645" i="46" s="1"/>
  <c r="I645" i="46" s="1"/>
  <c r="G645" i="48" s="1"/>
  <c r="I645" i="48" s="1"/>
  <c r="I571" i="1"/>
  <c r="G572" i="28" s="1"/>
  <c r="I572" i="28" s="1"/>
  <c r="G575" i="29" s="1"/>
  <c r="I575" i="29" s="1"/>
  <c r="G584" i="30" s="1"/>
  <c r="I584" i="30" s="1"/>
  <c r="G595" i="32" s="1"/>
  <c r="I595" i="32" s="1"/>
  <c r="G595" i="34" s="1"/>
  <c r="I595" i="34" s="1"/>
  <c r="G608" i="36" s="1"/>
  <c r="I608" i="36" s="1"/>
  <c r="G619" i="38" s="1"/>
  <c r="I619" i="38" s="1"/>
  <c r="G623" i="40" s="1"/>
  <c r="I623" i="40" s="1"/>
  <c r="G628" i="3" s="1"/>
  <c r="I628" i="3" s="1"/>
  <c r="G642" i="44" s="1"/>
  <c r="I642" i="44" s="1"/>
  <c r="G644" i="46" s="1"/>
  <c r="I644" i="46" s="1"/>
  <c r="G644" i="48" s="1"/>
  <c r="I644" i="48" s="1"/>
  <c r="I570" i="1"/>
  <c r="G571" i="28" s="1"/>
  <c r="I571" i="28" s="1"/>
  <c r="G574" i="29" s="1"/>
  <c r="I574" i="29" s="1"/>
  <c r="G583" i="30" s="1"/>
  <c r="I583" i="30" s="1"/>
  <c r="G594" i="32" s="1"/>
  <c r="I594" i="32" s="1"/>
  <c r="G594" i="34" s="1"/>
  <c r="I594" i="34" s="1"/>
  <c r="G607" i="36" s="1"/>
  <c r="I607" i="36" s="1"/>
  <c r="G618" i="38" s="1"/>
  <c r="I618" i="38" s="1"/>
  <c r="G622" i="40" s="1"/>
  <c r="I622" i="40" s="1"/>
  <c r="G627" i="3" s="1"/>
  <c r="I627" i="3" s="1"/>
  <c r="G641" i="44" s="1"/>
  <c r="I641" i="44" s="1"/>
  <c r="G643" i="46" s="1"/>
  <c r="I643" i="46" s="1"/>
  <c r="G643" i="48" s="1"/>
  <c r="I643" i="48" s="1"/>
  <c r="I568" i="1"/>
  <c r="G569" i="28" s="1"/>
  <c r="I569" i="28" s="1"/>
  <c r="G572" i="29" s="1"/>
  <c r="I572" i="29" s="1"/>
  <c r="G581" i="30" s="1"/>
  <c r="I581" i="30" s="1"/>
  <c r="G592" i="32" s="1"/>
  <c r="I592" i="32" s="1"/>
  <c r="G592" i="34" s="1"/>
  <c r="I592" i="34" s="1"/>
  <c r="G605" i="36" s="1"/>
  <c r="I605" i="36" s="1"/>
  <c r="G616" i="38" s="1"/>
  <c r="I616" i="38" s="1"/>
  <c r="G620" i="40" s="1"/>
  <c r="I620" i="40" s="1"/>
  <c r="G625" i="3" s="1"/>
  <c r="I625" i="3" s="1"/>
  <c r="G639" i="44" s="1"/>
  <c r="I639" i="44" s="1"/>
  <c r="G641" i="46" s="1"/>
  <c r="I641" i="46" s="1"/>
  <c r="G641" i="48" s="1"/>
  <c r="I641" i="48" s="1"/>
  <c r="I567" i="1"/>
  <c r="G568" i="28" s="1"/>
  <c r="I568" i="28" s="1"/>
  <c r="G571" i="29" s="1"/>
  <c r="I571" i="29" s="1"/>
  <c r="G580" i="30" s="1"/>
  <c r="I580" i="30" s="1"/>
  <c r="G591" i="32" s="1"/>
  <c r="I591" i="32" s="1"/>
  <c r="G591" i="34" s="1"/>
  <c r="I591" i="34" s="1"/>
  <c r="G604" i="36" s="1"/>
  <c r="I604" i="36" s="1"/>
  <c r="G615" i="38" s="1"/>
  <c r="I615" i="38" s="1"/>
  <c r="G619" i="40" s="1"/>
  <c r="I619" i="40" s="1"/>
  <c r="G624" i="3" s="1"/>
  <c r="I624" i="3" s="1"/>
  <c r="G638" i="44" s="1"/>
  <c r="I638" i="44" s="1"/>
  <c r="G640" i="46" s="1"/>
  <c r="I640" i="46" s="1"/>
  <c r="G640" i="48" s="1"/>
  <c r="I640" i="48" s="1"/>
  <c r="I566" i="1"/>
  <c r="G567" i="28" s="1"/>
  <c r="I567" i="28" s="1"/>
  <c r="G570" i="29" s="1"/>
  <c r="I570" i="29" s="1"/>
  <c r="G579" i="30" s="1"/>
  <c r="I579" i="30" s="1"/>
  <c r="G590" i="32" s="1"/>
  <c r="I590" i="32" s="1"/>
  <c r="G590" i="34" s="1"/>
  <c r="I590" i="34" s="1"/>
  <c r="G603" i="36" s="1"/>
  <c r="I603" i="36" s="1"/>
  <c r="G614" i="38" s="1"/>
  <c r="I614" i="38" s="1"/>
  <c r="G618" i="40" s="1"/>
  <c r="I618" i="40" s="1"/>
  <c r="G623" i="3" s="1"/>
  <c r="I623" i="3" s="1"/>
  <c r="G637" i="44" s="1"/>
  <c r="I637" i="44" s="1"/>
  <c r="G639" i="46" s="1"/>
  <c r="I639" i="46" s="1"/>
  <c r="G639" i="48" s="1"/>
  <c r="I639" i="48" s="1"/>
  <c r="I565" i="1"/>
  <c r="G566" i="28" s="1"/>
  <c r="I566" i="28" s="1"/>
  <c r="G569" i="29" s="1"/>
  <c r="I569" i="29" s="1"/>
  <c r="G578" i="30" s="1"/>
  <c r="I578" i="30" s="1"/>
  <c r="G589" i="32" s="1"/>
  <c r="I589" i="32" s="1"/>
  <c r="G589" i="34" s="1"/>
  <c r="I589" i="34" s="1"/>
  <c r="G602" i="36" s="1"/>
  <c r="I602" i="36" s="1"/>
  <c r="G613" i="38" s="1"/>
  <c r="I613" i="38" s="1"/>
  <c r="G617" i="40" s="1"/>
  <c r="I617" i="40" s="1"/>
  <c r="G622" i="3" s="1"/>
  <c r="I622" i="3" s="1"/>
  <c r="G636" i="44" s="1"/>
  <c r="I636" i="44" s="1"/>
  <c r="G638" i="46" s="1"/>
  <c r="I638" i="46" s="1"/>
  <c r="G638" i="48" s="1"/>
  <c r="I638" i="48" s="1"/>
  <c r="I564" i="1"/>
  <c r="G565" i="28" s="1"/>
  <c r="I565" i="28" s="1"/>
  <c r="G568" i="29" s="1"/>
  <c r="I568" i="29" s="1"/>
  <c r="G577" i="30" s="1"/>
  <c r="I577" i="30" s="1"/>
  <c r="G588" i="32" s="1"/>
  <c r="I588" i="32" s="1"/>
  <c r="G588" i="34" s="1"/>
  <c r="I588" i="34" s="1"/>
  <c r="G601" i="36" s="1"/>
  <c r="I601" i="36" s="1"/>
  <c r="G612" i="38" s="1"/>
  <c r="I612" i="38" s="1"/>
  <c r="G616" i="40" s="1"/>
  <c r="I616" i="40" s="1"/>
  <c r="G621" i="3" s="1"/>
  <c r="I621" i="3" s="1"/>
  <c r="G635" i="44" s="1"/>
  <c r="I635" i="44" s="1"/>
  <c r="G637" i="46" s="1"/>
  <c r="I637" i="46" s="1"/>
  <c r="G637" i="48" s="1"/>
  <c r="I637" i="48" s="1"/>
  <c r="I563" i="1"/>
  <c r="G564" i="28" s="1"/>
  <c r="I564" i="28" s="1"/>
  <c r="G567" i="29" s="1"/>
  <c r="I567" i="29" s="1"/>
  <c r="G576" i="30" s="1"/>
  <c r="I576" i="30" s="1"/>
  <c r="G587" i="32" s="1"/>
  <c r="I587" i="32" s="1"/>
  <c r="G587" i="34" s="1"/>
  <c r="I587" i="34" s="1"/>
  <c r="G600" i="36" s="1"/>
  <c r="I600" i="36" s="1"/>
  <c r="G611" i="38" s="1"/>
  <c r="I611" i="38" s="1"/>
  <c r="G615" i="40" s="1"/>
  <c r="I615" i="40" s="1"/>
  <c r="G620" i="3" s="1"/>
  <c r="I620" i="3" s="1"/>
  <c r="G634" i="44" s="1"/>
  <c r="I634" i="44" s="1"/>
  <c r="G636" i="46" s="1"/>
  <c r="I636" i="46" s="1"/>
  <c r="G636" i="48" s="1"/>
  <c r="I636" i="48" s="1"/>
  <c r="I562" i="1"/>
  <c r="G563" i="28" s="1"/>
  <c r="I563" i="28" s="1"/>
  <c r="G566" i="29" s="1"/>
  <c r="I566" i="29" s="1"/>
  <c r="G575" i="30" s="1"/>
  <c r="I575" i="30" s="1"/>
  <c r="G586" i="32" s="1"/>
  <c r="I586" i="32" s="1"/>
  <c r="G586" i="34" s="1"/>
  <c r="I586" i="34" s="1"/>
  <c r="G599" i="36" s="1"/>
  <c r="I599" i="36" s="1"/>
  <c r="G610" i="38" s="1"/>
  <c r="I610" i="38" s="1"/>
  <c r="G614" i="40" s="1"/>
  <c r="I614" i="40" s="1"/>
  <c r="G619" i="3" s="1"/>
  <c r="I619" i="3" s="1"/>
  <c r="G633" i="44" s="1"/>
  <c r="I633" i="44" s="1"/>
  <c r="G635" i="46" s="1"/>
  <c r="I635" i="46" s="1"/>
  <c r="G635" i="48" s="1"/>
  <c r="I635" i="48" s="1"/>
  <c r="G856" i="46" l="1"/>
  <c r="I856" i="46" s="1"/>
  <c r="G856" i="48"/>
  <c r="I856" i="48" s="1"/>
  <c r="G859" i="46"/>
  <c r="I859" i="46" s="1"/>
  <c r="G859" i="48"/>
  <c r="I859" i="48" s="1"/>
  <c r="G831" i="3"/>
  <c r="C17" i="47" s="1"/>
  <c r="G17" i="47" s="1"/>
  <c r="I17" i="47" s="1"/>
  <c r="I831" i="3"/>
  <c r="C17" i="45"/>
  <c r="G17" i="45" s="1"/>
  <c r="I17" i="45" s="1"/>
  <c r="C17" i="43"/>
  <c r="I823" i="40"/>
  <c r="C17" i="42"/>
  <c r="I870" i="3"/>
  <c r="G895" i="44" s="1"/>
  <c r="C18" i="43"/>
  <c r="I863" i="40"/>
  <c r="C18" i="42"/>
  <c r="G827" i="3"/>
  <c r="I827" i="3" s="1"/>
  <c r="G851" i="44"/>
  <c r="I851" i="44" s="1"/>
  <c r="I853" i="44"/>
  <c r="G855" i="44"/>
  <c r="I855" i="44" s="1"/>
  <c r="I809" i="29"/>
  <c r="G818" i="30" s="1"/>
  <c r="C15" i="8"/>
  <c r="G15" i="8" s="1"/>
  <c r="I15" i="8" s="1"/>
  <c r="I767" i="29"/>
  <c r="C13" i="8"/>
  <c r="I770" i="29"/>
  <c r="C14" i="8"/>
  <c r="I560" i="1"/>
  <c r="G561" i="28" s="1"/>
  <c r="I561" i="28" s="1"/>
  <c r="G564" i="29" s="1"/>
  <c r="I564" i="29" s="1"/>
  <c r="G573" i="30" s="1"/>
  <c r="I573" i="30" s="1"/>
  <c r="G584" i="32" s="1"/>
  <c r="I584" i="32" s="1"/>
  <c r="G584" i="34" s="1"/>
  <c r="I584" i="34" s="1"/>
  <c r="G597" i="36" s="1"/>
  <c r="I597" i="36" s="1"/>
  <c r="G608" i="38" s="1"/>
  <c r="I608" i="38" s="1"/>
  <c r="G612" i="40" s="1"/>
  <c r="I612" i="40" s="1"/>
  <c r="G617" i="3" s="1"/>
  <c r="I617" i="3" s="1"/>
  <c r="G631" i="44" s="1"/>
  <c r="I631" i="44" s="1"/>
  <c r="G633" i="46" s="1"/>
  <c r="I633" i="46" s="1"/>
  <c r="G633" i="48" s="1"/>
  <c r="I633" i="48" s="1"/>
  <c r="I559" i="1"/>
  <c r="G560" i="28" s="1"/>
  <c r="I560" i="28" s="1"/>
  <c r="G563" i="29" s="1"/>
  <c r="I563" i="29" s="1"/>
  <c r="G572" i="30" s="1"/>
  <c r="I572" i="30" s="1"/>
  <c r="G583" i="32" s="1"/>
  <c r="I583" i="32" s="1"/>
  <c r="G583" i="34" s="1"/>
  <c r="I583" i="34" s="1"/>
  <c r="G596" i="36" s="1"/>
  <c r="I596" i="36" s="1"/>
  <c r="G607" i="38" s="1"/>
  <c r="I607" i="38" s="1"/>
  <c r="G611" i="40" s="1"/>
  <c r="I611" i="40" s="1"/>
  <c r="G616" i="3" s="1"/>
  <c r="I616" i="3" s="1"/>
  <c r="G630" i="44" s="1"/>
  <c r="I630" i="44" s="1"/>
  <c r="G632" i="46" s="1"/>
  <c r="I632" i="46" s="1"/>
  <c r="G632" i="48" s="1"/>
  <c r="I632" i="48" s="1"/>
  <c r="I558" i="1"/>
  <c r="G559" i="28" s="1"/>
  <c r="I559" i="28" s="1"/>
  <c r="G562" i="29" s="1"/>
  <c r="I562" i="29" s="1"/>
  <c r="G571" i="30" s="1"/>
  <c r="I571" i="30" s="1"/>
  <c r="G582" i="32" s="1"/>
  <c r="I582" i="32" s="1"/>
  <c r="G582" i="34" s="1"/>
  <c r="I582" i="34" s="1"/>
  <c r="G595" i="36" s="1"/>
  <c r="I595" i="36" s="1"/>
  <c r="G606" i="38" s="1"/>
  <c r="I606" i="38" s="1"/>
  <c r="G610" i="40" s="1"/>
  <c r="I610" i="40" s="1"/>
  <c r="G615" i="3" s="1"/>
  <c r="I615" i="3" s="1"/>
  <c r="G629" i="44" s="1"/>
  <c r="I629" i="44" s="1"/>
  <c r="G631" i="46" s="1"/>
  <c r="I631" i="46" s="1"/>
  <c r="G631" i="48" s="1"/>
  <c r="I631" i="48" s="1"/>
  <c r="I557" i="1"/>
  <c r="G558" i="28" s="1"/>
  <c r="I558" i="28" s="1"/>
  <c r="G561" i="29" s="1"/>
  <c r="I561" i="29" s="1"/>
  <c r="G570" i="30" s="1"/>
  <c r="I570" i="30" s="1"/>
  <c r="G581" i="32" s="1"/>
  <c r="I581" i="32" s="1"/>
  <c r="G581" i="34" s="1"/>
  <c r="I581" i="34" s="1"/>
  <c r="G594" i="36" s="1"/>
  <c r="I594" i="36" s="1"/>
  <c r="G605" i="38" s="1"/>
  <c r="I605" i="38" s="1"/>
  <c r="G609" i="40" s="1"/>
  <c r="I609" i="40" s="1"/>
  <c r="G614" i="3" s="1"/>
  <c r="I614" i="3" s="1"/>
  <c r="G628" i="44" s="1"/>
  <c r="I628" i="44" s="1"/>
  <c r="G630" i="46" s="1"/>
  <c r="I630" i="46" s="1"/>
  <c r="G630" i="48" s="1"/>
  <c r="I630" i="48" s="1"/>
  <c r="I556" i="1"/>
  <c r="G557" i="28" s="1"/>
  <c r="I557" i="28" s="1"/>
  <c r="G560" i="29" s="1"/>
  <c r="I560" i="29" s="1"/>
  <c r="G569" i="30" s="1"/>
  <c r="I569" i="30" s="1"/>
  <c r="G580" i="32" s="1"/>
  <c r="I580" i="32" s="1"/>
  <c r="G580" i="34" s="1"/>
  <c r="I580" i="34" s="1"/>
  <c r="G593" i="36" s="1"/>
  <c r="I593" i="36" s="1"/>
  <c r="G604" i="38" s="1"/>
  <c r="I604" i="38" s="1"/>
  <c r="G608" i="40" s="1"/>
  <c r="I608" i="40" s="1"/>
  <c r="G613" i="3" s="1"/>
  <c r="I613" i="3" s="1"/>
  <c r="G627" i="44" s="1"/>
  <c r="I627" i="44" s="1"/>
  <c r="G629" i="46" s="1"/>
  <c r="I629" i="46" s="1"/>
  <c r="G629" i="48" s="1"/>
  <c r="I629" i="48" s="1"/>
  <c r="I555" i="1"/>
  <c r="G556" i="28" s="1"/>
  <c r="I556" i="28" s="1"/>
  <c r="G559" i="29" s="1"/>
  <c r="I559" i="29" s="1"/>
  <c r="G568" i="30" s="1"/>
  <c r="I568" i="30" s="1"/>
  <c r="G579" i="32" s="1"/>
  <c r="I579" i="32" s="1"/>
  <c r="G579" i="34" s="1"/>
  <c r="I579" i="34" s="1"/>
  <c r="G592" i="36" s="1"/>
  <c r="I592" i="36" s="1"/>
  <c r="G603" i="38" s="1"/>
  <c r="I603" i="38" s="1"/>
  <c r="G607" i="40" s="1"/>
  <c r="I607" i="40" s="1"/>
  <c r="G612" i="3" s="1"/>
  <c r="I612" i="3" s="1"/>
  <c r="G626" i="44" s="1"/>
  <c r="I626" i="44" s="1"/>
  <c r="G628" i="46" s="1"/>
  <c r="I628" i="46" s="1"/>
  <c r="G628" i="48" s="1"/>
  <c r="I628" i="48" s="1"/>
  <c r="I554" i="1"/>
  <c r="G555" i="28" s="1"/>
  <c r="I555" i="28" s="1"/>
  <c r="G558" i="29" s="1"/>
  <c r="I558" i="29" s="1"/>
  <c r="G567" i="30" s="1"/>
  <c r="I567" i="30" s="1"/>
  <c r="G578" i="32" s="1"/>
  <c r="I578" i="32" s="1"/>
  <c r="G578" i="34" s="1"/>
  <c r="I578" i="34" s="1"/>
  <c r="G591" i="36" s="1"/>
  <c r="I591" i="36" s="1"/>
  <c r="G602" i="38" s="1"/>
  <c r="I602" i="38" s="1"/>
  <c r="G606" i="40" s="1"/>
  <c r="I606" i="40" s="1"/>
  <c r="G611" i="3" s="1"/>
  <c r="I611" i="3" s="1"/>
  <c r="G625" i="44" s="1"/>
  <c r="I625" i="44" s="1"/>
  <c r="G627" i="46" s="1"/>
  <c r="I627" i="46" s="1"/>
  <c r="G627" i="48" s="1"/>
  <c r="I627" i="48" s="1"/>
  <c r="I553" i="1"/>
  <c r="G554" i="28" s="1"/>
  <c r="I554" i="28" s="1"/>
  <c r="G557" i="29" s="1"/>
  <c r="I557" i="29" s="1"/>
  <c r="G566" i="30" s="1"/>
  <c r="I566" i="30" s="1"/>
  <c r="G577" i="32" s="1"/>
  <c r="I577" i="32" s="1"/>
  <c r="G577" i="34" s="1"/>
  <c r="I577" i="34" s="1"/>
  <c r="G590" i="36" s="1"/>
  <c r="I590" i="36" s="1"/>
  <c r="G601" i="38" s="1"/>
  <c r="I601" i="38" s="1"/>
  <c r="G605" i="40" s="1"/>
  <c r="I605" i="40" s="1"/>
  <c r="G610" i="3" s="1"/>
  <c r="I610" i="3" s="1"/>
  <c r="G624" i="44" s="1"/>
  <c r="I624" i="44" s="1"/>
  <c r="G626" i="46" s="1"/>
  <c r="I626" i="46" s="1"/>
  <c r="G626" i="48" s="1"/>
  <c r="I626" i="48" s="1"/>
  <c r="I551" i="1"/>
  <c r="G552" i="28" s="1"/>
  <c r="I552" i="28" s="1"/>
  <c r="G555" i="29" s="1"/>
  <c r="I555" i="29" s="1"/>
  <c r="G564" i="30" s="1"/>
  <c r="I564" i="30" s="1"/>
  <c r="G575" i="32" s="1"/>
  <c r="I575" i="32" s="1"/>
  <c r="G575" i="34" s="1"/>
  <c r="I575" i="34" s="1"/>
  <c r="G588" i="36" s="1"/>
  <c r="I588" i="36" s="1"/>
  <c r="G599" i="38" s="1"/>
  <c r="I599" i="38" s="1"/>
  <c r="G603" i="40" s="1"/>
  <c r="I603" i="40" s="1"/>
  <c r="G608" i="3" s="1"/>
  <c r="I608" i="3" s="1"/>
  <c r="G622" i="44" s="1"/>
  <c r="I622" i="44" s="1"/>
  <c r="G624" i="46" s="1"/>
  <c r="I624" i="46" s="1"/>
  <c r="G624" i="48" s="1"/>
  <c r="I624" i="48" s="1"/>
  <c r="I550" i="1"/>
  <c r="G551" i="28" s="1"/>
  <c r="I551" i="28" s="1"/>
  <c r="G554" i="29" s="1"/>
  <c r="I554" i="29" s="1"/>
  <c r="G563" i="30" s="1"/>
  <c r="I563" i="30" s="1"/>
  <c r="G574" i="32" s="1"/>
  <c r="I574" i="32" s="1"/>
  <c r="G574" i="34" s="1"/>
  <c r="I574" i="34" s="1"/>
  <c r="G587" i="36" s="1"/>
  <c r="I587" i="36" s="1"/>
  <c r="G598" i="38" s="1"/>
  <c r="I598" i="38" s="1"/>
  <c r="G602" i="40" s="1"/>
  <c r="I602" i="40" s="1"/>
  <c r="G607" i="3" s="1"/>
  <c r="I607" i="3" s="1"/>
  <c r="G621" i="44" s="1"/>
  <c r="I621" i="44" s="1"/>
  <c r="G623" i="46" s="1"/>
  <c r="I623" i="46" s="1"/>
  <c r="G623" i="48" s="1"/>
  <c r="I623" i="48" s="1"/>
  <c r="I549" i="1"/>
  <c r="G550" i="28" s="1"/>
  <c r="I550" i="28" s="1"/>
  <c r="G553" i="29" s="1"/>
  <c r="I553" i="29" s="1"/>
  <c r="G562" i="30" s="1"/>
  <c r="I562" i="30" s="1"/>
  <c r="G573" i="32" s="1"/>
  <c r="I573" i="32" s="1"/>
  <c r="G573" i="34" s="1"/>
  <c r="I573" i="34" s="1"/>
  <c r="G586" i="36" s="1"/>
  <c r="I586" i="36" s="1"/>
  <c r="G597" i="38" s="1"/>
  <c r="I597" i="38" s="1"/>
  <c r="G601" i="40" s="1"/>
  <c r="I601" i="40" s="1"/>
  <c r="G606" i="3" s="1"/>
  <c r="I606" i="3" s="1"/>
  <c r="G620" i="44" s="1"/>
  <c r="I620" i="44" s="1"/>
  <c r="G622" i="46" s="1"/>
  <c r="I622" i="46" s="1"/>
  <c r="G622" i="48" s="1"/>
  <c r="I622" i="48" s="1"/>
  <c r="I548" i="1"/>
  <c r="G549" i="28" s="1"/>
  <c r="I549" i="28" s="1"/>
  <c r="G552" i="29" s="1"/>
  <c r="I552" i="29" s="1"/>
  <c r="G561" i="30" s="1"/>
  <c r="I561" i="30" s="1"/>
  <c r="G572" i="32" s="1"/>
  <c r="I572" i="32" s="1"/>
  <c r="G572" i="34" s="1"/>
  <c r="I572" i="34" s="1"/>
  <c r="G585" i="36" s="1"/>
  <c r="I585" i="36" s="1"/>
  <c r="G596" i="38" s="1"/>
  <c r="I596" i="38" s="1"/>
  <c r="G600" i="40" s="1"/>
  <c r="I600" i="40" s="1"/>
  <c r="G605" i="3" s="1"/>
  <c r="I605" i="3" s="1"/>
  <c r="G619" i="44" s="1"/>
  <c r="I619" i="44" s="1"/>
  <c r="G621" i="46" s="1"/>
  <c r="I621" i="46" s="1"/>
  <c r="G621" i="48" s="1"/>
  <c r="I621" i="48" s="1"/>
  <c r="I547" i="1"/>
  <c r="G548" i="28" s="1"/>
  <c r="I548" i="28" s="1"/>
  <c r="G551" i="29" s="1"/>
  <c r="I551" i="29" s="1"/>
  <c r="G560" i="30" s="1"/>
  <c r="I560" i="30" s="1"/>
  <c r="G571" i="32" s="1"/>
  <c r="I571" i="32" s="1"/>
  <c r="G571" i="34" s="1"/>
  <c r="I571" i="34" s="1"/>
  <c r="G584" i="36" s="1"/>
  <c r="I584" i="36" s="1"/>
  <c r="G595" i="38" s="1"/>
  <c r="I595" i="38" s="1"/>
  <c r="G599" i="40" s="1"/>
  <c r="I599" i="40" s="1"/>
  <c r="G604" i="3" s="1"/>
  <c r="I604" i="3" s="1"/>
  <c r="G618" i="44" s="1"/>
  <c r="I618" i="44" s="1"/>
  <c r="G620" i="46" s="1"/>
  <c r="I620" i="46" s="1"/>
  <c r="G620" i="48" s="1"/>
  <c r="I620" i="48" s="1"/>
  <c r="I546" i="1"/>
  <c r="G547" i="28" s="1"/>
  <c r="I547" i="28" s="1"/>
  <c r="G550" i="29" s="1"/>
  <c r="I550" i="29" s="1"/>
  <c r="G559" i="30" s="1"/>
  <c r="I559" i="30" s="1"/>
  <c r="G570" i="32" s="1"/>
  <c r="I570" i="32" s="1"/>
  <c r="G570" i="34" s="1"/>
  <c r="I570" i="34" s="1"/>
  <c r="G583" i="36" s="1"/>
  <c r="I583" i="36" s="1"/>
  <c r="G594" i="38" s="1"/>
  <c r="I594" i="38" s="1"/>
  <c r="G598" i="40" s="1"/>
  <c r="I598" i="40" s="1"/>
  <c r="G603" i="3" s="1"/>
  <c r="I603" i="3" s="1"/>
  <c r="G617" i="44" s="1"/>
  <c r="I617" i="44" s="1"/>
  <c r="G619" i="46" s="1"/>
  <c r="I619" i="46" s="1"/>
  <c r="G619" i="48" s="1"/>
  <c r="I619" i="48" s="1"/>
  <c r="I545" i="1"/>
  <c r="G546" i="28" s="1"/>
  <c r="I546" i="28" s="1"/>
  <c r="G549" i="29" s="1"/>
  <c r="I549" i="29" s="1"/>
  <c r="G558" i="30" s="1"/>
  <c r="I558" i="30" s="1"/>
  <c r="G569" i="32" s="1"/>
  <c r="I569" i="32" s="1"/>
  <c r="G569" i="34" s="1"/>
  <c r="I569" i="34" s="1"/>
  <c r="G582" i="36" s="1"/>
  <c r="I582" i="36" s="1"/>
  <c r="G593" i="38" s="1"/>
  <c r="I593" i="38" s="1"/>
  <c r="G597" i="40" s="1"/>
  <c r="I597" i="40" s="1"/>
  <c r="G602" i="3" s="1"/>
  <c r="I602" i="3" s="1"/>
  <c r="G616" i="44" s="1"/>
  <c r="I616" i="44" s="1"/>
  <c r="G618" i="46" s="1"/>
  <c r="I618" i="46" s="1"/>
  <c r="G618" i="48" s="1"/>
  <c r="I618" i="48" s="1"/>
  <c r="I543" i="1"/>
  <c r="G544" i="28" s="1"/>
  <c r="I544" i="28" s="1"/>
  <c r="G547" i="29" s="1"/>
  <c r="I547" i="29" s="1"/>
  <c r="G556" i="30" s="1"/>
  <c r="I556" i="30" s="1"/>
  <c r="G567" i="32" s="1"/>
  <c r="I567" i="32" s="1"/>
  <c r="G567" i="34" s="1"/>
  <c r="I567" i="34" s="1"/>
  <c r="G580" i="36" s="1"/>
  <c r="I580" i="36" s="1"/>
  <c r="G591" i="38" s="1"/>
  <c r="I591" i="38" s="1"/>
  <c r="G595" i="40" s="1"/>
  <c r="I595" i="40" s="1"/>
  <c r="G600" i="3" s="1"/>
  <c r="I600" i="3" s="1"/>
  <c r="G614" i="44" s="1"/>
  <c r="I614" i="44" s="1"/>
  <c r="G616" i="46" s="1"/>
  <c r="I616" i="46" s="1"/>
  <c r="G616" i="48" s="1"/>
  <c r="I616" i="48" s="1"/>
  <c r="I542" i="1"/>
  <c r="G543" i="28" s="1"/>
  <c r="I543" i="28" s="1"/>
  <c r="G546" i="29" s="1"/>
  <c r="I546" i="29" s="1"/>
  <c r="G555" i="30" s="1"/>
  <c r="I555" i="30" s="1"/>
  <c r="G566" i="32" s="1"/>
  <c r="I566" i="32" s="1"/>
  <c r="G566" i="34" s="1"/>
  <c r="I566" i="34" s="1"/>
  <c r="G579" i="36" s="1"/>
  <c r="I579" i="36" s="1"/>
  <c r="G590" i="38" s="1"/>
  <c r="I590" i="38" s="1"/>
  <c r="G594" i="40" s="1"/>
  <c r="I594" i="40" s="1"/>
  <c r="G599" i="3" s="1"/>
  <c r="I599" i="3" s="1"/>
  <c r="G613" i="44" s="1"/>
  <c r="I613" i="44" s="1"/>
  <c r="G615" i="46" s="1"/>
  <c r="I615" i="46" s="1"/>
  <c r="G615" i="48" s="1"/>
  <c r="I615" i="48" s="1"/>
  <c r="I541" i="1"/>
  <c r="G542" i="28" s="1"/>
  <c r="I542" i="28" s="1"/>
  <c r="G545" i="29" s="1"/>
  <c r="I545" i="29" s="1"/>
  <c r="G554" i="30" s="1"/>
  <c r="I554" i="30" s="1"/>
  <c r="G565" i="32" s="1"/>
  <c r="I565" i="32" s="1"/>
  <c r="G565" i="34" s="1"/>
  <c r="I565" i="34" s="1"/>
  <c r="G578" i="36" s="1"/>
  <c r="I578" i="36" s="1"/>
  <c r="G589" i="38" s="1"/>
  <c r="I589" i="38" s="1"/>
  <c r="G593" i="40" s="1"/>
  <c r="I593" i="40" s="1"/>
  <c r="G598" i="3" s="1"/>
  <c r="I598" i="3" s="1"/>
  <c r="G612" i="44" s="1"/>
  <c r="I612" i="44" s="1"/>
  <c r="G614" i="46" s="1"/>
  <c r="I614" i="46" s="1"/>
  <c r="G614" i="48" s="1"/>
  <c r="I614" i="48" s="1"/>
  <c r="I540" i="1"/>
  <c r="G541" i="28" s="1"/>
  <c r="I541" i="28" s="1"/>
  <c r="G544" i="29" s="1"/>
  <c r="I544" i="29" s="1"/>
  <c r="G553" i="30" s="1"/>
  <c r="I553" i="30" s="1"/>
  <c r="G564" i="32" s="1"/>
  <c r="I564" i="32" s="1"/>
  <c r="G564" i="34" s="1"/>
  <c r="I564" i="34" s="1"/>
  <c r="G577" i="36" s="1"/>
  <c r="I577" i="36" s="1"/>
  <c r="G588" i="38" s="1"/>
  <c r="I588" i="38" s="1"/>
  <c r="G592" i="40" s="1"/>
  <c r="I592" i="40" s="1"/>
  <c r="G597" i="3" s="1"/>
  <c r="I597" i="3" s="1"/>
  <c r="G611" i="44" s="1"/>
  <c r="I611" i="44" s="1"/>
  <c r="G613" i="46" s="1"/>
  <c r="I613" i="46" s="1"/>
  <c r="G613" i="48" s="1"/>
  <c r="I613" i="48" s="1"/>
  <c r="I539" i="1"/>
  <c r="G540" i="28" s="1"/>
  <c r="I540" i="28" s="1"/>
  <c r="G543" i="29" s="1"/>
  <c r="I543" i="29" s="1"/>
  <c r="G552" i="30" s="1"/>
  <c r="I552" i="30" s="1"/>
  <c r="G563" i="32" s="1"/>
  <c r="I563" i="32" s="1"/>
  <c r="G563" i="34" s="1"/>
  <c r="I563" i="34" s="1"/>
  <c r="G576" i="36" s="1"/>
  <c r="I576" i="36" s="1"/>
  <c r="G587" i="38" s="1"/>
  <c r="I587" i="38" s="1"/>
  <c r="G591" i="40" s="1"/>
  <c r="I591" i="40" s="1"/>
  <c r="G596" i="3" s="1"/>
  <c r="I596" i="3" s="1"/>
  <c r="G610" i="44" s="1"/>
  <c r="I610" i="44" s="1"/>
  <c r="G612" i="46" s="1"/>
  <c r="I612" i="46" s="1"/>
  <c r="G612" i="48" s="1"/>
  <c r="I612" i="48" s="1"/>
  <c r="I537" i="1"/>
  <c r="G538" i="28" s="1"/>
  <c r="I538" i="28" s="1"/>
  <c r="G541" i="29" s="1"/>
  <c r="I541" i="29" s="1"/>
  <c r="G550" i="30" s="1"/>
  <c r="I550" i="30" s="1"/>
  <c r="G561" i="32" s="1"/>
  <c r="I561" i="32" s="1"/>
  <c r="G561" i="34" s="1"/>
  <c r="I561" i="34" s="1"/>
  <c r="G574" i="36" s="1"/>
  <c r="I574" i="36" s="1"/>
  <c r="G585" i="38" s="1"/>
  <c r="I585" i="38" s="1"/>
  <c r="G589" i="40" s="1"/>
  <c r="I589" i="40" s="1"/>
  <c r="G594" i="3" s="1"/>
  <c r="I594" i="3" s="1"/>
  <c r="G608" i="44" s="1"/>
  <c r="I608" i="44" s="1"/>
  <c r="G610" i="46" s="1"/>
  <c r="I610" i="46" s="1"/>
  <c r="G610" i="48" s="1"/>
  <c r="I610" i="48" s="1"/>
  <c r="I536" i="1"/>
  <c r="G537" i="28" s="1"/>
  <c r="I537" i="28" s="1"/>
  <c r="G540" i="29" s="1"/>
  <c r="I540" i="29" s="1"/>
  <c r="G549" i="30" s="1"/>
  <c r="I549" i="30" s="1"/>
  <c r="G560" i="32" s="1"/>
  <c r="I560" i="32" s="1"/>
  <c r="G560" i="34" s="1"/>
  <c r="I560" i="34" s="1"/>
  <c r="G573" i="36" s="1"/>
  <c r="I573" i="36" s="1"/>
  <c r="G584" i="38" s="1"/>
  <c r="I584" i="38" s="1"/>
  <c r="G588" i="40" s="1"/>
  <c r="I588" i="40" s="1"/>
  <c r="G593" i="3" s="1"/>
  <c r="I593" i="3" s="1"/>
  <c r="G607" i="44" s="1"/>
  <c r="I607" i="44" s="1"/>
  <c r="G609" i="46" s="1"/>
  <c r="I609" i="46" s="1"/>
  <c r="G609" i="48" s="1"/>
  <c r="I609" i="48" s="1"/>
  <c r="I535" i="1"/>
  <c r="G536" i="28" s="1"/>
  <c r="I536" i="28" s="1"/>
  <c r="G539" i="29" s="1"/>
  <c r="I539" i="29" s="1"/>
  <c r="G548" i="30" s="1"/>
  <c r="I548" i="30" s="1"/>
  <c r="G559" i="32" s="1"/>
  <c r="I559" i="32" s="1"/>
  <c r="G559" i="34" s="1"/>
  <c r="I559" i="34" s="1"/>
  <c r="G572" i="36" s="1"/>
  <c r="I572" i="36" s="1"/>
  <c r="G583" i="38" s="1"/>
  <c r="I583" i="38" s="1"/>
  <c r="G587" i="40" s="1"/>
  <c r="I587" i="40" s="1"/>
  <c r="G592" i="3" s="1"/>
  <c r="I592" i="3" s="1"/>
  <c r="G606" i="44" s="1"/>
  <c r="I606" i="44" s="1"/>
  <c r="G608" i="46" s="1"/>
  <c r="I608" i="46" s="1"/>
  <c r="G608" i="48" s="1"/>
  <c r="I608" i="48" s="1"/>
  <c r="I534" i="1"/>
  <c r="G535" i="28" s="1"/>
  <c r="I535" i="28" s="1"/>
  <c r="G538" i="29" s="1"/>
  <c r="I538" i="29" s="1"/>
  <c r="G547" i="30" s="1"/>
  <c r="I547" i="30" s="1"/>
  <c r="G558" i="32" s="1"/>
  <c r="I558" i="32" s="1"/>
  <c r="G558" i="34" s="1"/>
  <c r="I558" i="34" s="1"/>
  <c r="G571" i="36" s="1"/>
  <c r="I571" i="36" s="1"/>
  <c r="G582" i="38" s="1"/>
  <c r="I582" i="38" s="1"/>
  <c r="G586" i="40" s="1"/>
  <c r="I586" i="40" s="1"/>
  <c r="G591" i="3" s="1"/>
  <c r="I591" i="3" s="1"/>
  <c r="G605" i="44" s="1"/>
  <c r="I605" i="44" s="1"/>
  <c r="G607" i="46" s="1"/>
  <c r="I607" i="46" s="1"/>
  <c r="G607" i="48" s="1"/>
  <c r="I607" i="48" s="1"/>
  <c r="I533" i="1"/>
  <c r="G534" i="28" s="1"/>
  <c r="I534" i="28" s="1"/>
  <c r="G537" i="29" s="1"/>
  <c r="I537" i="29" s="1"/>
  <c r="G546" i="30" s="1"/>
  <c r="I546" i="30" s="1"/>
  <c r="G557" i="32" s="1"/>
  <c r="I557" i="32" s="1"/>
  <c r="G557" i="34" s="1"/>
  <c r="I557" i="34" s="1"/>
  <c r="G570" i="36" s="1"/>
  <c r="I570" i="36" s="1"/>
  <c r="G581" i="38" s="1"/>
  <c r="I581" i="38" s="1"/>
  <c r="G585" i="40" s="1"/>
  <c r="I585" i="40" s="1"/>
  <c r="G590" i="3" s="1"/>
  <c r="I590" i="3" s="1"/>
  <c r="G604" i="44" s="1"/>
  <c r="I604" i="44" s="1"/>
  <c r="G606" i="46" s="1"/>
  <c r="I606" i="46" s="1"/>
  <c r="G606" i="48" s="1"/>
  <c r="I606" i="48" s="1"/>
  <c r="I532" i="1"/>
  <c r="G533" i="28" s="1"/>
  <c r="I533" i="28" s="1"/>
  <c r="G536" i="29" s="1"/>
  <c r="I536" i="29" s="1"/>
  <c r="G545" i="30" s="1"/>
  <c r="I545" i="30" s="1"/>
  <c r="G556" i="32" s="1"/>
  <c r="I556" i="32" s="1"/>
  <c r="G556" i="34" s="1"/>
  <c r="I556" i="34" s="1"/>
  <c r="G569" i="36" s="1"/>
  <c r="I569" i="36" s="1"/>
  <c r="G580" i="38" s="1"/>
  <c r="I580" i="38" s="1"/>
  <c r="G584" i="40" s="1"/>
  <c r="I584" i="40" s="1"/>
  <c r="G589" i="3" s="1"/>
  <c r="I589" i="3" s="1"/>
  <c r="G603" i="44" s="1"/>
  <c r="I603" i="44" s="1"/>
  <c r="G605" i="46" s="1"/>
  <c r="I605" i="46" s="1"/>
  <c r="G605" i="48" s="1"/>
  <c r="I605" i="48" s="1"/>
  <c r="I531" i="1"/>
  <c r="G532" i="28" s="1"/>
  <c r="I532" i="28" s="1"/>
  <c r="G535" i="29" s="1"/>
  <c r="I535" i="29" s="1"/>
  <c r="G544" i="30" s="1"/>
  <c r="I544" i="30" s="1"/>
  <c r="G555" i="32" s="1"/>
  <c r="I555" i="32" s="1"/>
  <c r="G555" i="34" s="1"/>
  <c r="I555" i="34" s="1"/>
  <c r="G568" i="36" s="1"/>
  <c r="I568" i="36" s="1"/>
  <c r="G579" i="38" s="1"/>
  <c r="I579" i="38" s="1"/>
  <c r="G583" i="40" s="1"/>
  <c r="I583" i="40" s="1"/>
  <c r="G588" i="3" s="1"/>
  <c r="I588" i="3" s="1"/>
  <c r="G602" i="44" s="1"/>
  <c r="I602" i="44" s="1"/>
  <c r="G604" i="46" s="1"/>
  <c r="I604" i="46" s="1"/>
  <c r="G604" i="48" s="1"/>
  <c r="I604" i="48" s="1"/>
  <c r="I530" i="1"/>
  <c r="G531" i="28" s="1"/>
  <c r="I531" i="28" s="1"/>
  <c r="G534" i="29" s="1"/>
  <c r="I534" i="29" s="1"/>
  <c r="G543" i="30" s="1"/>
  <c r="I543" i="30" s="1"/>
  <c r="G554" i="32" s="1"/>
  <c r="I554" i="32" s="1"/>
  <c r="G554" i="34" s="1"/>
  <c r="I554" i="34" s="1"/>
  <c r="G567" i="36" s="1"/>
  <c r="I567" i="36" s="1"/>
  <c r="G578" i="38" s="1"/>
  <c r="I578" i="38" s="1"/>
  <c r="G582" i="40" s="1"/>
  <c r="I582" i="40" s="1"/>
  <c r="G587" i="3" s="1"/>
  <c r="I587" i="3" s="1"/>
  <c r="G601" i="44" s="1"/>
  <c r="I601" i="44" s="1"/>
  <c r="G603" i="46" s="1"/>
  <c r="I603" i="46" s="1"/>
  <c r="G603" i="48" s="1"/>
  <c r="I603" i="48" s="1"/>
  <c r="I528" i="1"/>
  <c r="G529" i="28" s="1"/>
  <c r="I529" i="28" s="1"/>
  <c r="G532" i="29" s="1"/>
  <c r="I532" i="29" s="1"/>
  <c r="G541" i="30" s="1"/>
  <c r="I541" i="30" s="1"/>
  <c r="G552" i="32" s="1"/>
  <c r="I552" i="32" s="1"/>
  <c r="G552" i="34" s="1"/>
  <c r="I552" i="34" s="1"/>
  <c r="G565" i="36" s="1"/>
  <c r="I565" i="36" s="1"/>
  <c r="G576" i="38" s="1"/>
  <c r="I576" i="38" s="1"/>
  <c r="G580" i="40" s="1"/>
  <c r="I580" i="40" s="1"/>
  <c r="G585" i="3" s="1"/>
  <c r="I585" i="3" s="1"/>
  <c r="G599" i="44" s="1"/>
  <c r="I599" i="44" s="1"/>
  <c r="G601" i="46" s="1"/>
  <c r="I601" i="46" s="1"/>
  <c r="G601" i="48" s="1"/>
  <c r="I601" i="48" s="1"/>
  <c r="I527" i="1"/>
  <c r="G528" i="28" s="1"/>
  <c r="I528" i="28" s="1"/>
  <c r="G531" i="29" s="1"/>
  <c r="I531" i="29" s="1"/>
  <c r="G540" i="30" s="1"/>
  <c r="I540" i="30" s="1"/>
  <c r="G551" i="32" s="1"/>
  <c r="I551" i="32" s="1"/>
  <c r="G551" i="34" s="1"/>
  <c r="I551" i="34" s="1"/>
  <c r="G564" i="36" s="1"/>
  <c r="I564" i="36" s="1"/>
  <c r="G575" i="38" s="1"/>
  <c r="I575" i="38" s="1"/>
  <c r="G579" i="40" s="1"/>
  <c r="I579" i="40" s="1"/>
  <c r="G584" i="3" s="1"/>
  <c r="I584" i="3" s="1"/>
  <c r="G598" i="44" s="1"/>
  <c r="I598" i="44" s="1"/>
  <c r="G600" i="46" s="1"/>
  <c r="I600" i="46" s="1"/>
  <c r="G600" i="48" s="1"/>
  <c r="I600" i="48" s="1"/>
  <c r="I526" i="1"/>
  <c r="G527" i="28" s="1"/>
  <c r="I527" i="28" s="1"/>
  <c r="G530" i="29" s="1"/>
  <c r="I530" i="29" s="1"/>
  <c r="G539" i="30" s="1"/>
  <c r="I539" i="30" s="1"/>
  <c r="G550" i="32" s="1"/>
  <c r="I550" i="32" s="1"/>
  <c r="G550" i="34" s="1"/>
  <c r="I550" i="34" s="1"/>
  <c r="G563" i="36" s="1"/>
  <c r="I563" i="36" s="1"/>
  <c r="G574" i="38" s="1"/>
  <c r="I574" i="38" s="1"/>
  <c r="G578" i="40" s="1"/>
  <c r="I578" i="40" s="1"/>
  <c r="G583" i="3" s="1"/>
  <c r="I583" i="3" s="1"/>
  <c r="G597" i="44" s="1"/>
  <c r="I597" i="44" s="1"/>
  <c r="G599" i="46" s="1"/>
  <c r="I599" i="46" s="1"/>
  <c r="G599" i="48" s="1"/>
  <c r="I599" i="48" s="1"/>
  <c r="I525" i="1"/>
  <c r="G526" i="28" s="1"/>
  <c r="I526" i="28" s="1"/>
  <c r="G529" i="29" s="1"/>
  <c r="I529" i="29" s="1"/>
  <c r="G538" i="30" s="1"/>
  <c r="I538" i="30" s="1"/>
  <c r="G549" i="32" s="1"/>
  <c r="I549" i="32" s="1"/>
  <c r="G549" i="34" s="1"/>
  <c r="I549" i="34" s="1"/>
  <c r="G562" i="36" s="1"/>
  <c r="I562" i="36" s="1"/>
  <c r="G573" i="38" s="1"/>
  <c r="I573" i="38" s="1"/>
  <c r="G577" i="40" s="1"/>
  <c r="I577" i="40" s="1"/>
  <c r="G582" i="3" s="1"/>
  <c r="I582" i="3" s="1"/>
  <c r="G596" i="44" s="1"/>
  <c r="I596" i="44" s="1"/>
  <c r="G598" i="46" s="1"/>
  <c r="I598" i="46" s="1"/>
  <c r="G598" i="48" s="1"/>
  <c r="I598" i="48" s="1"/>
  <c r="I524" i="1"/>
  <c r="G525" i="28" s="1"/>
  <c r="I525" i="28" s="1"/>
  <c r="G528" i="29" s="1"/>
  <c r="I528" i="29" s="1"/>
  <c r="G537" i="30" s="1"/>
  <c r="I537" i="30" s="1"/>
  <c r="G548" i="32" s="1"/>
  <c r="I548" i="32" s="1"/>
  <c r="G548" i="34" s="1"/>
  <c r="I548" i="34" s="1"/>
  <c r="G561" i="36" s="1"/>
  <c r="I561" i="36" s="1"/>
  <c r="G572" i="38" s="1"/>
  <c r="I572" i="38" s="1"/>
  <c r="G576" i="40" s="1"/>
  <c r="I576" i="40" s="1"/>
  <c r="G581" i="3" s="1"/>
  <c r="I581" i="3" s="1"/>
  <c r="G595" i="44" s="1"/>
  <c r="I595" i="44" s="1"/>
  <c r="G597" i="46" s="1"/>
  <c r="I597" i="46" s="1"/>
  <c r="G597" i="48" s="1"/>
  <c r="I597" i="48" s="1"/>
  <c r="I523" i="1"/>
  <c r="G524" i="28" s="1"/>
  <c r="I524" i="28" s="1"/>
  <c r="G527" i="29" s="1"/>
  <c r="I527" i="29" s="1"/>
  <c r="G536" i="30" s="1"/>
  <c r="I536" i="30" s="1"/>
  <c r="G547" i="32" s="1"/>
  <c r="I547" i="32" s="1"/>
  <c r="G547" i="34" s="1"/>
  <c r="I547" i="34" s="1"/>
  <c r="G560" i="36" s="1"/>
  <c r="I560" i="36" s="1"/>
  <c r="G571" i="38" s="1"/>
  <c r="I571" i="38" s="1"/>
  <c r="G575" i="40" s="1"/>
  <c r="I575" i="40" s="1"/>
  <c r="G580" i="3" s="1"/>
  <c r="I580" i="3" s="1"/>
  <c r="G594" i="44" s="1"/>
  <c r="I594" i="44" s="1"/>
  <c r="G596" i="46" s="1"/>
  <c r="I596" i="46" s="1"/>
  <c r="G596" i="48" s="1"/>
  <c r="I596" i="48" s="1"/>
  <c r="I522" i="1"/>
  <c r="G523" i="28" s="1"/>
  <c r="I523" i="28" s="1"/>
  <c r="G526" i="29" s="1"/>
  <c r="I526" i="29" s="1"/>
  <c r="G535" i="30" s="1"/>
  <c r="I535" i="30" s="1"/>
  <c r="G546" i="32" s="1"/>
  <c r="I546" i="32" s="1"/>
  <c r="G546" i="34" s="1"/>
  <c r="I546" i="34" s="1"/>
  <c r="G559" i="36" s="1"/>
  <c r="I559" i="36" s="1"/>
  <c r="G570" i="38" s="1"/>
  <c r="I570" i="38" s="1"/>
  <c r="G574" i="40" s="1"/>
  <c r="I574" i="40" s="1"/>
  <c r="G579" i="3" s="1"/>
  <c r="I579" i="3" s="1"/>
  <c r="G593" i="44" s="1"/>
  <c r="I593" i="44" s="1"/>
  <c r="G595" i="46" s="1"/>
  <c r="I595" i="46" s="1"/>
  <c r="G595" i="48" s="1"/>
  <c r="I595" i="48" s="1"/>
  <c r="I521" i="1"/>
  <c r="G522" i="28" s="1"/>
  <c r="I522" i="28" s="1"/>
  <c r="G525" i="29" s="1"/>
  <c r="I525" i="29" s="1"/>
  <c r="G534" i="30" s="1"/>
  <c r="I534" i="30" s="1"/>
  <c r="G545" i="32" s="1"/>
  <c r="I545" i="32" s="1"/>
  <c r="G545" i="34" s="1"/>
  <c r="I545" i="34" s="1"/>
  <c r="G558" i="36" s="1"/>
  <c r="I558" i="36" s="1"/>
  <c r="G569" i="38" s="1"/>
  <c r="I569" i="38" s="1"/>
  <c r="G573" i="40" s="1"/>
  <c r="I573" i="40" s="1"/>
  <c r="G578" i="3" s="1"/>
  <c r="I578" i="3" s="1"/>
  <c r="G592" i="44" s="1"/>
  <c r="I592" i="44" s="1"/>
  <c r="G594" i="46" s="1"/>
  <c r="I594" i="46" s="1"/>
  <c r="G594" i="48" s="1"/>
  <c r="I594" i="48" s="1"/>
  <c r="I519" i="1"/>
  <c r="G520" i="28" s="1"/>
  <c r="I520" i="28" s="1"/>
  <c r="G523" i="29" s="1"/>
  <c r="I523" i="29" s="1"/>
  <c r="G532" i="30" s="1"/>
  <c r="I532" i="30" s="1"/>
  <c r="G543" i="32" s="1"/>
  <c r="I543" i="32" s="1"/>
  <c r="G543" i="34" s="1"/>
  <c r="I543" i="34" s="1"/>
  <c r="G556" i="36" s="1"/>
  <c r="I556" i="36" s="1"/>
  <c r="G567" i="38" s="1"/>
  <c r="I567" i="38" s="1"/>
  <c r="G571" i="40" s="1"/>
  <c r="I571" i="40" s="1"/>
  <c r="G576" i="3" s="1"/>
  <c r="I576" i="3" s="1"/>
  <c r="G590" i="44" s="1"/>
  <c r="I590" i="44" s="1"/>
  <c r="G592" i="46" s="1"/>
  <c r="I592" i="46" s="1"/>
  <c r="G592" i="48" s="1"/>
  <c r="I592" i="48" s="1"/>
  <c r="I518" i="1"/>
  <c r="G519" i="28" s="1"/>
  <c r="I519" i="28" s="1"/>
  <c r="G522" i="29" s="1"/>
  <c r="I522" i="29" s="1"/>
  <c r="G531" i="30" s="1"/>
  <c r="I531" i="30" s="1"/>
  <c r="G542" i="32" s="1"/>
  <c r="I542" i="32" s="1"/>
  <c r="G542" i="34" s="1"/>
  <c r="I542" i="34" s="1"/>
  <c r="G555" i="36" s="1"/>
  <c r="I555" i="36" s="1"/>
  <c r="G566" i="38" s="1"/>
  <c r="I566" i="38" s="1"/>
  <c r="G570" i="40" s="1"/>
  <c r="I570" i="40" s="1"/>
  <c r="G575" i="3" s="1"/>
  <c r="I575" i="3" s="1"/>
  <c r="G589" i="44" s="1"/>
  <c r="I589" i="44" s="1"/>
  <c r="G591" i="46" s="1"/>
  <c r="I591" i="46" s="1"/>
  <c r="G591" i="48" s="1"/>
  <c r="I591" i="48" s="1"/>
  <c r="I517" i="1"/>
  <c r="G518" i="28" s="1"/>
  <c r="I518" i="28" s="1"/>
  <c r="G521" i="29" s="1"/>
  <c r="I521" i="29" s="1"/>
  <c r="G530" i="30" s="1"/>
  <c r="I516" i="1"/>
  <c r="G517" i="28" s="1"/>
  <c r="I517" i="28" s="1"/>
  <c r="G520" i="29" s="1"/>
  <c r="I520" i="29" s="1"/>
  <c r="G529" i="30" s="1"/>
  <c r="I529" i="30" s="1"/>
  <c r="G540" i="32" s="1"/>
  <c r="I540" i="32" s="1"/>
  <c r="G540" i="34" s="1"/>
  <c r="I540" i="34" s="1"/>
  <c r="G553" i="36" s="1"/>
  <c r="I553" i="36" s="1"/>
  <c r="G564" i="38" s="1"/>
  <c r="I564" i="38" s="1"/>
  <c r="G568" i="40" s="1"/>
  <c r="I568" i="40" s="1"/>
  <c r="G573" i="3" s="1"/>
  <c r="I573" i="3" s="1"/>
  <c r="G587" i="44" s="1"/>
  <c r="I587" i="44" s="1"/>
  <c r="G589" i="46" s="1"/>
  <c r="I589" i="46" s="1"/>
  <c r="G589" i="48" s="1"/>
  <c r="I589" i="48" s="1"/>
  <c r="I515" i="1"/>
  <c r="G516" i="28" s="1"/>
  <c r="I516" i="28" s="1"/>
  <c r="G519" i="29" s="1"/>
  <c r="I519" i="29" s="1"/>
  <c r="G528" i="30" s="1"/>
  <c r="I528" i="30" s="1"/>
  <c r="G539" i="32" s="1"/>
  <c r="I539" i="32" s="1"/>
  <c r="G539" i="34" s="1"/>
  <c r="I539" i="34" s="1"/>
  <c r="G552" i="36" s="1"/>
  <c r="I552" i="36" s="1"/>
  <c r="G563" i="38" s="1"/>
  <c r="I563" i="38" s="1"/>
  <c r="G567" i="40" s="1"/>
  <c r="I567" i="40" s="1"/>
  <c r="G572" i="3" s="1"/>
  <c r="I572" i="3" s="1"/>
  <c r="G586" i="44" s="1"/>
  <c r="I586" i="44" s="1"/>
  <c r="G588" i="46" s="1"/>
  <c r="I588" i="46" s="1"/>
  <c r="G588" i="48" s="1"/>
  <c r="I588" i="48" s="1"/>
  <c r="I514" i="1"/>
  <c r="G515" i="28" s="1"/>
  <c r="I515" i="28" s="1"/>
  <c r="G518" i="29" s="1"/>
  <c r="I518" i="29" s="1"/>
  <c r="G527" i="30" s="1"/>
  <c r="I527" i="30" s="1"/>
  <c r="G538" i="32" s="1"/>
  <c r="I538" i="32" s="1"/>
  <c r="G538" i="34" s="1"/>
  <c r="I538" i="34" s="1"/>
  <c r="G551" i="36" s="1"/>
  <c r="I551" i="36" s="1"/>
  <c r="G562" i="38" s="1"/>
  <c r="I562" i="38" s="1"/>
  <c r="G566" i="40" s="1"/>
  <c r="I566" i="40" s="1"/>
  <c r="G571" i="3" s="1"/>
  <c r="I571" i="3" s="1"/>
  <c r="G585" i="44" s="1"/>
  <c r="I585" i="44" s="1"/>
  <c r="G587" i="46" s="1"/>
  <c r="I587" i="46" s="1"/>
  <c r="G587" i="48" s="1"/>
  <c r="I587" i="48" s="1"/>
  <c r="I513" i="1"/>
  <c r="G514" i="28" s="1"/>
  <c r="I514" i="28" s="1"/>
  <c r="G517" i="29" s="1"/>
  <c r="I517" i="29" s="1"/>
  <c r="G526" i="30" s="1"/>
  <c r="I526" i="30" s="1"/>
  <c r="G537" i="32" s="1"/>
  <c r="I537" i="32" s="1"/>
  <c r="G537" i="34" s="1"/>
  <c r="I537" i="34" s="1"/>
  <c r="G550" i="36" s="1"/>
  <c r="I550" i="36" s="1"/>
  <c r="G561" i="38" s="1"/>
  <c r="I561" i="38" s="1"/>
  <c r="G565" i="40" s="1"/>
  <c r="I565" i="40" s="1"/>
  <c r="G570" i="3" s="1"/>
  <c r="I570" i="3" s="1"/>
  <c r="G584" i="44" s="1"/>
  <c r="I584" i="44" s="1"/>
  <c r="G586" i="46" s="1"/>
  <c r="I586" i="46" s="1"/>
  <c r="G586" i="48" s="1"/>
  <c r="I586" i="48" s="1"/>
  <c r="I512" i="1"/>
  <c r="G513" i="28" s="1"/>
  <c r="I513" i="28" s="1"/>
  <c r="G516" i="29" s="1"/>
  <c r="I516" i="29" s="1"/>
  <c r="G525" i="30" s="1"/>
  <c r="I525" i="30" s="1"/>
  <c r="G536" i="32" s="1"/>
  <c r="I536" i="32" s="1"/>
  <c r="G536" i="34" s="1"/>
  <c r="I536" i="34" s="1"/>
  <c r="G549" i="36" s="1"/>
  <c r="I549" i="36" s="1"/>
  <c r="G560" i="38" s="1"/>
  <c r="I560" i="38" s="1"/>
  <c r="G564" i="40" s="1"/>
  <c r="I564" i="40" s="1"/>
  <c r="G569" i="3" s="1"/>
  <c r="I569" i="3" s="1"/>
  <c r="G583" i="44" s="1"/>
  <c r="I583" i="44" s="1"/>
  <c r="G585" i="46" s="1"/>
  <c r="I585" i="46" s="1"/>
  <c r="G585" i="48" s="1"/>
  <c r="I585" i="48" s="1"/>
  <c r="G853" i="46" l="1"/>
  <c r="I853" i="46" s="1"/>
  <c r="G853" i="48"/>
  <c r="I853" i="48" s="1"/>
  <c r="G855" i="46"/>
  <c r="I855" i="46" s="1"/>
  <c r="G855" i="48"/>
  <c r="I895" i="44"/>
  <c r="C18" i="45"/>
  <c r="G18" i="45" s="1"/>
  <c r="I18" i="45" s="1"/>
  <c r="G787" i="34"/>
  <c r="I787" i="34" s="1"/>
  <c r="G800" i="36"/>
  <c r="I800" i="36" s="1"/>
  <c r="G779" i="30"/>
  <c r="G790" i="32"/>
  <c r="G776" i="30"/>
  <c r="C16" i="45" s="1"/>
  <c r="G16" i="45" s="1"/>
  <c r="I16" i="45" s="1"/>
  <c r="G787" i="32"/>
  <c r="I787" i="32" s="1"/>
  <c r="I779" i="30"/>
  <c r="I818" i="30"/>
  <c r="G829" i="32" s="1"/>
  <c r="C15" i="31"/>
  <c r="G15" i="31" s="1"/>
  <c r="I15" i="31" s="1"/>
  <c r="I530" i="30"/>
  <c r="G541" i="32" s="1"/>
  <c r="I541" i="32" s="1"/>
  <c r="G541" i="34" s="1"/>
  <c r="I541" i="34" s="1"/>
  <c r="G554" i="36" s="1"/>
  <c r="I554" i="36" s="1"/>
  <c r="G565" i="38" s="1"/>
  <c r="I565" i="38" s="1"/>
  <c r="G569" i="40" s="1"/>
  <c r="I569" i="40" s="1"/>
  <c r="G574" i="3" s="1"/>
  <c r="I574" i="3" s="1"/>
  <c r="G588" i="44" s="1"/>
  <c r="I588" i="44" s="1"/>
  <c r="G590" i="46" s="1"/>
  <c r="I590" i="46" s="1"/>
  <c r="G590" i="48" s="1"/>
  <c r="I590" i="48" s="1"/>
  <c r="I510" i="1"/>
  <c r="G511" i="28" s="1"/>
  <c r="I511" i="28" s="1"/>
  <c r="G514" i="29" s="1"/>
  <c r="I514" i="29" s="1"/>
  <c r="G523" i="30" s="1"/>
  <c r="I523" i="30" s="1"/>
  <c r="G534" i="32" s="1"/>
  <c r="I534" i="32" s="1"/>
  <c r="G534" i="34" s="1"/>
  <c r="I534" i="34" s="1"/>
  <c r="G547" i="36" s="1"/>
  <c r="I547" i="36" s="1"/>
  <c r="G558" i="38" s="1"/>
  <c r="I558" i="38" s="1"/>
  <c r="G562" i="40" s="1"/>
  <c r="I562" i="40" s="1"/>
  <c r="G567" i="3" s="1"/>
  <c r="I567" i="3" s="1"/>
  <c r="G581" i="44" s="1"/>
  <c r="I581" i="44" s="1"/>
  <c r="G583" i="46" s="1"/>
  <c r="I583" i="46" s="1"/>
  <c r="G583" i="48" s="1"/>
  <c r="I583" i="48" s="1"/>
  <c r="I509" i="1"/>
  <c r="G510" i="28" s="1"/>
  <c r="I510" i="28" s="1"/>
  <c r="G513" i="29" s="1"/>
  <c r="I513" i="29" s="1"/>
  <c r="G522" i="30" s="1"/>
  <c r="I522" i="30" s="1"/>
  <c r="G533" i="32" s="1"/>
  <c r="I533" i="32" s="1"/>
  <c r="G533" i="34" s="1"/>
  <c r="I533" i="34" s="1"/>
  <c r="G546" i="36" s="1"/>
  <c r="I546" i="36" s="1"/>
  <c r="G557" i="38" s="1"/>
  <c r="I557" i="38" s="1"/>
  <c r="G561" i="40" s="1"/>
  <c r="I561" i="40" s="1"/>
  <c r="G566" i="3" s="1"/>
  <c r="I566" i="3" s="1"/>
  <c r="G580" i="44" s="1"/>
  <c r="I580" i="44" s="1"/>
  <c r="G582" i="46" s="1"/>
  <c r="I582" i="46" s="1"/>
  <c r="G582" i="48" s="1"/>
  <c r="I582" i="48" s="1"/>
  <c r="I508" i="1"/>
  <c r="G509" i="28" s="1"/>
  <c r="I509" i="28" s="1"/>
  <c r="G512" i="29" s="1"/>
  <c r="I512" i="29" s="1"/>
  <c r="G521" i="30" s="1"/>
  <c r="I521" i="30" s="1"/>
  <c r="G532" i="32" s="1"/>
  <c r="I532" i="32" s="1"/>
  <c r="G532" i="34" s="1"/>
  <c r="I532" i="34" s="1"/>
  <c r="G545" i="36" s="1"/>
  <c r="I545" i="36" s="1"/>
  <c r="G556" i="38" s="1"/>
  <c r="I556" i="38" s="1"/>
  <c r="G560" i="40" s="1"/>
  <c r="I560" i="40" s="1"/>
  <c r="G565" i="3" s="1"/>
  <c r="I565" i="3" s="1"/>
  <c r="G579" i="44" s="1"/>
  <c r="I579" i="44" s="1"/>
  <c r="G581" i="46" s="1"/>
  <c r="I581" i="46" s="1"/>
  <c r="G581" i="48" s="1"/>
  <c r="I581" i="48" s="1"/>
  <c r="I507" i="1"/>
  <c r="G508" i="28" s="1"/>
  <c r="I508" i="28" s="1"/>
  <c r="G511" i="29" s="1"/>
  <c r="I511" i="29" s="1"/>
  <c r="G520" i="30" s="1"/>
  <c r="I520" i="30" s="1"/>
  <c r="G531" i="32" s="1"/>
  <c r="I531" i="32" s="1"/>
  <c r="G531" i="34" s="1"/>
  <c r="I531" i="34" s="1"/>
  <c r="G544" i="36" s="1"/>
  <c r="I544" i="36" s="1"/>
  <c r="G555" i="38" s="1"/>
  <c r="I555" i="38" s="1"/>
  <c r="G559" i="40" s="1"/>
  <c r="I559" i="40" s="1"/>
  <c r="G564" i="3" s="1"/>
  <c r="I564" i="3" s="1"/>
  <c r="G578" i="44" s="1"/>
  <c r="I578" i="44" s="1"/>
  <c r="G580" i="46" s="1"/>
  <c r="I580" i="46" s="1"/>
  <c r="G580" i="48" s="1"/>
  <c r="I580" i="48" s="1"/>
  <c r="I506" i="1"/>
  <c r="G507" i="28" s="1"/>
  <c r="I507" i="28" s="1"/>
  <c r="G510" i="29" s="1"/>
  <c r="I510" i="29" s="1"/>
  <c r="G519" i="30" s="1"/>
  <c r="I519" i="30" s="1"/>
  <c r="G530" i="32" s="1"/>
  <c r="I530" i="32" s="1"/>
  <c r="G530" i="34" s="1"/>
  <c r="I530" i="34" s="1"/>
  <c r="G543" i="36" s="1"/>
  <c r="I543" i="36" s="1"/>
  <c r="G554" i="38" s="1"/>
  <c r="I554" i="38" s="1"/>
  <c r="G558" i="40" s="1"/>
  <c r="I558" i="40" s="1"/>
  <c r="G563" i="3" s="1"/>
  <c r="I563" i="3" s="1"/>
  <c r="G577" i="44" s="1"/>
  <c r="I577" i="44" s="1"/>
  <c r="G579" i="46" s="1"/>
  <c r="I579" i="46" s="1"/>
  <c r="G579" i="48" s="1"/>
  <c r="I579" i="48" s="1"/>
  <c r="I505" i="1"/>
  <c r="G506" i="28" s="1"/>
  <c r="I506" i="28" s="1"/>
  <c r="G509" i="29" s="1"/>
  <c r="I509" i="29" s="1"/>
  <c r="G518" i="30" s="1"/>
  <c r="I518" i="30" s="1"/>
  <c r="G529" i="32" s="1"/>
  <c r="I529" i="32" s="1"/>
  <c r="G529" i="34" s="1"/>
  <c r="I529" i="34" s="1"/>
  <c r="G542" i="36" s="1"/>
  <c r="I542" i="36" s="1"/>
  <c r="G553" i="38" s="1"/>
  <c r="I553" i="38" s="1"/>
  <c r="G557" i="40" s="1"/>
  <c r="I557" i="40" s="1"/>
  <c r="G562" i="3" s="1"/>
  <c r="I562" i="3" s="1"/>
  <c r="G576" i="44" s="1"/>
  <c r="I576" i="44" s="1"/>
  <c r="G578" i="46" s="1"/>
  <c r="I578" i="46" s="1"/>
  <c r="G578" i="48" s="1"/>
  <c r="I578" i="48" s="1"/>
  <c r="I504" i="1"/>
  <c r="G505" i="28" s="1"/>
  <c r="I505" i="28" s="1"/>
  <c r="G508" i="29" s="1"/>
  <c r="I508" i="29" s="1"/>
  <c r="G517" i="30" s="1"/>
  <c r="I517" i="30" s="1"/>
  <c r="G528" i="32" s="1"/>
  <c r="I528" i="32" s="1"/>
  <c r="G528" i="34" s="1"/>
  <c r="I528" i="34" s="1"/>
  <c r="G541" i="36" s="1"/>
  <c r="I541" i="36" s="1"/>
  <c r="G552" i="38" s="1"/>
  <c r="I552" i="38" s="1"/>
  <c r="G556" i="40" s="1"/>
  <c r="I556" i="40" s="1"/>
  <c r="G561" i="3" s="1"/>
  <c r="I561" i="3" s="1"/>
  <c r="G575" i="44" s="1"/>
  <c r="I575" i="44" s="1"/>
  <c r="G577" i="46" s="1"/>
  <c r="I577" i="46" s="1"/>
  <c r="G577" i="48" s="1"/>
  <c r="I577" i="48" s="1"/>
  <c r="I502" i="1"/>
  <c r="G503" i="28" s="1"/>
  <c r="I503" i="28" s="1"/>
  <c r="G506" i="29" s="1"/>
  <c r="I506" i="29" s="1"/>
  <c r="G515" i="30" s="1"/>
  <c r="I515" i="30" s="1"/>
  <c r="G526" i="32" s="1"/>
  <c r="I526" i="32" s="1"/>
  <c r="G526" i="34" s="1"/>
  <c r="I526" i="34" s="1"/>
  <c r="G539" i="36" s="1"/>
  <c r="I539" i="36" s="1"/>
  <c r="G550" i="38" s="1"/>
  <c r="I550" i="38" s="1"/>
  <c r="G554" i="40" s="1"/>
  <c r="I554" i="40" s="1"/>
  <c r="G559" i="3" s="1"/>
  <c r="I559" i="3" s="1"/>
  <c r="G573" i="44" s="1"/>
  <c r="I573" i="44" s="1"/>
  <c r="G575" i="46" s="1"/>
  <c r="I575" i="46" s="1"/>
  <c r="G575" i="48" s="1"/>
  <c r="I575" i="48" s="1"/>
  <c r="I501" i="1"/>
  <c r="G502" i="28" s="1"/>
  <c r="I502" i="28" s="1"/>
  <c r="G505" i="29" s="1"/>
  <c r="I505" i="29" s="1"/>
  <c r="G514" i="30" s="1"/>
  <c r="I514" i="30" s="1"/>
  <c r="G525" i="32" s="1"/>
  <c r="I525" i="32" s="1"/>
  <c r="G525" i="34" s="1"/>
  <c r="I525" i="34" s="1"/>
  <c r="G538" i="36" s="1"/>
  <c r="I538" i="36" s="1"/>
  <c r="G549" i="38" s="1"/>
  <c r="I549" i="38" s="1"/>
  <c r="G553" i="40" s="1"/>
  <c r="I553" i="40" s="1"/>
  <c r="G558" i="3" s="1"/>
  <c r="I558" i="3" s="1"/>
  <c r="G572" i="44" s="1"/>
  <c r="I572" i="44" s="1"/>
  <c r="G574" i="46" s="1"/>
  <c r="I574" i="46" s="1"/>
  <c r="G574" i="48" s="1"/>
  <c r="I574" i="48" s="1"/>
  <c r="I500" i="1"/>
  <c r="G501" i="28" s="1"/>
  <c r="I501" i="28" s="1"/>
  <c r="G504" i="29" s="1"/>
  <c r="I504" i="29" s="1"/>
  <c r="G513" i="30" s="1"/>
  <c r="I513" i="30" s="1"/>
  <c r="G524" i="32" s="1"/>
  <c r="I524" i="32" s="1"/>
  <c r="G524" i="34" s="1"/>
  <c r="I524" i="34" s="1"/>
  <c r="G537" i="36" s="1"/>
  <c r="I537" i="36" s="1"/>
  <c r="G548" i="38" s="1"/>
  <c r="I548" i="38" s="1"/>
  <c r="G552" i="40" s="1"/>
  <c r="I552" i="40" s="1"/>
  <c r="G557" i="3" s="1"/>
  <c r="I557" i="3" s="1"/>
  <c r="G571" i="44" s="1"/>
  <c r="I571" i="44" s="1"/>
  <c r="G573" i="46" s="1"/>
  <c r="I573" i="46" s="1"/>
  <c r="G573" i="48" s="1"/>
  <c r="I573" i="48" s="1"/>
  <c r="I499" i="1"/>
  <c r="G500" i="28" s="1"/>
  <c r="I500" i="28" s="1"/>
  <c r="G503" i="29" s="1"/>
  <c r="I503" i="29" s="1"/>
  <c r="G512" i="30" s="1"/>
  <c r="I512" i="30" s="1"/>
  <c r="G523" i="32" s="1"/>
  <c r="I523" i="32" s="1"/>
  <c r="G523" i="34" s="1"/>
  <c r="I523" i="34" s="1"/>
  <c r="G536" i="36" s="1"/>
  <c r="I536" i="36" s="1"/>
  <c r="G547" i="38" s="1"/>
  <c r="I547" i="38" s="1"/>
  <c r="G551" i="40" s="1"/>
  <c r="I551" i="40" s="1"/>
  <c r="G556" i="3" s="1"/>
  <c r="I556" i="3" s="1"/>
  <c r="G570" i="44" s="1"/>
  <c r="I570" i="44" s="1"/>
  <c r="G572" i="46" s="1"/>
  <c r="I572" i="46" s="1"/>
  <c r="G572" i="48" s="1"/>
  <c r="I572" i="48" s="1"/>
  <c r="I498" i="1"/>
  <c r="G499" i="28" s="1"/>
  <c r="I499" i="28" s="1"/>
  <c r="G502" i="29" s="1"/>
  <c r="I502" i="29" s="1"/>
  <c r="G511" i="30" s="1"/>
  <c r="I511" i="30" s="1"/>
  <c r="G522" i="32" s="1"/>
  <c r="I522" i="32" s="1"/>
  <c r="G522" i="34" s="1"/>
  <c r="I522" i="34" s="1"/>
  <c r="G535" i="36" s="1"/>
  <c r="I535" i="36" s="1"/>
  <c r="G546" i="38" s="1"/>
  <c r="I546" i="38" s="1"/>
  <c r="G550" i="40" s="1"/>
  <c r="I550" i="40" s="1"/>
  <c r="G555" i="3" s="1"/>
  <c r="I555" i="3" s="1"/>
  <c r="G569" i="44" s="1"/>
  <c r="I569" i="44" s="1"/>
  <c r="G571" i="46" s="1"/>
  <c r="I571" i="46" s="1"/>
  <c r="G571" i="48" s="1"/>
  <c r="I571" i="48" s="1"/>
  <c r="I497" i="1"/>
  <c r="G498" i="28" s="1"/>
  <c r="I498" i="28" s="1"/>
  <c r="G501" i="29" s="1"/>
  <c r="I501" i="29" s="1"/>
  <c r="G510" i="30" s="1"/>
  <c r="I510" i="30" s="1"/>
  <c r="G521" i="32" s="1"/>
  <c r="I521" i="32" s="1"/>
  <c r="G521" i="34" s="1"/>
  <c r="I521" i="34" s="1"/>
  <c r="G534" i="36" s="1"/>
  <c r="I534" i="36" s="1"/>
  <c r="G545" i="38" s="1"/>
  <c r="I545" i="38" s="1"/>
  <c r="G549" i="40" s="1"/>
  <c r="I549" i="40" s="1"/>
  <c r="G554" i="3" s="1"/>
  <c r="I554" i="3" s="1"/>
  <c r="G568" i="44" s="1"/>
  <c r="I568" i="44" s="1"/>
  <c r="G570" i="46" s="1"/>
  <c r="I570" i="46" s="1"/>
  <c r="G570" i="48" s="1"/>
  <c r="I570" i="48" s="1"/>
  <c r="I496" i="1"/>
  <c r="G497" i="28" s="1"/>
  <c r="I497" i="28" s="1"/>
  <c r="G500" i="29" s="1"/>
  <c r="I500" i="29" s="1"/>
  <c r="G509" i="30" s="1"/>
  <c r="I509" i="30" s="1"/>
  <c r="G520" i="32" s="1"/>
  <c r="I520" i="32" s="1"/>
  <c r="G520" i="34" s="1"/>
  <c r="I520" i="34" s="1"/>
  <c r="G533" i="36" s="1"/>
  <c r="I533" i="36" s="1"/>
  <c r="G544" i="38" s="1"/>
  <c r="I544" i="38" s="1"/>
  <c r="G548" i="40" s="1"/>
  <c r="I548" i="40" s="1"/>
  <c r="G553" i="3" s="1"/>
  <c r="I553" i="3" s="1"/>
  <c r="G567" i="44" s="1"/>
  <c r="I567" i="44" s="1"/>
  <c r="G569" i="46" s="1"/>
  <c r="I569" i="46" s="1"/>
  <c r="G569" i="48" s="1"/>
  <c r="I569" i="48" s="1"/>
  <c r="I495" i="1"/>
  <c r="G496" i="28" s="1"/>
  <c r="I496" i="28" s="1"/>
  <c r="G499" i="29" s="1"/>
  <c r="I499" i="29" s="1"/>
  <c r="G508" i="30" s="1"/>
  <c r="I508" i="30" s="1"/>
  <c r="G519" i="32" s="1"/>
  <c r="I519" i="32" s="1"/>
  <c r="G519" i="34" s="1"/>
  <c r="I519" i="34" s="1"/>
  <c r="G532" i="36" s="1"/>
  <c r="I532" i="36" s="1"/>
  <c r="G543" i="38" s="1"/>
  <c r="I543" i="38" s="1"/>
  <c r="G547" i="40" s="1"/>
  <c r="I547" i="40" s="1"/>
  <c r="G552" i="3" s="1"/>
  <c r="I552" i="3" s="1"/>
  <c r="G566" i="44" s="1"/>
  <c r="I566" i="44" s="1"/>
  <c r="G568" i="46" s="1"/>
  <c r="I568" i="46" s="1"/>
  <c r="G568" i="48" s="1"/>
  <c r="I568" i="48" s="1"/>
  <c r="I493" i="1"/>
  <c r="G494" i="28" s="1"/>
  <c r="I494" i="28" s="1"/>
  <c r="G497" i="29" s="1"/>
  <c r="I497" i="29" s="1"/>
  <c r="G506" i="30" s="1"/>
  <c r="I506" i="30" s="1"/>
  <c r="G517" i="32" s="1"/>
  <c r="I517" i="32" s="1"/>
  <c r="G517" i="34" s="1"/>
  <c r="I517" i="34" s="1"/>
  <c r="G530" i="36" s="1"/>
  <c r="I530" i="36" s="1"/>
  <c r="G541" i="38" s="1"/>
  <c r="I541" i="38" s="1"/>
  <c r="G545" i="40" s="1"/>
  <c r="I545" i="40" s="1"/>
  <c r="G550" i="3" s="1"/>
  <c r="I550" i="3" s="1"/>
  <c r="G564" i="44" s="1"/>
  <c r="I564" i="44" s="1"/>
  <c r="G566" i="46" s="1"/>
  <c r="I566" i="46" s="1"/>
  <c r="G566" i="48" s="1"/>
  <c r="I566" i="48" s="1"/>
  <c r="I492" i="1"/>
  <c r="G493" i="28" s="1"/>
  <c r="I493" i="28" s="1"/>
  <c r="G496" i="29" s="1"/>
  <c r="I496" i="29" s="1"/>
  <c r="G505" i="30" s="1"/>
  <c r="I505" i="30" s="1"/>
  <c r="G516" i="32" s="1"/>
  <c r="I516" i="32" s="1"/>
  <c r="G516" i="34" s="1"/>
  <c r="I516" i="34" s="1"/>
  <c r="G529" i="36" s="1"/>
  <c r="I529" i="36" s="1"/>
  <c r="G540" i="38" s="1"/>
  <c r="I540" i="38" s="1"/>
  <c r="G544" i="40" s="1"/>
  <c r="I544" i="40" s="1"/>
  <c r="G549" i="3" s="1"/>
  <c r="I549" i="3" s="1"/>
  <c r="G563" i="44" s="1"/>
  <c r="I563" i="44" s="1"/>
  <c r="G565" i="46" s="1"/>
  <c r="I565" i="46" s="1"/>
  <c r="G565" i="48" s="1"/>
  <c r="I565" i="48" s="1"/>
  <c r="I491" i="1"/>
  <c r="G492" i="28" s="1"/>
  <c r="I492" i="28" s="1"/>
  <c r="G495" i="29" s="1"/>
  <c r="I495" i="29" s="1"/>
  <c r="G504" i="30" s="1"/>
  <c r="I504" i="30" s="1"/>
  <c r="G515" i="32" s="1"/>
  <c r="I515" i="32" s="1"/>
  <c r="G515" i="34" s="1"/>
  <c r="I515" i="34" s="1"/>
  <c r="G528" i="36" s="1"/>
  <c r="I528" i="36" s="1"/>
  <c r="G539" i="38" s="1"/>
  <c r="I539" i="38" s="1"/>
  <c r="G543" i="40" s="1"/>
  <c r="I543" i="40" s="1"/>
  <c r="G548" i="3" s="1"/>
  <c r="I548" i="3" s="1"/>
  <c r="G562" i="44" s="1"/>
  <c r="I562" i="44" s="1"/>
  <c r="G564" i="46" s="1"/>
  <c r="I564" i="46" s="1"/>
  <c r="G564" i="48" s="1"/>
  <c r="I564" i="48" s="1"/>
  <c r="I490" i="1"/>
  <c r="G491" i="28" s="1"/>
  <c r="I491" i="28" s="1"/>
  <c r="G494" i="29" s="1"/>
  <c r="I494" i="29" s="1"/>
  <c r="G503" i="30" s="1"/>
  <c r="I503" i="30" s="1"/>
  <c r="G514" i="32" s="1"/>
  <c r="I514" i="32" s="1"/>
  <c r="G514" i="34" s="1"/>
  <c r="I514" i="34" s="1"/>
  <c r="G527" i="36" s="1"/>
  <c r="I527" i="36" s="1"/>
  <c r="G538" i="38" s="1"/>
  <c r="I538" i="38" s="1"/>
  <c r="G542" i="40" s="1"/>
  <c r="I542" i="40" s="1"/>
  <c r="G547" i="3" s="1"/>
  <c r="I547" i="3" s="1"/>
  <c r="G561" i="44" s="1"/>
  <c r="I561" i="44" s="1"/>
  <c r="G563" i="46" s="1"/>
  <c r="I563" i="46" s="1"/>
  <c r="G563" i="48" s="1"/>
  <c r="I563" i="48" s="1"/>
  <c r="I489" i="1"/>
  <c r="G490" i="28" s="1"/>
  <c r="I490" i="28" s="1"/>
  <c r="G493" i="29" s="1"/>
  <c r="I493" i="29" s="1"/>
  <c r="G502" i="30" s="1"/>
  <c r="I502" i="30" s="1"/>
  <c r="G513" i="32" s="1"/>
  <c r="I513" i="32" s="1"/>
  <c r="G513" i="34" s="1"/>
  <c r="I513" i="34" s="1"/>
  <c r="G526" i="36" s="1"/>
  <c r="I526" i="36" s="1"/>
  <c r="G537" i="38" s="1"/>
  <c r="I537" i="38" s="1"/>
  <c r="G541" i="40" s="1"/>
  <c r="I541" i="40" s="1"/>
  <c r="G546" i="3" s="1"/>
  <c r="I546" i="3" s="1"/>
  <c r="G560" i="44" s="1"/>
  <c r="I560" i="44" s="1"/>
  <c r="G562" i="46" s="1"/>
  <c r="I562" i="46" s="1"/>
  <c r="G562" i="48" s="1"/>
  <c r="I562" i="48" s="1"/>
  <c r="I488" i="1"/>
  <c r="G489" i="28" s="1"/>
  <c r="I489" i="28" s="1"/>
  <c r="G492" i="29" s="1"/>
  <c r="I492" i="29" s="1"/>
  <c r="G501" i="30" s="1"/>
  <c r="I501" i="30" s="1"/>
  <c r="G512" i="32" s="1"/>
  <c r="I512" i="32" s="1"/>
  <c r="G512" i="34" s="1"/>
  <c r="I512" i="34" s="1"/>
  <c r="G525" i="36" s="1"/>
  <c r="I525" i="36" s="1"/>
  <c r="G536" i="38" s="1"/>
  <c r="I536" i="38" s="1"/>
  <c r="G540" i="40" s="1"/>
  <c r="I540" i="40" s="1"/>
  <c r="G545" i="3" s="1"/>
  <c r="I545" i="3" s="1"/>
  <c r="G559" i="44" s="1"/>
  <c r="I559" i="44" s="1"/>
  <c r="G561" i="46" s="1"/>
  <c r="I561" i="46" s="1"/>
  <c r="G561" i="48" s="1"/>
  <c r="I561" i="48" s="1"/>
  <c r="I487" i="1"/>
  <c r="G488" i="28" s="1"/>
  <c r="I488" i="28" s="1"/>
  <c r="G491" i="29" s="1"/>
  <c r="I491" i="29" s="1"/>
  <c r="G500" i="30" s="1"/>
  <c r="I500" i="30" s="1"/>
  <c r="G511" i="32" s="1"/>
  <c r="I511" i="32" s="1"/>
  <c r="G511" i="34" s="1"/>
  <c r="I511" i="34" s="1"/>
  <c r="G524" i="36" s="1"/>
  <c r="I524" i="36" s="1"/>
  <c r="G535" i="38" s="1"/>
  <c r="I535" i="38" s="1"/>
  <c r="G539" i="40" s="1"/>
  <c r="I539" i="40" s="1"/>
  <c r="G544" i="3" s="1"/>
  <c r="I544" i="3" s="1"/>
  <c r="G558" i="44" s="1"/>
  <c r="I558" i="44" s="1"/>
  <c r="G560" i="46" s="1"/>
  <c r="I560" i="46" s="1"/>
  <c r="G560" i="48" s="1"/>
  <c r="I560" i="48" s="1"/>
  <c r="I486" i="1"/>
  <c r="G487" i="28" s="1"/>
  <c r="I487" i="28" s="1"/>
  <c r="G490" i="29" s="1"/>
  <c r="I490" i="29" s="1"/>
  <c r="G499" i="30" s="1"/>
  <c r="I499" i="30" s="1"/>
  <c r="G510" i="32" s="1"/>
  <c r="I510" i="32" s="1"/>
  <c r="G510" i="34" s="1"/>
  <c r="I510" i="34" s="1"/>
  <c r="G523" i="36" s="1"/>
  <c r="I523" i="36" s="1"/>
  <c r="G534" i="38" s="1"/>
  <c r="I534" i="38" s="1"/>
  <c r="G538" i="40" s="1"/>
  <c r="I538" i="40" s="1"/>
  <c r="G543" i="3" s="1"/>
  <c r="I543" i="3" s="1"/>
  <c r="G557" i="44" s="1"/>
  <c r="I557" i="44" s="1"/>
  <c r="G559" i="46" s="1"/>
  <c r="I559" i="46" s="1"/>
  <c r="G559" i="48" s="1"/>
  <c r="I559" i="48" s="1"/>
  <c r="I484" i="1"/>
  <c r="G485" i="28" s="1"/>
  <c r="I485" i="28" s="1"/>
  <c r="G488" i="29" s="1"/>
  <c r="I488" i="29" s="1"/>
  <c r="G497" i="30" s="1"/>
  <c r="I497" i="30" s="1"/>
  <c r="G508" i="32" s="1"/>
  <c r="I508" i="32" s="1"/>
  <c r="G508" i="34" s="1"/>
  <c r="I508" i="34" s="1"/>
  <c r="G521" i="36" s="1"/>
  <c r="I521" i="36" s="1"/>
  <c r="G532" i="38" s="1"/>
  <c r="I532" i="38" s="1"/>
  <c r="G536" i="40" s="1"/>
  <c r="I536" i="40" s="1"/>
  <c r="G541" i="3" s="1"/>
  <c r="I541" i="3" s="1"/>
  <c r="G555" i="44" s="1"/>
  <c r="I555" i="44" s="1"/>
  <c r="G557" i="46" s="1"/>
  <c r="I557" i="46" s="1"/>
  <c r="G557" i="48" s="1"/>
  <c r="I557" i="48" s="1"/>
  <c r="I483" i="1"/>
  <c r="G484" i="28" s="1"/>
  <c r="I484" i="28" s="1"/>
  <c r="G487" i="29" s="1"/>
  <c r="I487" i="29" s="1"/>
  <c r="G496" i="30" s="1"/>
  <c r="I496" i="30" s="1"/>
  <c r="G507" i="32" s="1"/>
  <c r="I507" i="32" s="1"/>
  <c r="G507" i="34" s="1"/>
  <c r="I507" i="34" s="1"/>
  <c r="G520" i="36" s="1"/>
  <c r="I520" i="36" s="1"/>
  <c r="G531" i="38" s="1"/>
  <c r="I531" i="38" s="1"/>
  <c r="G535" i="40" s="1"/>
  <c r="I535" i="40" s="1"/>
  <c r="G540" i="3" s="1"/>
  <c r="I540" i="3" s="1"/>
  <c r="G554" i="44" s="1"/>
  <c r="I554" i="44" s="1"/>
  <c r="G556" i="46" s="1"/>
  <c r="I556" i="46" s="1"/>
  <c r="G556" i="48" s="1"/>
  <c r="I556" i="48" s="1"/>
  <c r="I482" i="1"/>
  <c r="G483" i="28" s="1"/>
  <c r="I483" i="28" s="1"/>
  <c r="G486" i="29" s="1"/>
  <c r="I486" i="29" s="1"/>
  <c r="G495" i="30" s="1"/>
  <c r="I495" i="30" s="1"/>
  <c r="G506" i="32" s="1"/>
  <c r="I506" i="32" s="1"/>
  <c r="G506" i="34" s="1"/>
  <c r="I506" i="34" s="1"/>
  <c r="G519" i="36" s="1"/>
  <c r="I519" i="36" s="1"/>
  <c r="G530" i="38" s="1"/>
  <c r="I530" i="38" s="1"/>
  <c r="G534" i="40" s="1"/>
  <c r="I534" i="40" s="1"/>
  <c r="G539" i="3" s="1"/>
  <c r="I539" i="3" s="1"/>
  <c r="G553" i="44" s="1"/>
  <c r="I553" i="44" s="1"/>
  <c r="G555" i="46" s="1"/>
  <c r="I555" i="46" s="1"/>
  <c r="G555" i="48" s="1"/>
  <c r="I555" i="48" s="1"/>
  <c r="I481" i="1"/>
  <c r="G482" i="28" s="1"/>
  <c r="I482" i="28" s="1"/>
  <c r="G485" i="29" s="1"/>
  <c r="I485" i="29" s="1"/>
  <c r="G494" i="30" s="1"/>
  <c r="I494" i="30" s="1"/>
  <c r="G505" i="32" s="1"/>
  <c r="I505" i="32" s="1"/>
  <c r="G505" i="34" s="1"/>
  <c r="I505" i="34" s="1"/>
  <c r="G518" i="36" s="1"/>
  <c r="I518" i="36" s="1"/>
  <c r="G529" i="38" s="1"/>
  <c r="I529" i="38" s="1"/>
  <c r="G533" i="40" s="1"/>
  <c r="I533" i="40" s="1"/>
  <c r="G538" i="3" s="1"/>
  <c r="I538" i="3" s="1"/>
  <c r="G552" i="44" s="1"/>
  <c r="I552" i="44" s="1"/>
  <c r="G554" i="46" s="1"/>
  <c r="I554" i="46" s="1"/>
  <c r="G554" i="48" s="1"/>
  <c r="I554" i="48" s="1"/>
  <c r="I480" i="1"/>
  <c r="G481" i="28" s="1"/>
  <c r="I481" i="28" s="1"/>
  <c r="G484" i="29" s="1"/>
  <c r="I484" i="29" s="1"/>
  <c r="G493" i="30" s="1"/>
  <c r="I493" i="30" s="1"/>
  <c r="G504" i="32" s="1"/>
  <c r="I504" i="32" s="1"/>
  <c r="G504" i="34" s="1"/>
  <c r="I504" i="34" s="1"/>
  <c r="G517" i="36" s="1"/>
  <c r="I517" i="36" s="1"/>
  <c r="G528" i="38" s="1"/>
  <c r="I528" i="38" s="1"/>
  <c r="G532" i="40" s="1"/>
  <c r="I532" i="40" s="1"/>
  <c r="G537" i="3" s="1"/>
  <c r="I537" i="3" s="1"/>
  <c r="G551" i="44" s="1"/>
  <c r="I551" i="44" s="1"/>
  <c r="G553" i="46" s="1"/>
  <c r="I553" i="46" s="1"/>
  <c r="G553" i="48" s="1"/>
  <c r="I553" i="48" s="1"/>
  <c r="I478" i="1"/>
  <c r="G479" i="28" s="1"/>
  <c r="I479" i="28" s="1"/>
  <c r="G482" i="29" s="1"/>
  <c r="I482" i="29" s="1"/>
  <c r="G491" i="30" s="1"/>
  <c r="I491" i="30" s="1"/>
  <c r="G502" i="32" s="1"/>
  <c r="I502" i="32" s="1"/>
  <c r="G502" i="34" s="1"/>
  <c r="I502" i="34" s="1"/>
  <c r="G515" i="36" s="1"/>
  <c r="I515" i="36" s="1"/>
  <c r="G526" i="38" s="1"/>
  <c r="I526" i="38" s="1"/>
  <c r="G530" i="40" s="1"/>
  <c r="I530" i="40" s="1"/>
  <c r="G535" i="3" s="1"/>
  <c r="I535" i="3" s="1"/>
  <c r="G549" i="44" s="1"/>
  <c r="I549" i="44" s="1"/>
  <c r="G551" i="46" s="1"/>
  <c r="I551" i="46" s="1"/>
  <c r="G551" i="48" s="1"/>
  <c r="I551" i="48" s="1"/>
  <c r="I477" i="1"/>
  <c r="G478" i="28" s="1"/>
  <c r="I478" i="28" s="1"/>
  <c r="G481" i="29" s="1"/>
  <c r="I481" i="29" s="1"/>
  <c r="G490" i="30" s="1"/>
  <c r="I490" i="30" s="1"/>
  <c r="G501" i="32" s="1"/>
  <c r="I501" i="32" s="1"/>
  <c r="G501" i="34" s="1"/>
  <c r="I501" i="34" s="1"/>
  <c r="G514" i="36" s="1"/>
  <c r="I514" i="36" s="1"/>
  <c r="G525" i="38" s="1"/>
  <c r="I525" i="38" s="1"/>
  <c r="G529" i="40" s="1"/>
  <c r="I529" i="40" s="1"/>
  <c r="G534" i="3" s="1"/>
  <c r="I534" i="3" s="1"/>
  <c r="G548" i="44" s="1"/>
  <c r="I548" i="44" s="1"/>
  <c r="G550" i="46" s="1"/>
  <c r="I550" i="46" s="1"/>
  <c r="G550" i="48" s="1"/>
  <c r="I550" i="48" s="1"/>
  <c r="I476" i="1"/>
  <c r="G477" i="28" s="1"/>
  <c r="I477" i="28" s="1"/>
  <c r="G480" i="29" s="1"/>
  <c r="I480" i="29" s="1"/>
  <c r="G489" i="30" s="1"/>
  <c r="I489" i="30" s="1"/>
  <c r="G500" i="32" s="1"/>
  <c r="I500" i="32" s="1"/>
  <c r="G500" i="34" s="1"/>
  <c r="I500" i="34" s="1"/>
  <c r="G513" i="36" s="1"/>
  <c r="I513" i="36" s="1"/>
  <c r="G524" i="38" s="1"/>
  <c r="I524" i="38" s="1"/>
  <c r="G528" i="40" s="1"/>
  <c r="I528" i="40" s="1"/>
  <c r="G533" i="3" s="1"/>
  <c r="I533" i="3" s="1"/>
  <c r="G547" i="44" s="1"/>
  <c r="I547" i="44" s="1"/>
  <c r="G549" i="46" s="1"/>
  <c r="I549" i="46" s="1"/>
  <c r="G549" i="48" s="1"/>
  <c r="I549" i="48" s="1"/>
  <c r="I475" i="1"/>
  <c r="G476" i="28" s="1"/>
  <c r="I476" i="28" s="1"/>
  <c r="G479" i="29" s="1"/>
  <c r="I479" i="29" s="1"/>
  <c r="G488" i="30" s="1"/>
  <c r="I488" i="30" s="1"/>
  <c r="G499" i="32" s="1"/>
  <c r="I499" i="32" s="1"/>
  <c r="G499" i="34" s="1"/>
  <c r="I499" i="34" s="1"/>
  <c r="G512" i="36" s="1"/>
  <c r="I512" i="36" s="1"/>
  <c r="G523" i="38" s="1"/>
  <c r="I523" i="38" s="1"/>
  <c r="G527" i="40" s="1"/>
  <c r="I527" i="40" s="1"/>
  <c r="G532" i="3" s="1"/>
  <c r="I532" i="3" s="1"/>
  <c r="G546" i="44" s="1"/>
  <c r="I546" i="44" s="1"/>
  <c r="G548" i="46" s="1"/>
  <c r="I548" i="46" s="1"/>
  <c r="G548" i="48" s="1"/>
  <c r="I548" i="48" s="1"/>
  <c r="I474" i="1"/>
  <c r="G475" i="28" s="1"/>
  <c r="I475" i="28" s="1"/>
  <c r="G478" i="29" s="1"/>
  <c r="I478" i="29" s="1"/>
  <c r="G487" i="30" s="1"/>
  <c r="I487" i="30" s="1"/>
  <c r="G498" i="32" s="1"/>
  <c r="I498" i="32" s="1"/>
  <c r="G498" i="34" s="1"/>
  <c r="I498" i="34" s="1"/>
  <c r="G511" i="36" s="1"/>
  <c r="I511" i="36" s="1"/>
  <c r="G522" i="38" s="1"/>
  <c r="I522" i="38" s="1"/>
  <c r="G526" i="40" s="1"/>
  <c r="I526" i="40" s="1"/>
  <c r="G531" i="3" s="1"/>
  <c r="I531" i="3" s="1"/>
  <c r="G545" i="44" s="1"/>
  <c r="I545" i="44" s="1"/>
  <c r="G547" i="46" s="1"/>
  <c r="I547" i="46" s="1"/>
  <c r="G547" i="48" s="1"/>
  <c r="I547" i="48" s="1"/>
  <c r="I472" i="1"/>
  <c r="G473" i="28" s="1"/>
  <c r="I473" i="28" s="1"/>
  <c r="G476" i="29" s="1"/>
  <c r="I476" i="29" s="1"/>
  <c r="G485" i="30" s="1"/>
  <c r="I485" i="30" s="1"/>
  <c r="G496" i="32" s="1"/>
  <c r="I496" i="32" s="1"/>
  <c r="G496" i="34" s="1"/>
  <c r="I496" i="34" s="1"/>
  <c r="G509" i="36" s="1"/>
  <c r="I509" i="36" s="1"/>
  <c r="G520" i="38" s="1"/>
  <c r="I520" i="38" s="1"/>
  <c r="G524" i="40" s="1"/>
  <c r="I524" i="40" s="1"/>
  <c r="G529" i="3" s="1"/>
  <c r="I529" i="3" s="1"/>
  <c r="G543" i="44" s="1"/>
  <c r="I543" i="44" s="1"/>
  <c r="G545" i="46" s="1"/>
  <c r="I545" i="46" s="1"/>
  <c r="G545" i="48" s="1"/>
  <c r="I545" i="48" s="1"/>
  <c r="I471" i="1"/>
  <c r="G472" i="28" s="1"/>
  <c r="I472" i="28" s="1"/>
  <c r="G475" i="29" s="1"/>
  <c r="I475" i="29" s="1"/>
  <c r="G484" i="30" s="1"/>
  <c r="I484" i="30" s="1"/>
  <c r="G495" i="32" s="1"/>
  <c r="I495" i="32" s="1"/>
  <c r="G495" i="34" s="1"/>
  <c r="I495" i="34" s="1"/>
  <c r="G508" i="36" s="1"/>
  <c r="I508" i="36" s="1"/>
  <c r="G519" i="38" s="1"/>
  <c r="I519" i="38" s="1"/>
  <c r="G523" i="40" s="1"/>
  <c r="I523" i="40" s="1"/>
  <c r="G528" i="3" s="1"/>
  <c r="I528" i="3" s="1"/>
  <c r="G542" i="44" s="1"/>
  <c r="I542" i="44" s="1"/>
  <c r="G544" i="46" s="1"/>
  <c r="I544" i="46" s="1"/>
  <c r="G544" i="48" s="1"/>
  <c r="I544" i="48" s="1"/>
  <c r="I470" i="1"/>
  <c r="G471" i="28" s="1"/>
  <c r="I471" i="28" s="1"/>
  <c r="G474" i="29" s="1"/>
  <c r="I474" i="29" s="1"/>
  <c r="G483" i="30" s="1"/>
  <c r="I483" i="30" s="1"/>
  <c r="G494" i="32" s="1"/>
  <c r="I494" i="32" s="1"/>
  <c r="G494" i="34" s="1"/>
  <c r="I494" i="34" s="1"/>
  <c r="G507" i="36" s="1"/>
  <c r="I507" i="36" s="1"/>
  <c r="G518" i="38" s="1"/>
  <c r="I518" i="38" s="1"/>
  <c r="G522" i="40" s="1"/>
  <c r="I522" i="40" s="1"/>
  <c r="G527" i="3" s="1"/>
  <c r="I527" i="3" s="1"/>
  <c r="G541" i="44" s="1"/>
  <c r="I541" i="44" s="1"/>
  <c r="G543" i="46" s="1"/>
  <c r="I543" i="46" s="1"/>
  <c r="G543" i="48" s="1"/>
  <c r="I543" i="48" s="1"/>
  <c r="I469" i="1"/>
  <c r="G470" i="28" s="1"/>
  <c r="I470" i="28" s="1"/>
  <c r="G473" i="29" s="1"/>
  <c r="I473" i="29" s="1"/>
  <c r="G482" i="30" s="1"/>
  <c r="I482" i="30" s="1"/>
  <c r="G493" i="32" s="1"/>
  <c r="I493" i="32" s="1"/>
  <c r="G493" i="34" s="1"/>
  <c r="I493" i="34" s="1"/>
  <c r="G506" i="36" s="1"/>
  <c r="I506" i="36" s="1"/>
  <c r="G517" i="38" s="1"/>
  <c r="I517" i="38" s="1"/>
  <c r="G521" i="40" s="1"/>
  <c r="I521" i="40" s="1"/>
  <c r="G526" i="3" s="1"/>
  <c r="I526" i="3" s="1"/>
  <c r="G540" i="44" s="1"/>
  <c r="I540" i="44" s="1"/>
  <c r="G542" i="46" s="1"/>
  <c r="I542" i="46" s="1"/>
  <c r="G542" i="48" s="1"/>
  <c r="I542" i="48" s="1"/>
  <c r="I468" i="1"/>
  <c r="G469" i="28" s="1"/>
  <c r="I469" i="28" s="1"/>
  <c r="G472" i="29" s="1"/>
  <c r="I472" i="29" s="1"/>
  <c r="G481" i="30" s="1"/>
  <c r="I481" i="30" s="1"/>
  <c r="G492" i="32" s="1"/>
  <c r="I492" i="32" s="1"/>
  <c r="G492" i="34" s="1"/>
  <c r="I492" i="34" s="1"/>
  <c r="G505" i="36" s="1"/>
  <c r="I505" i="36" s="1"/>
  <c r="G516" i="38" s="1"/>
  <c r="I516" i="38" s="1"/>
  <c r="G520" i="40" s="1"/>
  <c r="I520" i="40" s="1"/>
  <c r="G525" i="3" s="1"/>
  <c r="I525" i="3" s="1"/>
  <c r="G539" i="44" s="1"/>
  <c r="I539" i="44" s="1"/>
  <c r="G541" i="46" s="1"/>
  <c r="I541" i="46" s="1"/>
  <c r="G541" i="48" s="1"/>
  <c r="I541" i="48" s="1"/>
  <c r="I467" i="1"/>
  <c r="G468" i="28" s="1"/>
  <c r="I468" i="28" s="1"/>
  <c r="G471" i="29" s="1"/>
  <c r="I471" i="29" s="1"/>
  <c r="G480" i="30" s="1"/>
  <c r="I480" i="30" s="1"/>
  <c r="G491" i="32" s="1"/>
  <c r="I491" i="32" s="1"/>
  <c r="G491" i="34" s="1"/>
  <c r="I491" i="34" s="1"/>
  <c r="G504" i="36" s="1"/>
  <c r="I504" i="36" s="1"/>
  <c r="G515" i="38" s="1"/>
  <c r="I515" i="38" s="1"/>
  <c r="G519" i="40" s="1"/>
  <c r="I519" i="40" s="1"/>
  <c r="G524" i="3" s="1"/>
  <c r="I524" i="3" s="1"/>
  <c r="G538" i="44" s="1"/>
  <c r="I538" i="44" s="1"/>
  <c r="G540" i="46" s="1"/>
  <c r="I540" i="46" s="1"/>
  <c r="G540" i="48" s="1"/>
  <c r="I540" i="48" s="1"/>
  <c r="I466" i="1"/>
  <c r="G467" i="28" s="1"/>
  <c r="I467" i="28" s="1"/>
  <c r="G470" i="29" s="1"/>
  <c r="I470" i="29" s="1"/>
  <c r="G479" i="30" s="1"/>
  <c r="I479" i="30" s="1"/>
  <c r="G490" i="32" s="1"/>
  <c r="I490" i="32" s="1"/>
  <c r="G490" i="34" s="1"/>
  <c r="I490" i="34" s="1"/>
  <c r="G503" i="36" s="1"/>
  <c r="I503" i="36" s="1"/>
  <c r="G514" i="38" s="1"/>
  <c r="I514" i="38" s="1"/>
  <c r="G518" i="40" s="1"/>
  <c r="I518" i="40" s="1"/>
  <c r="G523" i="3" s="1"/>
  <c r="I523" i="3" s="1"/>
  <c r="G537" i="44" s="1"/>
  <c r="I537" i="44" s="1"/>
  <c r="G539" i="46" s="1"/>
  <c r="I539" i="46" s="1"/>
  <c r="G539" i="48" s="1"/>
  <c r="I539" i="48" s="1"/>
  <c r="G857" i="46" l="1"/>
  <c r="I857" i="46" s="1"/>
  <c r="I855" i="48"/>
  <c r="G857" i="48"/>
  <c r="I857" i="48" s="1"/>
  <c r="G897" i="46"/>
  <c r="G897" i="48"/>
  <c r="I897" i="48" s="1"/>
  <c r="C16" i="43"/>
  <c r="G16" i="43" s="1"/>
  <c r="I16" i="43" s="1"/>
  <c r="C16" i="42"/>
  <c r="G16" i="42" s="1"/>
  <c r="I16" i="42" s="1"/>
  <c r="G812" i="38"/>
  <c r="I812" i="38" s="1"/>
  <c r="G820" i="40"/>
  <c r="I820" i="40" s="1"/>
  <c r="C16" i="37"/>
  <c r="G16" i="37" s="1"/>
  <c r="I16" i="37" s="1"/>
  <c r="C16" i="39"/>
  <c r="G16" i="39" s="1"/>
  <c r="I16" i="39" s="1"/>
  <c r="C16" i="33"/>
  <c r="G16" i="33" s="1"/>
  <c r="I16" i="33" s="1"/>
  <c r="C16" i="35"/>
  <c r="G16" i="35" s="1"/>
  <c r="I16" i="35" s="1"/>
  <c r="I829" i="32"/>
  <c r="G829" i="34" s="1"/>
  <c r="C18" i="33"/>
  <c r="G18" i="33" s="1"/>
  <c r="I776" i="30"/>
  <c r="I790" i="32"/>
  <c r="G790" i="34" s="1"/>
  <c r="C17" i="33"/>
  <c r="G17" i="33" s="1"/>
  <c r="I17" i="33" s="1"/>
  <c r="C13" i="31"/>
  <c r="G13" i="31" s="1"/>
  <c r="I13" i="31" s="1"/>
  <c r="C14" i="31"/>
  <c r="G14" i="31" s="1"/>
  <c r="I14" i="31" s="1"/>
  <c r="I464" i="1"/>
  <c r="G465" i="28" s="1"/>
  <c r="I465" i="28" s="1"/>
  <c r="G468" i="29" s="1"/>
  <c r="I468" i="29" s="1"/>
  <c r="G477" i="30" s="1"/>
  <c r="I477" i="30" s="1"/>
  <c r="G488" i="32" s="1"/>
  <c r="I488" i="32" s="1"/>
  <c r="G488" i="34" s="1"/>
  <c r="I488" i="34" s="1"/>
  <c r="G501" i="36" s="1"/>
  <c r="I501" i="36" s="1"/>
  <c r="G512" i="38" s="1"/>
  <c r="I512" i="38" s="1"/>
  <c r="G516" i="40" s="1"/>
  <c r="I516" i="40" s="1"/>
  <c r="G521" i="3" s="1"/>
  <c r="I521" i="3" s="1"/>
  <c r="G535" i="44" s="1"/>
  <c r="I535" i="44" s="1"/>
  <c r="G537" i="46" s="1"/>
  <c r="I537" i="46" s="1"/>
  <c r="G537" i="48" s="1"/>
  <c r="I537" i="48" s="1"/>
  <c r="I463" i="1"/>
  <c r="G464" i="28" s="1"/>
  <c r="I464" i="28" s="1"/>
  <c r="G467" i="29" s="1"/>
  <c r="I467" i="29" s="1"/>
  <c r="G476" i="30" s="1"/>
  <c r="I476" i="30" s="1"/>
  <c r="G487" i="32" s="1"/>
  <c r="I487" i="32" s="1"/>
  <c r="G487" i="34" s="1"/>
  <c r="I487" i="34" s="1"/>
  <c r="G500" i="36" s="1"/>
  <c r="I500" i="36" s="1"/>
  <c r="G511" i="38" s="1"/>
  <c r="I511" i="38" s="1"/>
  <c r="G515" i="40" s="1"/>
  <c r="I515" i="40" s="1"/>
  <c r="G520" i="3" s="1"/>
  <c r="I520" i="3" s="1"/>
  <c r="G534" i="44" s="1"/>
  <c r="I534" i="44" s="1"/>
  <c r="G536" i="46" s="1"/>
  <c r="I536" i="46" s="1"/>
  <c r="G536" i="48" s="1"/>
  <c r="I536" i="48" s="1"/>
  <c r="I462" i="1"/>
  <c r="G463" i="28" s="1"/>
  <c r="I463" i="28" s="1"/>
  <c r="G466" i="29" s="1"/>
  <c r="I466" i="29" s="1"/>
  <c r="G475" i="30" s="1"/>
  <c r="I475" i="30" s="1"/>
  <c r="G486" i="32" s="1"/>
  <c r="I486" i="32" s="1"/>
  <c r="G486" i="34" s="1"/>
  <c r="I486" i="34" s="1"/>
  <c r="G499" i="36" s="1"/>
  <c r="I499" i="36" s="1"/>
  <c r="G510" i="38" s="1"/>
  <c r="I510" i="38" s="1"/>
  <c r="G514" i="40" s="1"/>
  <c r="I514" i="40" s="1"/>
  <c r="G519" i="3" s="1"/>
  <c r="I519" i="3" s="1"/>
  <c r="G533" i="44" s="1"/>
  <c r="I533" i="44" s="1"/>
  <c r="G535" i="46" s="1"/>
  <c r="I535" i="46" s="1"/>
  <c r="G535" i="48" s="1"/>
  <c r="I535" i="48" s="1"/>
  <c r="I461" i="1"/>
  <c r="G462" i="28" s="1"/>
  <c r="I462" i="28" s="1"/>
  <c r="G465" i="29" s="1"/>
  <c r="I465" i="29" s="1"/>
  <c r="G474" i="30" s="1"/>
  <c r="I474" i="30" s="1"/>
  <c r="G485" i="32" s="1"/>
  <c r="I485" i="32" s="1"/>
  <c r="G485" i="34" s="1"/>
  <c r="I485" i="34" s="1"/>
  <c r="G498" i="36" s="1"/>
  <c r="I498" i="36" s="1"/>
  <c r="G509" i="38" s="1"/>
  <c r="I509" i="38" s="1"/>
  <c r="G513" i="40" s="1"/>
  <c r="I513" i="40" s="1"/>
  <c r="G518" i="3" s="1"/>
  <c r="I518" i="3" s="1"/>
  <c r="G532" i="44" s="1"/>
  <c r="I532" i="44" s="1"/>
  <c r="G534" i="46" s="1"/>
  <c r="I534" i="46" s="1"/>
  <c r="G534" i="48" s="1"/>
  <c r="I534" i="48" s="1"/>
  <c r="I460" i="1"/>
  <c r="G461" i="28" s="1"/>
  <c r="I461" i="28" s="1"/>
  <c r="G464" i="29" s="1"/>
  <c r="I464" i="29" s="1"/>
  <c r="G473" i="30" s="1"/>
  <c r="I473" i="30" s="1"/>
  <c r="G484" i="32" s="1"/>
  <c r="I484" i="32" s="1"/>
  <c r="G484" i="34" s="1"/>
  <c r="I484" i="34" s="1"/>
  <c r="G497" i="36" s="1"/>
  <c r="I497" i="36" s="1"/>
  <c r="G508" i="38" s="1"/>
  <c r="I508" i="38" s="1"/>
  <c r="G512" i="40" s="1"/>
  <c r="I512" i="40" s="1"/>
  <c r="G517" i="3" s="1"/>
  <c r="I517" i="3" s="1"/>
  <c r="G531" i="44" s="1"/>
  <c r="I531" i="44" s="1"/>
  <c r="G533" i="46" s="1"/>
  <c r="I533" i="46" s="1"/>
  <c r="G533" i="48" s="1"/>
  <c r="I533" i="48" s="1"/>
  <c r="I458" i="1"/>
  <c r="G459" i="28" s="1"/>
  <c r="I459" i="28" s="1"/>
  <c r="G462" i="29" s="1"/>
  <c r="I462" i="29" s="1"/>
  <c r="G471" i="30" s="1"/>
  <c r="I471" i="30" s="1"/>
  <c r="G482" i="32" s="1"/>
  <c r="I482" i="32" s="1"/>
  <c r="G482" i="34" s="1"/>
  <c r="I482" i="34" s="1"/>
  <c r="G495" i="36" s="1"/>
  <c r="I495" i="36" s="1"/>
  <c r="G506" i="38" s="1"/>
  <c r="I506" i="38" s="1"/>
  <c r="G510" i="40" s="1"/>
  <c r="I510" i="40" s="1"/>
  <c r="G515" i="3" s="1"/>
  <c r="I515" i="3" s="1"/>
  <c r="G529" i="44" s="1"/>
  <c r="I529" i="44" s="1"/>
  <c r="G531" i="46" s="1"/>
  <c r="I531" i="46" s="1"/>
  <c r="G531" i="48" s="1"/>
  <c r="I531" i="48" s="1"/>
  <c r="I456" i="1"/>
  <c r="G457" i="28" s="1"/>
  <c r="I457" i="28" s="1"/>
  <c r="G460" i="29" s="1"/>
  <c r="I460" i="29" s="1"/>
  <c r="G469" i="30" s="1"/>
  <c r="I469" i="30" s="1"/>
  <c r="G480" i="32" s="1"/>
  <c r="I480" i="32" s="1"/>
  <c r="G480" i="34" s="1"/>
  <c r="I480" i="34" s="1"/>
  <c r="G493" i="36" s="1"/>
  <c r="I493" i="36" s="1"/>
  <c r="G504" i="38" s="1"/>
  <c r="I504" i="38" s="1"/>
  <c r="G508" i="40" s="1"/>
  <c r="I508" i="40" s="1"/>
  <c r="G513" i="3" s="1"/>
  <c r="I513" i="3" s="1"/>
  <c r="G527" i="44" s="1"/>
  <c r="I527" i="44" s="1"/>
  <c r="G529" i="46" s="1"/>
  <c r="I529" i="46" s="1"/>
  <c r="G529" i="48" s="1"/>
  <c r="I529" i="48" s="1"/>
  <c r="I455" i="1"/>
  <c r="G456" i="28" s="1"/>
  <c r="I456" i="28" s="1"/>
  <c r="G459" i="29" s="1"/>
  <c r="I459" i="29" s="1"/>
  <c r="G468" i="30" s="1"/>
  <c r="I468" i="30" s="1"/>
  <c r="G479" i="32" s="1"/>
  <c r="I479" i="32" s="1"/>
  <c r="G479" i="34" s="1"/>
  <c r="I479" i="34" s="1"/>
  <c r="G492" i="36" s="1"/>
  <c r="I492" i="36" s="1"/>
  <c r="G503" i="38" s="1"/>
  <c r="I503" i="38" s="1"/>
  <c r="G507" i="40" s="1"/>
  <c r="I507" i="40" s="1"/>
  <c r="G512" i="3" s="1"/>
  <c r="I512" i="3" s="1"/>
  <c r="G526" i="44" s="1"/>
  <c r="I526" i="44" s="1"/>
  <c r="G528" i="46" s="1"/>
  <c r="I528" i="46" s="1"/>
  <c r="G528" i="48" s="1"/>
  <c r="I528" i="48" s="1"/>
  <c r="I454" i="1"/>
  <c r="G455" i="28" s="1"/>
  <c r="I455" i="28" s="1"/>
  <c r="G458" i="29" s="1"/>
  <c r="I458" i="29" s="1"/>
  <c r="G467" i="30" s="1"/>
  <c r="I467" i="30" s="1"/>
  <c r="G478" i="32" s="1"/>
  <c r="I478" i="32" s="1"/>
  <c r="G478" i="34" s="1"/>
  <c r="I478" i="34" s="1"/>
  <c r="G491" i="36" s="1"/>
  <c r="I491" i="36" s="1"/>
  <c r="G502" i="38" s="1"/>
  <c r="I502" i="38" s="1"/>
  <c r="G506" i="40" s="1"/>
  <c r="I506" i="40" s="1"/>
  <c r="G511" i="3" s="1"/>
  <c r="I511" i="3" s="1"/>
  <c r="G525" i="44" s="1"/>
  <c r="I525" i="44" s="1"/>
  <c r="G527" i="46" s="1"/>
  <c r="I527" i="46" s="1"/>
  <c r="G527" i="48" s="1"/>
  <c r="I527" i="48" s="1"/>
  <c r="I453" i="1"/>
  <c r="G454" i="28" s="1"/>
  <c r="I454" i="28" s="1"/>
  <c r="G457" i="29" s="1"/>
  <c r="I457" i="29" s="1"/>
  <c r="G466" i="30" s="1"/>
  <c r="I466" i="30" s="1"/>
  <c r="G477" i="32" s="1"/>
  <c r="I477" i="32" s="1"/>
  <c r="G477" i="34" s="1"/>
  <c r="I477" i="34" s="1"/>
  <c r="G490" i="36" s="1"/>
  <c r="I490" i="36" s="1"/>
  <c r="G501" i="38" s="1"/>
  <c r="I501" i="38" s="1"/>
  <c r="G505" i="40" s="1"/>
  <c r="I505" i="40" s="1"/>
  <c r="G510" i="3" s="1"/>
  <c r="I510" i="3" s="1"/>
  <c r="G524" i="44" s="1"/>
  <c r="I524" i="44" s="1"/>
  <c r="G526" i="46" s="1"/>
  <c r="I526" i="46" s="1"/>
  <c r="G526" i="48" s="1"/>
  <c r="I526" i="48" s="1"/>
  <c r="I452" i="1"/>
  <c r="G453" i="28" s="1"/>
  <c r="I453" i="28" s="1"/>
  <c r="G456" i="29" s="1"/>
  <c r="I456" i="29" s="1"/>
  <c r="G465" i="30" s="1"/>
  <c r="I465" i="30" s="1"/>
  <c r="G476" i="32" s="1"/>
  <c r="I476" i="32" s="1"/>
  <c r="G476" i="34" s="1"/>
  <c r="I476" i="34" s="1"/>
  <c r="G489" i="36" s="1"/>
  <c r="I489" i="36" s="1"/>
  <c r="G500" i="38" s="1"/>
  <c r="I500" i="38" s="1"/>
  <c r="G504" i="40" s="1"/>
  <c r="I504" i="40" s="1"/>
  <c r="G509" i="3" s="1"/>
  <c r="I509" i="3" s="1"/>
  <c r="G523" i="44" s="1"/>
  <c r="I523" i="44" s="1"/>
  <c r="G525" i="46" s="1"/>
  <c r="I525" i="46" s="1"/>
  <c r="G525" i="48" s="1"/>
  <c r="I525" i="48" s="1"/>
  <c r="I451" i="1"/>
  <c r="G452" i="28" s="1"/>
  <c r="I452" i="28" s="1"/>
  <c r="G455" i="29" s="1"/>
  <c r="I455" i="29" s="1"/>
  <c r="G464" i="30" s="1"/>
  <c r="I464" i="30" s="1"/>
  <c r="G475" i="32" s="1"/>
  <c r="I475" i="32" s="1"/>
  <c r="G475" i="34" s="1"/>
  <c r="I475" i="34" s="1"/>
  <c r="G488" i="36" s="1"/>
  <c r="I488" i="36" s="1"/>
  <c r="G499" i="38" s="1"/>
  <c r="I499" i="38" s="1"/>
  <c r="G503" i="40" s="1"/>
  <c r="I503" i="40" s="1"/>
  <c r="G508" i="3" s="1"/>
  <c r="I508" i="3" s="1"/>
  <c r="G522" i="44" s="1"/>
  <c r="I522" i="44" s="1"/>
  <c r="G524" i="46" s="1"/>
  <c r="I524" i="46" s="1"/>
  <c r="G524" i="48" s="1"/>
  <c r="I524" i="48" s="1"/>
  <c r="I450" i="1"/>
  <c r="G451" i="28" s="1"/>
  <c r="I448" i="1"/>
  <c r="G449" i="28" s="1"/>
  <c r="I449" i="28" s="1"/>
  <c r="G452" i="29" s="1"/>
  <c r="I452" i="29" s="1"/>
  <c r="G461" i="30" s="1"/>
  <c r="I461" i="30" s="1"/>
  <c r="G472" i="32" s="1"/>
  <c r="I472" i="32" s="1"/>
  <c r="G472" i="34" s="1"/>
  <c r="I472" i="34" s="1"/>
  <c r="G485" i="36" s="1"/>
  <c r="I485" i="36" s="1"/>
  <c r="G496" i="38" s="1"/>
  <c r="I496" i="38" s="1"/>
  <c r="G500" i="40" s="1"/>
  <c r="I500" i="40" s="1"/>
  <c r="G505" i="3" s="1"/>
  <c r="I505" i="3" s="1"/>
  <c r="G519" i="44" s="1"/>
  <c r="I519" i="44" s="1"/>
  <c r="G521" i="46" s="1"/>
  <c r="I521" i="46" s="1"/>
  <c r="G521" i="48" s="1"/>
  <c r="I521" i="48" s="1"/>
  <c r="I447" i="1"/>
  <c r="G448" i="28" s="1"/>
  <c r="I448" i="28" s="1"/>
  <c r="G451" i="29" s="1"/>
  <c r="I451" i="29" s="1"/>
  <c r="G460" i="30" s="1"/>
  <c r="I460" i="30" s="1"/>
  <c r="G471" i="32" s="1"/>
  <c r="I471" i="32" s="1"/>
  <c r="G471" i="34" s="1"/>
  <c r="I471" i="34" s="1"/>
  <c r="G484" i="36" s="1"/>
  <c r="I484" i="36" s="1"/>
  <c r="G495" i="38" s="1"/>
  <c r="I495" i="38" s="1"/>
  <c r="G499" i="40" s="1"/>
  <c r="I499" i="40" s="1"/>
  <c r="G504" i="3" s="1"/>
  <c r="I504" i="3" s="1"/>
  <c r="G518" i="44" s="1"/>
  <c r="I518" i="44" s="1"/>
  <c r="G520" i="46" s="1"/>
  <c r="I520" i="46" s="1"/>
  <c r="G520" i="48" s="1"/>
  <c r="I520" i="48" s="1"/>
  <c r="I446" i="1"/>
  <c r="G447" i="28" s="1"/>
  <c r="I447" i="28" s="1"/>
  <c r="G450" i="29" s="1"/>
  <c r="I450" i="29" s="1"/>
  <c r="G459" i="30" s="1"/>
  <c r="I459" i="30" s="1"/>
  <c r="G470" i="32" s="1"/>
  <c r="I470" i="32" s="1"/>
  <c r="G470" i="34" s="1"/>
  <c r="I470" i="34" s="1"/>
  <c r="G483" i="36" s="1"/>
  <c r="I483" i="36" s="1"/>
  <c r="G494" i="38" s="1"/>
  <c r="I494" i="38" s="1"/>
  <c r="G498" i="40" s="1"/>
  <c r="I498" i="40" s="1"/>
  <c r="G503" i="3" s="1"/>
  <c r="I503" i="3" s="1"/>
  <c r="G517" i="44" s="1"/>
  <c r="I517" i="44" s="1"/>
  <c r="G519" i="46" s="1"/>
  <c r="I519" i="46" s="1"/>
  <c r="G519" i="48" s="1"/>
  <c r="I519" i="48" s="1"/>
  <c r="I445" i="1"/>
  <c r="G446" i="28" s="1"/>
  <c r="I446" i="28" s="1"/>
  <c r="G449" i="29" s="1"/>
  <c r="I449" i="29" s="1"/>
  <c r="G458" i="30" s="1"/>
  <c r="I458" i="30" s="1"/>
  <c r="G469" i="32" s="1"/>
  <c r="I469" i="32" s="1"/>
  <c r="G469" i="34" s="1"/>
  <c r="I469" i="34" s="1"/>
  <c r="G482" i="36" s="1"/>
  <c r="I482" i="36" s="1"/>
  <c r="G493" i="38" s="1"/>
  <c r="I493" i="38" s="1"/>
  <c r="G497" i="40" s="1"/>
  <c r="I497" i="40" s="1"/>
  <c r="G502" i="3" s="1"/>
  <c r="I502" i="3" s="1"/>
  <c r="G516" i="44" s="1"/>
  <c r="I516" i="44" s="1"/>
  <c r="G518" i="46" s="1"/>
  <c r="I518" i="46" s="1"/>
  <c r="G518" i="48" s="1"/>
  <c r="I518" i="48" s="1"/>
  <c r="I444" i="1"/>
  <c r="G445" i="28" s="1"/>
  <c r="I445" i="28" s="1"/>
  <c r="G448" i="29" s="1"/>
  <c r="I448" i="29" s="1"/>
  <c r="G457" i="30" s="1"/>
  <c r="I457" i="30" s="1"/>
  <c r="G468" i="32" s="1"/>
  <c r="I468" i="32" s="1"/>
  <c r="G468" i="34" s="1"/>
  <c r="I468" i="34" s="1"/>
  <c r="G481" i="36" s="1"/>
  <c r="I481" i="36" s="1"/>
  <c r="G492" i="38" s="1"/>
  <c r="I492" i="38" s="1"/>
  <c r="G496" i="40" s="1"/>
  <c r="I496" i="40" s="1"/>
  <c r="G501" i="3" s="1"/>
  <c r="I501" i="3" s="1"/>
  <c r="G515" i="44" s="1"/>
  <c r="I515" i="44" s="1"/>
  <c r="G517" i="46" s="1"/>
  <c r="I517" i="46" s="1"/>
  <c r="G517" i="48" s="1"/>
  <c r="I517" i="48" s="1"/>
  <c r="I443" i="1"/>
  <c r="G444" i="28" s="1"/>
  <c r="I444" i="28" s="1"/>
  <c r="G447" i="29" s="1"/>
  <c r="I447" i="29" s="1"/>
  <c r="G456" i="30" s="1"/>
  <c r="I456" i="30" s="1"/>
  <c r="G467" i="32" s="1"/>
  <c r="I467" i="32" s="1"/>
  <c r="G467" i="34" s="1"/>
  <c r="I467" i="34" s="1"/>
  <c r="G480" i="36" s="1"/>
  <c r="I480" i="36" s="1"/>
  <c r="G491" i="38" s="1"/>
  <c r="I491" i="38" s="1"/>
  <c r="G495" i="40" s="1"/>
  <c r="I495" i="40" s="1"/>
  <c r="G500" i="3" s="1"/>
  <c r="I500" i="3" s="1"/>
  <c r="G514" i="44" s="1"/>
  <c r="I514" i="44" s="1"/>
  <c r="G516" i="46" s="1"/>
  <c r="I516" i="46" s="1"/>
  <c r="G516" i="48" s="1"/>
  <c r="I516" i="48" s="1"/>
  <c r="I442" i="1"/>
  <c r="G443" i="28" s="1"/>
  <c r="I443" i="28" s="1"/>
  <c r="G446" i="29" s="1"/>
  <c r="I446" i="29" s="1"/>
  <c r="G455" i="30" s="1"/>
  <c r="I455" i="30" s="1"/>
  <c r="G466" i="32" s="1"/>
  <c r="I466" i="32" s="1"/>
  <c r="G466" i="34" s="1"/>
  <c r="I466" i="34" s="1"/>
  <c r="G479" i="36" s="1"/>
  <c r="I479" i="36" s="1"/>
  <c r="G490" i="38" s="1"/>
  <c r="I490" i="38" s="1"/>
  <c r="G494" i="40" s="1"/>
  <c r="I494" i="40" s="1"/>
  <c r="G499" i="3" s="1"/>
  <c r="I499" i="3" s="1"/>
  <c r="G513" i="44" s="1"/>
  <c r="I513" i="44" s="1"/>
  <c r="G515" i="46" s="1"/>
  <c r="I515" i="46" s="1"/>
  <c r="G515" i="48" s="1"/>
  <c r="I515" i="48" s="1"/>
  <c r="I897" i="46" l="1"/>
  <c r="C18" i="47"/>
  <c r="G18" i="47" s="1"/>
  <c r="I18" i="47" s="1"/>
  <c r="G854" i="46"/>
  <c r="I854" i="46" s="1"/>
  <c r="G854" i="48"/>
  <c r="I854" i="48" s="1"/>
  <c r="G828" i="3"/>
  <c r="I828" i="3" s="1"/>
  <c r="G852" i="44"/>
  <c r="I852" i="44" s="1"/>
  <c r="I790" i="34"/>
  <c r="G803" i="36" s="1"/>
  <c r="C17" i="35"/>
  <c r="G17" i="35" s="1"/>
  <c r="I17" i="35" s="1"/>
  <c r="I18" i="33"/>
  <c r="I19" i="33" s="1"/>
  <c r="G19" i="33"/>
  <c r="I829" i="34"/>
  <c r="C18" i="35"/>
  <c r="G18" i="35" s="1"/>
  <c r="I18" i="35" s="1"/>
  <c r="I451" i="28"/>
  <c r="G454" i="29" s="1"/>
  <c r="I454" i="29" s="1"/>
  <c r="G463" i="30" s="1"/>
  <c r="I463" i="30" s="1"/>
  <c r="G474" i="32" s="1"/>
  <c r="I474" i="32" s="1"/>
  <c r="G474" i="34" s="1"/>
  <c r="I474" i="34" s="1"/>
  <c r="G487" i="36" s="1"/>
  <c r="I487" i="36" s="1"/>
  <c r="G498" i="38" s="1"/>
  <c r="I498" i="38" s="1"/>
  <c r="G502" i="40" s="1"/>
  <c r="I502" i="40" s="1"/>
  <c r="G507" i="3" s="1"/>
  <c r="I507" i="3" s="1"/>
  <c r="G521" i="44" s="1"/>
  <c r="I521" i="44" s="1"/>
  <c r="G523" i="46" s="1"/>
  <c r="I523" i="46" s="1"/>
  <c r="G523" i="48" s="1"/>
  <c r="I523" i="48" s="1"/>
  <c r="I440" i="1"/>
  <c r="G441" i="28" s="1"/>
  <c r="I441" i="28" s="1"/>
  <c r="G444" i="29" s="1"/>
  <c r="I444" i="29" s="1"/>
  <c r="G453" i="30" s="1"/>
  <c r="I453" i="30" s="1"/>
  <c r="G464" i="32" s="1"/>
  <c r="I464" i="32" s="1"/>
  <c r="G464" i="34" s="1"/>
  <c r="I464" i="34" s="1"/>
  <c r="G477" i="36" s="1"/>
  <c r="I477" i="36" s="1"/>
  <c r="G488" i="38" s="1"/>
  <c r="I488" i="38" s="1"/>
  <c r="G492" i="40" s="1"/>
  <c r="I492" i="40" s="1"/>
  <c r="G497" i="3" s="1"/>
  <c r="I497" i="3" s="1"/>
  <c r="G511" i="44" s="1"/>
  <c r="I511" i="44" s="1"/>
  <c r="G513" i="46" s="1"/>
  <c r="I513" i="46" s="1"/>
  <c r="G513" i="48" s="1"/>
  <c r="I513" i="48" s="1"/>
  <c r="I439" i="1"/>
  <c r="G440" i="28" s="1"/>
  <c r="I440" i="28" s="1"/>
  <c r="G443" i="29" s="1"/>
  <c r="I443" i="29" s="1"/>
  <c r="G452" i="30" s="1"/>
  <c r="I452" i="30" s="1"/>
  <c r="G463" i="32" s="1"/>
  <c r="I463" i="32" s="1"/>
  <c r="G463" i="34" s="1"/>
  <c r="I463" i="34" s="1"/>
  <c r="G476" i="36" s="1"/>
  <c r="I476" i="36" s="1"/>
  <c r="G487" i="38" s="1"/>
  <c r="I487" i="38" s="1"/>
  <c r="G491" i="40" s="1"/>
  <c r="I491" i="40" s="1"/>
  <c r="G496" i="3" s="1"/>
  <c r="I496" i="3" s="1"/>
  <c r="G510" i="44" s="1"/>
  <c r="I510" i="44" s="1"/>
  <c r="G512" i="46" s="1"/>
  <c r="I512" i="46" s="1"/>
  <c r="G512" i="48" s="1"/>
  <c r="I512" i="48" s="1"/>
  <c r="I438" i="1"/>
  <c r="G439" i="28" s="1"/>
  <c r="I439" i="28" s="1"/>
  <c r="G442" i="29" s="1"/>
  <c r="I442" i="29" s="1"/>
  <c r="G450" i="30" s="1"/>
  <c r="I450" i="30" s="1"/>
  <c r="G461" i="32" s="1"/>
  <c r="I461" i="32" s="1"/>
  <c r="G461" i="34" s="1"/>
  <c r="I461" i="34" s="1"/>
  <c r="G474" i="36" s="1"/>
  <c r="I474" i="36" s="1"/>
  <c r="G485" i="38" s="1"/>
  <c r="I485" i="38" s="1"/>
  <c r="G489" i="40" s="1"/>
  <c r="I489" i="40" s="1"/>
  <c r="G494" i="3" s="1"/>
  <c r="I494" i="3" s="1"/>
  <c r="G508" i="44" s="1"/>
  <c r="I508" i="44" s="1"/>
  <c r="G510" i="46" s="1"/>
  <c r="I510" i="46" s="1"/>
  <c r="G510" i="48" s="1"/>
  <c r="I510" i="48" s="1"/>
  <c r="I437" i="1"/>
  <c r="G438" i="28" s="1"/>
  <c r="I438" i="28" s="1"/>
  <c r="G441" i="29" s="1"/>
  <c r="I441" i="29" s="1"/>
  <c r="G449" i="30" s="1"/>
  <c r="I449" i="30" s="1"/>
  <c r="G460" i="32" s="1"/>
  <c r="I460" i="32" s="1"/>
  <c r="G460" i="34" s="1"/>
  <c r="I460" i="34" s="1"/>
  <c r="G473" i="36" s="1"/>
  <c r="I473" i="36" s="1"/>
  <c r="G484" i="38" s="1"/>
  <c r="I484" i="38" s="1"/>
  <c r="G488" i="40" s="1"/>
  <c r="I488" i="40" s="1"/>
  <c r="G493" i="3" s="1"/>
  <c r="I493" i="3" s="1"/>
  <c r="G507" i="44" s="1"/>
  <c r="I507" i="44" s="1"/>
  <c r="G509" i="46" s="1"/>
  <c r="I509" i="46" s="1"/>
  <c r="G509" i="48" s="1"/>
  <c r="I509" i="48" s="1"/>
  <c r="I436" i="1"/>
  <c r="G437" i="28" s="1"/>
  <c r="I437" i="28" s="1"/>
  <c r="G440" i="29" s="1"/>
  <c r="I440" i="29" s="1"/>
  <c r="G448" i="30" s="1"/>
  <c r="I448" i="30" s="1"/>
  <c r="G459" i="32" s="1"/>
  <c r="I459" i="32" s="1"/>
  <c r="G459" i="34" s="1"/>
  <c r="I459" i="34" s="1"/>
  <c r="G472" i="36" s="1"/>
  <c r="I472" i="36" s="1"/>
  <c r="G483" i="38" s="1"/>
  <c r="I483" i="38" s="1"/>
  <c r="G487" i="40" s="1"/>
  <c r="I487" i="40" s="1"/>
  <c r="G492" i="3" s="1"/>
  <c r="I492" i="3" s="1"/>
  <c r="G506" i="44" s="1"/>
  <c r="I506" i="44" s="1"/>
  <c r="G508" i="46" s="1"/>
  <c r="I508" i="46" s="1"/>
  <c r="G508" i="48" s="1"/>
  <c r="I508" i="48" s="1"/>
  <c r="I435" i="1"/>
  <c r="G436" i="28" s="1"/>
  <c r="I436" i="28" s="1"/>
  <c r="G439" i="29" s="1"/>
  <c r="I439" i="29" s="1"/>
  <c r="G447" i="30" s="1"/>
  <c r="I447" i="30" s="1"/>
  <c r="G458" i="32" s="1"/>
  <c r="I458" i="32" s="1"/>
  <c r="G458" i="34" s="1"/>
  <c r="I458" i="34" s="1"/>
  <c r="G471" i="36" s="1"/>
  <c r="I471" i="36" s="1"/>
  <c r="G482" i="38" s="1"/>
  <c r="I482" i="38" s="1"/>
  <c r="G486" i="40" s="1"/>
  <c r="I486" i="40" s="1"/>
  <c r="G491" i="3" s="1"/>
  <c r="I491" i="3" s="1"/>
  <c r="G505" i="44" s="1"/>
  <c r="I505" i="44" s="1"/>
  <c r="G507" i="46" s="1"/>
  <c r="I507" i="46" s="1"/>
  <c r="G507" i="48" s="1"/>
  <c r="I507" i="48" s="1"/>
  <c r="I434" i="1"/>
  <c r="G435" i="28" s="1"/>
  <c r="I435" i="28" s="1"/>
  <c r="G438" i="29" s="1"/>
  <c r="I438" i="29" s="1"/>
  <c r="G446" i="30" s="1"/>
  <c r="I446" i="30" s="1"/>
  <c r="G457" i="32" s="1"/>
  <c r="I457" i="32" s="1"/>
  <c r="G457" i="34" s="1"/>
  <c r="I457" i="34" s="1"/>
  <c r="G470" i="36" s="1"/>
  <c r="I470" i="36" s="1"/>
  <c r="G481" i="38" s="1"/>
  <c r="I481" i="38" s="1"/>
  <c r="G485" i="40" s="1"/>
  <c r="I485" i="40" s="1"/>
  <c r="G490" i="3" s="1"/>
  <c r="I490" i="3" s="1"/>
  <c r="G504" i="44" s="1"/>
  <c r="I504" i="44" s="1"/>
  <c r="G506" i="46" s="1"/>
  <c r="I506" i="46" s="1"/>
  <c r="G506" i="48" s="1"/>
  <c r="I506" i="48" s="1"/>
  <c r="I433" i="1"/>
  <c r="G434" i="28" s="1"/>
  <c r="I434" i="28" s="1"/>
  <c r="G437" i="29" s="1"/>
  <c r="I437" i="29" s="1"/>
  <c r="G445" i="30" s="1"/>
  <c r="I445" i="30" s="1"/>
  <c r="G456" i="32" s="1"/>
  <c r="I456" i="32" s="1"/>
  <c r="G456" i="34" s="1"/>
  <c r="I456" i="34" s="1"/>
  <c r="G469" i="36" s="1"/>
  <c r="I469" i="36" s="1"/>
  <c r="G480" i="38" s="1"/>
  <c r="I480" i="38" s="1"/>
  <c r="G484" i="40" s="1"/>
  <c r="I484" i="40" s="1"/>
  <c r="G489" i="3" s="1"/>
  <c r="I489" i="3" s="1"/>
  <c r="G503" i="44" s="1"/>
  <c r="I503" i="44" s="1"/>
  <c r="G505" i="46" s="1"/>
  <c r="I505" i="46" s="1"/>
  <c r="G505" i="48" s="1"/>
  <c r="I505" i="48" s="1"/>
  <c r="I432" i="1"/>
  <c r="G433" i="28" s="1"/>
  <c r="I433" i="28" s="1"/>
  <c r="G436" i="29" s="1"/>
  <c r="I436" i="29" s="1"/>
  <c r="G444" i="30" s="1"/>
  <c r="I444" i="30" s="1"/>
  <c r="G455" i="32" s="1"/>
  <c r="I455" i="32" s="1"/>
  <c r="G455" i="34" s="1"/>
  <c r="I455" i="34" s="1"/>
  <c r="G468" i="36" s="1"/>
  <c r="I468" i="36" s="1"/>
  <c r="G479" i="38" s="1"/>
  <c r="I479" i="38" s="1"/>
  <c r="G483" i="40" s="1"/>
  <c r="I483" i="40" s="1"/>
  <c r="G488" i="3" s="1"/>
  <c r="I488" i="3" s="1"/>
  <c r="G502" i="44" s="1"/>
  <c r="I502" i="44" s="1"/>
  <c r="G504" i="46" s="1"/>
  <c r="I504" i="46" s="1"/>
  <c r="G504" i="48" s="1"/>
  <c r="I504" i="48" s="1"/>
  <c r="I430" i="1"/>
  <c r="G431" i="28" s="1"/>
  <c r="I431" i="28" s="1"/>
  <c r="G434" i="29" s="1"/>
  <c r="I434" i="29" s="1"/>
  <c r="G442" i="30" s="1"/>
  <c r="I442" i="30" s="1"/>
  <c r="G453" i="32" s="1"/>
  <c r="I453" i="32" s="1"/>
  <c r="G453" i="34" s="1"/>
  <c r="I453" i="34" s="1"/>
  <c r="G466" i="36" s="1"/>
  <c r="I466" i="36" s="1"/>
  <c r="G477" i="38" s="1"/>
  <c r="I477" i="38" s="1"/>
  <c r="G481" i="40" s="1"/>
  <c r="I481" i="40" s="1"/>
  <c r="G486" i="3" s="1"/>
  <c r="I486" i="3" s="1"/>
  <c r="G500" i="44" s="1"/>
  <c r="I500" i="44" s="1"/>
  <c r="G502" i="46" s="1"/>
  <c r="I502" i="46" s="1"/>
  <c r="G502" i="48" s="1"/>
  <c r="I502" i="48" s="1"/>
  <c r="I429" i="1"/>
  <c r="G430" i="28" s="1"/>
  <c r="I430" i="28" s="1"/>
  <c r="G433" i="29" s="1"/>
  <c r="I433" i="29" s="1"/>
  <c r="G441" i="30" s="1"/>
  <c r="I441" i="30" s="1"/>
  <c r="G452" i="32" s="1"/>
  <c r="I452" i="32" s="1"/>
  <c r="G452" i="34" s="1"/>
  <c r="I452" i="34" s="1"/>
  <c r="G465" i="36" s="1"/>
  <c r="I465" i="36" s="1"/>
  <c r="G476" i="38" s="1"/>
  <c r="I476" i="38" s="1"/>
  <c r="G480" i="40" s="1"/>
  <c r="I480" i="40" s="1"/>
  <c r="G485" i="3" s="1"/>
  <c r="I485" i="3" s="1"/>
  <c r="G499" i="44" s="1"/>
  <c r="I499" i="44" s="1"/>
  <c r="G501" i="46" s="1"/>
  <c r="I501" i="46" s="1"/>
  <c r="G501" i="48" s="1"/>
  <c r="I501" i="48" s="1"/>
  <c r="I428" i="1"/>
  <c r="G429" i="28" s="1"/>
  <c r="I429" i="28" s="1"/>
  <c r="G432" i="29" s="1"/>
  <c r="I432" i="29" s="1"/>
  <c r="G440" i="30" s="1"/>
  <c r="I440" i="30" s="1"/>
  <c r="G451" i="32" s="1"/>
  <c r="I451" i="32" s="1"/>
  <c r="G451" i="34" s="1"/>
  <c r="I451" i="34" s="1"/>
  <c r="G464" i="36" s="1"/>
  <c r="I464" i="36" s="1"/>
  <c r="G475" i="38" s="1"/>
  <c r="I475" i="38" s="1"/>
  <c r="G479" i="40" s="1"/>
  <c r="I479" i="40" s="1"/>
  <c r="G484" i="3" s="1"/>
  <c r="I484" i="3" s="1"/>
  <c r="G498" i="44" s="1"/>
  <c r="I498" i="44" s="1"/>
  <c r="G500" i="46" s="1"/>
  <c r="I500" i="46" s="1"/>
  <c r="G500" i="48" s="1"/>
  <c r="I500" i="48" s="1"/>
  <c r="I427" i="1"/>
  <c r="G428" i="28" s="1"/>
  <c r="I428" i="28" s="1"/>
  <c r="G431" i="29" s="1"/>
  <c r="I431" i="29" s="1"/>
  <c r="G439" i="30" s="1"/>
  <c r="I439" i="30" s="1"/>
  <c r="G450" i="32" s="1"/>
  <c r="I450" i="32" s="1"/>
  <c r="G450" i="34" s="1"/>
  <c r="I450" i="34" s="1"/>
  <c r="G463" i="36" s="1"/>
  <c r="I463" i="36" s="1"/>
  <c r="G474" i="38" s="1"/>
  <c r="I474" i="38" s="1"/>
  <c r="G478" i="40" s="1"/>
  <c r="I478" i="40" s="1"/>
  <c r="G483" i="3" s="1"/>
  <c r="I483" i="3" s="1"/>
  <c r="G497" i="44" s="1"/>
  <c r="I497" i="44" s="1"/>
  <c r="G499" i="46" s="1"/>
  <c r="I499" i="46" s="1"/>
  <c r="G499" i="48" s="1"/>
  <c r="I499" i="48" s="1"/>
  <c r="I426" i="1"/>
  <c r="G427" i="28" s="1"/>
  <c r="I427" i="28" s="1"/>
  <c r="G430" i="29" s="1"/>
  <c r="I430" i="29" s="1"/>
  <c r="G438" i="30" s="1"/>
  <c r="I438" i="30" s="1"/>
  <c r="G449" i="32" s="1"/>
  <c r="I449" i="32" s="1"/>
  <c r="G449" i="34" s="1"/>
  <c r="I449" i="34" s="1"/>
  <c r="G462" i="36" s="1"/>
  <c r="I462" i="36" s="1"/>
  <c r="G473" i="38" s="1"/>
  <c r="I473" i="38" s="1"/>
  <c r="G477" i="40" s="1"/>
  <c r="I477" i="40" s="1"/>
  <c r="G482" i="3" s="1"/>
  <c r="I482" i="3" s="1"/>
  <c r="G496" i="44" s="1"/>
  <c r="I496" i="44" s="1"/>
  <c r="G498" i="46" s="1"/>
  <c r="I498" i="46" s="1"/>
  <c r="G498" i="48" s="1"/>
  <c r="I498" i="48" s="1"/>
  <c r="I424" i="1"/>
  <c r="G425" i="28" s="1"/>
  <c r="I425" i="28" s="1"/>
  <c r="G428" i="29" s="1"/>
  <c r="I428" i="29" s="1"/>
  <c r="G436" i="30" s="1"/>
  <c r="I436" i="30" s="1"/>
  <c r="G447" i="32" s="1"/>
  <c r="I447" i="32" s="1"/>
  <c r="G447" i="34" s="1"/>
  <c r="I447" i="34" s="1"/>
  <c r="G460" i="36" s="1"/>
  <c r="I460" i="36" s="1"/>
  <c r="G471" i="38" s="1"/>
  <c r="I471" i="38" s="1"/>
  <c r="G475" i="40" s="1"/>
  <c r="I475" i="40" s="1"/>
  <c r="G480" i="3" s="1"/>
  <c r="I480" i="3" s="1"/>
  <c r="G494" i="44" s="1"/>
  <c r="I494" i="44" s="1"/>
  <c r="G496" i="46" s="1"/>
  <c r="I496" i="46" s="1"/>
  <c r="G496" i="48" s="1"/>
  <c r="I496" i="48" s="1"/>
  <c r="I423" i="1"/>
  <c r="G424" i="28" s="1"/>
  <c r="I424" i="28" s="1"/>
  <c r="G427" i="29" s="1"/>
  <c r="I427" i="29" s="1"/>
  <c r="G435" i="30" s="1"/>
  <c r="I435" i="30" s="1"/>
  <c r="G446" i="32" s="1"/>
  <c r="I446" i="32" s="1"/>
  <c r="G446" i="34" s="1"/>
  <c r="I446" i="34" s="1"/>
  <c r="G459" i="36" s="1"/>
  <c r="I459" i="36" s="1"/>
  <c r="G470" i="38" s="1"/>
  <c r="I470" i="38" s="1"/>
  <c r="G474" i="40" s="1"/>
  <c r="I474" i="40" s="1"/>
  <c r="G479" i="3" s="1"/>
  <c r="I479" i="3" s="1"/>
  <c r="G493" i="44" s="1"/>
  <c r="I493" i="44" s="1"/>
  <c r="G495" i="46" s="1"/>
  <c r="I495" i="46" s="1"/>
  <c r="G495" i="48" s="1"/>
  <c r="I495" i="48" s="1"/>
  <c r="I422" i="1"/>
  <c r="G423" i="28" s="1"/>
  <c r="I423" i="28" s="1"/>
  <c r="G426" i="29" s="1"/>
  <c r="I426" i="29" s="1"/>
  <c r="G434" i="30" s="1"/>
  <c r="I434" i="30" s="1"/>
  <c r="G445" i="32" s="1"/>
  <c r="I445" i="32" s="1"/>
  <c r="G445" i="34" s="1"/>
  <c r="I445" i="34" s="1"/>
  <c r="G458" i="36" s="1"/>
  <c r="I458" i="36" s="1"/>
  <c r="G469" i="38" s="1"/>
  <c r="I469" i="38" s="1"/>
  <c r="G473" i="40" s="1"/>
  <c r="I473" i="40" s="1"/>
  <c r="G478" i="3" s="1"/>
  <c r="I478" i="3" s="1"/>
  <c r="G492" i="44" s="1"/>
  <c r="I492" i="44" s="1"/>
  <c r="G494" i="46" s="1"/>
  <c r="I494" i="46" s="1"/>
  <c r="G494" i="48" s="1"/>
  <c r="I494" i="48" s="1"/>
  <c r="I421" i="1"/>
  <c r="G422" i="28" s="1"/>
  <c r="I422" i="28" s="1"/>
  <c r="G425" i="29" s="1"/>
  <c r="I425" i="29" s="1"/>
  <c r="G433" i="30" s="1"/>
  <c r="I433" i="30" s="1"/>
  <c r="G444" i="32" s="1"/>
  <c r="I444" i="32" s="1"/>
  <c r="G444" i="34" s="1"/>
  <c r="I444" i="34" s="1"/>
  <c r="G457" i="36" s="1"/>
  <c r="I457" i="36" s="1"/>
  <c r="G468" i="38" s="1"/>
  <c r="I468" i="38" s="1"/>
  <c r="G472" i="40" s="1"/>
  <c r="I472" i="40" s="1"/>
  <c r="G477" i="3" s="1"/>
  <c r="I477" i="3" s="1"/>
  <c r="G491" i="44" s="1"/>
  <c r="I491" i="44" s="1"/>
  <c r="G493" i="46" s="1"/>
  <c r="I493" i="46" s="1"/>
  <c r="G493" i="48" s="1"/>
  <c r="I493" i="48" s="1"/>
  <c r="I419" i="1"/>
  <c r="G420" i="28" s="1"/>
  <c r="I420" i="28" s="1"/>
  <c r="G423" i="29" s="1"/>
  <c r="I423" i="29" s="1"/>
  <c r="G431" i="30" s="1"/>
  <c r="I431" i="30" s="1"/>
  <c r="G442" i="32" s="1"/>
  <c r="I442" i="32" s="1"/>
  <c r="G442" i="34" s="1"/>
  <c r="I442" i="34" s="1"/>
  <c r="G455" i="36" s="1"/>
  <c r="I455" i="36" s="1"/>
  <c r="G466" i="38" s="1"/>
  <c r="I466" i="38" s="1"/>
  <c r="G470" i="40" s="1"/>
  <c r="I470" i="40" s="1"/>
  <c r="G475" i="3" s="1"/>
  <c r="I475" i="3" s="1"/>
  <c r="G489" i="44" s="1"/>
  <c r="I489" i="44" s="1"/>
  <c r="G491" i="46" s="1"/>
  <c r="I491" i="46" s="1"/>
  <c r="G491" i="48" s="1"/>
  <c r="I491" i="48" s="1"/>
  <c r="I417" i="1"/>
  <c r="G418" i="28" s="1"/>
  <c r="I418" i="28" s="1"/>
  <c r="G421" i="29" s="1"/>
  <c r="I421" i="29" s="1"/>
  <c r="G429" i="30" s="1"/>
  <c r="I429" i="30" s="1"/>
  <c r="G440" i="32" s="1"/>
  <c r="I440" i="32" s="1"/>
  <c r="G440" i="34" s="1"/>
  <c r="I440" i="34" s="1"/>
  <c r="G453" i="36" s="1"/>
  <c r="I453" i="36" s="1"/>
  <c r="G464" i="38" s="1"/>
  <c r="I464" i="38" s="1"/>
  <c r="G468" i="40" s="1"/>
  <c r="I468" i="40" s="1"/>
  <c r="G473" i="3" s="1"/>
  <c r="I473" i="3" s="1"/>
  <c r="G487" i="44" s="1"/>
  <c r="I487" i="44" s="1"/>
  <c r="G489" i="46" s="1"/>
  <c r="I489" i="46" s="1"/>
  <c r="G489" i="48" s="1"/>
  <c r="I489" i="48" s="1"/>
  <c r="I416" i="1"/>
  <c r="G417" i="28" s="1"/>
  <c r="I417" i="28" s="1"/>
  <c r="G420" i="29" s="1"/>
  <c r="I420" i="29" s="1"/>
  <c r="G428" i="30" s="1"/>
  <c r="I428" i="30" s="1"/>
  <c r="G439" i="32" s="1"/>
  <c r="I439" i="32" s="1"/>
  <c r="G439" i="34" s="1"/>
  <c r="I439" i="34" s="1"/>
  <c r="G452" i="36" s="1"/>
  <c r="I452" i="36" s="1"/>
  <c r="G463" i="38" s="1"/>
  <c r="I463" i="38" s="1"/>
  <c r="G467" i="40" s="1"/>
  <c r="I467" i="40" s="1"/>
  <c r="G472" i="3" s="1"/>
  <c r="I472" i="3" s="1"/>
  <c r="G486" i="44" s="1"/>
  <c r="I486" i="44" s="1"/>
  <c r="G488" i="46" s="1"/>
  <c r="I488" i="46" s="1"/>
  <c r="G488" i="48" s="1"/>
  <c r="I488" i="48" s="1"/>
  <c r="I415" i="1"/>
  <c r="G415" i="28" s="1"/>
  <c r="I415" i="28" s="1"/>
  <c r="G418" i="29" s="1"/>
  <c r="I418" i="29" s="1"/>
  <c r="G426" i="30" s="1"/>
  <c r="I426" i="30" s="1"/>
  <c r="G437" i="32" s="1"/>
  <c r="I437" i="32" s="1"/>
  <c r="G437" i="34" s="1"/>
  <c r="I437" i="34" s="1"/>
  <c r="G450" i="36" s="1"/>
  <c r="I450" i="36" s="1"/>
  <c r="G461" i="38" s="1"/>
  <c r="I461" i="38" s="1"/>
  <c r="G465" i="40" s="1"/>
  <c r="I465" i="40" s="1"/>
  <c r="G470" i="3" s="1"/>
  <c r="I470" i="3" s="1"/>
  <c r="G484" i="44" s="1"/>
  <c r="I484" i="44" s="1"/>
  <c r="G486" i="46" s="1"/>
  <c r="I486" i="46" s="1"/>
  <c r="G486" i="48" s="1"/>
  <c r="I486" i="48" s="1"/>
  <c r="I414" i="1"/>
  <c r="G414" i="28" s="1"/>
  <c r="I414" i="28" s="1"/>
  <c r="G417" i="29" s="1"/>
  <c r="I417" i="29" s="1"/>
  <c r="G425" i="30" s="1"/>
  <c r="I425" i="30" s="1"/>
  <c r="G436" i="32" s="1"/>
  <c r="I436" i="32" s="1"/>
  <c r="G436" i="34" s="1"/>
  <c r="I436" i="34" s="1"/>
  <c r="G449" i="36" s="1"/>
  <c r="I449" i="36" s="1"/>
  <c r="G460" i="38" s="1"/>
  <c r="I460" i="38" s="1"/>
  <c r="G464" i="40" s="1"/>
  <c r="I464" i="40" s="1"/>
  <c r="G469" i="3" s="1"/>
  <c r="I469" i="3" s="1"/>
  <c r="G483" i="44" s="1"/>
  <c r="I483" i="44" s="1"/>
  <c r="G485" i="46" s="1"/>
  <c r="I485" i="46" s="1"/>
  <c r="G485" i="48" s="1"/>
  <c r="I485" i="48" s="1"/>
  <c r="I413" i="1"/>
  <c r="G413" i="28" s="1"/>
  <c r="I413" i="28" s="1"/>
  <c r="G416" i="29" s="1"/>
  <c r="I416" i="29" s="1"/>
  <c r="G424" i="30" s="1"/>
  <c r="I424" i="30" s="1"/>
  <c r="G435" i="32" s="1"/>
  <c r="I435" i="32" s="1"/>
  <c r="G435" i="34" s="1"/>
  <c r="I435" i="34" s="1"/>
  <c r="G448" i="36" s="1"/>
  <c r="I448" i="36" s="1"/>
  <c r="G459" i="38" s="1"/>
  <c r="I459" i="38" s="1"/>
  <c r="G463" i="40" s="1"/>
  <c r="I463" i="40" s="1"/>
  <c r="G468" i="3" s="1"/>
  <c r="I468" i="3" s="1"/>
  <c r="G482" i="44" s="1"/>
  <c r="I482" i="44" s="1"/>
  <c r="G484" i="46" s="1"/>
  <c r="I484" i="46" s="1"/>
  <c r="G484" i="48" s="1"/>
  <c r="I484" i="48" s="1"/>
  <c r="I412" i="1"/>
  <c r="G412" i="28" s="1"/>
  <c r="I412" i="28" s="1"/>
  <c r="G415" i="29" s="1"/>
  <c r="I415" i="29" s="1"/>
  <c r="G423" i="30" s="1"/>
  <c r="I423" i="30" s="1"/>
  <c r="G434" i="32" s="1"/>
  <c r="I434" i="32" s="1"/>
  <c r="G434" i="34" s="1"/>
  <c r="I434" i="34" s="1"/>
  <c r="G447" i="36" s="1"/>
  <c r="I447" i="36" s="1"/>
  <c r="G458" i="38" s="1"/>
  <c r="I458" i="38" s="1"/>
  <c r="G462" i="40" s="1"/>
  <c r="I462" i="40" s="1"/>
  <c r="G467" i="3" s="1"/>
  <c r="I467" i="3" s="1"/>
  <c r="G481" i="44" s="1"/>
  <c r="I481" i="44" s="1"/>
  <c r="G483" i="46" s="1"/>
  <c r="I483" i="46" s="1"/>
  <c r="G483" i="48" s="1"/>
  <c r="I483" i="48" s="1"/>
  <c r="I411" i="1"/>
  <c r="G411" i="28" s="1"/>
  <c r="I411" i="28" s="1"/>
  <c r="G414" i="29" s="1"/>
  <c r="I414" i="29" s="1"/>
  <c r="G422" i="30" s="1"/>
  <c r="I422" i="30" s="1"/>
  <c r="G433" i="32" s="1"/>
  <c r="I433" i="32" s="1"/>
  <c r="G433" i="34" s="1"/>
  <c r="I433" i="34" s="1"/>
  <c r="G446" i="36" s="1"/>
  <c r="I446" i="36" s="1"/>
  <c r="G457" i="38" s="1"/>
  <c r="I457" i="38" s="1"/>
  <c r="G461" i="40" s="1"/>
  <c r="I461" i="40" s="1"/>
  <c r="G466" i="3" s="1"/>
  <c r="I466" i="3" s="1"/>
  <c r="G480" i="44" s="1"/>
  <c r="I480" i="44" s="1"/>
  <c r="G482" i="46" s="1"/>
  <c r="I482" i="46" s="1"/>
  <c r="G482" i="48" s="1"/>
  <c r="I482" i="48" s="1"/>
  <c r="I409" i="1"/>
  <c r="G409" i="28" s="1"/>
  <c r="I409" i="28" s="1"/>
  <c r="G412" i="29" s="1"/>
  <c r="I412" i="29" s="1"/>
  <c r="G420" i="30" s="1"/>
  <c r="I420" i="30" s="1"/>
  <c r="G431" i="32" s="1"/>
  <c r="I431" i="32" s="1"/>
  <c r="G431" i="34" s="1"/>
  <c r="I431" i="34" s="1"/>
  <c r="G444" i="36" s="1"/>
  <c r="I444" i="36" s="1"/>
  <c r="G455" i="38" s="1"/>
  <c r="I455" i="38" s="1"/>
  <c r="G459" i="40" s="1"/>
  <c r="I459" i="40" s="1"/>
  <c r="G464" i="3" s="1"/>
  <c r="I464" i="3" s="1"/>
  <c r="G478" i="44" s="1"/>
  <c r="I478" i="44" s="1"/>
  <c r="G480" i="46" s="1"/>
  <c r="I480" i="46" s="1"/>
  <c r="G480" i="48" s="1"/>
  <c r="I480" i="48" s="1"/>
  <c r="I408" i="1"/>
  <c r="G408" i="28" s="1"/>
  <c r="I408" i="28" s="1"/>
  <c r="G411" i="29" s="1"/>
  <c r="I411" i="29" s="1"/>
  <c r="G419" i="30" s="1"/>
  <c r="I419" i="30" s="1"/>
  <c r="G430" i="32" s="1"/>
  <c r="I430" i="32" s="1"/>
  <c r="G430" i="34" s="1"/>
  <c r="I430" i="34" s="1"/>
  <c r="G443" i="36" s="1"/>
  <c r="I443" i="36" s="1"/>
  <c r="G454" i="38" s="1"/>
  <c r="I454" i="38" s="1"/>
  <c r="G458" i="40" s="1"/>
  <c r="I458" i="40" s="1"/>
  <c r="G463" i="3" s="1"/>
  <c r="I463" i="3" s="1"/>
  <c r="G477" i="44" s="1"/>
  <c r="I477" i="44" s="1"/>
  <c r="G479" i="46" s="1"/>
  <c r="I479" i="46" s="1"/>
  <c r="G479" i="48" s="1"/>
  <c r="I479" i="48" s="1"/>
  <c r="I407" i="1"/>
  <c r="G407" i="28" s="1"/>
  <c r="I407" i="28" s="1"/>
  <c r="G410" i="29" s="1"/>
  <c r="I410" i="29" s="1"/>
  <c r="G418" i="30" s="1"/>
  <c r="I418" i="30" s="1"/>
  <c r="G428" i="32" s="1"/>
  <c r="I428" i="32" s="1"/>
  <c r="G428" i="34" s="1"/>
  <c r="I428" i="34" s="1"/>
  <c r="G440" i="36" s="1"/>
  <c r="I440" i="36" s="1"/>
  <c r="G451" i="38" s="1"/>
  <c r="I451" i="38" s="1"/>
  <c r="G455" i="40" s="1"/>
  <c r="I455" i="40" s="1"/>
  <c r="G460" i="3" s="1"/>
  <c r="I460" i="3" s="1"/>
  <c r="G474" i="44" s="1"/>
  <c r="I474" i="44" s="1"/>
  <c r="G476" i="46" s="1"/>
  <c r="I476" i="46" s="1"/>
  <c r="G476" i="48" s="1"/>
  <c r="I476" i="48" s="1"/>
  <c r="I406" i="1"/>
  <c r="G406" i="28" s="1"/>
  <c r="I406" i="28" s="1"/>
  <c r="G409" i="29" s="1"/>
  <c r="I409" i="29" s="1"/>
  <c r="G417" i="30" s="1"/>
  <c r="I417" i="30" s="1"/>
  <c r="G427" i="32" s="1"/>
  <c r="I427" i="32" s="1"/>
  <c r="G427" i="34" s="1"/>
  <c r="I427" i="34" s="1"/>
  <c r="G439" i="36" s="1"/>
  <c r="I439" i="36" s="1"/>
  <c r="G450" i="38" s="1"/>
  <c r="I450" i="38" s="1"/>
  <c r="G454" i="40" s="1"/>
  <c r="I454" i="40" s="1"/>
  <c r="G459" i="3" s="1"/>
  <c r="I459" i="3" s="1"/>
  <c r="G473" i="44" s="1"/>
  <c r="I473" i="44" s="1"/>
  <c r="G475" i="46" s="1"/>
  <c r="I475" i="46" s="1"/>
  <c r="G475" i="48" s="1"/>
  <c r="I475" i="48" s="1"/>
  <c r="I405" i="1"/>
  <c r="G405" i="28" s="1"/>
  <c r="I405" i="28" s="1"/>
  <c r="G408" i="29" s="1"/>
  <c r="I408" i="29" s="1"/>
  <c r="G416" i="30" s="1"/>
  <c r="I416" i="30" s="1"/>
  <c r="G426" i="32" s="1"/>
  <c r="I426" i="32" s="1"/>
  <c r="G426" i="34" s="1"/>
  <c r="I426" i="34" s="1"/>
  <c r="G438" i="36" s="1"/>
  <c r="I438" i="36" s="1"/>
  <c r="G449" i="38" s="1"/>
  <c r="I449" i="38" s="1"/>
  <c r="G453" i="40" s="1"/>
  <c r="I453" i="40" s="1"/>
  <c r="G458" i="3" s="1"/>
  <c r="I458" i="3" s="1"/>
  <c r="G472" i="44" s="1"/>
  <c r="I472" i="44" s="1"/>
  <c r="G474" i="46" s="1"/>
  <c r="I474" i="46" s="1"/>
  <c r="G474" i="48" s="1"/>
  <c r="I474" i="48" s="1"/>
  <c r="I404" i="1"/>
  <c r="G404" i="28" s="1"/>
  <c r="I404" i="28" s="1"/>
  <c r="G407" i="29" s="1"/>
  <c r="I407" i="29" s="1"/>
  <c r="G415" i="30" s="1"/>
  <c r="I415" i="30" s="1"/>
  <c r="G425" i="32" s="1"/>
  <c r="I425" i="32" s="1"/>
  <c r="G425" i="34" s="1"/>
  <c r="I425" i="34" s="1"/>
  <c r="G436" i="36" s="1"/>
  <c r="I436" i="36" s="1"/>
  <c r="G447" i="38" s="1"/>
  <c r="I447" i="38" s="1"/>
  <c r="G451" i="40" s="1"/>
  <c r="I451" i="40" s="1"/>
  <c r="G456" i="3" s="1"/>
  <c r="I456" i="3" s="1"/>
  <c r="G470" i="44" s="1"/>
  <c r="I470" i="44" s="1"/>
  <c r="G472" i="46" s="1"/>
  <c r="I472" i="46" s="1"/>
  <c r="G472" i="48" s="1"/>
  <c r="I472" i="48" s="1"/>
  <c r="I403" i="1"/>
  <c r="G403" i="28" s="1"/>
  <c r="I403" i="28" s="1"/>
  <c r="G406" i="29" s="1"/>
  <c r="I406" i="29" s="1"/>
  <c r="G414" i="30" s="1"/>
  <c r="I414" i="30" s="1"/>
  <c r="G424" i="32" s="1"/>
  <c r="I424" i="32" s="1"/>
  <c r="G424" i="34" s="1"/>
  <c r="I424" i="34" s="1"/>
  <c r="G435" i="36" s="1"/>
  <c r="I435" i="36" s="1"/>
  <c r="G446" i="38" s="1"/>
  <c r="I446" i="38" s="1"/>
  <c r="G450" i="40" s="1"/>
  <c r="I450" i="40" s="1"/>
  <c r="G455" i="3" s="1"/>
  <c r="I455" i="3" s="1"/>
  <c r="G469" i="44" s="1"/>
  <c r="I469" i="44" s="1"/>
  <c r="G471" i="46" s="1"/>
  <c r="I471" i="46" s="1"/>
  <c r="G471" i="48" s="1"/>
  <c r="I471" i="48" s="1"/>
  <c r="I402" i="1"/>
  <c r="G402" i="28" s="1"/>
  <c r="I402" i="28" s="1"/>
  <c r="G405" i="29" s="1"/>
  <c r="I405" i="29" s="1"/>
  <c r="G413" i="30" s="1"/>
  <c r="I413" i="30" s="1"/>
  <c r="G423" i="32" s="1"/>
  <c r="I423" i="32" s="1"/>
  <c r="G423" i="34" s="1"/>
  <c r="I423" i="34" s="1"/>
  <c r="G434" i="36" s="1"/>
  <c r="I434" i="36" s="1"/>
  <c r="G445" i="38" s="1"/>
  <c r="I445" i="38" s="1"/>
  <c r="G449" i="40" s="1"/>
  <c r="I449" i="40" s="1"/>
  <c r="G454" i="3" s="1"/>
  <c r="I454" i="3" s="1"/>
  <c r="G468" i="44" s="1"/>
  <c r="I468" i="44" s="1"/>
  <c r="G470" i="46" s="1"/>
  <c r="I470" i="46" s="1"/>
  <c r="G470" i="48" s="1"/>
  <c r="I470" i="48" s="1"/>
  <c r="I401" i="1"/>
  <c r="G401" i="28" s="1"/>
  <c r="I401" i="28" s="1"/>
  <c r="G404" i="29" s="1"/>
  <c r="I404" i="29" s="1"/>
  <c r="G412" i="30" s="1"/>
  <c r="G400" i="1"/>
  <c r="I397" i="1"/>
  <c r="G397" i="28" s="1"/>
  <c r="I396" i="1"/>
  <c r="G396" i="28" s="1"/>
  <c r="I395" i="1"/>
  <c r="G395" i="28" s="1"/>
  <c r="I393" i="1"/>
  <c r="G393" i="28" s="1"/>
  <c r="I392" i="1"/>
  <c r="G392" i="28" s="1"/>
  <c r="I391" i="1"/>
  <c r="G391" i="28" s="1"/>
  <c r="I390" i="1"/>
  <c r="G390" i="28" s="1"/>
  <c r="I389" i="1"/>
  <c r="G389" i="28" s="1"/>
  <c r="I388" i="1"/>
  <c r="G388" i="28" s="1"/>
  <c r="I387" i="1"/>
  <c r="G387" i="28" s="1"/>
  <c r="I385" i="1"/>
  <c r="G385" i="28" s="1"/>
  <c r="I384" i="1"/>
  <c r="G384" i="28" s="1"/>
  <c r="I383" i="1"/>
  <c r="G383" i="28" s="1"/>
  <c r="I382" i="1"/>
  <c r="G382" i="28" s="1"/>
  <c r="I381" i="1"/>
  <c r="G381" i="28" s="1"/>
  <c r="I380" i="1"/>
  <c r="G380" i="28" s="1"/>
  <c r="I378" i="1"/>
  <c r="G378" i="28" s="1"/>
  <c r="I377" i="1"/>
  <c r="G377" i="28" s="1"/>
  <c r="I376" i="1"/>
  <c r="G376" i="28" s="1"/>
  <c r="I375" i="1"/>
  <c r="G375" i="28" s="1"/>
  <c r="I374" i="1"/>
  <c r="G374" i="28" s="1"/>
  <c r="I373" i="1"/>
  <c r="G373" i="28" s="1"/>
  <c r="I372" i="1"/>
  <c r="G372" i="28" s="1"/>
  <c r="I371" i="1"/>
  <c r="G371" i="28" s="1"/>
  <c r="I370" i="1"/>
  <c r="G370" i="28" s="1"/>
  <c r="I803" i="36" l="1"/>
  <c r="G815" i="38" s="1"/>
  <c r="C17" i="37"/>
  <c r="G17" i="37" s="1"/>
  <c r="I17" i="37" s="1"/>
  <c r="G842" i="36"/>
  <c r="I412" i="30"/>
  <c r="G774" i="30"/>
  <c r="I765" i="29"/>
  <c r="G762" i="28"/>
  <c r="C12" i="5" s="1"/>
  <c r="I762" i="28"/>
  <c r="G765" i="29" s="1"/>
  <c r="C11" i="2"/>
  <c r="I760" i="1"/>
  <c r="I368" i="1"/>
  <c r="G368" i="28" s="1"/>
  <c r="I367" i="1"/>
  <c r="G367" i="28" s="1"/>
  <c r="I366" i="1"/>
  <c r="G366" i="28" s="1"/>
  <c r="I365" i="1"/>
  <c r="G365" i="28" s="1"/>
  <c r="I363" i="1"/>
  <c r="G363" i="28" s="1"/>
  <c r="I362" i="1"/>
  <c r="G362" i="28" s="1"/>
  <c r="I361" i="1"/>
  <c r="G361" i="28" s="1"/>
  <c r="I360" i="1"/>
  <c r="G360" i="28" s="1"/>
  <c r="I358" i="1"/>
  <c r="G358" i="28" s="1"/>
  <c r="I357" i="1"/>
  <c r="G357" i="28" s="1"/>
  <c r="I356" i="1"/>
  <c r="G356" i="28" s="1"/>
  <c r="I355" i="1"/>
  <c r="G355" i="28" s="1"/>
  <c r="I354" i="1"/>
  <c r="G354" i="28" s="1"/>
  <c r="I353" i="1"/>
  <c r="G353" i="28" s="1"/>
  <c r="I352" i="1"/>
  <c r="G352" i="28" s="1"/>
  <c r="I350" i="1"/>
  <c r="G350" i="28" s="1"/>
  <c r="I349" i="1"/>
  <c r="G349" i="28" s="1"/>
  <c r="I348" i="1"/>
  <c r="G348" i="28" s="1"/>
  <c r="I347" i="1"/>
  <c r="G347" i="28" s="1"/>
  <c r="I346" i="1"/>
  <c r="G346" i="28" s="1"/>
  <c r="I345" i="1"/>
  <c r="G345" i="28" s="1"/>
  <c r="I344" i="1"/>
  <c r="G344" i="28" s="1"/>
  <c r="I343" i="1"/>
  <c r="G343" i="28" s="1"/>
  <c r="I341" i="1"/>
  <c r="G341" i="28" s="1"/>
  <c r="I340" i="1"/>
  <c r="G340" i="28" s="1"/>
  <c r="I339" i="1"/>
  <c r="G339" i="28" s="1"/>
  <c r="I338" i="1"/>
  <c r="G338" i="28" s="1"/>
  <c r="I337" i="1"/>
  <c r="G337" i="28" s="1"/>
  <c r="I336" i="1"/>
  <c r="G336" i="28" s="1"/>
  <c r="I335" i="1"/>
  <c r="G335" i="28" s="1"/>
  <c r="I333" i="1"/>
  <c r="G333" i="28" s="1"/>
  <c r="I332" i="1"/>
  <c r="G332" i="28" s="1"/>
  <c r="I331" i="1"/>
  <c r="G331" i="28" s="1"/>
  <c r="I330" i="1"/>
  <c r="G330" i="28" s="1"/>
  <c r="I329" i="1"/>
  <c r="G329" i="28" s="1"/>
  <c r="I328" i="1"/>
  <c r="G328" i="28" s="1"/>
  <c r="I326" i="1"/>
  <c r="G326" i="28" s="1"/>
  <c r="I325" i="1"/>
  <c r="G325" i="28" s="1"/>
  <c r="I324" i="1"/>
  <c r="G324" i="28" s="1"/>
  <c r="I323" i="1"/>
  <c r="G323" i="28" s="1"/>
  <c r="I322" i="1"/>
  <c r="G322" i="28" s="1"/>
  <c r="I321" i="1"/>
  <c r="G321" i="28" s="1"/>
  <c r="I319" i="1"/>
  <c r="G319" i="28" s="1"/>
  <c r="I317" i="1"/>
  <c r="G317" i="28" s="1"/>
  <c r="I316" i="1"/>
  <c r="G316" i="28" s="1"/>
  <c r="I315" i="1"/>
  <c r="G315" i="28" s="1"/>
  <c r="I314" i="1"/>
  <c r="G314" i="28" s="1"/>
  <c r="I313" i="1"/>
  <c r="G313" i="28" s="1"/>
  <c r="I311" i="1"/>
  <c r="G311" i="28" s="1"/>
  <c r="I310" i="1"/>
  <c r="G310" i="28" s="1"/>
  <c r="I309" i="1"/>
  <c r="G309" i="28" s="1"/>
  <c r="I308" i="1"/>
  <c r="G308" i="28" s="1"/>
  <c r="I307" i="1"/>
  <c r="G307" i="28" s="1"/>
  <c r="I306" i="1"/>
  <c r="G306" i="28" s="1"/>
  <c r="I304" i="1"/>
  <c r="G304" i="28" s="1"/>
  <c r="I303" i="1"/>
  <c r="G303" i="28" s="1"/>
  <c r="I302" i="1"/>
  <c r="G302" i="28" s="1"/>
  <c r="I301" i="1"/>
  <c r="G301" i="28" s="1"/>
  <c r="I300" i="1"/>
  <c r="G300" i="28" s="1"/>
  <c r="G17" i="43" l="1"/>
  <c r="I17" i="43" s="1"/>
  <c r="G17" i="42"/>
  <c r="I17" i="42" s="1"/>
  <c r="I815" i="38"/>
  <c r="C17" i="39"/>
  <c r="G17" i="39" s="1"/>
  <c r="I17" i="39" s="1"/>
  <c r="I842" i="36"/>
  <c r="G854" i="38" s="1"/>
  <c r="C18" i="37"/>
  <c r="G18" i="37" s="1"/>
  <c r="I18" i="37" s="1"/>
  <c r="C12" i="31"/>
  <c r="I774" i="30"/>
  <c r="G785" i="32" s="1"/>
  <c r="G422" i="32"/>
  <c r="I422" i="32" s="1"/>
  <c r="C12" i="8"/>
  <c r="G12" i="31"/>
  <c r="I12" i="31" s="1"/>
  <c r="I298" i="1"/>
  <c r="G298" i="28" s="1"/>
  <c r="I297" i="1"/>
  <c r="G297" i="28" s="1"/>
  <c r="I296" i="1"/>
  <c r="G296" i="28" s="1"/>
  <c r="I295" i="1"/>
  <c r="G295" i="28" s="1"/>
  <c r="I294" i="1"/>
  <c r="G294" i="28" s="1"/>
  <c r="I292" i="1"/>
  <c r="G292" i="28" s="1"/>
  <c r="I291" i="1"/>
  <c r="G291" i="28" s="1"/>
  <c r="I290" i="1"/>
  <c r="G290" i="28" s="1"/>
  <c r="I289" i="1"/>
  <c r="G289" i="28" s="1"/>
  <c r="I288" i="1"/>
  <c r="G288" i="28" s="1"/>
  <c r="I287" i="1"/>
  <c r="G287" i="28" s="1"/>
  <c r="I286" i="1"/>
  <c r="G286" i="28" s="1"/>
  <c r="I285" i="1"/>
  <c r="G285" i="28" s="1"/>
  <c r="I284" i="1"/>
  <c r="G284" i="28" s="1"/>
  <c r="I282" i="1"/>
  <c r="G282" i="28" s="1"/>
  <c r="I281" i="1"/>
  <c r="G281" i="28" s="1"/>
  <c r="I280" i="1"/>
  <c r="G280" i="28" s="1"/>
  <c r="I279" i="1"/>
  <c r="G279" i="28" s="1"/>
  <c r="I278" i="1"/>
  <c r="G278" i="28" s="1"/>
  <c r="I277" i="1"/>
  <c r="G277" i="28" s="1"/>
  <c r="I276" i="1"/>
  <c r="G276" i="28" s="1"/>
  <c r="I275" i="1"/>
  <c r="G275" i="28" s="1"/>
  <c r="I273" i="1"/>
  <c r="G273" i="28" s="1"/>
  <c r="I272" i="1"/>
  <c r="G272" i="28" s="1"/>
  <c r="I271" i="1"/>
  <c r="G271" i="28" s="1"/>
  <c r="I270" i="1"/>
  <c r="G270" i="28" s="1"/>
  <c r="I269" i="1"/>
  <c r="G269" i="28" s="1"/>
  <c r="I267" i="1"/>
  <c r="G267" i="28" s="1"/>
  <c r="I266" i="1"/>
  <c r="G266" i="28" s="1"/>
  <c r="I265" i="1"/>
  <c r="G265" i="28" s="1"/>
  <c r="I264" i="1"/>
  <c r="G264" i="28" s="1"/>
  <c r="I263" i="1"/>
  <c r="G263" i="28" s="1"/>
  <c r="I262" i="1"/>
  <c r="G262" i="28" s="1"/>
  <c r="I261" i="1"/>
  <c r="G261" i="28" s="1"/>
  <c r="G18" i="43" l="1"/>
  <c r="I18" i="43" s="1"/>
  <c r="G18" i="42"/>
  <c r="I18" i="42" s="1"/>
  <c r="I854" i="38"/>
  <c r="C18" i="39"/>
  <c r="G18" i="39" s="1"/>
  <c r="I18" i="39" s="1"/>
  <c r="C14" i="33"/>
  <c r="G14" i="33" s="1"/>
  <c r="I14" i="33" s="1"/>
  <c r="I785" i="32"/>
  <c r="G785" i="34" s="1"/>
  <c r="G422" i="34"/>
  <c r="I422" i="34" s="1"/>
  <c r="I259" i="1"/>
  <c r="G259" i="28" s="1"/>
  <c r="I256" i="1"/>
  <c r="G256" i="28" s="1"/>
  <c r="I255" i="1"/>
  <c r="G255" i="28" s="1"/>
  <c r="I254" i="1"/>
  <c r="G254" i="28" s="1"/>
  <c r="I253" i="1"/>
  <c r="G253" i="28" s="1"/>
  <c r="I252" i="1"/>
  <c r="G252" i="28" s="1"/>
  <c r="I250" i="1"/>
  <c r="G250" i="28" s="1"/>
  <c r="I249" i="1"/>
  <c r="G249" i="28" s="1"/>
  <c r="I248" i="1"/>
  <c r="G248" i="28" s="1"/>
  <c r="I247" i="1"/>
  <c r="G247" i="28" s="1"/>
  <c r="I246" i="1"/>
  <c r="G246" i="28" s="1"/>
  <c r="I245" i="1"/>
  <c r="G245" i="28" s="1"/>
  <c r="I244" i="1"/>
  <c r="G244" i="28" s="1"/>
  <c r="I242" i="1"/>
  <c r="G242" i="28" s="1"/>
  <c r="I241" i="1"/>
  <c r="G241" i="28" s="1"/>
  <c r="I240" i="1"/>
  <c r="G240" i="28" s="1"/>
  <c r="I239" i="1"/>
  <c r="G239" i="28" s="1"/>
  <c r="I237" i="1"/>
  <c r="G237" i="28" s="1"/>
  <c r="I236" i="1"/>
  <c r="G236" i="28" s="1"/>
  <c r="I235" i="1"/>
  <c r="G235" i="28" s="1"/>
  <c r="I234" i="1"/>
  <c r="G234" i="28" s="1"/>
  <c r="I232" i="1"/>
  <c r="G232" i="28" s="1"/>
  <c r="I231" i="1"/>
  <c r="G231" i="28" s="1"/>
  <c r="I230" i="1"/>
  <c r="G230" i="28" s="1"/>
  <c r="I229" i="1"/>
  <c r="G229" i="28" s="1"/>
  <c r="I228" i="1"/>
  <c r="G228" i="28" s="1"/>
  <c r="I226" i="1"/>
  <c r="G226" i="28" s="1"/>
  <c r="I225" i="1"/>
  <c r="G225" i="28" s="1"/>
  <c r="I224" i="1"/>
  <c r="G224" i="28" s="1"/>
  <c r="I223" i="1"/>
  <c r="G223" i="28" s="1"/>
  <c r="I221" i="1"/>
  <c r="G221" i="28" s="1"/>
  <c r="I220" i="1"/>
  <c r="G220" i="28" s="1"/>
  <c r="I219" i="1"/>
  <c r="G219" i="28" s="1"/>
  <c r="I218" i="1"/>
  <c r="G218" i="28" s="1"/>
  <c r="I217" i="1"/>
  <c r="G217" i="28" s="1"/>
  <c r="I216" i="1"/>
  <c r="G216" i="28" s="1"/>
  <c r="I215" i="1"/>
  <c r="G215" i="28" s="1"/>
  <c r="I213" i="1"/>
  <c r="G213" i="28" s="1"/>
  <c r="I212" i="1"/>
  <c r="G212" i="28" s="1"/>
  <c r="I211" i="1"/>
  <c r="G211" i="28" s="1"/>
  <c r="I210" i="1"/>
  <c r="G210" i="28" s="1"/>
  <c r="I209" i="1"/>
  <c r="G209" i="28" s="1"/>
  <c r="I207" i="1"/>
  <c r="G207" i="28" s="1"/>
  <c r="I206" i="1"/>
  <c r="G206" i="28" s="1"/>
  <c r="I205" i="1"/>
  <c r="G205" i="28" s="1"/>
  <c r="I204" i="1"/>
  <c r="G204" i="28" s="1"/>
  <c r="I203" i="1"/>
  <c r="G203" i="28" s="1"/>
  <c r="I202" i="1"/>
  <c r="G202" i="28" s="1"/>
  <c r="I201" i="1"/>
  <c r="G201" i="28" s="1"/>
  <c r="I200" i="1"/>
  <c r="G200" i="28" s="1"/>
  <c r="I198" i="1"/>
  <c r="G198" i="28" s="1"/>
  <c r="I197" i="1"/>
  <c r="G197" i="28" s="1"/>
  <c r="I195" i="1"/>
  <c r="G195" i="28" s="1"/>
  <c r="I194" i="1"/>
  <c r="G194" i="28" s="1"/>
  <c r="I193" i="1"/>
  <c r="G193" i="28" s="1"/>
  <c r="I191" i="1"/>
  <c r="G191" i="28" s="1"/>
  <c r="I190" i="1"/>
  <c r="G190" i="28" s="1"/>
  <c r="I189" i="1"/>
  <c r="G189" i="28" s="1"/>
  <c r="I188" i="1"/>
  <c r="G188" i="28" s="1"/>
  <c r="I187" i="1"/>
  <c r="G187" i="28" s="1"/>
  <c r="I186" i="1"/>
  <c r="G186" i="28" s="1"/>
  <c r="I185" i="1"/>
  <c r="G185" i="28" s="1"/>
  <c r="I184" i="1"/>
  <c r="G184" i="28" s="1"/>
  <c r="I182" i="1"/>
  <c r="G182" i="28" s="1"/>
  <c r="I181" i="1"/>
  <c r="G181" i="28" s="1"/>
  <c r="I180" i="1"/>
  <c r="G180" i="28" s="1"/>
  <c r="I179" i="1"/>
  <c r="G179" i="28" s="1"/>
  <c r="I178" i="1"/>
  <c r="G178" i="28" s="1"/>
  <c r="I177" i="1"/>
  <c r="G177" i="28" s="1"/>
  <c r="I176" i="1"/>
  <c r="G176" i="28" s="1"/>
  <c r="I175" i="1"/>
  <c r="G175" i="28" s="1"/>
  <c r="I173" i="1"/>
  <c r="G173" i="28" s="1"/>
  <c r="I172" i="1"/>
  <c r="G172" i="28" s="1"/>
  <c r="I171" i="1"/>
  <c r="G171" i="28" s="1"/>
  <c r="I136" i="1"/>
  <c r="G136" i="28" s="1"/>
  <c r="I136" i="28" s="1"/>
  <c r="G136" i="29" s="1"/>
  <c r="I136" i="29" s="1"/>
  <c r="I126" i="1"/>
  <c r="G126" i="28" s="1"/>
  <c r="I126" i="28" s="1"/>
  <c r="G126" i="29" s="1"/>
  <c r="I126" i="29" s="1"/>
  <c r="I105" i="1"/>
  <c r="G105" i="28" s="1"/>
  <c r="I105" i="28" s="1"/>
  <c r="G105" i="29" s="1"/>
  <c r="I105" i="29" s="1"/>
  <c r="I785" i="34" l="1"/>
  <c r="G433" i="36"/>
  <c r="I433" i="36" s="1"/>
  <c r="C14" i="35"/>
  <c r="G14" i="35" s="1"/>
  <c r="I14" i="35" s="1"/>
  <c r="G138" i="30"/>
  <c r="I138" i="30" s="1"/>
  <c r="G141" i="32" s="1"/>
  <c r="I141" i="32" s="1"/>
  <c r="G141" i="34" s="1"/>
  <c r="I141" i="34" s="1"/>
  <c r="G142" i="36" s="1"/>
  <c r="I142" i="36" s="1"/>
  <c r="G142" i="38" s="1"/>
  <c r="I142" i="38" s="1"/>
  <c r="G142" i="40" s="1"/>
  <c r="I142" i="40" s="1"/>
  <c r="G142" i="3" s="1"/>
  <c r="I142" i="3" s="1"/>
  <c r="G142" i="44" s="1"/>
  <c r="I142" i="44" s="1"/>
  <c r="G128" i="30"/>
  <c r="I128" i="30" s="1"/>
  <c r="G131" i="32" s="1"/>
  <c r="I131" i="32" s="1"/>
  <c r="G131" i="34" s="1"/>
  <c r="I131" i="34" s="1"/>
  <c r="G132" i="36" s="1"/>
  <c r="I132" i="36" s="1"/>
  <c r="G132" i="38" s="1"/>
  <c r="I132" i="38" s="1"/>
  <c r="G132" i="40" s="1"/>
  <c r="I132" i="40" s="1"/>
  <c r="G132" i="3" s="1"/>
  <c r="I132" i="3" s="1"/>
  <c r="G132" i="44" s="1"/>
  <c r="I132" i="44" s="1"/>
  <c r="G132" i="46" s="1"/>
  <c r="I132" i="46" s="1"/>
  <c r="G132" i="48" s="1"/>
  <c r="I132" i="48" s="1"/>
  <c r="G106" i="30"/>
  <c r="I106" i="30" s="1"/>
  <c r="G107" i="32" s="1"/>
  <c r="I107" i="32" s="1"/>
  <c r="G107" i="34" s="1"/>
  <c r="I107" i="34" s="1"/>
  <c r="G107" i="36" s="1"/>
  <c r="I107" i="36" s="1"/>
  <c r="G107" i="38" s="1"/>
  <c r="I107" i="38" s="1"/>
  <c r="G107" i="40" s="1"/>
  <c r="I107" i="40" s="1"/>
  <c r="G107" i="3" s="1"/>
  <c r="I107" i="3" s="1"/>
  <c r="G107" i="44" s="1"/>
  <c r="I107" i="44" s="1"/>
  <c r="G107" i="46" s="1"/>
  <c r="I107" i="46" s="1"/>
  <c r="G107" i="48" s="1"/>
  <c r="I107" i="48" s="1"/>
  <c r="I75" i="1"/>
  <c r="I62" i="1"/>
  <c r="G62" i="28" s="1"/>
  <c r="I62" i="28" s="1"/>
  <c r="G62" i="29" s="1"/>
  <c r="I62" i="29" s="1"/>
  <c r="G63" i="30" s="1"/>
  <c r="I63" i="30" s="1"/>
  <c r="G63" i="32" s="1"/>
  <c r="I63" i="32" s="1"/>
  <c r="I55" i="1"/>
  <c r="G55" i="28" s="1"/>
  <c r="I55" i="28" s="1"/>
  <c r="G55" i="29" s="1"/>
  <c r="I55" i="29" s="1"/>
  <c r="G56" i="30" s="1"/>
  <c r="I56" i="30" s="1"/>
  <c r="G56" i="32" s="1"/>
  <c r="I56" i="32" s="1"/>
  <c r="G56" i="34" s="1"/>
  <c r="I56" i="34" s="1"/>
  <c r="G56" i="36" s="1"/>
  <c r="I56" i="36" s="1"/>
  <c r="G56" i="38" s="1"/>
  <c r="I56" i="38" s="1"/>
  <c r="G56" i="40" s="1"/>
  <c r="I56" i="40" s="1"/>
  <c r="G56" i="3" s="1"/>
  <c r="I56" i="3" s="1"/>
  <c r="G56" i="44" s="1"/>
  <c r="I56" i="44" s="1"/>
  <c r="G56" i="46" s="1"/>
  <c r="I56" i="46" s="1"/>
  <c r="G56" i="48" s="1"/>
  <c r="I56" i="48" s="1"/>
  <c r="I5" i="1"/>
  <c r="G5" i="28" s="1"/>
  <c r="I5" i="28" s="1"/>
  <c r="G5" i="29" s="1"/>
  <c r="I5" i="29" s="1"/>
  <c r="G6" i="30" s="1"/>
  <c r="I6" i="30" s="1"/>
  <c r="G6" i="32" s="1"/>
  <c r="I6" i="32" s="1"/>
  <c r="G6" i="34" s="1"/>
  <c r="I6" i="34" s="1"/>
  <c r="G6" i="36" s="1"/>
  <c r="I6" i="36" s="1"/>
  <c r="G6" i="38" s="1"/>
  <c r="I6" i="38" s="1"/>
  <c r="G6" i="40" s="1"/>
  <c r="G142" i="46" l="1"/>
  <c r="I142" i="46" s="1"/>
  <c r="I142" i="48"/>
  <c r="I798" i="36"/>
  <c r="G810" i="38" s="1"/>
  <c r="G444" i="38"/>
  <c r="I444" i="38" s="1"/>
  <c r="G63" i="34"/>
  <c r="I63" i="34" s="1"/>
  <c r="G798" i="36"/>
  <c r="G75" i="28"/>
  <c r="I75" i="28" s="1"/>
  <c r="G75" i="29" s="1"/>
  <c r="I75" i="29" s="1"/>
  <c r="G76" i="30" s="1"/>
  <c r="I76" i="30" s="1"/>
  <c r="G76" i="32" s="1"/>
  <c r="I76" i="32" s="1"/>
  <c r="G76" i="34" s="1"/>
  <c r="I76" i="34" s="1"/>
  <c r="G76" i="36" s="1"/>
  <c r="I76" i="36" s="1"/>
  <c r="G76" i="38" s="1"/>
  <c r="I76" i="38" s="1"/>
  <c r="G76" i="40" s="1"/>
  <c r="I76" i="40" s="1"/>
  <c r="G76" i="3" s="1"/>
  <c r="I76" i="3" s="1"/>
  <c r="G76" i="44" s="1"/>
  <c r="I76" i="44" s="1"/>
  <c r="G76" i="46" s="1"/>
  <c r="I76" i="46" s="1"/>
  <c r="G76" i="48" s="1"/>
  <c r="I76" i="48" s="1"/>
  <c r="C14" i="39" l="1"/>
  <c r="I810" i="38"/>
  <c r="G448" i="40"/>
  <c r="C14" i="37"/>
  <c r="G14" i="37" s="1"/>
  <c r="I14" i="37" s="1"/>
  <c r="G14" i="39"/>
  <c r="I14" i="39" s="1"/>
  <c r="G63" i="36"/>
  <c r="I63" i="36" s="1"/>
  <c r="G63" i="38" s="1"/>
  <c r="I63" i="38" s="1"/>
  <c r="G63" i="40" s="1"/>
  <c r="I63" i="40" s="1"/>
  <c r="G63" i="3" s="1"/>
  <c r="I63" i="3" s="1"/>
  <c r="G63" i="44" s="1"/>
  <c r="I63" i="44" s="1"/>
  <c r="G63" i="46" s="1"/>
  <c r="I63" i="46" s="1"/>
  <c r="G63" i="48" s="1"/>
  <c r="I63" i="48" s="1"/>
  <c r="C18" i="8"/>
  <c r="F17" i="8"/>
  <c r="E17" i="8"/>
  <c r="D17" i="8"/>
  <c r="G16" i="8"/>
  <c r="G14" i="8"/>
  <c r="G13" i="8"/>
  <c r="G12" i="8"/>
  <c r="I448" i="40" l="1"/>
  <c r="G818" i="40"/>
  <c r="C14" i="42" s="1"/>
  <c r="G14" i="42" s="1"/>
  <c r="I14" i="42" s="1"/>
  <c r="E18" i="8"/>
  <c r="I13" i="8"/>
  <c r="I16" i="8"/>
  <c r="I12" i="8"/>
  <c r="I14" i="8"/>
  <c r="I818" i="40" l="1"/>
  <c r="G453" i="3"/>
  <c r="I95" i="1"/>
  <c r="I453" i="3" l="1"/>
  <c r="G826" i="3"/>
  <c r="C14" i="43" s="1"/>
  <c r="G14" i="43" s="1"/>
  <c r="I14" i="43" s="1"/>
  <c r="G95" i="28"/>
  <c r="I95" i="28" s="1"/>
  <c r="G95" i="29" s="1"/>
  <c r="I95" i="29" s="1"/>
  <c r="G96" i="30" s="1"/>
  <c r="I96" i="30" s="1"/>
  <c r="G96" i="32" s="1"/>
  <c r="I96" i="32" s="1"/>
  <c r="G96" i="34" s="1"/>
  <c r="I96" i="34" s="1"/>
  <c r="G96" i="36" s="1"/>
  <c r="I96" i="36" s="1"/>
  <c r="G96" i="38" s="1"/>
  <c r="I96" i="38" s="1"/>
  <c r="G96" i="40" s="1"/>
  <c r="I96" i="40" s="1"/>
  <c r="G96" i="3" s="1"/>
  <c r="I96" i="3" s="1"/>
  <c r="G96" i="44" s="1"/>
  <c r="I96" i="44" s="1"/>
  <c r="G96" i="46" s="1"/>
  <c r="I96" i="46" s="1"/>
  <c r="G96" i="48" s="1"/>
  <c r="I96" i="48" s="1"/>
  <c r="C19" i="5"/>
  <c r="F17" i="5"/>
  <c r="E17" i="5"/>
  <c r="G15" i="5"/>
  <c r="G14" i="5"/>
  <c r="G13" i="5"/>
  <c r="G12" i="5"/>
  <c r="I826" i="3" l="1"/>
  <c r="G850" i="44" s="1"/>
  <c r="C14" i="45" s="1"/>
  <c r="G14" i="45" s="1"/>
  <c r="I14" i="45" s="1"/>
  <c r="G467" i="44"/>
  <c r="I467" i="44" s="1"/>
  <c r="E19" i="5"/>
  <c r="I15" i="5"/>
  <c r="I13" i="5"/>
  <c r="I14" i="5"/>
  <c r="I12" i="5"/>
  <c r="I850" i="44" l="1"/>
  <c r="G852" i="46" s="1"/>
  <c r="C14" i="47" s="1"/>
  <c r="G14" i="47" s="1"/>
  <c r="I14" i="47" s="1"/>
  <c r="G469" i="46"/>
  <c r="I469" i="46" s="1"/>
  <c r="H17" i="8"/>
  <c r="I852" i="46" l="1"/>
  <c r="G852" i="48" s="1"/>
  <c r="G469" i="48"/>
  <c r="I469" i="48" s="1"/>
  <c r="I852" i="48" s="1"/>
  <c r="I91" i="1"/>
  <c r="I92" i="1"/>
  <c r="I93" i="1"/>
  <c r="I94" i="1"/>
  <c r="G93" i="28" l="1"/>
  <c r="I93" i="28" s="1"/>
  <c r="G93" i="29" s="1"/>
  <c r="I93" i="29" s="1"/>
  <c r="G94" i="30" s="1"/>
  <c r="I94" i="30" s="1"/>
  <c r="G94" i="32" s="1"/>
  <c r="I94" i="32" s="1"/>
  <c r="G94" i="34" s="1"/>
  <c r="I94" i="34" s="1"/>
  <c r="G94" i="36" s="1"/>
  <c r="I94" i="36" s="1"/>
  <c r="G94" i="38" s="1"/>
  <c r="I94" i="38" s="1"/>
  <c r="G94" i="40" s="1"/>
  <c r="I94" i="40" s="1"/>
  <c r="G94" i="3" s="1"/>
  <c r="I94" i="3" s="1"/>
  <c r="G94" i="44" s="1"/>
  <c r="I94" i="44" s="1"/>
  <c r="G94" i="46" s="1"/>
  <c r="I94" i="46" s="1"/>
  <c r="G94" i="48" s="1"/>
  <c r="I94" i="48" s="1"/>
  <c r="G91" i="28"/>
  <c r="I91" i="28" s="1"/>
  <c r="G91" i="29" s="1"/>
  <c r="I91" i="29" s="1"/>
  <c r="G92" i="30" s="1"/>
  <c r="I92" i="30" s="1"/>
  <c r="G92" i="32" s="1"/>
  <c r="I92" i="32" s="1"/>
  <c r="G92" i="34" s="1"/>
  <c r="I92" i="34" s="1"/>
  <c r="G92" i="36" s="1"/>
  <c r="I92" i="36" s="1"/>
  <c r="G92" i="38" s="1"/>
  <c r="I92" i="38" s="1"/>
  <c r="G92" i="40" s="1"/>
  <c r="I92" i="40" s="1"/>
  <c r="G92" i="3" s="1"/>
  <c r="I92" i="3" s="1"/>
  <c r="G92" i="44" s="1"/>
  <c r="I92" i="44" s="1"/>
  <c r="G92" i="46" s="1"/>
  <c r="I92" i="46" s="1"/>
  <c r="G92" i="48" s="1"/>
  <c r="I92" i="48" s="1"/>
  <c r="G94" i="28"/>
  <c r="I94" i="28" s="1"/>
  <c r="G94" i="29" s="1"/>
  <c r="I94" i="29" s="1"/>
  <c r="G95" i="30" s="1"/>
  <c r="I95" i="30" s="1"/>
  <c r="G95" i="32" s="1"/>
  <c r="I95" i="32" s="1"/>
  <c r="G95" i="34" s="1"/>
  <c r="I95" i="34" s="1"/>
  <c r="G95" i="36" s="1"/>
  <c r="I95" i="36" s="1"/>
  <c r="G95" i="38" s="1"/>
  <c r="I95" i="38" s="1"/>
  <c r="G95" i="40" s="1"/>
  <c r="I95" i="40" s="1"/>
  <c r="G95" i="3" s="1"/>
  <c r="I95" i="3" s="1"/>
  <c r="G95" i="44" s="1"/>
  <c r="I95" i="44" s="1"/>
  <c r="G95" i="46" s="1"/>
  <c r="I95" i="46" s="1"/>
  <c r="G95" i="48" s="1"/>
  <c r="I95" i="48" s="1"/>
  <c r="G92" i="28"/>
  <c r="I92" i="28" s="1"/>
  <c r="G92" i="29" s="1"/>
  <c r="I92" i="29" s="1"/>
  <c r="G93" i="30" s="1"/>
  <c r="I93" i="30" s="1"/>
  <c r="G93" i="32" s="1"/>
  <c r="I93" i="32" s="1"/>
  <c r="G93" i="34" s="1"/>
  <c r="I93" i="34" s="1"/>
  <c r="G93" i="36" s="1"/>
  <c r="I93" i="36" s="1"/>
  <c r="G93" i="38" s="1"/>
  <c r="I93" i="38" s="1"/>
  <c r="G93" i="40" s="1"/>
  <c r="I93" i="40" s="1"/>
  <c r="G93" i="3" s="1"/>
  <c r="I93" i="3" s="1"/>
  <c r="G93" i="44" s="1"/>
  <c r="I93" i="44" s="1"/>
  <c r="G93" i="46" s="1"/>
  <c r="I93" i="46" s="1"/>
  <c r="G93" i="48" s="1"/>
  <c r="I93" i="48" s="1"/>
  <c r="C18" i="2"/>
  <c r="F16" i="2"/>
  <c r="E16" i="2"/>
  <c r="D16" i="2"/>
  <c r="G15" i="2"/>
  <c r="G14" i="2"/>
  <c r="G13" i="2"/>
  <c r="G12" i="2"/>
  <c r="G11" i="2"/>
  <c r="E18" i="2" l="1"/>
  <c r="H144" i="1" l="1"/>
  <c r="H9" i="2" s="1"/>
  <c r="H12" i="2" l="1"/>
  <c r="I12" i="2" s="1"/>
  <c r="I13" i="2"/>
  <c r="H11" i="2"/>
  <c r="I11" i="2" s="1"/>
  <c r="H15" i="2" l="1"/>
  <c r="I15" i="2" s="1"/>
  <c r="I110" i="1" l="1"/>
  <c r="G110" i="28" l="1"/>
  <c r="I110" i="28" s="1"/>
  <c r="G110" i="29" s="1"/>
  <c r="I110" i="29" s="1"/>
  <c r="G111" i="30" l="1"/>
  <c r="I111" i="30" s="1"/>
  <c r="G113" i="32" s="1"/>
  <c r="I113" i="32" s="1"/>
  <c r="G113" i="34" s="1"/>
  <c r="I113" i="34" s="1"/>
  <c r="G113" i="36" s="1"/>
  <c r="I113" i="36" s="1"/>
  <c r="G113" i="38" s="1"/>
  <c r="I113" i="38" s="1"/>
  <c r="G113" i="40" s="1"/>
  <c r="I113" i="40" s="1"/>
  <c r="G113" i="3" s="1"/>
  <c r="I113" i="3" s="1"/>
  <c r="G113" i="44" s="1"/>
  <c r="I113" i="44" s="1"/>
  <c r="G113" i="46" s="1"/>
  <c r="I113" i="46" s="1"/>
  <c r="G113" i="48" s="1"/>
  <c r="I113" i="48" s="1"/>
  <c r="I164" i="1"/>
  <c r="G164" i="28" s="1"/>
  <c r="H152" i="1" l="1"/>
  <c r="H10" i="2" l="1"/>
  <c r="I803" i="1"/>
  <c r="I257" i="1"/>
  <c r="G257" i="28" s="1"/>
  <c r="I170" i="1"/>
  <c r="G170" i="28" s="1"/>
  <c r="I169" i="1" l="1"/>
  <c r="G169" i="28" s="1"/>
  <c r="I154" i="1"/>
  <c r="G154" i="28" s="1"/>
  <c r="I155" i="1"/>
  <c r="G155" i="28" s="1"/>
  <c r="I156" i="1"/>
  <c r="G156" i="28" s="1"/>
  <c r="I157" i="1"/>
  <c r="G157" i="28" s="1"/>
  <c r="I158" i="1"/>
  <c r="G158" i="28" s="1"/>
  <c r="I159" i="1"/>
  <c r="I160" i="1"/>
  <c r="G160" i="28" s="1"/>
  <c r="I161" i="1"/>
  <c r="G161" i="28" s="1"/>
  <c r="I162" i="1"/>
  <c r="G162" i="28" s="1"/>
  <c r="I163" i="1"/>
  <c r="G163" i="28" s="1"/>
  <c r="I165" i="1"/>
  <c r="G165" i="28" s="1"/>
  <c r="I166" i="1"/>
  <c r="G166" i="28" s="1"/>
  <c r="I167" i="1"/>
  <c r="G167" i="28" s="1"/>
  <c r="I168" i="1"/>
  <c r="G168" i="28" s="1"/>
  <c r="I153" i="1"/>
  <c r="G153" i="28" s="1"/>
  <c r="G152" i="1"/>
  <c r="I146" i="1"/>
  <c r="G146" i="28" s="1"/>
  <c r="I146" i="28" s="1"/>
  <c r="G146" i="29" s="1"/>
  <c r="I146" i="29" s="1"/>
  <c r="I147" i="1"/>
  <c r="G147" i="28" s="1"/>
  <c r="I147" i="28" s="1"/>
  <c r="G147" i="29" s="1"/>
  <c r="I147" i="29" s="1"/>
  <c r="I148" i="1"/>
  <c r="G148" i="28" s="1"/>
  <c r="I148" i="28" s="1"/>
  <c r="G148" i="29" s="1"/>
  <c r="I148" i="29" s="1"/>
  <c r="I149" i="1"/>
  <c r="G149" i="28" s="1"/>
  <c r="I149" i="28" s="1"/>
  <c r="G149" i="29" s="1"/>
  <c r="I149" i="29" s="1"/>
  <c r="I150" i="1"/>
  <c r="G150" i="28" s="1"/>
  <c r="I150" i="28" s="1"/>
  <c r="G150" i="29" s="1"/>
  <c r="I150" i="29" s="1"/>
  <c r="I151" i="1"/>
  <c r="G151" i="28" s="1"/>
  <c r="I151" i="28" s="1"/>
  <c r="G151" i="29" s="1"/>
  <c r="I151" i="29" s="1"/>
  <c r="I145" i="1"/>
  <c r="G145" i="28" s="1"/>
  <c r="I142" i="1"/>
  <c r="G142" i="28" s="1"/>
  <c r="I142" i="28" s="1"/>
  <c r="G142" i="29" s="1"/>
  <c r="I142" i="29" s="1"/>
  <c r="G144" i="30" s="1"/>
  <c r="I140" i="1"/>
  <c r="G140" i="28" s="1"/>
  <c r="I140" i="28" s="1"/>
  <c r="G140" i="29" s="1"/>
  <c r="I140" i="29" s="1"/>
  <c r="I125" i="1"/>
  <c r="G125" i="28" s="1"/>
  <c r="I125" i="28" s="1"/>
  <c r="G125" i="29" s="1"/>
  <c r="I125" i="29" s="1"/>
  <c r="I124" i="1"/>
  <c r="G124" i="28" s="1"/>
  <c r="I124" i="28" s="1"/>
  <c r="G124" i="29" s="1"/>
  <c r="I124" i="29" s="1"/>
  <c r="G126" i="30" l="1"/>
  <c r="I126" i="30" s="1"/>
  <c r="G129" i="32" s="1"/>
  <c r="I129" i="32" s="1"/>
  <c r="G129" i="34" s="1"/>
  <c r="I129" i="34" s="1"/>
  <c r="G130" i="36" s="1"/>
  <c r="I130" i="36" s="1"/>
  <c r="G130" i="38" s="1"/>
  <c r="I130" i="38" s="1"/>
  <c r="G130" i="40" s="1"/>
  <c r="I130" i="40" s="1"/>
  <c r="G130" i="3" s="1"/>
  <c r="I130" i="3" s="1"/>
  <c r="G130" i="44" s="1"/>
  <c r="I130" i="44" s="1"/>
  <c r="G130" i="46" s="1"/>
  <c r="I130" i="46" s="1"/>
  <c r="G130" i="48" s="1"/>
  <c r="I130" i="48" s="1"/>
  <c r="G142" i="30"/>
  <c r="I142" i="30" s="1"/>
  <c r="G145" i="32" s="1"/>
  <c r="I145" i="32" s="1"/>
  <c r="G145" i="34" s="1"/>
  <c r="I145" i="34" s="1"/>
  <c r="G146" i="36" s="1"/>
  <c r="I146" i="36" s="1"/>
  <c r="G146" i="38" s="1"/>
  <c r="I146" i="38" s="1"/>
  <c r="G146" i="40" s="1"/>
  <c r="I146" i="40" s="1"/>
  <c r="G146" i="3" s="1"/>
  <c r="I146" i="3" s="1"/>
  <c r="G146" i="44" s="1"/>
  <c r="I146" i="44" s="1"/>
  <c r="G153" i="30"/>
  <c r="I153" i="30" s="1"/>
  <c r="G156" i="32" s="1"/>
  <c r="I156" i="32" s="1"/>
  <c r="G156" i="34" s="1"/>
  <c r="I156" i="34" s="1"/>
  <c r="G157" i="36" s="1"/>
  <c r="I157" i="36" s="1"/>
  <c r="G157" i="38" s="1"/>
  <c r="I157" i="38" s="1"/>
  <c r="G157" i="40" s="1"/>
  <c r="I157" i="40" s="1"/>
  <c r="G157" i="3" s="1"/>
  <c r="I157" i="3" s="1"/>
  <c r="G157" i="44" s="1"/>
  <c r="I157" i="44" s="1"/>
  <c r="G157" i="46" s="1"/>
  <c r="I157" i="46" s="1"/>
  <c r="G157" i="48" s="1"/>
  <c r="I157" i="48" s="1"/>
  <c r="G151" i="30"/>
  <c r="I151" i="30" s="1"/>
  <c r="G154" i="32" s="1"/>
  <c r="I154" i="32" s="1"/>
  <c r="G154" i="34" s="1"/>
  <c r="I154" i="34" s="1"/>
  <c r="G155" i="36" s="1"/>
  <c r="I155" i="36" s="1"/>
  <c r="G155" i="38" s="1"/>
  <c r="I155" i="38" s="1"/>
  <c r="G155" i="40" s="1"/>
  <c r="I155" i="40" s="1"/>
  <c r="G155" i="3" s="1"/>
  <c r="I155" i="3" s="1"/>
  <c r="G155" i="44" s="1"/>
  <c r="I155" i="44" s="1"/>
  <c r="G155" i="46" s="1"/>
  <c r="I155" i="46" s="1"/>
  <c r="G155" i="48" s="1"/>
  <c r="I155" i="48" s="1"/>
  <c r="G149" i="30"/>
  <c r="I149" i="30" s="1"/>
  <c r="G152" i="32" s="1"/>
  <c r="I152" i="32" s="1"/>
  <c r="G152" i="34" s="1"/>
  <c r="I152" i="34" s="1"/>
  <c r="G153" i="36" s="1"/>
  <c r="I153" i="36" s="1"/>
  <c r="G153" i="38" s="1"/>
  <c r="I153" i="38" s="1"/>
  <c r="G153" i="40" s="1"/>
  <c r="I153" i="40" s="1"/>
  <c r="G153" i="3" s="1"/>
  <c r="I153" i="3" s="1"/>
  <c r="G153" i="44" s="1"/>
  <c r="I153" i="44" s="1"/>
  <c r="G153" i="46" s="1"/>
  <c r="I153" i="46" s="1"/>
  <c r="G153" i="48" s="1"/>
  <c r="I153" i="48" s="1"/>
  <c r="G127" i="30"/>
  <c r="I127" i="30" s="1"/>
  <c r="G130" i="32" s="1"/>
  <c r="I130" i="32" s="1"/>
  <c r="G130" i="34" s="1"/>
  <c r="I130" i="34" s="1"/>
  <c r="G131" i="36" s="1"/>
  <c r="I131" i="36" s="1"/>
  <c r="G131" i="38" s="1"/>
  <c r="I131" i="38" s="1"/>
  <c r="G131" i="40" s="1"/>
  <c r="I131" i="40" s="1"/>
  <c r="G131" i="3" s="1"/>
  <c r="I131" i="3" s="1"/>
  <c r="G131" i="44" s="1"/>
  <c r="I131" i="44" s="1"/>
  <c r="G131" i="46" s="1"/>
  <c r="I131" i="46" s="1"/>
  <c r="G131" i="48" s="1"/>
  <c r="I131" i="48" s="1"/>
  <c r="G154" i="30"/>
  <c r="I154" i="30" s="1"/>
  <c r="G157" i="32" s="1"/>
  <c r="I157" i="32" s="1"/>
  <c r="G157" i="34" s="1"/>
  <c r="I157" i="34" s="1"/>
  <c r="G158" i="36" s="1"/>
  <c r="I158" i="36" s="1"/>
  <c r="G158" i="38" s="1"/>
  <c r="I158" i="38" s="1"/>
  <c r="G158" i="40" s="1"/>
  <c r="I158" i="40" s="1"/>
  <c r="G158" i="3" s="1"/>
  <c r="I158" i="3" s="1"/>
  <c r="G158" i="44" s="1"/>
  <c r="I158" i="44" s="1"/>
  <c r="G158" i="46" s="1"/>
  <c r="I158" i="46" s="1"/>
  <c r="G158" i="48" s="1"/>
  <c r="I158" i="48" s="1"/>
  <c r="G152" i="30"/>
  <c r="I152" i="30" s="1"/>
  <c r="G155" i="32" s="1"/>
  <c r="I155" i="32" s="1"/>
  <c r="G155" i="34" s="1"/>
  <c r="I155" i="34" s="1"/>
  <c r="G156" i="36" s="1"/>
  <c r="I156" i="36" s="1"/>
  <c r="G156" i="38" s="1"/>
  <c r="I156" i="38" s="1"/>
  <c r="G156" i="40" s="1"/>
  <c r="I156" i="40" s="1"/>
  <c r="G156" i="3" s="1"/>
  <c r="I156" i="3" s="1"/>
  <c r="G156" i="44" s="1"/>
  <c r="I156" i="44" s="1"/>
  <c r="G156" i="46" s="1"/>
  <c r="I156" i="46" s="1"/>
  <c r="G156" i="48" s="1"/>
  <c r="I156" i="48" s="1"/>
  <c r="G150" i="30"/>
  <c r="I150" i="30" s="1"/>
  <c r="G153" i="32" s="1"/>
  <c r="I153" i="32" s="1"/>
  <c r="G153" i="34" s="1"/>
  <c r="I153" i="34" s="1"/>
  <c r="G154" i="36" s="1"/>
  <c r="I154" i="36" s="1"/>
  <c r="G154" i="38" s="1"/>
  <c r="I154" i="38" s="1"/>
  <c r="G154" i="40" s="1"/>
  <c r="I154" i="40" s="1"/>
  <c r="G154" i="3" s="1"/>
  <c r="I154" i="3" s="1"/>
  <c r="G154" i="44" s="1"/>
  <c r="I154" i="44" s="1"/>
  <c r="G154" i="46" s="1"/>
  <c r="I154" i="46" s="1"/>
  <c r="G154" i="48" s="1"/>
  <c r="I154" i="48" s="1"/>
  <c r="I144" i="30"/>
  <c r="G147" i="32" s="1"/>
  <c r="I147" i="32" s="1"/>
  <c r="G147" i="34" s="1"/>
  <c r="I147" i="34" s="1"/>
  <c r="G148" i="36" s="1"/>
  <c r="I148" i="36" s="1"/>
  <c r="G148" i="38" s="1"/>
  <c r="I148" i="38" s="1"/>
  <c r="G148" i="40" s="1"/>
  <c r="I148" i="40" s="1"/>
  <c r="G148" i="3" s="1"/>
  <c r="I148" i="3" s="1"/>
  <c r="G148" i="44" s="1"/>
  <c r="I148" i="44" s="1"/>
  <c r="I145" i="28"/>
  <c r="G145" i="29" s="1"/>
  <c r="I145" i="29" s="1"/>
  <c r="G148" i="30" s="1"/>
  <c r="I148" i="30" s="1"/>
  <c r="G151" i="32" s="1"/>
  <c r="I151" i="32" s="1"/>
  <c r="G151" i="34" s="1"/>
  <c r="I151" i="34" s="1"/>
  <c r="G152" i="36" s="1"/>
  <c r="I152" i="36" s="1"/>
  <c r="G152" i="38" s="1"/>
  <c r="I152" i="38" s="1"/>
  <c r="G152" i="40" s="1"/>
  <c r="G152" i="28"/>
  <c r="G159" i="28"/>
  <c r="G400" i="28" s="1"/>
  <c r="C11" i="5" s="1"/>
  <c r="G11" i="5" s="1"/>
  <c r="I11" i="5" s="1"/>
  <c r="C10" i="2"/>
  <c r="G10" i="2" s="1"/>
  <c r="I10" i="2" s="1"/>
  <c r="I400" i="1"/>
  <c r="I152" i="1"/>
  <c r="G144" i="1"/>
  <c r="C9" i="2" s="1"/>
  <c r="G9" i="2" s="1"/>
  <c r="I9" i="2" s="1"/>
  <c r="I143" i="1"/>
  <c r="G143" i="28" s="1"/>
  <c r="I143" i="28" s="1"/>
  <c r="G143" i="29" s="1"/>
  <c r="I143" i="29" s="1"/>
  <c r="G145" i="30" s="1"/>
  <c r="I145" i="30" s="1"/>
  <c r="G148" i="32" s="1"/>
  <c r="I148" i="32" s="1"/>
  <c r="G148" i="34" s="1"/>
  <c r="I148" i="34" s="1"/>
  <c r="G149" i="36" s="1"/>
  <c r="I149" i="36" s="1"/>
  <c r="G149" i="38" s="1"/>
  <c r="I149" i="38" s="1"/>
  <c r="G149" i="40" s="1"/>
  <c r="I149" i="40" s="1"/>
  <c r="G149" i="3" s="1"/>
  <c r="I149" i="3" s="1"/>
  <c r="G149" i="44" s="1"/>
  <c r="I149" i="44" s="1"/>
  <c r="I141" i="1"/>
  <c r="G141" i="28" s="1"/>
  <c r="I141" i="28" s="1"/>
  <c r="G141" i="29" s="1"/>
  <c r="I141" i="29" s="1"/>
  <c r="I139" i="1"/>
  <c r="G139" i="28" s="1"/>
  <c r="I139" i="28" s="1"/>
  <c r="G139" i="29" s="1"/>
  <c r="I139" i="29" s="1"/>
  <c r="I138" i="1"/>
  <c r="G138" i="28" s="1"/>
  <c r="I138" i="28" s="1"/>
  <c r="G138" i="29" s="1"/>
  <c r="I138" i="29" s="1"/>
  <c r="I137" i="1"/>
  <c r="G137" i="28" s="1"/>
  <c r="I137" i="28" s="1"/>
  <c r="G137" i="29" s="1"/>
  <c r="I137" i="29" s="1"/>
  <c r="I135" i="1"/>
  <c r="G135" i="28" s="1"/>
  <c r="I135" i="28" s="1"/>
  <c r="G135" i="29" s="1"/>
  <c r="I135" i="29" s="1"/>
  <c r="I133" i="1"/>
  <c r="H132" i="1"/>
  <c r="G132" i="1"/>
  <c r="C8" i="2" s="1"/>
  <c r="G8" i="2" s="1"/>
  <c r="I131" i="1"/>
  <c r="G131" i="28" s="1"/>
  <c r="I131" i="28" s="1"/>
  <c r="G131" i="29" s="1"/>
  <c r="I131" i="29" s="1"/>
  <c r="I130" i="1"/>
  <c r="G130" i="28" s="1"/>
  <c r="I130" i="28" s="1"/>
  <c r="G130" i="29" s="1"/>
  <c r="I130" i="29" s="1"/>
  <c r="I129" i="1"/>
  <c r="G129" i="28" s="1"/>
  <c r="I129" i="28" s="1"/>
  <c r="G129" i="29" s="1"/>
  <c r="I129" i="29" s="1"/>
  <c r="I128" i="1"/>
  <c r="G128" i="28" s="1"/>
  <c r="I128" i="28" s="1"/>
  <c r="G128" i="29" s="1"/>
  <c r="I128" i="29" s="1"/>
  <c r="I127" i="1"/>
  <c r="G127" i="28" s="1"/>
  <c r="I127" i="28" s="1"/>
  <c r="G127" i="29" s="1"/>
  <c r="I127" i="29" s="1"/>
  <c r="I123" i="1"/>
  <c r="G123" i="28" s="1"/>
  <c r="I123" i="28" s="1"/>
  <c r="G123" i="29" s="1"/>
  <c r="I123" i="29" s="1"/>
  <c r="I122" i="1"/>
  <c r="G121" i="1"/>
  <c r="C7" i="2" s="1"/>
  <c r="G7" i="2" s="1"/>
  <c r="I120" i="1"/>
  <c r="G120" i="28" s="1"/>
  <c r="I120" i="28" s="1"/>
  <c r="G120" i="29" s="1"/>
  <c r="I120" i="29" s="1"/>
  <c r="I119" i="1"/>
  <c r="G119" i="28" s="1"/>
  <c r="I119" i="28" s="1"/>
  <c r="G119" i="29" s="1"/>
  <c r="I119" i="29" s="1"/>
  <c r="I118" i="1"/>
  <c r="G118" i="28" s="1"/>
  <c r="I118" i="28" s="1"/>
  <c r="G118" i="29" s="1"/>
  <c r="I118" i="29" s="1"/>
  <c r="I117" i="1"/>
  <c r="G117" i="28" s="1"/>
  <c r="I117" i="28" s="1"/>
  <c r="G117" i="29" s="1"/>
  <c r="I117" i="29" s="1"/>
  <c r="I116" i="1"/>
  <c r="G116" i="28" s="1"/>
  <c r="I116" i="28" s="1"/>
  <c r="G116" i="29" s="1"/>
  <c r="I116" i="29" s="1"/>
  <c r="I115" i="1"/>
  <c r="G115" i="28" s="1"/>
  <c r="I115" i="28" s="1"/>
  <c r="G115" i="29" s="1"/>
  <c r="I115" i="29" s="1"/>
  <c r="I114" i="1"/>
  <c r="G114" i="28" s="1"/>
  <c r="I114" i="28" s="1"/>
  <c r="G114" i="29" s="1"/>
  <c r="I114" i="29" s="1"/>
  <c r="I113" i="1"/>
  <c r="G113" i="28" s="1"/>
  <c r="I113" i="28" s="1"/>
  <c r="G113" i="29" s="1"/>
  <c r="I113" i="29" s="1"/>
  <c r="I112" i="1"/>
  <c r="G112" i="28" s="1"/>
  <c r="I112" i="28" s="1"/>
  <c r="G112" i="29" s="1"/>
  <c r="I112" i="29" s="1"/>
  <c r="I111" i="1"/>
  <c r="I109" i="1"/>
  <c r="I108" i="1"/>
  <c r="I107" i="1"/>
  <c r="I106" i="1"/>
  <c r="I104" i="1"/>
  <c r="G104" i="28" s="1"/>
  <c r="I104" i="28" s="1"/>
  <c r="G104" i="29" s="1"/>
  <c r="I104" i="29" s="1"/>
  <c r="H121" i="1"/>
  <c r="H7" i="2" s="1"/>
  <c r="I102" i="1"/>
  <c r="G102" i="28" s="1"/>
  <c r="I102" i="28" s="1"/>
  <c r="G102" i="29" s="1"/>
  <c r="I102" i="29" s="1"/>
  <c r="I101" i="1"/>
  <c r="G101" i="28" s="1"/>
  <c r="G100" i="1"/>
  <c r="C6" i="2" s="1"/>
  <c r="G6" i="2" s="1"/>
  <c r="I99" i="1"/>
  <c r="I98" i="1"/>
  <c r="I97" i="1"/>
  <c r="I96" i="1"/>
  <c r="I90" i="1"/>
  <c r="I89" i="1"/>
  <c r="I88" i="1"/>
  <c r="I87" i="1"/>
  <c r="I86" i="1"/>
  <c r="I85" i="1"/>
  <c r="I84" i="1"/>
  <c r="I83" i="1"/>
  <c r="I82" i="1"/>
  <c r="I81" i="1"/>
  <c r="I80" i="1"/>
  <c r="I79" i="1"/>
  <c r="I78" i="1"/>
  <c r="I77" i="1"/>
  <c r="I76" i="1"/>
  <c r="I74" i="1"/>
  <c r="H73" i="1"/>
  <c r="H5" i="2" s="1"/>
  <c r="G73" i="1"/>
  <c r="C5" i="2" s="1"/>
  <c r="G5" i="2" s="1"/>
  <c r="I72" i="1"/>
  <c r="G72" i="28" s="1"/>
  <c r="I72" i="28" s="1"/>
  <c r="G72" i="29" s="1"/>
  <c r="I72" i="29" s="1"/>
  <c r="G73" i="30" s="1"/>
  <c r="I73" i="30" s="1"/>
  <c r="G73" i="32" s="1"/>
  <c r="I73" i="32" s="1"/>
  <c r="I71" i="1"/>
  <c r="G71" i="28" s="1"/>
  <c r="I71" i="28" s="1"/>
  <c r="G71" i="29" s="1"/>
  <c r="I71" i="29" s="1"/>
  <c r="G72" i="30" s="1"/>
  <c r="I72" i="30" s="1"/>
  <c r="G72" i="32" s="1"/>
  <c r="I72" i="32" s="1"/>
  <c r="I70" i="1"/>
  <c r="G70" i="28" s="1"/>
  <c r="I70" i="28" s="1"/>
  <c r="G70" i="29" s="1"/>
  <c r="I70" i="29" s="1"/>
  <c r="G71" i="30" s="1"/>
  <c r="I71" i="30" s="1"/>
  <c r="G71" i="32" s="1"/>
  <c r="I71" i="32" s="1"/>
  <c r="I69" i="1"/>
  <c r="G69" i="28" s="1"/>
  <c r="I69" i="28" s="1"/>
  <c r="G69" i="29" s="1"/>
  <c r="I69" i="29" s="1"/>
  <c r="G70" i="30" s="1"/>
  <c r="I70" i="30" s="1"/>
  <c r="G70" i="32" s="1"/>
  <c r="I70" i="32" s="1"/>
  <c r="I68" i="1"/>
  <c r="G68" i="28" s="1"/>
  <c r="I68" i="28" s="1"/>
  <c r="G68" i="29" s="1"/>
  <c r="I68" i="29" s="1"/>
  <c r="G69" i="30" s="1"/>
  <c r="I69" i="30" s="1"/>
  <c r="G69" i="32" s="1"/>
  <c r="I69" i="32" s="1"/>
  <c r="I67" i="1"/>
  <c r="G67" i="28" s="1"/>
  <c r="I67" i="28" s="1"/>
  <c r="G67" i="29" s="1"/>
  <c r="I67" i="29" s="1"/>
  <c r="G68" i="30" s="1"/>
  <c r="I68" i="30" s="1"/>
  <c r="G68" i="32" s="1"/>
  <c r="I68" i="32" s="1"/>
  <c r="I66" i="1"/>
  <c r="G66" i="28" s="1"/>
  <c r="I66" i="28" s="1"/>
  <c r="G66" i="29" s="1"/>
  <c r="I66" i="29" s="1"/>
  <c r="G67" i="30" s="1"/>
  <c r="I67" i="30" s="1"/>
  <c r="G67" i="32" s="1"/>
  <c r="I67" i="32" s="1"/>
  <c r="I65" i="1"/>
  <c r="G65" i="28" s="1"/>
  <c r="I65" i="28" s="1"/>
  <c r="G65" i="29" s="1"/>
  <c r="I65" i="29" s="1"/>
  <c r="G66" i="30" s="1"/>
  <c r="I66" i="30" s="1"/>
  <c r="G66" i="32" s="1"/>
  <c r="I66" i="32" s="1"/>
  <c r="I64" i="1"/>
  <c r="G64" i="28" s="1"/>
  <c r="I64" i="28" s="1"/>
  <c r="G64" i="29" s="1"/>
  <c r="I64" i="29" s="1"/>
  <c r="G65" i="30" s="1"/>
  <c r="I65" i="30" s="1"/>
  <c r="G65" i="32" s="1"/>
  <c r="I65" i="32" s="1"/>
  <c r="I63" i="1"/>
  <c r="G63" i="28" s="1"/>
  <c r="I63" i="28" s="1"/>
  <c r="G63" i="29" s="1"/>
  <c r="I63" i="29" s="1"/>
  <c r="G64" i="30" s="1"/>
  <c r="I64" i="30" s="1"/>
  <c r="G64" i="32" s="1"/>
  <c r="I64" i="32" s="1"/>
  <c r="I61" i="1"/>
  <c r="G61" i="28" s="1"/>
  <c r="I61" i="28" s="1"/>
  <c r="G61" i="29" s="1"/>
  <c r="I61" i="29" s="1"/>
  <c r="G62" i="30" s="1"/>
  <c r="I62" i="30" s="1"/>
  <c r="G62" i="32" s="1"/>
  <c r="I62" i="32" s="1"/>
  <c r="G62" i="34" s="1"/>
  <c r="G60" i="1"/>
  <c r="C4" i="2" s="1"/>
  <c r="I59" i="1"/>
  <c r="G59" i="28" s="1"/>
  <c r="I59" i="28" s="1"/>
  <c r="G59" i="29" s="1"/>
  <c r="I59" i="29" s="1"/>
  <c r="G60" i="30" s="1"/>
  <c r="I60" i="30" s="1"/>
  <c r="G60" i="32" s="1"/>
  <c r="I60" i="32" s="1"/>
  <c r="G60" i="34" s="1"/>
  <c r="I60" i="34" s="1"/>
  <c r="G60" i="36" s="1"/>
  <c r="I60" i="36" s="1"/>
  <c r="G60" i="38" s="1"/>
  <c r="I60" i="38" s="1"/>
  <c r="G60" i="40" s="1"/>
  <c r="I60" i="40" s="1"/>
  <c r="G60" i="3" s="1"/>
  <c r="I60" i="3" s="1"/>
  <c r="G60" i="44" s="1"/>
  <c r="I60" i="44" s="1"/>
  <c r="G60" i="46" s="1"/>
  <c r="I60" i="46" s="1"/>
  <c r="G60" i="48" s="1"/>
  <c r="I60" i="48" s="1"/>
  <c r="I58" i="1"/>
  <c r="G58" i="28" s="1"/>
  <c r="I58" i="28" s="1"/>
  <c r="G58" i="29" s="1"/>
  <c r="I58" i="29" s="1"/>
  <c r="G59" i="30" s="1"/>
  <c r="I59" i="30" s="1"/>
  <c r="G59" i="32" s="1"/>
  <c r="I59" i="32" s="1"/>
  <c r="G59" i="34" s="1"/>
  <c r="I59" i="34" s="1"/>
  <c r="G59" i="36" s="1"/>
  <c r="I59" i="36" s="1"/>
  <c r="G59" i="38" s="1"/>
  <c r="I59" i="38" s="1"/>
  <c r="G59" i="40" s="1"/>
  <c r="I59" i="40" s="1"/>
  <c r="G59" i="3" s="1"/>
  <c r="I59" i="3" s="1"/>
  <c r="G59" i="44" s="1"/>
  <c r="I59" i="44" s="1"/>
  <c r="G59" i="46" s="1"/>
  <c r="I59" i="46" s="1"/>
  <c r="G59" i="48" s="1"/>
  <c r="I59" i="48" s="1"/>
  <c r="I57" i="1"/>
  <c r="G57" i="28" s="1"/>
  <c r="I57" i="28" s="1"/>
  <c r="G57" i="29" s="1"/>
  <c r="I57" i="29" s="1"/>
  <c r="G58" i="30" s="1"/>
  <c r="I58" i="30" s="1"/>
  <c r="G58" i="32" s="1"/>
  <c r="I58" i="32" s="1"/>
  <c r="G58" i="34" s="1"/>
  <c r="I58" i="34" s="1"/>
  <c r="G58" i="36" s="1"/>
  <c r="I58" i="36" s="1"/>
  <c r="G58" i="38" s="1"/>
  <c r="I58" i="38" s="1"/>
  <c r="G58" i="40" s="1"/>
  <c r="I58" i="40" s="1"/>
  <c r="G58" i="3" s="1"/>
  <c r="I58" i="3" s="1"/>
  <c r="G58" i="44" s="1"/>
  <c r="I58" i="44" s="1"/>
  <c r="G58" i="46" s="1"/>
  <c r="I58" i="46" s="1"/>
  <c r="G58" i="48" s="1"/>
  <c r="I58" i="48" s="1"/>
  <c r="I56" i="1"/>
  <c r="G56" i="28" s="1"/>
  <c r="I56" i="28" s="1"/>
  <c r="G56" i="29" s="1"/>
  <c r="I56" i="29" s="1"/>
  <c r="G57" i="30" s="1"/>
  <c r="I57" i="30" s="1"/>
  <c r="G57" i="32" s="1"/>
  <c r="I57" i="32" s="1"/>
  <c r="G57" i="34" s="1"/>
  <c r="I57" i="34" s="1"/>
  <c r="G57" i="36" s="1"/>
  <c r="I57" i="36" s="1"/>
  <c r="G57" i="38" s="1"/>
  <c r="I57" i="38" s="1"/>
  <c r="G57" i="40" s="1"/>
  <c r="I57" i="40" s="1"/>
  <c r="G57" i="3" s="1"/>
  <c r="I57" i="3" s="1"/>
  <c r="G57" i="44" s="1"/>
  <c r="I57" i="44" s="1"/>
  <c r="G57" i="46" s="1"/>
  <c r="I57" i="46" s="1"/>
  <c r="G57" i="48" s="1"/>
  <c r="I57" i="48" s="1"/>
  <c r="I54" i="1"/>
  <c r="G54" i="28" s="1"/>
  <c r="I54" i="28" s="1"/>
  <c r="G54" i="29" s="1"/>
  <c r="I54" i="29" s="1"/>
  <c r="G55" i="30" s="1"/>
  <c r="I55" i="30" s="1"/>
  <c r="G55" i="32" s="1"/>
  <c r="I55" i="32" s="1"/>
  <c r="G55" i="34" s="1"/>
  <c r="I55" i="34" s="1"/>
  <c r="G55" i="36" s="1"/>
  <c r="I55" i="36" s="1"/>
  <c r="G55" i="38" s="1"/>
  <c r="I55" i="38" s="1"/>
  <c r="G55" i="40" s="1"/>
  <c r="I55" i="40" s="1"/>
  <c r="G55" i="3" s="1"/>
  <c r="I55" i="3" s="1"/>
  <c r="G55" i="44" s="1"/>
  <c r="I55" i="44" s="1"/>
  <c r="G55" i="46" s="1"/>
  <c r="I55" i="46" s="1"/>
  <c r="G55" i="48" s="1"/>
  <c r="I55" i="48" s="1"/>
  <c r="I53" i="1"/>
  <c r="G53" i="28" s="1"/>
  <c r="I53" i="28" s="1"/>
  <c r="G53" i="29" s="1"/>
  <c r="I53" i="29" s="1"/>
  <c r="G54" i="30" s="1"/>
  <c r="I54" i="30" s="1"/>
  <c r="G54" i="32" s="1"/>
  <c r="I54" i="32" s="1"/>
  <c r="G54" i="34" s="1"/>
  <c r="I54" i="34" s="1"/>
  <c r="G54" i="36" s="1"/>
  <c r="I54" i="36" s="1"/>
  <c r="G54" i="38" s="1"/>
  <c r="I54" i="38" s="1"/>
  <c r="G54" i="40" s="1"/>
  <c r="I54" i="40" s="1"/>
  <c r="G54" i="3" s="1"/>
  <c r="I54" i="3" s="1"/>
  <c r="G54" i="44" s="1"/>
  <c r="I54" i="44" s="1"/>
  <c r="G54" i="46" s="1"/>
  <c r="I54" i="46" s="1"/>
  <c r="G54" i="48" s="1"/>
  <c r="I54" i="48" s="1"/>
  <c r="I52" i="1"/>
  <c r="G52" i="28" s="1"/>
  <c r="I52" i="28" s="1"/>
  <c r="G52" i="29" s="1"/>
  <c r="I52" i="29" s="1"/>
  <c r="G53" i="30" s="1"/>
  <c r="I53" i="30" s="1"/>
  <c r="G53" i="32" s="1"/>
  <c r="I53" i="32" s="1"/>
  <c r="G53" i="34" s="1"/>
  <c r="I53" i="34" s="1"/>
  <c r="G53" i="36" s="1"/>
  <c r="I53" i="36" s="1"/>
  <c r="G53" i="38" s="1"/>
  <c r="I53" i="38" s="1"/>
  <c r="G53" i="40" s="1"/>
  <c r="I53" i="40" s="1"/>
  <c r="G53" i="3" s="1"/>
  <c r="I53" i="3" s="1"/>
  <c r="G53" i="44" s="1"/>
  <c r="I53" i="44" s="1"/>
  <c r="G53" i="46" s="1"/>
  <c r="I53" i="46" s="1"/>
  <c r="G53" i="48" s="1"/>
  <c r="I53" i="48" s="1"/>
  <c r="I51" i="1"/>
  <c r="G51" i="28" s="1"/>
  <c r="I51" i="28" s="1"/>
  <c r="G51" i="29" s="1"/>
  <c r="I51" i="29" s="1"/>
  <c r="G52" i="30" s="1"/>
  <c r="I52" i="30" s="1"/>
  <c r="G52" i="32" s="1"/>
  <c r="I52" i="32" s="1"/>
  <c r="G52" i="34" s="1"/>
  <c r="I52" i="34" s="1"/>
  <c r="G52" i="36" s="1"/>
  <c r="I52" i="36" s="1"/>
  <c r="G52" i="38" s="1"/>
  <c r="I52" i="38" s="1"/>
  <c r="G52" i="40" s="1"/>
  <c r="I52" i="40" s="1"/>
  <c r="G52" i="3" s="1"/>
  <c r="I52" i="3" s="1"/>
  <c r="G52" i="44" s="1"/>
  <c r="I52" i="44" s="1"/>
  <c r="G52" i="46" s="1"/>
  <c r="I52" i="46" s="1"/>
  <c r="G52" i="48" s="1"/>
  <c r="I52" i="48" s="1"/>
  <c r="I50" i="1"/>
  <c r="G50" i="28" s="1"/>
  <c r="I50" i="28" s="1"/>
  <c r="G50" i="29" s="1"/>
  <c r="I50" i="29" s="1"/>
  <c r="G51" i="30" s="1"/>
  <c r="I51" i="30" s="1"/>
  <c r="G51" i="32" s="1"/>
  <c r="I51" i="32" s="1"/>
  <c r="G51" i="34" s="1"/>
  <c r="I51" i="34" s="1"/>
  <c r="G51" i="36" s="1"/>
  <c r="I51" i="36" s="1"/>
  <c r="G51" i="38" s="1"/>
  <c r="I51" i="38" s="1"/>
  <c r="G51" i="40" s="1"/>
  <c r="I51" i="40" s="1"/>
  <c r="G51" i="3" s="1"/>
  <c r="I51" i="3" s="1"/>
  <c r="G51" i="44" s="1"/>
  <c r="I51" i="44" s="1"/>
  <c r="G51" i="46" s="1"/>
  <c r="I51" i="46" s="1"/>
  <c r="G51" i="48" s="1"/>
  <c r="I51" i="48" s="1"/>
  <c r="I49" i="1"/>
  <c r="G49" i="28" s="1"/>
  <c r="I49" i="28" s="1"/>
  <c r="G49" i="29" s="1"/>
  <c r="I49" i="29" s="1"/>
  <c r="G50" i="30" s="1"/>
  <c r="I50" i="30" s="1"/>
  <c r="G50" i="32" s="1"/>
  <c r="I50" i="32" s="1"/>
  <c r="G50" i="34" s="1"/>
  <c r="I50" i="34" s="1"/>
  <c r="G50" i="36" s="1"/>
  <c r="I50" i="36" s="1"/>
  <c r="G50" i="38" s="1"/>
  <c r="I50" i="38" s="1"/>
  <c r="G50" i="40" s="1"/>
  <c r="I50" i="40" s="1"/>
  <c r="G50" i="3" s="1"/>
  <c r="I50" i="3" s="1"/>
  <c r="G50" i="44" s="1"/>
  <c r="I50" i="44" s="1"/>
  <c r="G50" i="46" s="1"/>
  <c r="I50" i="46" s="1"/>
  <c r="G50" i="48" s="1"/>
  <c r="I50" i="48" s="1"/>
  <c r="I48" i="1"/>
  <c r="G48" i="28" s="1"/>
  <c r="I48" i="28" s="1"/>
  <c r="G48" i="29" s="1"/>
  <c r="I48" i="29" s="1"/>
  <c r="G49" i="30" s="1"/>
  <c r="I49" i="30" s="1"/>
  <c r="G49" i="32" s="1"/>
  <c r="I49" i="32" s="1"/>
  <c r="G49" i="34" s="1"/>
  <c r="I49" i="34" s="1"/>
  <c r="G49" i="36" s="1"/>
  <c r="I49" i="36" s="1"/>
  <c r="G49" i="38" s="1"/>
  <c r="I49" i="38" s="1"/>
  <c r="G49" i="40" s="1"/>
  <c r="I49" i="40" s="1"/>
  <c r="G49" i="3" s="1"/>
  <c r="I49" i="3" s="1"/>
  <c r="G49" i="44" s="1"/>
  <c r="I49" i="44" s="1"/>
  <c r="G49" i="46" s="1"/>
  <c r="I49" i="46" s="1"/>
  <c r="G49" i="48" s="1"/>
  <c r="I49" i="48" s="1"/>
  <c r="I47" i="1"/>
  <c r="G47" i="28" s="1"/>
  <c r="I47" i="28" s="1"/>
  <c r="G47" i="29" s="1"/>
  <c r="I47" i="29" s="1"/>
  <c r="G48" i="30" s="1"/>
  <c r="I48" i="30" s="1"/>
  <c r="G48" i="32" s="1"/>
  <c r="I48" i="32" s="1"/>
  <c r="G48" i="34" s="1"/>
  <c r="I48" i="34" s="1"/>
  <c r="G48" i="36" s="1"/>
  <c r="I48" i="36" s="1"/>
  <c r="G48" i="38" s="1"/>
  <c r="I48" i="38" s="1"/>
  <c r="G48" i="40" s="1"/>
  <c r="I48" i="40" s="1"/>
  <c r="G48" i="3" s="1"/>
  <c r="I48" i="3" s="1"/>
  <c r="G48" i="44" s="1"/>
  <c r="I48" i="44" s="1"/>
  <c r="G48" i="46" s="1"/>
  <c r="I48" i="46" s="1"/>
  <c r="G48" i="48" s="1"/>
  <c r="I48" i="48" s="1"/>
  <c r="I46" i="1"/>
  <c r="G46" i="28" s="1"/>
  <c r="I46" i="28" s="1"/>
  <c r="G46" i="29" s="1"/>
  <c r="I46" i="29" s="1"/>
  <c r="G47" i="30" s="1"/>
  <c r="I47" i="30" s="1"/>
  <c r="G47" i="32" s="1"/>
  <c r="I47" i="32" s="1"/>
  <c r="G47" i="34" s="1"/>
  <c r="I47" i="34" s="1"/>
  <c r="G47" i="36" s="1"/>
  <c r="I47" i="36" s="1"/>
  <c r="G47" i="38" s="1"/>
  <c r="I47" i="38" s="1"/>
  <c r="G47" i="40" s="1"/>
  <c r="I47" i="40" s="1"/>
  <c r="G47" i="3" s="1"/>
  <c r="I47" i="3" s="1"/>
  <c r="G47" i="44" s="1"/>
  <c r="I47" i="44" s="1"/>
  <c r="G47" i="46" s="1"/>
  <c r="I47" i="46" s="1"/>
  <c r="G47" i="48" s="1"/>
  <c r="I47" i="48" s="1"/>
  <c r="I45" i="1"/>
  <c r="G45" i="28" s="1"/>
  <c r="I45" i="28" s="1"/>
  <c r="G45" i="29" s="1"/>
  <c r="I45" i="29" s="1"/>
  <c r="G46" i="30" s="1"/>
  <c r="I46" i="30" s="1"/>
  <c r="G46" i="32" s="1"/>
  <c r="I46" i="32" s="1"/>
  <c r="G46" i="34" s="1"/>
  <c r="I46" i="34" s="1"/>
  <c r="G46" i="36" s="1"/>
  <c r="I46" i="36" s="1"/>
  <c r="G46" i="38" s="1"/>
  <c r="I46" i="38" s="1"/>
  <c r="G46" i="40" s="1"/>
  <c r="I46" i="40" s="1"/>
  <c r="G46" i="3" s="1"/>
  <c r="I46" i="3" s="1"/>
  <c r="G46" i="44" s="1"/>
  <c r="I46" i="44" s="1"/>
  <c r="G46" i="46" s="1"/>
  <c r="I46" i="46" s="1"/>
  <c r="G46" i="48" s="1"/>
  <c r="I46" i="48" s="1"/>
  <c r="I44" i="1"/>
  <c r="G44" i="28" s="1"/>
  <c r="I44" i="28" s="1"/>
  <c r="G44" i="29" s="1"/>
  <c r="I44" i="29" s="1"/>
  <c r="G45" i="30" s="1"/>
  <c r="I45" i="30" s="1"/>
  <c r="G45" i="32" s="1"/>
  <c r="I45" i="32" s="1"/>
  <c r="G45" i="34" s="1"/>
  <c r="I45" i="34" s="1"/>
  <c r="G45" i="36" s="1"/>
  <c r="I45" i="36" s="1"/>
  <c r="G45" i="38" s="1"/>
  <c r="I45" i="38" s="1"/>
  <c r="G45" i="40" s="1"/>
  <c r="I45" i="40" s="1"/>
  <c r="G45" i="3" s="1"/>
  <c r="I45" i="3" s="1"/>
  <c r="G45" i="44" s="1"/>
  <c r="I45" i="44" s="1"/>
  <c r="G45" i="46" s="1"/>
  <c r="I45" i="46" s="1"/>
  <c r="G45" i="48" s="1"/>
  <c r="I45" i="48" s="1"/>
  <c r="I43" i="1"/>
  <c r="G43" i="28" s="1"/>
  <c r="I43" i="28" s="1"/>
  <c r="G43" i="29" s="1"/>
  <c r="I43" i="29" s="1"/>
  <c r="G44" i="30" s="1"/>
  <c r="I44" i="30" s="1"/>
  <c r="G44" i="32" s="1"/>
  <c r="I44" i="32" s="1"/>
  <c r="G44" i="34" s="1"/>
  <c r="I44" i="34" s="1"/>
  <c r="G44" i="36" s="1"/>
  <c r="I44" i="36" s="1"/>
  <c r="G44" i="38" s="1"/>
  <c r="I44" i="38" s="1"/>
  <c r="G44" i="40" s="1"/>
  <c r="I44" i="40" s="1"/>
  <c r="G44" i="3" s="1"/>
  <c r="I44" i="3" s="1"/>
  <c r="G44" i="44" s="1"/>
  <c r="I44" i="44" s="1"/>
  <c r="G44" i="46" s="1"/>
  <c r="I44" i="46" s="1"/>
  <c r="G44" i="48" s="1"/>
  <c r="I44" i="48" s="1"/>
  <c r="I42" i="1"/>
  <c r="G42" i="28" s="1"/>
  <c r="I42" i="28" s="1"/>
  <c r="G42" i="29" s="1"/>
  <c r="I42" i="29" s="1"/>
  <c r="G43" i="30" s="1"/>
  <c r="I43" i="30" s="1"/>
  <c r="G43" i="32" s="1"/>
  <c r="I43" i="32" s="1"/>
  <c r="G43" i="34" s="1"/>
  <c r="I43" i="34" s="1"/>
  <c r="G43" i="36" s="1"/>
  <c r="I43" i="36" s="1"/>
  <c r="G43" i="38" s="1"/>
  <c r="I43" i="38" s="1"/>
  <c r="G43" i="40" s="1"/>
  <c r="I43" i="40" s="1"/>
  <c r="G43" i="3" s="1"/>
  <c r="I43" i="3" s="1"/>
  <c r="G43" i="44" s="1"/>
  <c r="I43" i="44" s="1"/>
  <c r="G43" i="46" s="1"/>
  <c r="I43" i="46" s="1"/>
  <c r="G43" i="48" s="1"/>
  <c r="I43" i="48" s="1"/>
  <c r="I41" i="1"/>
  <c r="G41" i="28" s="1"/>
  <c r="I41" i="28" s="1"/>
  <c r="G41" i="29" s="1"/>
  <c r="I41" i="29" s="1"/>
  <c r="G42" i="30" s="1"/>
  <c r="I42" i="30" s="1"/>
  <c r="G42" i="32" s="1"/>
  <c r="I42" i="32" s="1"/>
  <c r="G42" i="34" s="1"/>
  <c r="I42" i="34" s="1"/>
  <c r="G42" i="36" s="1"/>
  <c r="I42" i="36" s="1"/>
  <c r="G42" i="38" s="1"/>
  <c r="I42" i="38" s="1"/>
  <c r="G42" i="40" s="1"/>
  <c r="I42" i="40" s="1"/>
  <c r="G42" i="3" s="1"/>
  <c r="I42" i="3" s="1"/>
  <c r="G42" i="44" s="1"/>
  <c r="I42" i="44" s="1"/>
  <c r="G42" i="46" s="1"/>
  <c r="I42" i="46" s="1"/>
  <c r="G42" i="48" s="1"/>
  <c r="I42" i="48" s="1"/>
  <c r="I40" i="1"/>
  <c r="G40" i="28" s="1"/>
  <c r="I40" i="28" s="1"/>
  <c r="G40" i="29" s="1"/>
  <c r="I40" i="29" s="1"/>
  <c r="G41" i="30" s="1"/>
  <c r="I41" i="30" s="1"/>
  <c r="G41" i="32" s="1"/>
  <c r="I41" i="32" s="1"/>
  <c r="G41" i="34" s="1"/>
  <c r="I41" i="34" s="1"/>
  <c r="G41" i="36" s="1"/>
  <c r="I41" i="36" s="1"/>
  <c r="G41" i="38" s="1"/>
  <c r="I41" i="38" s="1"/>
  <c r="G41" i="40" s="1"/>
  <c r="I41" i="40" s="1"/>
  <c r="G41" i="3" s="1"/>
  <c r="I41" i="3" s="1"/>
  <c r="G41" i="44" s="1"/>
  <c r="I41" i="44" s="1"/>
  <c r="G41" i="46" s="1"/>
  <c r="I41" i="46" s="1"/>
  <c r="G41" i="48" s="1"/>
  <c r="I41" i="48" s="1"/>
  <c r="I39" i="1"/>
  <c r="G39" i="28" s="1"/>
  <c r="I39" i="28" s="1"/>
  <c r="G39" i="29" s="1"/>
  <c r="I39" i="29" s="1"/>
  <c r="G40" i="30" s="1"/>
  <c r="I40" i="30" s="1"/>
  <c r="G40" i="32" s="1"/>
  <c r="I40" i="32" s="1"/>
  <c r="G40" i="34" s="1"/>
  <c r="I40" i="34" s="1"/>
  <c r="G40" i="36" s="1"/>
  <c r="I40" i="36" s="1"/>
  <c r="G40" i="38" s="1"/>
  <c r="I38" i="1"/>
  <c r="G38" i="28" s="1"/>
  <c r="I38" i="28" s="1"/>
  <c r="G38" i="29" s="1"/>
  <c r="I38" i="29" s="1"/>
  <c r="G39" i="30" s="1"/>
  <c r="I39" i="30" s="1"/>
  <c r="G39" i="32" s="1"/>
  <c r="I39" i="32" s="1"/>
  <c r="G39" i="34" s="1"/>
  <c r="I39" i="34" s="1"/>
  <c r="G39" i="36" s="1"/>
  <c r="I39" i="36" s="1"/>
  <c r="G39" i="38" s="1"/>
  <c r="I39" i="38" s="1"/>
  <c r="G39" i="40" s="1"/>
  <c r="I39" i="40" s="1"/>
  <c r="G39" i="3" s="1"/>
  <c r="I39" i="3" s="1"/>
  <c r="G39" i="44" s="1"/>
  <c r="I39" i="44" s="1"/>
  <c r="G39" i="46" s="1"/>
  <c r="I39" i="46" s="1"/>
  <c r="G39" i="48" s="1"/>
  <c r="I39" i="48" s="1"/>
  <c r="I37" i="1"/>
  <c r="G37" i="28" s="1"/>
  <c r="I37" i="28" s="1"/>
  <c r="G37" i="29" s="1"/>
  <c r="I37" i="29" s="1"/>
  <c r="G38" i="30" s="1"/>
  <c r="I38" i="30" s="1"/>
  <c r="G38" i="32" s="1"/>
  <c r="I38" i="32" s="1"/>
  <c r="G38" i="34" s="1"/>
  <c r="I38" i="34" s="1"/>
  <c r="G38" i="36" s="1"/>
  <c r="I38" i="36" s="1"/>
  <c r="G38" i="38" s="1"/>
  <c r="I38" i="38" s="1"/>
  <c r="G38" i="40" s="1"/>
  <c r="I38" i="40" s="1"/>
  <c r="G38" i="3" s="1"/>
  <c r="I38" i="3" s="1"/>
  <c r="G38" i="44" s="1"/>
  <c r="I38" i="44" s="1"/>
  <c r="G38" i="46" s="1"/>
  <c r="I38" i="46" s="1"/>
  <c r="G38" i="48" s="1"/>
  <c r="I38" i="48" s="1"/>
  <c r="I36" i="1"/>
  <c r="G36" i="28" s="1"/>
  <c r="I36" i="28" s="1"/>
  <c r="G36" i="29" s="1"/>
  <c r="I36" i="29" s="1"/>
  <c r="G37" i="30" s="1"/>
  <c r="I37" i="30" s="1"/>
  <c r="G37" i="32" s="1"/>
  <c r="I37" i="32" s="1"/>
  <c r="G37" i="34" s="1"/>
  <c r="I37" i="34" s="1"/>
  <c r="G37" i="36" s="1"/>
  <c r="I37" i="36" s="1"/>
  <c r="G37" i="38" s="1"/>
  <c r="I37" i="38" s="1"/>
  <c r="G37" i="40" s="1"/>
  <c r="I37" i="40" s="1"/>
  <c r="G37" i="3" s="1"/>
  <c r="I37" i="3" s="1"/>
  <c r="G37" i="44" s="1"/>
  <c r="I37" i="44" s="1"/>
  <c r="G37" i="46" s="1"/>
  <c r="I37" i="46" s="1"/>
  <c r="G37" i="48" s="1"/>
  <c r="I37" i="48" s="1"/>
  <c r="I35" i="1"/>
  <c r="G35" i="28" s="1"/>
  <c r="I35" i="28" s="1"/>
  <c r="G35" i="29" s="1"/>
  <c r="I35" i="29" s="1"/>
  <c r="G36" i="30" s="1"/>
  <c r="I36" i="30" s="1"/>
  <c r="G36" i="32" s="1"/>
  <c r="I36" i="32" s="1"/>
  <c r="G36" i="34" s="1"/>
  <c r="I36" i="34" s="1"/>
  <c r="G36" i="36" s="1"/>
  <c r="I36" i="36" s="1"/>
  <c r="G36" i="38" s="1"/>
  <c r="I36" i="38" s="1"/>
  <c r="G36" i="40" s="1"/>
  <c r="I36" i="40" s="1"/>
  <c r="G36" i="3" s="1"/>
  <c r="I36" i="3" s="1"/>
  <c r="G36" i="44" s="1"/>
  <c r="I36" i="44" s="1"/>
  <c r="G36" i="46" s="1"/>
  <c r="I36" i="46" s="1"/>
  <c r="G36" i="48" s="1"/>
  <c r="I36" i="48" s="1"/>
  <c r="I34" i="1"/>
  <c r="G34" i="28" s="1"/>
  <c r="I34" i="28" s="1"/>
  <c r="G34" i="29" s="1"/>
  <c r="I34" i="29" s="1"/>
  <c r="G35" i="30" s="1"/>
  <c r="I35" i="30" s="1"/>
  <c r="G35" i="32" s="1"/>
  <c r="I35" i="32" s="1"/>
  <c r="G35" i="34" s="1"/>
  <c r="I35" i="34" s="1"/>
  <c r="G35" i="36" s="1"/>
  <c r="I35" i="36" s="1"/>
  <c r="G35" i="38" s="1"/>
  <c r="I35" i="38" s="1"/>
  <c r="G35" i="40" s="1"/>
  <c r="I35" i="40" s="1"/>
  <c r="G35" i="3" s="1"/>
  <c r="I35" i="3" s="1"/>
  <c r="G35" i="44" s="1"/>
  <c r="I35" i="44" s="1"/>
  <c r="G35" i="46" s="1"/>
  <c r="I35" i="46" s="1"/>
  <c r="G35" i="48" s="1"/>
  <c r="I35" i="48" s="1"/>
  <c r="I33" i="1"/>
  <c r="G33" i="28" s="1"/>
  <c r="I33" i="28" s="1"/>
  <c r="G33" i="29" s="1"/>
  <c r="I33" i="29" s="1"/>
  <c r="G34" i="30" s="1"/>
  <c r="I34" i="30" s="1"/>
  <c r="G34" i="32" s="1"/>
  <c r="I34" i="32" s="1"/>
  <c r="G34" i="34" s="1"/>
  <c r="I34" i="34" s="1"/>
  <c r="G34" i="36" s="1"/>
  <c r="I34" i="36" s="1"/>
  <c r="G34" i="38" s="1"/>
  <c r="I34" i="38" s="1"/>
  <c r="G34" i="40" s="1"/>
  <c r="I34" i="40" s="1"/>
  <c r="G34" i="3" s="1"/>
  <c r="I34" i="3" s="1"/>
  <c r="G34" i="44" s="1"/>
  <c r="I34" i="44" s="1"/>
  <c r="G34" i="46" s="1"/>
  <c r="I34" i="46" s="1"/>
  <c r="G34" i="48" s="1"/>
  <c r="I34" i="48" s="1"/>
  <c r="I32" i="1"/>
  <c r="G32" i="28" s="1"/>
  <c r="I32" i="28" s="1"/>
  <c r="G32" i="29" s="1"/>
  <c r="I32" i="29" s="1"/>
  <c r="G33" i="30" s="1"/>
  <c r="I33" i="30" s="1"/>
  <c r="G33" i="32" s="1"/>
  <c r="I33" i="32" s="1"/>
  <c r="G33" i="34" s="1"/>
  <c r="I33" i="34" s="1"/>
  <c r="G33" i="36" s="1"/>
  <c r="I33" i="36" s="1"/>
  <c r="G33" i="38" s="1"/>
  <c r="I33" i="38" s="1"/>
  <c r="G33" i="40" s="1"/>
  <c r="I33" i="40" s="1"/>
  <c r="G33" i="3" s="1"/>
  <c r="I33" i="3" s="1"/>
  <c r="G33" i="44" s="1"/>
  <c r="I33" i="44" s="1"/>
  <c r="G33" i="46" s="1"/>
  <c r="I33" i="46" s="1"/>
  <c r="G33" i="48" s="1"/>
  <c r="I33" i="48" s="1"/>
  <c r="I31" i="1"/>
  <c r="G31" i="28" s="1"/>
  <c r="I31" i="28" s="1"/>
  <c r="G31" i="29" s="1"/>
  <c r="I31" i="29" s="1"/>
  <c r="G32" i="30" s="1"/>
  <c r="I32" i="30" s="1"/>
  <c r="G32" i="32" s="1"/>
  <c r="I32" i="32" s="1"/>
  <c r="G32" i="34" s="1"/>
  <c r="I32" i="34" s="1"/>
  <c r="G32" i="36" s="1"/>
  <c r="I32" i="36" s="1"/>
  <c r="G32" i="38" s="1"/>
  <c r="I32" i="38" s="1"/>
  <c r="G32" i="40" s="1"/>
  <c r="I32" i="40" s="1"/>
  <c r="G32" i="3" s="1"/>
  <c r="I32" i="3" s="1"/>
  <c r="G32" i="44" s="1"/>
  <c r="I32" i="44" s="1"/>
  <c r="G32" i="46" s="1"/>
  <c r="I32" i="46" s="1"/>
  <c r="G32" i="48" s="1"/>
  <c r="I32" i="48" s="1"/>
  <c r="I30" i="1"/>
  <c r="G30" i="28" s="1"/>
  <c r="I30" i="28" s="1"/>
  <c r="G30" i="29" s="1"/>
  <c r="I30" i="29" s="1"/>
  <c r="G31" i="30" s="1"/>
  <c r="I31" i="30" s="1"/>
  <c r="G31" i="32" s="1"/>
  <c r="I31" i="32" s="1"/>
  <c r="G31" i="34" s="1"/>
  <c r="I31" i="34" s="1"/>
  <c r="G31" i="36" s="1"/>
  <c r="I31" i="36" s="1"/>
  <c r="G31" i="38" s="1"/>
  <c r="I31" i="38" s="1"/>
  <c r="G31" i="40" s="1"/>
  <c r="I31" i="40" s="1"/>
  <c r="G31" i="3" s="1"/>
  <c r="I31" i="3" s="1"/>
  <c r="G31" i="44" s="1"/>
  <c r="I31" i="44" s="1"/>
  <c r="G31" i="46" s="1"/>
  <c r="I31" i="46" s="1"/>
  <c r="G31" i="48" s="1"/>
  <c r="I31" i="48" s="1"/>
  <c r="I29" i="1"/>
  <c r="G29" i="28" s="1"/>
  <c r="I29" i="28" s="1"/>
  <c r="G29" i="29" s="1"/>
  <c r="I29" i="29" s="1"/>
  <c r="G30" i="30" s="1"/>
  <c r="I30" i="30" s="1"/>
  <c r="G30" i="32" s="1"/>
  <c r="I30" i="32" s="1"/>
  <c r="G30" i="34" s="1"/>
  <c r="I30" i="34" s="1"/>
  <c r="G30" i="36" s="1"/>
  <c r="I30" i="36" s="1"/>
  <c r="G30" i="38" s="1"/>
  <c r="I30" i="38" s="1"/>
  <c r="G30" i="40" s="1"/>
  <c r="I30" i="40" s="1"/>
  <c r="G30" i="3" s="1"/>
  <c r="I30" i="3" s="1"/>
  <c r="G30" i="44" s="1"/>
  <c r="I30" i="44" s="1"/>
  <c r="G30" i="46" s="1"/>
  <c r="I30" i="46" s="1"/>
  <c r="G30" i="48" s="1"/>
  <c r="I30" i="48" s="1"/>
  <c r="I28" i="1"/>
  <c r="G28" i="28" s="1"/>
  <c r="I28" i="28" s="1"/>
  <c r="G28" i="29" s="1"/>
  <c r="I28" i="29" s="1"/>
  <c r="G29" i="30" s="1"/>
  <c r="I29" i="30" s="1"/>
  <c r="G29" i="32" s="1"/>
  <c r="I29" i="32" s="1"/>
  <c r="G29" i="34" s="1"/>
  <c r="I29" i="34" s="1"/>
  <c r="G29" i="36" s="1"/>
  <c r="I29" i="36" s="1"/>
  <c r="G29" i="38" s="1"/>
  <c r="I29" i="38" s="1"/>
  <c r="G29" i="40" s="1"/>
  <c r="I29" i="40" s="1"/>
  <c r="G29" i="3" s="1"/>
  <c r="I29" i="3" s="1"/>
  <c r="G29" i="44" s="1"/>
  <c r="I29" i="44" s="1"/>
  <c r="G29" i="46" s="1"/>
  <c r="I29" i="46" s="1"/>
  <c r="G29" i="48" s="1"/>
  <c r="I29" i="48" s="1"/>
  <c r="I27" i="1"/>
  <c r="G27" i="28" s="1"/>
  <c r="I27" i="28" s="1"/>
  <c r="G27" i="29" s="1"/>
  <c r="I27" i="29" s="1"/>
  <c r="G28" i="30" s="1"/>
  <c r="I28" i="30" s="1"/>
  <c r="G28" i="32" s="1"/>
  <c r="I28" i="32" s="1"/>
  <c r="G28" i="34" s="1"/>
  <c r="I28" i="34" s="1"/>
  <c r="G28" i="36" s="1"/>
  <c r="I28" i="36" s="1"/>
  <c r="G28" i="38" s="1"/>
  <c r="I28" i="38" s="1"/>
  <c r="G28" i="40" s="1"/>
  <c r="I28" i="40" s="1"/>
  <c r="G28" i="3" s="1"/>
  <c r="I28" i="3" s="1"/>
  <c r="G28" i="44" s="1"/>
  <c r="I28" i="44" s="1"/>
  <c r="G28" i="46" s="1"/>
  <c r="I28" i="46" s="1"/>
  <c r="G28" i="48" s="1"/>
  <c r="I28" i="48" s="1"/>
  <c r="I26" i="1"/>
  <c r="G26" i="28" s="1"/>
  <c r="I26" i="28" s="1"/>
  <c r="G26" i="29" s="1"/>
  <c r="I26" i="29" s="1"/>
  <c r="G27" i="30" s="1"/>
  <c r="I27" i="30" s="1"/>
  <c r="G27" i="32" s="1"/>
  <c r="I27" i="32" s="1"/>
  <c r="G27" i="34" s="1"/>
  <c r="I27" i="34" s="1"/>
  <c r="G27" i="36" s="1"/>
  <c r="I27" i="36" s="1"/>
  <c r="G27" i="38" s="1"/>
  <c r="I27" i="38" s="1"/>
  <c r="G27" i="40" s="1"/>
  <c r="I27" i="40" s="1"/>
  <c r="G27" i="3" s="1"/>
  <c r="I27" i="3" s="1"/>
  <c r="G27" i="44" s="1"/>
  <c r="I27" i="44" s="1"/>
  <c r="G27" i="46" s="1"/>
  <c r="I27" i="46" s="1"/>
  <c r="G27" i="48" s="1"/>
  <c r="I27" i="48" s="1"/>
  <c r="I25" i="1"/>
  <c r="G25" i="28" s="1"/>
  <c r="I25" i="28" s="1"/>
  <c r="G25" i="29" s="1"/>
  <c r="I25" i="29" s="1"/>
  <c r="G26" i="30" s="1"/>
  <c r="I26" i="30" s="1"/>
  <c r="G26" i="32" s="1"/>
  <c r="I26" i="32" s="1"/>
  <c r="G26" i="34" s="1"/>
  <c r="I26" i="34" s="1"/>
  <c r="G26" i="36" s="1"/>
  <c r="I26" i="36" s="1"/>
  <c r="G26" i="38" s="1"/>
  <c r="I26" i="38" s="1"/>
  <c r="G26" i="40" s="1"/>
  <c r="I26" i="40" s="1"/>
  <c r="G26" i="3" s="1"/>
  <c r="I26" i="3" s="1"/>
  <c r="G26" i="44" s="1"/>
  <c r="I26" i="44" s="1"/>
  <c r="G26" i="46" s="1"/>
  <c r="I26" i="46" s="1"/>
  <c r="G26" i="48" s="1"/>
  <c r="I26" i="48" s="1"/>
  <c r="I24" i="1"/>
  <c r="G24" i="28" s="1"/>
  <c r="I24" i="28" s="1"/>
  <c r="G24" i="29" s="1"/>
  <c r="I24" i="29" s="1"/>
  <c r="G25" i="30" s="1"/>
  <c r="I25" i="30" s="1"/>
  <c r="G25" i="32" s="1"/>
  <c r="I25" i="32" s="1"/>
  <c r="G25" i="34" s="1"/>
  <c r="I25" i="34" s="1"/>
  <c r="G25" i="36" s="1"/>
  <c r="I25" i="36" s="1"/>
  <c r="G25" i="38" s="1"/>
  <c r="I25" i="38" s="1"/>
  <c r="G25" i="40" s="1"/>
  <c r="I25" i="40" s="1"/>
  <c r="G25" i="3" s="1"/>
  <c r="I25" i="3" s="1"/>
  <c r="G25" i="44" s="1"/>
  <c r="I25" i="44" s="1"/>
  <c r="G25" i="46" s="1"/>
  <c r="I25" i="46" s="1"/>
  <c r="G25" i="48" s="1"/>
  <c r="I25" i="48" s="1"/>
  <c r="I23" i="1"/>
  <c r="G23" i="28" s="1"/>
  <c r="I23" i="28" s="1"/>
  <c r="G23" i="29" s="1"/>
  <c r="I23" i="29" s="1"/>
  <c r="G24" i="30" s="1"/>
  <c r="I24" i="30" s="1"/>
  <c r="G24" i="32" s="1"/>
  <c r="I24" i="32" s="1"/>
  <c r="G24" i="34" s="1"/>
  <c r="I24" i="34" s="1"/>
  <c r="G24" i="36" s="1"/>
  <c r="I24" i="36" s="1"/>
  <c r="G24" i="38" s="1"/>
  <c r="I24" i="38" s="1"/>
  <c r="G24" i="40" s="1"/>
  <c r="I24" i="40" s="1"/>
  <c r="G24" i="3" s="1"/>
  <c r="I24" i="3" s="1"/>
  <c r="G24" i="44" s="1"/>
  <c r="I24" i="44" s="1"/>
  <c r="G24" i="46" s="1"/>
  <c r="I24" i="46" s="1"/>
  <c r="G24" i="48" s="1"/>
  <c r="I24" i="48" s="1"/>
  <c r="I22" i="1"/>
  <c r="G22" i="28" s="1"/>
  <c r="I22" i="28" s="1"/>
  <c r="G22" i="29" s="1"/>
  <c r="I22" i="29" s="1"/>
  <c r="G23" i="30" s="1"/>
  <c r="I23" i="30" s="1"/>
  <c r="G23" i="32" s="1"/>
  <c r="I23" i="32" s="1"/>
  <c r="G23" i="34" s="1"/>
  <c r="I23" i="34" s="1"/>
  <c r="G23" i="36" s="1"/>
  <c r="I23" i="36" s="1"/>
  <c r="G23" i="38" s="1"/>
  <c r="I23" i="38" s="1"/>
  <c r="G23" i="40" s="1"/>
  <c r="I23" i="40" s="1"/>
  <c r="G23" i="3" s="1"/>
  <c r="I23" i="3" s="1"/>
  <c r="G23" i="44" s="1"/>
  <c r="I23" i="44" s="1"/>
  <c r="G23" i="46" s="1"/>
  <c r="I23" i="46" s="1"/>
  <c r="G23" i="48" s="1"/>
  <c r="I23" i="48" s="1"/>
  <c r="I21" i="1"/>
  <c r="G21" i="28" s="1"/>
  <c r="I21" i="28" s="1"/>
  <c r="G21" i="29" s="1"/>
  <c r="I21" i="29" s="1"/>
  <c r="G22" i="30" s="1"/>
  <c r="I22" i="30" s="1"/>
  <c r="G22" i="32" s="1"/>
  <c r="I22" i="32" s="1"/>
  <c r="G22" i="34" s="1"/>
  <c r="I22" i="34" s="1"/>
  <c r="G22" i="36" s="1"/>
  <c r="I22" i="36" s="1"/>
  <c r="G22" i="38" s="1"/>
  <c r="I22" i="38" s="1"/>
  <c r="G22" i="40" s="1"/>
  <c r="I22" i="40" s="1"/>
  <c r="G22" i="3" s="1"/>
  <c r="I22" i="3" s="1"/>
  <c r="G22" i="44" s="1"/>
  <c r="I22" i="44" s="1"/>
  <c r="G22" i="46" s="1"/>
  <c r="I22" i="46" s="1"/>
  <c r="G22" i="48" s="1"/>
  <c r="I22" i="48" s="1"/>
  <c r="I20" i="1"/>
  <c r="G20" i="28" s="1"/>
  <c r="I20" i="28" s="1"/>
  <c r="G20" i="29" s="1"/>
  <c r="I20" i="29" s="1"/>
  <c r="G21" i="30" s="1"/>
  <c r="I21" i="30" s="1"/>
  <c r="G21" i="32" s="1"/>
  <c r="I21" i="32" s="1"/>
  <c r="G21" i="34" s="1"/>
  <c r="I21" i="34" s="1"/>
  <c r="G21" i="36" s="1"/>
  <c r="I21" i="36" s="1"/>
  <c r="G21" i="38" s="1"/>
  <c r="I21" i="38" s="1"/>
  <c r="G21" i="40" s="1"/>
  <c r="I21" i="40" s="1"/>
  <c r="G21" i="3" s="1"/>
  <c r="I21" i="3" s="1"/>
  <c r="G21" i="44" s="1"/>
  <c r="I21" i="44" s="1"/>
  <c r="G21" i="46" s="1"/>
  <c r="I21" i="46" s="1"/>
  <c r="G21" i="48" s="1"/>
  <c r="I21" i="48" s="1"/>
  <c r="I19" i="1"/>
  <c r="G19" i="28" s="1"/>
  <c r="I19" i="28" s="1"/>
  <c r="G19" i="29" s="1"/>
  <c r="I19" i="29" s="1"/>
  <c r="G20" i="30" s="1"/>
  <c r="I20" i="30" s="1"/>
  <c r="G20" i="32" s="1"/>
  <c r="I20" i="32" s="1"/>
  <c r="G20" i="34" s="1"/>
  <c r="I20" i="34" s="1"/>
  <c r="G20" i="36" s="1"/>
  <c r="I20" i="36" s="1"/>
  <c r="G20" i="38" s="1"/>
  <c r="I20" i="38" s="1"/>
  <c r="G20" i="40" s="1"/>
  <c r="I20" i="40" s="1"/>
  <c r="G20" i="3" s="1"/>
  <c r="I20" i="3" s="1"/>
  <c r="G20" i="44" s="1"/>
  <c r="I20" i="44" s="1"/>
  <c r="G20" i="46" s="1"/>
  <c r="I20" i="46" s="1"/>
  <c r="G20" i="48" s="1"/>
  <c r="I20" i="48" s="1"/>
  <c r="I18" i="1"/>
  <c r="G18" i="28" s="1"/>
  <c r="I18" i="28" s="1"/>
  <c r="G18" i="29" s="1"/>
  <c r="I18" i="29" s="1"/>
  <c r="G19" i="30" s="1"/>
  <c r="I19" i="30" s="1"/>
  <c r="G19" i="32" s="1"/>
  <c r="I19" i="32" s="1"/>
  <c r="G19" i="34" s="1"/>
  <c r="I19" i="34" s="1"/>
  <c r="G19" i="36" s="1"/>
  <c r="I19" i="36" s="1"/>
  <c r="G19" i="38" s="1"/>
  <c r="I19" i="38" s="1"/>
  <c r="G19" i="40" s="1"/>
  <c r="I19" i="40" s="1"/>
  <c r="G19" i="3" s="1"/>
  <c r="I19" i="3" s="1"/>
  <c r="G19" i="44" s="1"/>
  <c r="I19" i="44" s="1"/>
  <c r="G19" i="46" s="1"/>
  <c r="I19" i="46" s="1"/>
  <c r="G19" i="48" s="1"/>
  <c r="I19" i="48" s="1"/>
  <c r="I17" i="1"/>
  <c r="G17" i="28" s="1"/>
  <c r="I17" i="28" s="1"/>
  <c r="G17" i="29" s="1"/>
  <c r="I17" i="29" s="1"/>
  <c r="G18" i="30" s="1"/>
  <c r="I18" i="30" s="1"/>
  <c r="G18" i="32" s="1"/>
  <c r="I18" i="32" s="1"/>
  <c r="G18" i="34" s="1"/>
  <c r="I18" i="34" s="1"/>
  <c r="G18" i="36" s="1"/>
  <c r="I18" i="36" s="1"/>
  <c r="G18" i="38" s="1"/>
  <c r="I18" i="38" s="1"/>
  <c r="G18" i="40" s="1"/>
  <c r="I18" i="40" s="1"/>
  <c r="G18" i="3" s="1"/>
  <c r="I18" i="3" s="1"/>
  <c r="G18" i="44" s="1"/>
  <c r="I18" i="44" s="1"/>
  <c r="G18" i="46" s="1"/>
  <c r="I18" i="46" s="1"/>
  <c r="G18" i="48" s="1"/>
  <c r="I18" i="48" s="1"/>
  <c r="I16" i="1"/>
  <c r="G16" i="28" s="1"/>
  <c r="I16" i="28" s="1"/>
  <c r="G16" i="29" s="1"/>
  <c r="I16" i="29" s="1"/>
  <c r="G17" i="30" s="1"/>
  <c r="I17" i="30" s="1"/>
  <c r="G17" i="32" s="1"/>
  <c r="I17" i="32" s="1"/>
  <c r="G17" i="34" s="1"/>
  <c r="I17" i="34" s="1"/>
  <c r="G17" i="36" s="1"/>
  <c r="I17" i="36" s="1"/>
  <c r="G17" i="38" s="1"/>
  <c r="I17" i="38" s="1"/>
  <c r="G17" i="40" s="1"/>
  <c r="I17" i="40" s="1"/>
  <c r="G17" i="3" s="1"/>
  <c r="I17" i="3" s="1"/>
  <c r="G17" i="44" s="1"/>
  <c r="I17" i="44" s="1"/>
  <c r="G17" i="46" s="1"/>
  <c r="I17" i="46" s="1"/>
  <c r="G17" i="48" s="1"/>
  <c r="I17" i="48" s="1"/>
  <c r="I15" i="1"/>
  <c r="G15" i="28" s="1"/>
  <c r="I15" i="28" s="1"/>
  <c r="G15" i="29" s="1"/>
  <c r="I15" i="29" s="1"/>
  <c r="G16" i="30" s="1"/>
  <c r="I16" i="30" s="1"/>
  <c r="G16" i="32" s="1"/>
  <c r="I16" i="32" s="1"/>
  <c r="G16" i="34" s="1"/>
  <c r="I16" i="34" s="1"/>
  <c r="G16" i="36" s="1"/>
  <c r="I16" i="36" s="1"/>
  <c r="G16" i="38" s="1"/>
  <c r="I16" i="38" s="1"/>
  <c r="G16" i="40" s="1"/>
  <c r="I16" i="40" s="1"/>
  <c r="G16" i="3" s="1"/>
  <c r="I16" i="3" s="1"/>
  <c r="G16" i="44" s="1"/>
  <c r="I16" i="44" s="1"/>
  <c r="G16" i="46" s="1"/>
  <c r="I16" i="46" s="1"/>
  <c r="G16" i="48" s="1"/>
  <c r="I16" i="48" s="1"/>
  <c r="I14" i="1"/>
  <c r="G14" i="28" s="1"/>
  <c r="I14" i="28" s="1"/>
  <c r="G14" i="29" s="1"/>
  <c r="I14" i="29" s="1"/>
  <c r="G15" i="30" s="1"/>
  <c r="I15" i="30" s="1"/>
  <c r="G15" i="32" s="1"/>
  <c r="I15" i="32" s="1"/>
  <c r="G15" i="34" s="1"/>
  <c r="I15" i="34" s="1"/>
  <c r="G15" i="36" s="1"/>
  <c r="I15" i="36" s="1"/>
  <c r="G15" i="38" s="1"/>
  <c r="I15" i="38" s="1"/>
  <c r="G15" i="40" s="1"/>
  <c r="I15" i="40" s="1"/>
  <c r="G15" i="3" s="1"/>
  <c r="I15" i="3" s="1"/>
  <c r="G15" i="44" s="1"/>
  <c r="I15" i="44" s="1"/>
  <c r="G15" i="46" s="1"/>
  <c r="I15" i="46" s="1"/>
  <c r="G15" i="48" s="1"/>
  <c r="I15" i="48" s="1"/>
  <c r="I13" i="1"/>
  <c r="G13" i="28" s="1"/>
  <c r="I12" i="1"/>
  <c r="G12" i="28" s="1"/>
  <c r="I12" i="28" s="1"/>
  <c r="G12" i="29" s="1"/>
  <c r="I12" i="29" s="1"/>
  <c r="G13" i="30" s="1"/>
  <c r="I13" i="30" s="1"/>
  <c r="G13" i="32" s="1"/>
  <c r="I13" i="32" s="1"/>
  <c r="G13" i="34" s="1"/>
  <c r="I13" i="34" s="1"/>
  <c r="G13" i="36" s="1"/>
  <c r="I13" i="36" s="1"/>
  <c r="G13" i="38" s="1"/>
  <c r="I13" i="38" s="1"/>
  <c r="G13" i="40" s="1"/>
  <c r="I13" i="40" s="1"/>
  <c r="G13" i="3" s="1"/>
  <c r="I13" i="3" s="1"/>
  <c r="G13" i="44" s="1"/>
  <c r="I13" i="44" s="1"/>
  <c r="G13" i="46" s="1"/>
  <c r="I13" i="46" s="1"/>
  <c r="G13" i="48" s="1"/>
  <c r="I13" i="48" s="1"/>
  <c r="I11" i="1"/>
  <c r="G11" i="28" s="1"/>
  <c r="I11" i="28" s="1"/>
  <c r="G11" i="29" s="1"/>
  <c r="I11" i="29" s="1"/>
  <c r="G12" i="30" s="1"/>
  <c r="I12" i="30" s="1"/>
  <c r="G12" i="32" s="1"/>
  <c r="I12" i="32" s="1"/>
  <c r="G12" i="34" s="1"/>
  <c r="I12" i="34" s="1"/>
  <c r="G12" i="36" s="1"/>
  <c r="I12" i="36" s="1"/>
  <c r="G12" i="38" s="1"/>
  <c r="I12" i="38" s="1"/>
  <c r="G12" i="40" s="1"/>
  <c r="I12" i="40" s="1"/>
  <c r="G12" i="3" s="1"/>
  <c r="I12" i="3" s="1"/>
  <c r="G12" i="44" s="1"/>
  <c r="I12" i="44" s="1"/>
  <c r="G12" i="46" s="1"/>
  <c r="I12" i="46" s="1"/>
  <c r="G12" i="48" s="1"/>
  <c r="I12" i="48" s="1"/>
  <c r="I10" i="1"/>
  <c r="G10" i="28" s="1"/>
  <c r="I10" i="28" s="1"/>
  <c r="G10" i="29" s="1"/>
  <c r="I10" i="29" s="1"/>
  <c r="G11" i="30" s="1"/>
  <c r="I11" i="30" s="1"/>
  <c r="G11" i="32" s="1"/>
  <c r="I11" i="32" s="1"/>
  <c r="G11" i="34" s="1"/>
  <c r="I11" i="34" s="1"/>
  <c r="G11" i="36" s="1"/>
  <c r="I11" i="36" s="1"/>
  <c r="G11" i="38" s="1"/>
  <c r="I11" i="38" s="1"/>
  <c r="G11" i="40" s="1"/>
  <c r="I11" i="40" s="1"/>
  <c r="G11" i="3" s="1"/>
  <c r="I11" i="3" s="1"/>
  <c r="G11" i="44" s="1"/>
  <c r="I11" i="44" s="1"/>
  <c r="G11" i="46" s="1"/>
  <c r="I11" i="46" s="1"/>
  <c r="G11" i="48" s="1"/>
  <c r="I11" i="48" s="1"/>
  <c r="I9" i="1"/>
  <c r="G9" i="28" s="1"/>
  <c r="I9" i="28" s="1"/>
  <c r="G9" i="29" s="1"/>
  <c r="I9" i="29" s="1"/>
  <c r="G10" i="30" s="1"/>
  <c r="I10" i="30" s="1"/>
  <c r="G10" i="32" s="1"/>
  <c r="I10" i="32" s="1"/>
  <c r="G10" i="34" s="1"/>
  <c r="I10" i="34" s="1"/>
  <c r="G10" i="36" s="1"/>
  <c r="I10" i="36" s="1"/>
  <c r="G10" i="38" s="1"/>
  <c r="I10" i="38" s="1"/>
  <c r="G10" i="40" s="1"/>
  <c r="I10" i="40" s="1"/>
  <c r="G10" i="3" s="1"/>
  <c r="I10" i="3" s="1"/>
  <c r="G10" i="44" s="1"/>
  <c r="I10" i="44" s="1"/>
  <c r="G10" i="46" s="1"/>
  <c r="I10" i="46" s="1"/>
  <c r="G10" i="48" s="1"/>
  <c r="I10" i="48" s="1"/>
  <c r="I8" i="1"/>
  <c r="G8" i="28" s="1"/>
  <c r="I8" i="28" s="1"/>
  <c r="G8" i="29" s="1"/>
  <c r="I8" i="29" s="1"/>
  <c r="G9" i="30" s="1"/>
  <c r="I9" i="30" s="1"/>
  <c r="G9" i="32" s="1"/>
  <c r="I9" i="32" s="1"/>
  <c r="G9" i="34" s="1"/>
  <c r="I9" i="34" s="1"/>
  <c r="G9" i="36" s="1"/>
  <c r="I9" i="36" s="1"/>
  <c r="G9" i="38" s="1"/>
  <c r="I9" i="38" s="1"/>
  <c r="G9" i="40" s="1"/>
  <c r="I9" i="40" s="1"/>
  <c r="G9" i="3" s="1"/>
  <c r="I9" i="3" s="1"/>
  <c r="G9" i="44" s="1"/>
  <c r="I9" i="44" s="1"/>
  <c r="G9" i="46" s="1"/>
  <c r="I9" i="46" s="1"/>
  <c r="G9" i="48" s="1"/>
  <c r="I9" i="48" s="1"/>
  <c r="I7" i="1"/>
  <c r="G7" i="28" s="1"/>
  <c r="I7" i="28" s="1"/>
  <c r="G7" i="29" s="1"/>
  <c r="I7" i="29" s="1"/>
  <c r="G8" i="30" s="1"/>
  <c r="I8" i="30" s="1"/>
  <c r="G8" i="32" s="1"/>
  <c r="I8" i="32" s="1"/>
  <c r="G8" i="34" s="1"/>
  <c r="I8" i="34" s="1"/>
  <c r="G8" i="36" s="1"/>
  <c r="I8" i="36" s="1"/>
  <c r="G8" i="38" s="1"/>
  <c r="I8" i="38" s="1"/>
  <c r="G8" i="40" s="1"/>
  <c r="I6" i="1"/>
  <c r="G6" i="28" s="1"/>
  <c r="I6" i="28" s="1"/>
  <c r="G6" i="29" s="1"/>
  <c r="I6" i="29" s="1"/>
  <c r="G7" i="30" s="1"/>
  <c r="I7" i="30" s="1"/>
  <c r="G7" i="32" s="1"/>
  <c r="I7" i="32" s="1"/>
  <c r="G7" i="34" s="1"/>
  <c r="I7" i="34" s="1"/>
  <c r="G7" i="36" s="1"/>
  <c r="I7" i="36" s="1"/>
  <c r="G7" i="38" s="1"/>
  <c r="I7" i="38" s="1"/>
  <c r="G7" i="40" s="1"/>
  <c r="I4" i="1"/>
  <c r="G149" i="46" l="1"/>
  <c r="I149" i="46" s="1"/>
  <c r="I149" i="48"/>
  <c r="G148" i="46"/>
  <c r="I148" i="46" s="1"/>
  <c r="I148" i="48"/>
  <c r="G146" i="46"/>
  <c r="I146" i="46" s="1"/>
  <c r="I146" i="48"/>
  <c r="I40" i="38"/>
  <c r="G40" i="40" s="1"/>
  <c r="I40" i="40" s="1"/>
  <c r="G40" i="3" s="1"/>
  <c r="I40" i="3" s="1"/>
  <c r="G40" i="44" s="1"/>
  <c r="I40" i="44" s="1"/>
  <c r="G40" i="46" s="1"/>
  <c r="I40" i="46" s="1"/>
  <c r="G40" i="48" s="1"/>
  <c r="I40" i="48" s="1"/>
  <c r="I152" i="40"/>
  <c r="G152" i="3" s="1"/>
  <c r="I152" i="3" s="1"/>
  <c r="G152" i="44" s="1"/>
  <c r="I152" i="44" s="1"/>
  <c r="G159" i="40"/>
  <c r="G65" i="34"/>
  <c r="I65" i="34" s="1"/>
  <c r="G67" i="34"/>
  <c r="I67" i="34" s="1"/>
  <c r="G69" i="34"/>
  <c r="I69" i="34" s="1"/>
  <c r="G71" i="34"/>
  <c r="I71" i="34" s="1"/>
  <c r="G73" i="34"/>
  <c r="I73" i="34" s="1"/>
  <c r="G64" i="34"/>
  <c r="I64" i="34" s="1"/>
  <c r="G66" i="34"/>
  <c r="I66" i="34" s="1"/>
  <c r="G68" i="34"/>
  <c r="I68" i="34" s="1"/>
  <c r="G70" i="34"/>
  <c r="I70" i="34" s="1"/>
  <c r="G72" i="34"/>
  <c r="I72" i="34" s="1"/>
  <c r="G114" i="30"/>
  <c r="I114" i="30" s="1"/>
  <c r="G116" i="32" s="1"/>
  <c r="I116" i="32" s="1"/>
  <c r="G116" i="34" s="1"/>
  <c r="I116" i="34" s="1"/>
  <c r="G116" i="36" s="1"/>
  <c r="I116" i="36" s="1"/>
  <c r="G116" i="38" s="1"/>
  <c r="I116" i="38" s="1"/>
  <c r="G116" i="40" s="1"/>
  <c r="I116" i="40" s="1"/>
  <c r="G116" i="3" s="1"/>
  <c r="I116" i="3" s="1"/>
  <c r="G116" i="44" s="1"/>
  <c r="I116" i="44" s="1"/>
  <c r="G116" i="46" s="1"/>
  <c r="I116" i="46" s="1"/>
  <c r="G116" i="48" s="1"/>
  <c r="I116" i="48" s="1"/>
  <c r="G117" i="30"/>
  <c r="I117" i="30" s="1"/>
  <c r="G120" i="32" s="1"/>
  <c r="I120" i="32" s="1"/>
  <c r="G120" i="34" s="1"/>
  <c r="I120" i="34" s="1"/>
  <c r="G120" i="36" s="1"/>
  <c r="I120" i="36" s="1"/>
  <c r="G120" i="38" s="1"/>
  <c r="I120" i="38" s="1"/>
  <c r="G120" i="40" s="1"/>
  <c r="I120" i="40" s="1"/>
  <c r="G120" i="3" s="1"/>
  <c r="I120" i="3" s="1"/>
  <c r="G120" i="44" s="1"/>
  <c r="I120" i="44" s="1"/>
  <c r="G120" i="46" s="1"/>
  <c r="I120" i="46" s="1"/>
  <c r="G120" i="48" s="1"/>
  <c r="I120" i="48" s="1"/>
  <c r="G119" i="30"/>
  <c r="I119" i="30" s="1"/>
  <c r="G122" i="32" s="1"/>
  <c r="I122" i="32" s="1"/>
  <c r="G122" i="34" s="1"/>
  <c r="I122" i="34" s="1"/>
  <c r="G122" i="36" s="1"/>
  <c r="I122" i="36" s="1"/>
  <c r="G122" i="38" s="1"/>
  <c r="I122" i="38" s="1"/>
  <c r="G122" i="40" s="1"/>
  <c r="I122" i="40" s="1"/>
  <c r="G122" i="3" s="1"/>
  <c r="I122" i="3" s="1"/>
  <c r="G122" i="44" s="1"/>
  <c r="I122" i="44" s="1"/>
  <c r="G122" i="46" s="1"/>
  <c r="I122" i="46" s="1"/>
  <c r="G122" i="48" s="1"/>
  <c r="I122" i="48" s="1"/>
  <c r="G121" i="30"/>
  <c r="I121" i="30" s="1"/>
  <c r="G124" i="32" s="1"/>
  <c r="I124" i="32" s="1"/>
  <c r="G124" i="34" s="1"/>
  <c r="I124" i="34" s="1"/>
  <c r="G124" i="36" s="1"/>
  <c r="I124" i="36" s="1"/>
  <c r="G124" i="38" s="1"/>
  <c r="I124" i="38" s="1"/>
  <c r="G124" i="40" s="1"/>
  <c r="I124" i="40" s="1"/>
  <c r="G124" i="3" s="1"/>
  <c r="I124" i="3" s="1"/>
  <c r="G124" i="44" s="1"/>
  <c r="I124" i="44" s="1"/>
  <c r="G124" i="46" s="1"/>
  <c r="I124" i="46" s="1"/>
  <c r="G124" i="48" s="1"/>
  <c r="I124" i="48" s="1"/>
  <c r="G125" i="30"/>
  <c r="I125" i="30" s="1"/>
  <c r="G128" i="32" s="1"/>
  <c r="I128" i="32" s="1"/>
  <c r="G128" i="34" s="1"/>
  <c r="I128" i="34" s="1"/>
  <c r="G128" i="36" s="1"/>
  <c r="I128" i="36" s="1"/>
  <c r="G128" i="38" s="1"/>
  <c r="I128" i="38" s="1"/>
  <c r="G128" i="40" s="1"/>
  <c r="I128" i="40" s="1"/>
  <c r="G128" i="3" s="1"/>
  <c r="I128" i="3" s="1"/>
  <c r="G128" i="44" s="1"/>
  <c r="I128" i="44" s="1"/>
  <c r="G128" i="46" s="1"/>
  <c r="I128" i="46" s="1"/>
  <c r="G128" i="48" s="1"/>
  <c r="I128" i="48" s="1"/>
  <c r="G130" i="30"/>
  <c r="I130" i="30" s="1"/>
  <c r="G133" i="32" s="1"/>
  <c r="I133" i="32" s="1"/>
  <c r="G133" i="34" s="1"/>
  <c r="I133" i="34" s="1"/>
  <c r="G134" i="36" s="1"/>
  <c r="I134" i="36" s="1"/>
  <c r="G134" i="38" s="1"/>
  <c r="I134" i="38" s="1"/>
  <c r="G134" i="40" s="1"/>
  <c r="I134" i="40" s="1"/>
  <c r="G134" i="3" s="1"/>
  <c r="I134" i="3" s="1"/>
  <c r="G134" i="44" s="1"/>
  <c r="I134" i="44" s="1"/>
  <c r="G134" i="46" s="1"/>
  <c r="I134" i="46" s="1"/>
  <c r="G134" i="48" s="1"/>
  <c r="I134" i="48" s="1"/>
  <c r="G132" i="30"/>
  <c r="I132" i="30" s="1"/>
  <c r="G135" i="32" s="1"/>
  <c r="I135" i="32" s="1"/>
  <c r="G135" i="34" s="1"/>
  <c r="I135" i="34" s="1"/>
  <c r="G136" i="36" s="1"/>
  <c r="I136" i="36" s="1"/>
  <c r="G136" i="38" s="1"/>
  <c r="I136" i="38" s="1"/>
  <c r="G136" i="40" s="1"/>
  <c r="I136" i="40" s="1"/>
  <c r="G136" i="3" s="1"/>
  <c r="I136" i="3" s="1"/>
  <c r="G136" i="44" s="1"/>
  <c r="I136" i="44" s="1"/>
  <c r="G136" i="46" s="1"/>
  <c r="I136" i="46" s="1"/>
  <c r="G136" i="48" s="1"/>
  <c r="I136" i="48" s="1"/>
  <c r="G139" i="30"/>
  <c r="I139" i="30" s="1"/>
  <c r="G142" i="32" s="1"/>
  <c r="I142" i="32" s="1"/>
  <c r="G142" i="34" s="1"/>
  <c r="I142" i="34" s="1"/>
  <c r="G143" i="36" s="1"/>
  <c r="I143" i="36" s="1"/>
  <c r="G143" i="38" s="1"/>
  <c r="I143" i="38" s="1"/>
  <c r="G143" i="40" s="1"/>
  <c r="I143" i="40" s="1"/>
  <c r="G143" i="3" s="1"/>
  <c r="I143" i="3" s="1"/>
  <c r="G143" i="44" s="1"/>
  <c r="I143" i="44" s="1"/>
  <c r="G141" i="30"/>
  <c r="I141" i="30" s="1"/>
  <c r="G144" i="32" s="1"/>
  <c r="I144" i="32" s="1"/>
  <c r="G144" i="34" s="1"/>
  <c r="I144" i="34" s="1"/>
  <c r="G145" i="36" s="1"/>
  <c r="I145" i="36" s="1"/>
  <c r="G145" i="38" s="1"/>
  <c r="I145" i="38" s="1"/>
  <c r="G145" i="40" s="1"/>
  <c r="I145" i="40" s="1"/>
  <c r="G145" i="3" s="1"/>
  <c r="I145" i="3" s="1"/>
  <c r="G145" i="44" s="1"/>
  <c r="I145" i="44" s="1"/>
  <c r="G103" i="30"/>
  <c r="I103" i="30" s="1"/>
  <c r="G103" i="32" s="1"/>
  <c r="I103" i="32" s="1"/>
  <c r="G103" i="34" s="1"/>
  <c r="I103" i="34" s="1"/>
  <c r="G103" i="36" s="1"/>
  <c r="I103" i="36" s="1"/>
  <c r="G103" i="38" s="1"/>
  <c r="I103" i="38" s="1"/>
  <c r="G103" i="40" s="1"/>
  <c r="I103" i="40" s="1"/>
  <c r="G103" i="3" s="1"/>
  <c r="I103" i="3" s="1"/>
  <c r="G103" i="44" s="1"/>
  <c r="I103" i="44" s="1"/>
  <c r="G103" i="46" s="1"/>
  <c r="I103" i="46" s="1"/>
  <c r="G103" i="48" s="1"/>
  <c r="I103" i="48" s="1"/>
  <c r="G105" i="30"/>
  <c r="I105" i="30" s="1"/>
  <c r="G106" i="32" s="1"/>
  <c r="I106" i="32" s="1"/>
  <c r="G106" i="34" s="1"/>
  <c r="I106" i="34" s="1"/>
  <c r="G106" i="36" s="1"/>
  <c r="I106" i="36" s="1"/>
  <c r="G106" i="38" s="1"/>
  <c r="I106" i="38" s="1"/>
  <c r="G106" i="40" s="1"/>
  <c r="I106" i="40" s="1"/>
  <c r="G106" i="3" s="1"/>
  <c r="I106" i="3" s="1"/>
  <c r="G106" i="44" s="1"/>
  <c r="I106" i="44" s="1"/>
  <c r="G106" i="46" s="1"/>
  <c r="I106" i="46" s="1"/>
  <c r="G106" i="48" s="1"/>
  <c r="I106" i="48" s="1"/>
  <c r="G113" i="30"/>
  <c r="I113" i="30" s="1"/>
  <c r="G115" i="32" s="1"/>
  <c r="I115" i="32" s="1"/>
  <c r="G115" i="34" s="1"/>
  <c r="I115" i="34" s="1"/>
  <c r="G115" i="36" s="1"/>
  <c r="I115" i="36" s="1"/>
  <c r="G115" i="38" s="1"/>
  <c r="I115" i="38" s="1"/>
  <c r="G115" i="40" s="1"/>
  <c r="I115" i="40" s="1"/>
  <c r="G115" i="3" s="1"/>
  <c r="I115" i="3" s="1"/>
  <c r="G115" i="44" s="1"/>
  <c r="I115" i="44" s="1"/>
  <c r="G115" i="46" s="1"/>
  <c r="I115" i="46" s="1"/>
  <c r="G115" i="48" s="1"/>
  <c r="I115" i="48" s="1"/>
  <c r="G115" i="30"/>
  <c r="I115" i="30" s="1"/>
  <c r="G117" i="32" s="1"/>
  <c r="I117" i="32" s="1"/>
  <c r="G117" i="34" s="1"/>
  <c r="I117" i="34" s="1"/>
  <c r="G117" i="36" s="1"/>
  <c r="I117" i="36" s="1"/>
  <c r="G117" i="38" s="1"/>
  <c r="I117" i="38" s="1"/>
  <c r="G117" i="40" s="1"/>
  <c r="I117" i="40" s="1"/>
  <c r="G117" i="3" s="1"/>
  <c r="I117" i="3" s="1"/>
  <c r="G117" i="44" s="1"/>
  <c r="I117" i="44" s="1"/>
  <c r="G117" i="46" s="1"/>
  <c r="I117" i="46" s="1"/>
  <c r="G117" i="48" s="1"/>
  <c r="I117" i="48" s="1"/>
  <c r="G118" i="30"/>
  <c r="I118" i="30" s="1"/>
  <c r="G121" i="32" s="1"/>
  <c r="I121" i="32" s="1"/>
  <c r="G121" i="34" s="1"/>
  <c r="I121" i="34" s="1"/>
  <c r="G121" i="36" s="1"/>
  <c r="I121" i="36" s="1"/>
  <c r="G121" i="38" s="1"/>
  <c r="I121" i="38" s="1"/>
  <c r="G121" i="40" s="1"/>
  <c r="I121" i="40" s="1"/>
  <c r="G120" i="30"/>
  <c r="I120" i="30" s="1"/>
  <c r="G123" i="32" s="1"/>
  <c r="I123" i="32" s="1"/>
  <c r="G123" i="34" s="1"/>
  <c r="I123" i="34" s="1"/>
  <c r="G123" i="36" s="1"/>
  <c r="I123" i="36" s="1"/>
  <c r="G123" i="38" s="1"/>
  <c r="I123" i="38" s="1"/>
  <c r="G123" i="40" s="1"/>
  <c r="I123" i="40" s="1"/>
  <c r="G123" i="3" s="1"/>
  <c r="I123" i="3" s="1"/>
  <c r="G123" i="44" s="1"/>
  <c r="I123" i="44" s="1"/>
  <c r="G123" i="46" s="1"/>
  <c r="I123" i="46" s="1"/>
  <c r="G123" i="48" s="1"/>
  <c r="I123" i="48" s="1"/>
  <c r="G122" i="30"/>
  <c r="I122" i="30" s="1"/>
  <c r="G125" i="32" s="1"/>
  <c r="I125" i="32" s="1"/>
  <c r="G125" i="34" s="1"/>
  <c r="I125" i="34" s="1"/>
  <c r="G125" i="36" s="1"/>
  <c r="I125" i="36" s="1"/>
  <c r="G125" i="38" s="1"/>
  <c r="I125" i="38" s="1"/>
  <c r="G125" i="40" s="1"/>
  <c r="I125" i="40" s="1"/>
  <c r="G125" i="3" s="1"/>
  <c r="I125" i="3" s="1"/>
  <c r="G125" i="44" s="1"/>
  <c r="I125" i="44" s="1"/>
  <c r="G125" i="46" s="1"/>
  <c r="I125" i="46" s="1"/>
  <c r="G125" i="48" s="1"/>
  <c r="I125" i="48" s="1"/>
  <c r="G129" i="30"/>
  <c r="I129" i="30" s="1"/>
  <c r="G132" i="32" s="1"/>
  <c r="I132" i="32" s="1"/>
  <c r="G132" i="34" s="1"/>
  <c r="I132" i="34" s="1"/>
  <c r="G133" i="36" s="1"/>
  <c r="I133" i="36" s="1"/>
  <c r="G133" i="38" s="1"/>
  <c r="I133" i="38" s="1"/>
  <c r="G133" i="40" s="1"/>
  <c r="I133" i="40" s="1"/>
  <c r="G133" i="3" s="1"/>
  <c r="I133" i="3" s="1"/>
  <c r="G133" i="44" s="1"/>
  <c r="I133" i="44" s="1"/>
  <c r="G133" i="46" s="1"/>
  <c r="I133" i="46" s="1"/>
  <c r="G133" i="48" s="1"/>
  <c r="I133" i="48" s="1"/>
  <c r="G131" i="30"/>
  <c r="I131" i="30" s="1"/>
  <c r="G134" i="32" s="1"/>
  <c r="I134" i="32" s="1"/>
  <c r="G134" i="34" s="1"/>
  <c r="I134" i="34" s="1"/>
  <c r="G135" i="36" s="1"/>
  <c r="I135" i="36" s="1"/>
  <c r="G135" i="38" s="1"/>
  <c r="I135" i="38" s="1"/>
  <c r="G135" i="40" s="1"/>
  <c r="I135" i="40" s="1"/>
  <c r="G135" i="3" s="1"/>
  <c r="I135" i="3" s="1"/>
  <c r="G135" i="44" s="1"/>
  <c r="I135" i="44" s="1"/>
  <c r="G135" i="46" s="1"/>
  <c r="I135" i="46" s="1"/>
  <c r="G135" i="48" s="1"/>
  <c r="I135" i="48" s="1"/>
  <c r="G133" i="30"/>
  <c r="I133" i="30" s="1"/>
  <c r="G136" i="32" s="1"/>
  <c r="I136" i="32" s="1"/>
  <c r="G136" i="34" s="1"/>
  <c r="I136" i="34" s="1"/>
  <c r="G137" i="36" s="1"/>
  <c r="I137" i="36" s="1"/>
  <c r="G137" i="38" s="1"/>
  <c r="I137" i="38" s="1"/>
  <c r="G137" i="40" s="1"/>
  <c r="I137" i="40" s="1"/>
  <c r="G137" i="3" s="1"/>
  <c r="I137" i="3" s="1"/>
  <c r="G137" i="44" s="1"/>
  <c r="I137" i="44" s="1"/>
  <c r="G137" i="46" s="1"/>
  <c r="I137" i="46" s="1"/>
  <c r="G137" i="48" s="1"/>
  <c r="I137" i="48" s="1"/>
  <c r="G137" i="30"/>
  <c r="I137" i="30" s="1"/>
  <c r="G140" i="32" s="1"/>
  <c r="I140" i="32" s="1"/>
  <c r="G140" i="34" s="1"/>
  <c r="I140" i="34" s="1"/>
  <c r="G141" i="36" s="1"/>
  <c r="I141" i="36" s="1"/>
  <c r="G141" i="38" s="1"/>
  <c r="I141" i="38" s="1"/>
  <c r="G141" i="40" s="1"/>
  <c r="I141" i="40" s="1"/>
  <c r="G141" i="3" s="1"/>
  <c r="I141" i="3" s="1"/>
  <c r="G141" i="44" s="1"/>
  <c r="I141" i="44" s="1"/>
  <c r="G140" i="30"/>
  <c r="I140" i="30" s="1"/>
  <c r="G143" i="32" s="1"/>
  <c r="I143" i="32" s="1"/>
  <c r="G143" i="34" s="1"/>
  <c r="I143" i="34" s="1"/>
  <c r="G144" i="36" s="1"/>
  <c r="I144" i="36" s="1"/>
  <c r="G144" i="38" s="1"/>
  <c r="I144" i="38" s="1"/>
  <c r="G144" i="40" s="1"/>
  <c r="I144" i="40" s="1"/>
  <c r="G144" i="3" s="1"/>
  <c r="I144" i="3" s="1"/>
  <c r="G144" i="44" s="1"/>
  <c r="I144" i="44" s="1"/>
  <c r="G143" i="30"/>
  <c r="I143" i="30" s="1"/>
  <c r="G146" i="32" s="1"/>
  <c r="I146" i="32" s="1"/>
  <c r="G146" i="34" s="1"/>
  <c r="I146" i="34" s="1"/>
  <c r="G147" i="36" s="1"/>
  <c r="I147" i="36" s="1"/>
  <c r="G147" i="38" s="1"/>
  <c r="I147" i="38" s="1"/>
  <c r="G147" i="40" s="1"/>
  <c r="I147" i="40" s="1"/>
  <c r="G147" i="3" s="1"/>
  <c r="I147" i="3" s="1"/>
  <c r="G147" i="44" s="1"/>
  <c r="I147" i="44" s="1"/>
  <c r="G76" i="28"/>
  <c r="I76" i="28" s="1"/>
  <c r="G76" i="29" s="1"/>
  <c r="I76" i="29" s="1"/>
  <c r="G77" i="30" s="1"/>
  <c r="I77" i="30" s="1"/>
  <c r="G77" i="32" s="1"/>
  <c r="I77" i="32" s="1"/>
  <c r="G77" i="34" s="1"/>
  <c r="I77" i="34" s="1"/>
  <c r="G77" i="36" s="1"/>
  <c r="I77" i="36" s="1"/>
  <c r="G77" i="38" s="1"/>
  <c r="I77" i="38" s="1"/>
  <c r="G77" i="40" s="1"/>
  <c r="I77" i="40" s="1"/>
  <c r="G77" i="3" s="1"/>
  <c r="I77" i="3" s="1"/>
  <c r="G77" i="44" s="1"/>
  <c r="I77" i="44" s="1"/>
  <c r="G77" i="46" s="1"/>
  <c r="I77" i="46" s="1"/>
  <c r="G77" i="48" s="1"/>
  <c r="I77" i="48" s="1"/>
  <c r="G78" i="28"/>
  <c r="I78" i="28" s="1"/>
  <c r="G78" i="29" s="1"/>
  <c r="I78" i="29" s="1"/>
  <c r="G79" i="30" s="1"/>
  <c r="I79" i="30" s="1"/>
  <c r="G79" i="32" s="1"/>
  <c r="I79" i="32" s="1"/>
  <c r="G79" i="34" s="1"/>
  <c r="I79" i="34" s="1"/>
  <c r="G79" i="36" s="1"/>
  <c r="I79" i="36" s="1"/>
  <c r="G79" i="38" s="1"/>
  <c r="I79" i="38" s="1"/>
  <c r="G79" i="40" s="1"/>
  <c r="I79" i="40" s="1"/>
  <c r="G79" i="3" s="1"/>
  <c r="I79" i="3" s="1"/>
  <c r="G79" i="44" s="1"/>
  <c r="I79" i="44" s="1"/>
  <c r="G79" i="46" s="1"/>
  <c r="I79" i="46" s="1"/>
  <c r="G79" i="48" s="1"/>
  <c r="I79" i="48" s="1"/>
  <c r="G80" i="28"/>
  <c r="I80" i="28" s="1"/>
  <c r="G80" i="29" s="1"/>
  <c r="I80" i="29" s="1"/>
  <c r="G81" i="30" s="1"/>
  <c r="I81" i="30" s="1"/>
  <c r="G81" i="32" s="1"/>
  <c r="I81" i="32" s="1"/>
  <c r="G81" i="34" s="1"/>
  <c r="I81" i="34" s="1"/>
  <c r="G81" i="36" s="1"/>
  <c r="I81" i="36" s="1"/>
  <c r="G81" i="38" s="1"/>
  <c r="I81" i="38" s="1"/>
  <c r="G81" i="40" s="1"/>
  <c r="I81" i="40" s="1"/>
  <c r="G81" i="3" s="1"/>
  <c r="I81" i="3" s="1"/>
  <c r="G81" i="44" s="1"/>
  <c r="I81" i="44" s="1"/>
  <c r="G81" i="46" s="1"/>
  <c r="I81" i="46" s="1"/>
  <c r="G81" i="48" s="1"/>
  <c r="I81" i="48" s="1"/>
  <c r="G82" i="28"/>
  <c r="I82" i="28" s="1"/>
  <c r="G82" i="29" s="1"/>
  <c r="I82" i="29" s="1"/>
  <c r="G83" i="30" s="1"/>
  <c r="I83" i="30" s="1"/>
  <c r="G83" i="32" s="1"/>
  <c r="I83" i="32" s="1"/>
  <c r="G83" i="34" s="1"/>
  <c r="I83" i="34" s="1"/>
  <c r="G83" i="36" s="1"/>
  <c r="I83" i="36" s="1"/>
  <c r="G83" i="38" s="1"/>
  <c r="I83" i="38" s="1"/>
  <c r="G83" i="40" s="1"/>
  <c r="I83" i="40" s="1"/>
  <c r="G83" i="3" s="1"/>
  <c r="I83" i="3" s="1"/>
  <c r="G83" i="44" s="1"/>
  <c r="I83" i="44" s="1"/>
  <c r="G83" i="46" s="1"/>
  <c r="I83" i="46" s="1"/>
  <c r="G83" i="48" s="1"/>
  <c r="I83" i="48" s="1"/>
  <c r="G84" i="28"/>
  <c r="I84" i="28" s="1"/>
  <c r="G84" i="29" s="1"/>
  <c r="I84" i="29" s="1"/>
  <c r="G85" i="30" s="1"/>
  <c r="I85" i="30" s="1"/>
  <c r="G85" i="32" s="1"/>
  <c r="I85" i="32" s="1"/>
  <c r="G85" i="34" s="1"/>
  <c r="I85" i="34" s="1"/>
  <c r="G85" i="36" s="1"/>
  <c r="I85" i="36" s="1"/>
  <c r="G85" i="38" s="1"/>
  <c r="I85" i="38" s="1"/>
  <c r="G85" i="40" s="1"/>
  <c r="I85" i="40" s="1"/>
  <c r="G85" i="3" s="1"/>
  <c r="I85" i="3" s="1"/>
  <c r="G85" i="44" s="1"/>
  <c r="I85" i="44" s="1"/>
  <c r="G85" i="46" s="1"/>
  <c r="I85" i="46" s="1"/>
  <c r="G85" i="48" s="1"/>
  <c r="I85" i="48" s="1"/>
  <c r="G86" i="28"/>
  <c r="I86" i="28" s="1"/>
  <c r="G86" i="29" s="1"/>
  <c r="I86" i="29" s="1"/>
  <c r="G87" i="30" s="1"/>
  <c r="I87" i="30" s="1"/>
  <c r="G87" i="32" s="1"/>
  <c r="I87" i="32" s="1"/>
  <c r="G87" i="34" s="1"/>
  <c r="I87" i="34" s="1"/>
  <c r="G87" i="36" s="1"/>
  <c r="I87" i="36" s="1"/>
  <c r="G87" i="38" s="1"/>
  <c r="I87" i="38" s="1"/>
  <c r="G87" i="40" s="1"/>
  <c r="I87" i="40" s="1"/>
  <c r="G87" i="3" s="1"/>
  <c r="I87" i="3" s="1"/>
  <c r="G87" i="44" s="1"/>
  <c r="I87" i="44" s="1"/>
  <c r="G87" i="46" s="1"/>
  <c r="I87" i="46" s="1"/>
  <c r="G87" i="48" s="1"/>
  <c r="I87" i="48" s="1"/>
  <c r="G88" i="28"/>
  <c r="I88" i="28" s="1"/>
  <c r="G88" i="29" s="1"/>
  <c r="I88" i="29" s="1"/>
  <c r="G89" i="30" s="1"/>
  <c r="I89" i="30" s="1"/>
  <c r="G89" i="32" s="1"/>
  <c r="I89" i="32" s="1"/>
  <c r="G89" i="34" s="1"/>
  <c r="I89" i="34" s="1"/>
  <c r="G89" i="36" s="1"/>
  <c r="I89" i="36" s="1"/>
  <c r="G89" i="38" s="1"/>
  <c r="I89" i="38" s="1"/>
  <c r="G89" i="40" s="1"/>
  <c r="I89" i="40" s="1"/>
  <c r="G89" i="3" s="1"/>
  <c r="I89" i="3" s="1"/>
  <c r="G89" i="44" s="1"/>
  <c r="I89" i="44" s="1"/>
  <c r="G89" i="46" s="1"/>
  <c r="I89" i="46" s="1"/>
  <c r="G89" i="48" s="1"/>
  <c r="I89" i="48" s="1"/>
  <c r="G90" i="28"/>
  <c r="I90" i="28" s="1"/>
  <c r="G90" i="29" s="1"/>
  <c r="I90" i="29" s="1"/>
  <c r="G91" i="30" s="1"/>
  <c r="I91" i="30" s="1"/>
  <c r="G91" i="32" s="1"/>
  <c r="I91" i="32" s="1"/>
  <c r="G91" i="34" s="1"/>
  <c r="I91" i="34" s="1"/>
  <c r="G91" i="36" s="1"/>
  <c r="I91" i="36" s="1"/>
  <c r="G91" i="38" s="1"/>
  <c r="I91" i="38" s="1"/>
  <c r="G91" i="40" s="1"/>
  <c r="I91" i="40" s="1"/>
  <c r="G91" i="3" s="1"/>
  <c r="I91" i="3" s="1"/>
  <c r="G91" i="44" s="1"/>
  <c r="I91" i="44" s="1"/>
  <c r="G91" i="46" s="1"/>
  <c r="I91" i="46" s="1"/>
  <c r="G91" i="48" s="1"/>
  <c r="I91" i="48" s="1"/>
  <c r="G97" i="28"/>
  <c r="I97" i="28" s="1"/>
  <c r="G97" i="29" s="1"/>
  <c r="I97" i="29" s="1"/>
  <c r="G98" i="30" s="1"/>
  <c r="I98" i="30" s="1"/>
  <c r="G98" i="32" s="1"/>
  <c r="I98" i="32" s="1"/>
  <c r="G98" i="34" s="1"/>
  <c r="I98" i="34" s="1"/>
  <c r="G98" i="36" s="1"/>
  <c r="I98" i="36" s="1"/>
  <c r="G98" i="38" s="1"/>
  <c r="I98" i="38" s="1"/>
  <c r="G98" i="40" s="1"/>
  <c r="I98" i="40" s="1"/>
  <c r="G98" i="3" s="1"/>
  <c r="I98" i="3" s="1"/>
  <c r="G98" i="44" s="1"/>
  <c r="I98" i="44" s="1"/>
  <c r="G98" i="46" s="1"/>
  <c r="I98" i="46" s="1"/>
  <c r="G98" i="48" s="1"/>
  <c r="I98" i="48" s="1"/>
  <c r="G99" i="28"/>
  <c r="I99" i="28" s="1"/>
  <c r="G99" i="29" s="1"/>
  <c r="I99" i="29" s="1"/>
  <c r="G100" i="30" s="1"/>
  <c r="I100" i="30" s="1"/>
  <c r="G100" i="32" s="1"/>
  <c r="I100" i="32" s="1"/>
  <c r="G100" i="34" s="1"/>
  <c r="I100" i="34" s="1"/>
  <c r="G100" i="36" s="1"/>
  <c r="I100" i="36" s="1"/>
  <c r="G100" i="38" s="1"/>
  <c r="I100" i="38" s="1"/>
  <c r="G100" i="40" s="1"/>
  <c r="I100" i="40" s="1"/>
  <c r="G100" i="3" s="1"/>
  <c r="I100" i="3" s="1"/>
  <c r="G100" i="44" s="1"/>
  <c r="I100" i="44" s="1"/>
  <c r="G100" i="46" s="1"/>
  <c r="I100" i="46" s="1"/>
  <c r="G100" i="48" s="1"/>
  <c r="I100" i="48" s="1"/>
  <c r="I101" i="28"/>
  <c r="G101" i="29" s="1"/>
  <c r="I101" i="29" s="1"/>
  <c r="G106" i="28"/>
  <c r="I106" i="28" s="1"/>
  <c r="G106" i="29" s="1"/>
  <c r="I106" i="29" s="1"/>
  <c r="G108" i="28"/>
  <c r="I108" i="28" s="1"/>
  <c r="G108" i="29" s="1"/>
  <c r="I108" i="29" s="1"/>
  <c r="G111" i="28"/>
  <c r="I111" i="28" s="1"/>
  <c r="G111" i="29" s="1"/>
  <c r="I111" i="29" s="1"/>
  <c r="G133" i="28"/>
  <c r="I152" i="28"/>
  <c r="G152" i="29" s="1"/>
  <c r="C10" i="5"/>
  <c r="G10" i="5" s="1"/>
  <c r="I10" i="5" s="1"/>
  <c r="G4" i="28"/>
  <c r="I4" i="28" s="1"/>
  <c r="G4" i="29" s="1"/>
  <c r="I4" i="29" s="1"/>
  <c r="G5" i="30" s="1"/>
  <c r="I5" i="30" s="1"/>
  <c r="G5" i="32" s="1"/>
  <c r="G74" i="28"/>
  <c r="I74" i="28" s="1"/>
  <c r="G74" i="29" s="1"/>
  <c r="I74" i="29" s="1"/>
  <c r="G75" i="30" s="1"/>
  <c r="I75" i="30" s="1"/>
  <c r="G75" i="32" s="1"/>
  <c r="I75" i="32" s="1"/>
  <c r="G75" i="34" s="1"/>
  <c r="I75" i="34" s="1"/>
  <c r="G75" i="36" s="1"/>
  <c r="I75" i="36" s="1"/>
  <c r="G75" i="38" s="1"/>
  <c r="I75" i="38" s="1"/>
  <c r="G75" i="40" s="1"/>
  <c r="G77" i="28"/>
  <c r="I77" i="28" s="1"/>
  <c r="G77" i="29" s="1"/>
  <c r="I77" i="29" s="1"/>
  <c r="G78" i="30" s="1"/>
  <c r="I78" i="30" s="1"/>
  <c r="G78" i="32" s="1"/>
  <c r="I78" i="32" s="1"/>
  <c r="G78" i="34" s="1"/>
  <c r="I78" i="34" s="1"/>
  <c r="G78" i="36" s="1"/>
  <c r="I78" i="36" s="1"/>
  <c r="G78" i="38" s="1"/>
  <c r="I78" i="38" s="1"/>
  <c r="G78" i="40" s="1"/>
  <c r="I78" i="40" s="1"/>
  <c r="G78" i="3" s="1"/>
  <c r="I78" i="3" s="1"/>
  <c r="G78" i="44" s="1"/>
  <c r="I78" i="44" s="1"/>
  <c r="G78" i="46" s="1"/>
  <c r="I78" i="46" s="1"/>
  <c r="G78" i="48" s="1"/>
  <c r="I78" i="48" s="1"/>
  <c r="G79" i="28"/>
  <c r="I79" i="28" s="1"/>
  <c r="G79" i="29" s="1"/>
  <c r="I79" i="29" s="1"/>
  <c r="G80" i="30" s="1"/>
  <c r="I80" i="30" s="1"/>
  <c r="G80" i="32" s="1"/>
  <c r="I80" i="32" s="1"/>
  <c r="G80" i="34" s="1"/>
  <c r="I80" i="34" s="1"/>
  <c r="G80" i="36" s="1"/>
  <c r="I80" i="36" s="1"/>
  <c r="G80" i="38" s="1"/>
  <c r="I80" i="38" s="1"/>
  <c r="G80" i="40" s="1"/>
  <c r="I80" i="40" s="1"/>
  <c r="G80" i="3" s="1"/>
  <c r="I80" i="3" s="1"/>
  <c r="G80" i="44" s="1"/>
  <c r="I80" i="44" s="1"/>
  <c r="G80" i="46" s="1"/>
  <c r="I80" i="46" s="1"/>
  <c r="G80" i="48" s="1"/>
  <c r="I80" i="48" s="1"/>
  <c r="G81" i="28"/>
  <c r="I81" i="28" s="1"/>
  <c r="G81" i="29" s="1"/>
  <c r="I81" i="29" s="1"/>
  <c r="G82" i="30" s="1"/>
  <c r="I82" i="30" s="1"/>
  <c r="G82" i="32" s="1"/>
  <c r="I82" i="32" s="1"/>
  <c r="G82" i="34" s="1"/>
  <c r="I82" i="34" s="1"/>
  <c r="G82" i="36" s="1"/>
  <c r="I82" i="36" s="1"/>
  <c r="G82" i="38" s="1"/>
  <c r="I82" i="38" s="1"/>
  <c r="G82" i="40" s="1"/>
  <c r="I82" i="40" s="1"/>
  <c r="G82" i="3" s="1"/>
  <c r="I82" i="3" s="1"/>
  <c r="G82" i="44" s="1"/>
  <c r="I82" i="44" s="1"/>
  <c r="G82" i="46" s="1"/>
  <c r="I82" i="46" s="1"/>
  <c r="G82" i="48" s="1"/>
  <c r="I82" i="48" s="1"/>
  <c r="G83" i="28"/>
  <c r="I83" i="28" s="1"/>
  <c r="G83" i="29" s="1"/>
  <c r="I83" i="29" s="1"/>
  <c r="G84" i="30" s="1"/>
  <c r="I84" i="30" s="1"/>
  <c r="G84" i="32" s="1"/>
  <c r="I84" i="32" s="1"/>
  <c r="G84" i="34" s="1"/>
  <c r="I84" i="34" s="1"/>
  <c r="G84" i="36" s="1"/>
  <c r="I84" i="36" s="1"/>
  <c r="G84" i="38" s="1"/>
  <c r="I84" i="38" s="1"/>
  <c r="G84" i="40" s="1"/>
  <c r="I84" i="40" s="1"/>
  <c r="G84" i="3" s="1"/>
  <c r="I84" i="3" s="1"/>
  <c r="G84" i="44" s="1"/>
  <c r="I84" i="44" s="1"/>
  <c r="G84" i="46" s="1"/>
  <c r="I84" i="46" s="1"/>
  <c r="G84" i="48" s="1"/>
  <c r="I84" i="48" s="1"/>
  <c r="G85" i="28"/>
  <c r="I85" i="28" s="1"/>
  <c r="G85" i="29" s="1"/>
  <c r="I85" i="29" s="1"/>
  <c r="G86" i="30" s="1"/>
  <c r="I86" i="30" s="1"/>
  <c r="G86" i="32" s="1"/>
  <c r="I86" i="32" s="1"/>
  <c r="G86" i="34" s="1"/>
  <c r="I86" i="34" s="1"/>
  <c r="G86" i="36" s="1"/>
  <c r="I86" i="36" s="1"/>
  <c r="G86" i="38" s="1"/>
  <c r="I86" i="38" s="1"/>
  <c r="G86" i="40" s="1"/>
  <c r="I86" i="40" s="1"/>
  <c r="G86" i="3" s="1"/>
  <c r="I86" i="3" s="1"/>
  <c r="G86" i="44" s="1"/>
  <c r="I86" i="44" s="1"/>
  <c r="G86" i="46" s="1"/>
  <c r="I86" i="46" s="1"/>
  <c r="G86" i="48" s="1"/>
  <c r="I86" i="48" s="1"/>
  <c r="G87" i="28"/>
  <c r="I87" i="28" s="1"/>
  <c r="G87" i="29" s="1"/>
  <c r="I87" i="29" s="1"/>
  <c r="G88" i="30" s="1"/>
  <c r="I88" i="30" s="1"/>
  <c r="G88" i="32" s="1"/>
  <c r="I88" i="32" s="1"/>
  <c r="G88" i="34" s="1"/>
  <c r="I88" i="34" s="1"/>
  <c r="G88" i="36" s="1"/>
  <c r="I88" i="36" s="1"/>
  <c r="G88" i="38" s="1"/>
  <c r="I88" i="38" s="1"/>
  <c r="G88" i="40" s="1"/>
  <c r="I88" i="40" s="1"/>
  <c r="G88" i="3" s="1"/>
  <c r="I88" i="3" s="1"/>
  <c r="G88" i="44" s="1"/>
  <c r="I88" i="44" s="1"/>
  <c r="G88" i="46" s="1"/>
  <c r="I88" i="46" s="1"/>
  <c r="G88" i="48" s="1"/>
  <c r="I88" i="48" s="1"/>
  <c r="G89" i="28"/>
  <c r="I89" i="28" s="1"/>
  <c r="G89" i="29" s="1"/>
  <c r="I89" i="29" s="1"/>
  <c r="G90" i="30" s="1"/>
  <c r="I90" i="30" s="1"/>
  <c r="G90" i="32" s="1"/>
  <c r="I90" i="32" s="1"/>
  <c r="G90" i="34" s="1"/>
  <c r="I90" i="34" s="1"/>
  <c r="G90" i="36" s="1"/>
  <c r="I90" i="36" s="1"/>
  <c r="G90" i="38" s="1"/>
  <c r="I90" i="38" s="1"/>
  <c r="G90" i="40" s="1"/>
  <c r="I90" i="40" s="1"/>
  <c r="G90" i="3" s="1"/>
  <c r="G96" i="28"/>
  <c r="I96" i="28" s="1"/>
  <c r="G96" i="29" s="1"/>
  <c r="I96" i="29" s="1"/>
  <c r="G97" i="30" s="1"/>
  <c r="I97" i="30" s="1"/>
  <c r="G97" i="32" s="1"/>
  <c r="I97" i="32" s="1"/>
  <c r="G97" i="34" s="1"/>
  <c r="I97" i="34" s="1"/>
  <c r="G97" i="36" s="1"/>
  <c r="I97" i="36" s="1"/>
  <c r="G97" i="38" s="1"/>
  <c r="I97" i="38" s="1"/>
  <c r="G97" i="40" s="1"/>
  <c r="I97" i="40" s="1"/>
  <c r="G97" i="3" s="1"/>
  <c r="I97" i="3" s="1"/>
  <c r="G97" i="44" s="1"/>
  <c r="I97" i="44" s="1"/>
  <c r="G97" i="46" s="1"/>
  <c r="I97" i="46" s="1"/>
  <c r="G97" i="48" s="1"/>
  <c r="I97" i="48" s="1"/>
  <c r="G98" i="28"/>
  <c r="I98" i="28" s="1"/>
  <c r="G98" i="29" s="1"/>
  <c r="I98" i="29" s="1"/>
  <c r="G99" i="30" s="1"/>
  <c r="I99" i="30" s="1"/>
  <c r="G99" i="32" s="1"/>
  <c r="I99" i="32" s="1"/>
  <c r="G99" i="34" s="1"/>
  <c r="I99" i="34" s="1"/>
  <c r="G99" i="36" s="1"/>
  <c r="I99" i="36" s="1"/>
  <c r="G99" i="38" s="1"/>
  <c r="I99" i="38" s="1"/>
  <c r="G99" i="40" s="1"/>
  <c r="I99" i="40" s="1"/>
  <c r="G99" i="3" s="1"/>
  <c r="I99" i="3" s="1"/>
  <c r="G99" i="44" s="1"/>
  <c r="I99" i="44" s="1"/>
  <c r="G99" i="46" s="1"/>
  <c r="I99" i="46" s="1"/>
  <c r="G99" i="48" s="1"/>
  <c r="I99" i="48" s="1"/>
  <c r="G107" i="28"/>
  <c r="I107" i="28" s="1"/>
  <c r="G107" i="29" s="1"/>
  <c r="I107" i="29" s="1"/>
  <c r="G109" i="28"/>
  <c r="I109" i="28" s="1"/>
  <c r="G109" i="29" s="1"/>
  <c r="I109" i="29" s="1"/>
  <c r="G122" i="28"/>
  <c r="I5" i="2"/>
  <c r="H8" i="2"/>
  <c r="I8" i="2" s="1"/>
  <c r="C16" i="2"/>
  <c r="G4" i="2"/>
  <c r="G16" i="2" s="1"/>
  <c r="G804" i="1"/>
  <c r="I7" i="2"/>
  <c r="I103" i="1"/>
  <c r="G103" i="28" s="1"/>
  <c r="I103" i="28" s="1"/>
  <c r="G103" i="29" s="1"/>
  <c r="I103" i="29" s="1"/>
  <c r="I132" i="1"/>
  <c r="I144" i="1"/>
  <c r="I73" i="1"/>
  <c r="H100" i="1"/>
  <c r="I121" i="1"/>
  <c r="H60" i="1"/>
  <c r="G145" i="46" l="1"/>
  <c r="I145" i="46" s="1"/>
  <c r="I145" i="48"/>
  <c r="G152" i="46"/>
  <c r="I152" i="46" s="1"/>
  <c r="G152" i="48" s="1"/>
  <c r="I152" i="48" s="1"/>
  <c r="G141" i="46"/>
  <c r="I141" i="46" s="1"/>
  <c r="I141" i="48"/>
  <c r="G143" i="46"/>
  <c r="I143" i="46" s="1"/>
  <c r="I143" i="48"/>
  <c r="G144" i="46"/>
  <c r="I144" i="46" s="1"/>
  <c r="I144" i="48"/>
  <c r="G147" i="46"/>
  <c r="I147" i="46" s="1"/>
  <c r="I147" i="48"/>
  <c r="I159" i="40"/>
  <c r="G159" i="3" s="1"/>
  <c r="C12" i="42"/>
  <c r="G121" i="3"/>
  <c r="I121" i="3" s="1"/>
  <c r="G121" i="44" s="1"/>
  <c r="I121" i="44" s="1"/>
  <c r="G121" i="46" s="1"/>
  <c r="I121" i="46" s="1"/>
  <c r="G121" i="48" s="1"/>
  <c r="I121" i="48" s="1"/>
  <c r="I75" i="40"/>
  <c r="G75" i="3" s="1"/>
  <c r="I75" i="3" s="1"/>
  <c r="G75" i="44" s="1"/>
  <c r="I75" i="44" s="1"/>
  <c r="G75" i="46" s="1"/>
  <c r="I75" i="46" s="1"/>
  <c r="G75" i="48" s="1"/>
  <c r="I75" i="48" s="1"/>
  <c r="G101" i="40"/>
  <c r="G72" i="36"/>
  <c r="I72" i="36" s="1"/>
  <c r="G72" i="38" s="1"/>
  <c r="I72" i="38" s="1"/>
  <c r="G72" i="40" s="1"/>
  <c r="I72" i="40" s="1"/>
  <c r="G72" i="3" s="1"/>
  <c r="I72" i="3" s="1"/>
  <c r="G72" i="44" s="1"/>
  <c r="I72" i="44" s="1"/>
  <c r="G72" i="46" s="1"/>
  <c r="I72" i="46" s="1"/>
  <c r="G72" i="48" s="1"/>
  <c r="I72" i="48" s="1"/>
  <c r="G70" i="36"/>
  <c r="I70" i="36" s="1"/>
  <c r="G70" i="38" s="1"/>
  <c r="I70" i="38" s="1"/>
  <c r="G70" i="40" s="1"/>
  <c r="I70" i="40" s="1"/>
  <c r="G70" i="3" s="1"/>
  <c r="I70" i="3" s="1"/>
  <c r="G70" i="44" s="1"/>
  <c r="I70" i="44" s="1"/>
  <c r="G70" i="46" s="1"/>
  <c r="I70" i="46" s="1"/>
  <c r="G70" i="48" s="1"/>
  <c r="I70" i="48" s="1"/>
  <c r="G68" i="36"/>
  <c r="I68" i="36" s="1"/>
  <c r="G68" i="38" s="1"/>
  <c r="I68" i="38" s="1"/>
  <c r="G68" i="40" s="1"/>
  <c r="I68" i="40" s="1"/>
  <c r="G68" i="3" s="1"/>
  <c r="I68" i="3" s="1"/>
  <c r="G68" i="44" s="1"/>
  <c r="I68" i="44" s="1"/>
  <c r="G68" i="46" s="1"/>
  <c r="I68" i="46" s="1"/>
  <c r="G68" i="48" s="1"/>
  <c r="I68" i="48" s="1"/>
  <c r="G66" i="36"/>
  <c r="I66" i="36" s="1"/>
  <c r="G66" i="38" s="1"/>
  <c r="I66" i="38" s="1"/>
  <c r="G66" i="40" s="1"/>
  <c r="I66" i="40" s="1"/>
  <c r="G66" i="3" s="1"/>
  <c r="I66" i="3" s="1"/>
  <c r="G66" i="44" s="1"/>
  <c r="I66" i="44" s="1"/>
  <c r="G66" i="46" s="1"/>
  <c r="I66" i="46" s="1"/>
  <c r="G66" i="48" s="1"/>
  <c r="I66" i="48" s="1"/>
  <c r="G64" i="36"/>
  <c r="I64" i="36" s="1"/>
  <c r="G64" i="38" s="1"/>
  <c r="I64" i="38" s="1"/>
  <c r="G64" i="40" s="1"/>
  <c r="I64" i="40" s="1"/>
  <c r="G64" i="3" s="1"/>
  <c r="I64" i="3" s="1"/>
  <c r="G64" i="44" s="1"/>
  <c r="I64" i="44" s="1"/>
  <c r="G64" i="46" s="1"/>
  <c r="I64" i="46" s="1"/>
  <c r="G64" i="48" s="1"/>
  <c r="I64" i="48" s="1"/>
  <c r="G73" i="36"/>
  <c r="I73" i="36" s="1"/>
  <c r="G73" i="38" s="1"/>
  <c r="I73" i="38" s="1"/>
  <c r="G73" i="40" s="1"/>
  <c r="I73" i="40" s="1"/>
  <c r="G73" i="3" s="1"/>
  <c r="I73" i="3" s="1"/>
  <c r="G73" i="44" s="1"/>
  <c r="I73" i="44" s="1"/>
  <c r="G73" i="46" s="1"/>
  <c r="I73" i="46" s="1"/>
  <c r="G73" i="48" s="1"/>
  <c r="I73" i="48" s="1"/>
  <c r="G71" i="36"/>
  <c r="I71" i="36" s="1"/>
  <c r="G71" i="38" s="1"/>
  <c r="I71" i="38" s="1"/>
  <c r="G71" i="40" s="1"/>
  <c r="I71" i="40" s="1"/>
  <c r="G71" i="3" s="1"/>
  <c r="I71" i="3" s="1"/>
  <c r="G71" i="44" s="1"/>
  <c r="I71" i="44" s="1"/>
  <c r="G71" i="46" s="1"/>
  <c r="I71" i="46" s="1"/>
  <c r="G71" i="48" s="1"/>
  <c r="I71" i="48" s="1"/>
  <c r="G69" i="36"/>
  <c r="I69" i="36" s="1"/>
  <c r="G69" i="38" s="1"/>
  <c r="I69" i="38" s="1"/>
  <c r="G69" i="40" s="1"/>
  <c r="I69" i="40" s="1"/>
  <c r="G69" i="3" s="1"/>
  <c r="I69" i="3" s="1"/>
  <c r="G69" i="44" s="1"/>
  <c r="I69" i="44" s="1"/>
  <c r="G69" i="46" s="1"/>
  <c r="I69" i="46" s="1"/>
  <c r="G69" i="48" s="1"/>
  <c r="I69" i="48" s="1"/>
  <c r="G67" i="36"/>
  <c r="I67" i="36" s="1"/>
  <c r="G67" i="38" s="1"/>
  <c r="I67" i="38" s="1"/>
  <c r="G67" i="40" s="1"/>
  <c r="I67" i="40" s="1"/>
  <c r="G67" i="3" s="1"/>
  <c r="I67" i="3" s="1"/>
  <c r="G67" i="44" s="1"/>
  <c r="I67" i="44" s="1"/>
  <c r="G67" i="46" s="1"/>
  <c r="I67" i="46" s="1"/>
  <c r="G67" i="48" s="1"/>
  <c r="I67" i="48" s="1"/>
  <c r="G65" i="36"/>
  <c r="I65" i="36" s="1"/>
  <c r="G65" i="38" s="1"/>
  <c r="I65" i="38" s="1"/>
  <c r="G65" i="40" s="1"/>
  <c r="I65" i="40" s="1"/>
  <c r="G65" i="3" s="1"/>
  <c r="I65" i="3" s="1"/>
  <c r="G65" i="44" s="1"/>
  <c r="I65" i="44" s="1"/>
  <c r="G65" i="46" s="1"/>
  <c r="I65" i="46" s="1"/>
  <c r="G65" i="48" s="1"/>
  <c r="I65" i="48" s="1"/>
  <c r="G104" i="30"/>
  <c r="I104" i="30" s="1"/>
  <c r="G104" i="32" s="1"/>
  <c r="I104" i="32" s="1"/>
  <c r="G104" i="34" s="1"/>
  <c r="I104" i="34" s="1"/>
  <c r="G104" i="36" s="1"/>
  <c r="I104" i="36" s="1"/>
  <c r="G104" i="38" s="1"/>
  <c r="I104" i="38" s="1"/>
  <c r="G104" i="40" s="1"/>
  <c r="I104" i="40" s="1"/>
  <c r="G104" i="3" s="1"/>
  <c r="I104" i="3" s="1"/>
  <c r="G104" i="44" s="1"/>
  <c r="I104" i="44" s="1"/>
  <c r="G104" i="46" s="1"/>
  <c r="I104" i="46" s="1"/>
  <c r="G104" i="48" s="1"/>
  <c r="I104" i="48" s="1"/>
  <c r="I5" i="32"/>
  <c r="G5" i="34" s="1"/>
  <c r="G112" i="30"/>
  <c r="I112" i="30" s="1"/>
  <c r="G114" i="32" s="1"/>
  <c r="I114" i="32" s="1"/>
  <c r="G114" i="34" s="1"/>
  <c r="I114" i="34" s="1"/>
  <c r="G114" i="36" s="1"/>
  <c r="I114" i="36" s="1"/>
  <c r="G114" i="38" s="1"/>
  <c r="I114" i="38" s="1"/>
  <c r="G114" i="40" s="1"/>
  <c r="I114" i="40" s="1"/>
  <c r="G114" i="3" s="1"/>
  <c r="I114" i="3" s="1"/>
  <c r="G114" i="44" s="1"/>
  <c r="I114" i="44" s="1"/>
  <c r="G114" i="46" s="1"/>
  <c r="I114" i="46" s="1"/>
  <c r="G114" i="48" s="1"/>
  <c r="I114" i="48" s="1"/>
  <c r="G107" i="30"/>
  <c r="I107" i="30" s="1"/>
  <c r="G108" i="32" s="1"/>
  <c r="I108" i="32" s="1"/>
  <c r="G108" i="34" s="1"/>
  <c r="I108" i="34" s="1"/>
  <c r="G108" i="36" s="1"/>
  <c r="I108" i="36" s="1"/>
  <c r="G108" i="38" s="1"/>
  <c r="I108" i="38" s="1"/>
  <c r="G108" i="40" s="1"/>
  <c r="I108" i="40" s="1"/>
  <c r="G108" i="3" s="1"/>
  <c r="I108" i="3" s="1"/>
  <c r="G108" i="44" s="1"/>
  <c r="I108" i="44" s="1"/>
  <c r="G108" i="46" s="1"/>
  <c r="I108" i="46" s="1"/>
  <c r="G108" i="48" s="1"/>
  <c r="I108" i="48" s="1"/>
  <c r="G110" i="30"/>
  <c r="I110" i="30" s="1"/>
  <c r="G112" i="32" s="1"/>
  <c r="I112" i="32" s="1"/>
  <c r="G112" i="34" s="1"/>
  <c r="I112" i="34" s="1"/>
  <c r="G112" i="36" s="1"/>
  <c r="I112" i="36" s="1"/>
  <c r="G112" i="38" s="1"/>
  <c r="I112" i="38" s="1"/>
  <c r="G112" i="40" s="1"/>
  <c r="I112" i="40" s="1"/>
  <c r="G112" i="3" s="1"/>
  <c r="I112" i="3" s="1"/>
  <c r="G112" i="44" s="1"/>
  <c r="I112" i="44" s="1"/>
  <c r="G112" i="46" s="1"/>
  <c r="I112" i="46" s="1"/>
  <c r="G112" i="48" s="1"/>
  <c r="I112" i="48" s="1"/>
  <c r="G108" i="30"/>
  <c r="I108" i="30" s="1"/>
  <c r="G109" i="32" s="1"/>
  <c r="I109" i="32" s="1"/>
  <c r="G109" i="34" s="1"/>
  <c r="I109" i="34" s="1"/>
  <c r="G109" i="36" s="1"/>
  <c r="I109" i="36" s="1"/>
  <c r="G109" i="38" s="1"/>
  <c r="I109" i="38" s="1"/>
  <c r="G109" i="40" s="1"/>
  <c r="I109" i="40" s="1"/>
  <c r="G109" i="3" s="1"/>
  <c r="I109" i="3" s="1"/>
  <c r="G109" i="44" s="1"/>
  <c r="I109" i="44" s="1"/>
  <c r="G109" i="46" s="1"/>
  <c r="I109" i="46" s="1"/>
  <c r="G109" i="48" s="1"/>
  <c r="I109" i="48" s="1"/>
  <c r="G109" i="30"/>
  <c r="I109" i="30" s="1"/>
  <c r="G111" i="32" s="1"/>
  <c r="I111" i="32" s="1"/>
  <c r="G111" i="34" s="1"/>
  <c r="I111" i="34" s="1"/>
  <c r="G111" i="36" s="1"/>
  <c r="I111" i="36" s="1"/>
  <c r="G111" i="38" s="1"/>
  <c r="I111" i="38" s="1"/>
  <c r="G111" i="40" s="1"/>
  <c r="I111" i="40" s="1"/>
  <c r="G111" i="3" s="1"/>
  <c r="I111" i="3" s="1"/>
  <c r="G111" i="44" s="1"/>
  <c r="I111" i="44" s="1"/>
  <c r="G111" i="46" s="1"/>
  <c r="I111" i="46" s="1"/>
  <c r="G111" i="48" s="1"/>
  <c r="I111" i="48" s="1"/>
  <c r="G102" i="30"/>
  <c r="H804" i="1"/>
  <c r="I152" i="29"/>
  <c r="G155" i="30" s="1"/>
  <c r="C10" i="8"/>
  <c r="G10" i="8" s="1"/>
  <c r="I10" i="8" s="1"/>
  <c r="G100" i="28"/>
  <c r="I122" i="28"/>
  <c r="G122" i="29" s="1"/>
  <c r="I122" i="29" s="1"/>
  <c r="G132" i="28"/>
  <c r="G144" i="28"/>
  <c r="I133" i="28"/>
  <c r="G133" i="29" s="1"/>
  <c r="I133" i="29" s="1"/>
  <c r="G135" i="30" s="1"/>
  <c r="G147" i="30" s="1"/>
  <c r="G121" i="28"/>
  <c r="I60" i="1"/>
  <c r="G60" i="28" s="1"/>
  <c r="C4" i="5" s="1"/>
  <c r="G4" i="5" s="1"/>
  <c r="H4" i="2"/>
  <c r="I4" i="2" s="1"/>
  <c r="I100" i="1"/>
  <c r="H6" i="2"/>
  <c r="I101" i="40" l="1"/>
  <c r="G101" i="3" s="1"/>
  <c r="C6" i="42"/>
  <c r="I159" i="3"/>
  <c r="G159" i="44" s="1"/>
  <c r="C12" i="43"/>
  <c r="G123" i="30"/>
  <c r="I5" i="34"/>
  <c r="G5" i="36" s="1"/>
  <c r="I5" i="36" s="1"/>
  <c r="G5" i="38" s="1"/>
  <c r="I5" i="38" s="1"/>
  <c r="G5" i="40" s="1"/>
  <c r="G124" i="30"/>
  <c r="I124" i="30" s="1"/>
  <c r="G127" i="32" s="1"/>
  <c r="I102" i="30"/>
  <c r="G102" i="32" s="1"/>
  <c r="C10" i="31"/>
  <c r="G10" i="31" s="1"/>
  <c r="I10" i="31" s="1"/>
  <c r="I155" i="30"/>
  <c r="G158" i="32" s="1"/>
  <c r="I804" i="1"/>
  <c r="C7" i="5"/>
  <c r="G7" i="5" s="1"/>
  <c r="I7" i="5" s="1"/>
  <c r="I121" i="28"/>
  <c r="G121" i="29" s="1"/>
  <c r="I144" i="28"/>
  <c r="G144" i="29" s="1"/>
  <c r="C9" i="5"/>
  <c r="G9" i="5" s="1"/>
  <c r="I9" i="5" s="1"/>
  <c r="C8" i="5"/>
  <c r="G8" i="5" s="1"/>
  <c r="I8" i="5" s="1"/>
  <c r="I132" i="28"/>
  <c r="G132" i="29" s="1"/>
  <c r="I100" i="28"/>
  <c r="G100" i="29" s="1"/>
  <c r="C6" i="5"/>
  <c r="G6" i="5" s="1"/>
  <c r="I6" i="5" s="1"/>
  <c r="I6" i="2"/>
  <c r="I16" i="2" s="1"/>
  <c r="H16" i="2"/>
  <c r="I159" i="44" l="1"/>
  <c r="G159" i="46" s="1"/>
  <c r="C12" i="45"/>
  <c r="G12" i="45" s="1"/>
  <c r="I101" i="3"/>
  <c r="G101" i="44" s="1"/>
  <c r="C6" i="43"/>
  <c r="I158" i="32"/>
  <c r="G158" i="34" s="1"/>
  <c r="C12" i="33"/>
  <c r="G12" i="33" s="1"/>
  <c r="I12" i="33" s="1"/>
  <c r="G137" i="32"/>
  <c r="I127" i="32"/>
  <c r="G127" i="34" s="1"/>
  <c r="I127" i="34" s="1"/>
  <c r="G127" i="36" s="1"/>
  <c r="I127" i="36" s="1"/>
  <c r="G127" i="38" s="1"/>
  <c r="I127" i="38" s="1"/>
  <c r="G127" i="40" s="1"/>
  <c r="I102" i="32"/>
  <c r="G102" i="34" s="1"/>
  <c r="I102" i="34" s="1"/>
  <c r="G102" i="36" s="1"/>
  <c r="I102" i="36" s="1"/>
  <c r="G102" i="38" s="1"/>
  <c r="I102" i="38" s="1"/>
  <c r="G102" i="40" s="1"/>
  <c r="G126" i="32"/>
  <c r="I100" i="29"/>
  <c r="G101" i="30" s="1"/>
  <c r="C6" i="8"/>
  <c r="G6" i="8" s="1"/>
  <c r="I6" i="8" s="1"/>
  <c r="I132" i="29"/>
  <c r="G134" i="30" s="1"/>
  <c r="C8" i="8"/>
  <c r="G8" i="8" s="1"/>
  <c r="I8" i="8" s="1"/>
  <c r="I121" i="29"/>
  <c r="C7" i="8"/>
  <c r="G7" i="8" s="1"/>
  <c r="I7" i="8" s="1"/>
  <c r="I144" i="29"/>
  <c r="C9" i="8"/>
  <c r="G9" i="8" s="1"/>
  <c r="I9" i="8" s="1"/>
  <c r="I159" i="46" l="1"/>
  <c r="G159" i="48" s="1"/>
  <c r="I159" i="48" s="1"/>
  <c r="C12" i="47"/>
  <c r="G12" i="47" s="1"/>
  <c r="I12" i="47" s="1"/>
  <c r="I101" i="44"/>
  <c r="G101" i="46" s="1"/>
  <c r="C6" i="45"/>
  <c r="G6" i="45" s="1"/>
  <c r="I6" i="45" s="1"/>
  <c r="I12" i="45"/>
  <c r="I102" i="40"/>
  <c r="G102" i="3" s="1"/>
  <c r="G126" i="40"/>
  <c r="G138" i="40"/>
  <c r="I127" i="40"/>
  <c r="G127" i="3" s="1"/>
  <c r="I158" i="34"/>
  <c r="G159" i="36" s="1"/>
  <c r="C12" i="35"/>
  <c r="G12" i="35" s="1"/>
  <c r="I12" i="35" s="1"/>
  <c r="I126" i="32"/>
  <c r="G126" i="34" s="1"/>
  <c r="C8" i="33"/>
  <c r="G8" i="33" s="1"/>
  <c r="I137" i="32"/>
  <c r="G137" i="34" s="1"/>
  <c r="C9" i="33"/>
  <c r="G9" i="33" s="1"/>
  <c r="I9" i="33" s="1"/>
  <c r="I147" i="30"/>
  <c r="C9" i="31"/>
  <c r="G9" i="31" s="1"/>
  <c r="I9" i="31" s="1"/>
  <c r="I123" i="30"/>
  <c r="C7" i="31"/>
  <c r="G7" i="31" s="1"/>
  <c r="I7" i="31" s="1"/>
  <c r="I134" i="30"/>
  <c r="C8" i="31"/>
  <c r="G8" i="31" s="1"/>
  <c r="I8" i="31" s="1"/>
  <c r="I101" i="30"/>
  <c r="G101" i="32" s="1"/>
  <c r="C6" i="31"/>
  <c r="G6" i="31" s="1"/>
  <c r="I6" i="31" s="1"/>
  <c r="I101" i="46" l="1"/>
  <c r="G101" i="48" s="1"/>
  <c r="I101" i="48" s="1"/>
  <c r="C6" i="47"/>
  <c r="G6" i="47" s="1"/>
  <c r="I6" i="47" s="1"/>
  <c r="I138" i="40"/>
  <c r="C9" i="42"/>
  <c r="I126" i="40"/>
  <c r="C8" i="42"/>
  <c r="I127" i="3"/>
  <c r="G127" i="44" s="1"/>
  <c r="I127" i="44" s="1"/>
  <c r="G127" i="46" s="1"/>
  <c r="I127" i="46" s="1"/>
  <c r="G127" i="48" s="1"/>
  <c r="I127" i="48" s="1"/>
  <c r="G138" i="3"/>
  <c r="I102" i="3"/>
  <c r="G102" i="44" s="1"/>
  <c r="I102" i="44" s="1"/>
  <c r="G102" i="46" s="1"/>
  <c r="I102" i="46" s="1"/>
  <c r="G102" i="48" s="1"/>
  <c r="I102" i="48" s="1"/>
  <c r="G126" i="3"/>
  <c r="I159" i="36"/>
  <c r="G159" i="38" s="1"/>
  <c r="C12" i="37"/>
  <c r="G12" i="37" s="1"/>
  <c r="I12" i="37" s="1"/>
  <c r="I137" i="34"/>
  <c r="G138" i="36" s="1"/>
  <c r="C9" i="35"/>
  <c r="G9" i="35" s="1"/>
  <c r="I9" i="35" s="1"/>
  <c r="I126" i="34"/>
  <c r="G126" i="36" s="1"/>
  <c r="C8" i="35"/>
  <c r="G8" i="35" s="1"/>
  <c r="I8" i="35" s="1"/>
  <c r="I8" i="33"/>
  <c r="I101" i="32"/>
  <c r="G101" i="34" s="1"/>
  <c r="C6" i="33"/>
  <c r="G6" i="33" s="1"/>
  <c r="I6" i="33" s="1"/>
  <c r="I13" i="28"/>
  <c r="G13" i="29" s="1"/>
  <c r="I13" i="29" s="1"/>
  <c r="G14" i="30" s="1"/>
  <c r="I14" i="30" s="1"/>
  <c r="G14" i="32" s="1"/>
  <c r="I60" i="28"/>
  <c r="G60" i="29" s="1"/>
  <c r="G73" i="28"/>
  <c r="I138" i="3" l="1"/>
  <c r="G138" i="44" s="1"/>
  <c r="C9" i="43"/>
  <c r="I126" i="3"/>
  <c r="G126" i="44" s="1"/>
  <c r="C8" i="43"/>
  <c r="G12" i="43"/>
  <c r="G12" i="42"/>
  <c r="I159" i="38"/>
  <c r="C12" i="39"/>
  <c r="G12" i="39" s="1"/>
  <c r="I12" i="39" s="1"/>
  <c r="I126" i="36"/>
  <c r="G126" i="38" s="1"/>
  <c r="C8" i="37"/>
  <c r="G8" i="37" s="1"/>
  <c r="I8" i="37" s="1"/>
  <c r="I138" i="36"/>
  <c r="G138" i="38" s="1"/>
  <c r="C9" i="37"/>
  <c r="G9" i="37" s="1"/>
  <c r="I9" i="37" s="1"/>
  <c r="I101" i="34"/>
  <c r="G101" i="36" s="1"/>
  <c r="C6" i="35"/>
  <c r="G6" i="35" s="1"/>
  <c r="I6" i="35" s="1"/>
  <c r="I14" i="32"/>
  <c r="G14" i="34" s="1"/>
  <c r="G61" i="32"/>
  <c r="I60" i="29"/>
  <c r="G61" i="30" s="1"/>
  <c r="C4" i="8"/>
  <c r="I4" i="5"/>
  <c r="I73" i="28"/>
  <c r="G73" i="29" s="1"/>
  <c r="C5" i="5"/>
  <c r="G809" i="28"/>
  <c r="I126" i="44" l="1"/>
  <c r="G126" i="46" s="1"/>
  <c r="C8" i="45"/>
  <c r="G8" i="45" s="1"/>
  <c r="I138" i="44"/>
  <c r="G138" i="46" s="1"/>
  <c r="C9" i="45"/>
  <c r="G9" i="45" s="1"/>
  <c r="I9" i="45" s="1"/>
  <c r="G9" i="43"/>
  <c r="I9" i="43" s="1"/>
  <c r="G9" i="42"/>
  <c r="I9" i="42" s="1"/>
  <c r="I12" i="42"/>
  <c r="G8" i="43"/>
  <c r="G8" i="42"/>
  <c r="I12" i="43"/>
  <c r="I138" i="38"/>
  <c r="C9" i="39"/>
  <c r="G9" i="39" s="1"/>
  <c r="I9" i="39" s="1"/>
  <c r="I126" i="38"/>
  <c r="C8" i="39"/>
  <c r="G8" i="39" s="1"/>
  <c r="I8" i="39" s="1"/>
  <c r="I101" i="36"/>
  <c r="G101" i="38" s="1"/>
  <c r="C6" i="37"/>
  <c r="G6" i="37" s="1"/>
  <c r="I6" i="37" s="1"/>
  <c r="I14" i="34"/>
  <c r="G14" i="36" s="1"/>
  <c r="I14" i="36" s="1"/>
  <c r="G14" i="38" s="1"/>
  <c r="I14" i="38" s="1"/>
  <c r="G14" i="40" s="1"/>
  <c r="G61" i="34"/>
  <c r="I61" i="32"/>
  <c r="C4" i="33"/>
  <c r="G4" i="33" s="1"/>
  <c r="C4" i="31"/>
  <c r="G4" i="31" s="1"/>
  <c r="I4" i="31" s="1"/>
  <c r="I61" i="30"/>
  <c r="G4" i="8"/>
  <c r="I73" i="29"/>
  <c r="C5" i="8"/>
  <c r="G5" i="8" s="1"/>
  <c r="I5" i="8" s="1"/>
  <c r="H17" i="5"/>
  <c r="G5" i="5"/>
  <c r="G17" i="5" s="1"/>
  <c r="C17" i="5"/>
  <c r="I138" i="46" l="1"/>
  <c r="G138" i="48" s="1"/>
  <c r="I138" i="48" s="1"/>
  <c r="C9" i="47"/>
  <c r="G9" i="47" s="1"/>
  <c r="I9" i="47" s="1"/>
  <c r="I126" i="46"/>
  <c r="G126" i="48" s="1"/>
  <c r="I126" i="48" s="1"/>
  <c r="C8" i="47"/>
  <c r="G8" i="47" s="1"/>
  <c r="I8" i="45"/>
  <c r="I8" i="42"/>
  <c r="G6" i="43"/>
  <c r="I6" i="43" s="1"/>
  <c r="G6" i="42"/>
  <c r="I6" i="42" s="1"/>
  <c r="I8" i="43"/>
  <c r="I14" i="40"/>
  <c r="G14" i="3" s="1"/>
  <c r="I14" i="3" s="1"/>
  <c r="G14" i="44" s="1"/>
  <c r="I14" i="44" s="1"/>
  <c r="G14" i="46" s="1"/>
  <c r="I14" i="46" s="1"/>
  <c r="G14" i="48" s="1"/>
  <c r="I14" i="48" s="1"/>
  <c r="G61" i="40"/>
  <c r="I101" i="38"/>
  <c r="C6" i="39"/>
  <c r="G6" i="39" s="1"/>
  <c r="I6" i="39" s="1"/>
  <c r="I61" i="34"/>
  <c r="G61" i="36" s="1"/>
  <c r="C4" i="35"/>
  <c r="G4" i="35" s="1"/>
  <c r="I4" i="35" s="1"/>
  <c r="G74" i="30"/>
  <c r="I74" i="30" s="1"/>
  <c r="G74" i="32"/>
  <c r="I4" i="33"/>
  <c r="I4" i="8"/>
  <c r="I5" i="5"/>
  <c r="I17" i="5" s="1"/>
  <c r="I8" i="47" l="1"/>
  <c r="I61" i="40"/>
  <c r="C4" i="42"/>
  <c r="I61" i="36"/>
  <c r="G61" i="38" s="1"/>
  <c r="C4" i="37"/>
  <c r="G4" i="37" s="1"/>
  <c r="I4" i="37" s="1"/>
  <c r="C5" i="31"/>
  <c r="G5" i="31" s="1"/>
  <c r="I5" i="31" s="1"/>
  <c r="I74" i="32"/>
  <c r="G74" i="34" s="1"/>
  <c r="C5" i="33"/>
  <c r="G5" i="33" s="1"/>
  <c r="G7" i="33" s="1"/>
  <c r="I171" i="28"/>
  <c r="G173" i="29" s="1"/>
  <c r="I173" i="29" s="1"/>
  <c r="I367" i="28"/>
  <c r="G370" i="29" s="1"/>
  <c r="I370" i="29" s="1"/>
  <c r="I304" i="28"/>
  <c r="G307" i="29" s="1"/>
  <c r="I307" i="29" s="1"/>
  <c r="I212" i="28"/>
  <c r="G214" i="29" s="1"/>
  <c r="I214" i="29" s="1"/>
  <c r="I357" i="28"/>
  <c r="G360" i="29" s="1"/>
  <c r="I360" i="29" s="1"/>
  <c r="I177" i="28"/>
  <c r="G179" i="29" s="1"/>
  <c r="I179" i="29" s="1"/>
  <c r="I310" i="28"/>
  <c r="G313" i="29" s="1"/>
  <c r="I313" i="29" s="1"/>
  <c r="I276" i="28"/>
  <c r="G279" i="29" s="1"/>
  <c r="I279" i="29" s="1"/>
  <c r="I201" i="28"/>
  <c r="G203" i="29" s="1"/>
  <c r="I203" i="29" s="1"/>
  <c r="I362" i="28"/>
  <c r="G365" i="29" s="1"/>
  <c r="I365" i="29" s="1"/>
  <c r="I195" i="28"/>
  <c r="G197" i="29" s="1"/>
  <c r="I197" i="29" s="1"/>
  <c r="I206" i="28"/>
  <c r="G208" i="29" s="1"/>
  <c r="I208" i="29" s="1"/>
  <c r="I207" i="28"/>
  <c r="G209" i="29" s="1"/>
  <c r="I209" i="29" s="1"/>
  <c r="I368" i="28"/>
  <c r="G371" i="29" s="1"/>
  <c r="I371" i="29" s="1"/>
  <c r="I272" i="28"/>
  <c r="G275" i="29" s="1"/>
  <c r="I275" i="29" s="1"/>
  <c r="I194" i="28"/>
  <c r="G196" i="29" s="1"/>
  <c r="I196" i="29" s="1"/>
  <c r="I229" i="28"/>
  <c r="G232" i="29" s="1"/>
  <c r="I232" i="29" s="1"/>
  <c r="I374" i="28"/>
  <c r="G377" i="29" s="1"/>
  <c r="I377" i="29" s="1"/>
  <c r="I167" i="28"/>
  <c r="G169" i="29" s="1"/>
  <c r="I169" i="29" s="1"/>
  <c r="I352" i="28"/>
  <c r="G355" i="29" s="1"/>
  <c r="I355" i="29" s="1"/>
  <c r="I333" i="28"/>
  <c r="G336" i="29" s="1"/>
  <c r="I336" i="29" s="1"/>
  <c r="I163" i="28"/>
  <c r="G163" i="29" s="1"/>
  <c r="I163" i="29" s="1"/>
  <c r="I198" i="28"/>
  <c r="G200" i="29" s="1"/>
  <c r="I200" i="29" s="1"/>
  <c r="I179" i="28"/>
  <c r="G181" i="29" s="1"/>
  <c r="I181" i="29" s="1"/>
  <c r="I271" i="28"/>
  <c r="G274" i="29" s="1"/>
  <c r="I274" i="29" s="1"/>
  <c r="I396" i="28"/>
  <c r="G399" i="29" s="1"/>
  <c r="I399" i="29" s="1"/>
  <c r="I285" i="28"/>
  <c r="G288" i="29" s="1"/>
  <c r="I288" i="29" s="1"/>
  <c r="I182" i="28"/>
  <c r="G184" i="29" s="1"/>
  <c r="I184" i="29" s="1"/>
  <c r="I209" i="28"/>
  <c r="G211" i="29" s="1"/>
  <c r="I211" i="29" s="1"/>
  <c r="I277" i="28"/>
  <c r="G280" i="29" s="1"/>
  <c r="I280" i="29" s="1"/>
  <c r="I191" i="28"/>
  <c r="G193" i="29" s="1"/>
  <c r="I193" i="29" s="1"/>
  <c r="I202" i="28"/>
  <c r="G204" i="29" s="1"/>
  <c r="I204" i="29" s="1"/>
  <c r="I253" i="28"/>
  <c r="G256" i="29" s="1"/>
  <c r="I256" i="29" s="1"/>
  <c r="I190" i="28"/>
  <c r="G192" i="29" s="1"/>
  <c r="I192" i="29" s="1"/>
  <c r="I363" i="28"/>
  <c r="G366" i="29" s="1"/>
  <c r="I366" i="29" s="1"/>
  <c r="I392" i="28"/>
  <c r="G395" i="29" s="1"/>
  <c r="I395" i="29" s="1"/>
  <c r="I347" i="28"/>
  <c r="G350" i="29" s="1"/>
  <c r="I350" i="29" s="1"/>
  <c r="I275" i="28"/>
  <c r="G278" i="29" s="1"/>
  <c r="I278" i="29" s="1"/>
  <c r="I156" i="28"/>
  <c r="G156" i="29" s="1"/>
  <c r="I156" i="29" s="1"/>
  <c r="I232" i="28"/>
  <c r="G235" i="29" s="1"/>
  <c r="I235" i="29" s="1"/>
  <c r="I361" i="28"/>
  <c r="G364" i="29" s="1"/>
  <c r="I364" i="29" s="1"/>
  <c r="I165" i="28"/>
  <c r="G167" i="29" s="1"/>
  <c r="I167" i="29" s="1"/>
  <c r="I281" i="28"/>
  <c r="G284" i="29" s="1"/>
  <c r="I284" i="29" s="1"/>
  <c r="I218" i="28"/>
  <c r="G220" i="29" s="1"/>
  <c r="I220" i="29" s="1"/>
  <c r="I355" i="28"/>
  <c r="G358" i="29" s="1"/>
  <c r="I358" i="29" s="1"/>
  <c r="I296" i="28"/>
  <c r="G299" i="29" s="1"/>
  <c r="I299" i="29" s="1"/>
  <c r="I200" i="28"/>
  <c r="G202" i="29" s="1"/>
  <c r="I202" i="29" s="1"/>
  <c r="I247" i="28"/>
  <c r="G250" i="29" s="1"/>
  <c r="I250" i="29" s="1"/>
  <c r="I301" i="28"/>
  <c r="G304" i="29" s="1"/>
  <c r="I304" i="29" s="1"/>
  <c r="I306" i="28"/>
  <c r="G309" i="29" s="1"/>
  <c r="I309" i="29" s="1"/>
  <c r="I256" i="28"/>
  <c r="G259" i="29" s="1"/>
  <c r="I259" i="29" s="1"/>
  <c r="I353" i="28"/>
  <c r="G356" i="29" s="1"/>
  <c r="I356" i="29" s="1"/>
  <c r="I153" i="28"/>
  <c r="G153" i="29" s="1"/>
  <c r="I153" i="29" s="1"/>
  <c r="G156" i="30" s="1"/>
  <c r="I156" i="30" s="1"/>
  <c r="G159" i="32" s="1"/>
  <c r="I159" i="32" s="1"/>
  <c r="G159" i="34" s="1"/>
  <c r="I159" i="34" s="1"/>
  <c r="G160" i="36" s="1"/>
  <c r="I160" i="36" s="1"/>
  <c r="G160" i="38" s="1"/>
  <c r="I160" i="38" s="1"/>
  <c r="G160" i="40" s="1"/>
  <c r="J809" i="28"/>
  <c r="J811" i="28" s="1"/>
  <c r="I311" i="28"/>
  <c r="G314" i="29" s="1"/>
  <c r="I314" i="29" s="1"/>
  <c r="I230" i="28"/>
  <c r="G233" i="29" s="1"/>
  <c r="I233" i="29" s="1"/>
  <c r="I339" i="28"/>
  <c r="G342" i="29" s="1"/>
  <c r="I342" i="29" s="1"/>
  <c r="I203" i="28"/>
  <c r="G205" i="29" s="1"/>
  <c r="I205" i="29" s="1"/>
  <c r="I344" i="28"/>
  <c r="G347" i="29" s="1"/>
  <c r="I347" i="29" s="1"/>
  <c r="I168" i="28"/>
  <c r="G170" i="29" s="1"/>
  <c r="I170" i="29" s="1"/>
  <c r="I228" i="28"/>
  <c r="G231" i="29" s="1"/>
  <c r="I231" i="29" s="1"/>
  <c r="I309" i="28"/>
  <c r="G312" i="29" s="1"/>
  <c r="I312" i="29" s="1"/>
  <c r="I234" i="28"/>
  <c r="G237" i="29" s="1"/>
  <c r="I237" i="29" s="1"/>
  <c r="I161" i="28"/>
  <c r="G161" i="29" s="1"/>
  <c r="I161" i="29" s="1"/>
  <c r="I225" i="28"/>
  <c r="G228" i="29" s="1"/>
  <c r="I228" i="29" s="1"/>
  <c r="I354" i="28"/>
  <c r="G357" i="29" s="1"/>
  <c r="I357" i="29" s="1"/>
  <c r="I176" i="28"/>
  <c r="G178" i="29" s="1"/>
  <c r="I178" i="29" s="1"/>
  <c r="I317" i="28"/>
  <c r="G320" i="29" s="1"/>
  <c r="I320" i="29" s="1"/>
  <c r="I319" i="28"/>
  <c r="G322" i="29" s="1"/>
  <c r="I322" i="29" s="1"/>
  <c r="I269" i="28"/>
  <c r="G272" i="29" s="1"/>
  <c r="I272" i="29" s="1"/>
  <c r="I346" i="28"/>
  <c r="G349" i="29" s="1"/>
  <c r="I349" i="29" s="1"/>
  <c r="I262" i="28"/>
  <c r="G265" i="29" s="1"/>
  <c r="I265" i="29" s="1"/>
  <c r="I267" i="28"/>
  <c r="G270" i="29" s="1"/>
  <c r="I270" i="29" s="1"/>
  <c r="I180" i="28"/>
  <c r="G182" i="29" s="1"/>
  <c r="I182" i="29" s="1"/>
  <c r="I242" i="28"/>
  <c r="G245" i="29" s="1"/>
  <c r="I245" i="29" s="1"/>
  <c r="I375" i="28"/>
  <c r="G378" i="29" s="1"/>
  <c r="I378" i="29" s="1"/>
  <c r="I292" i="28"/>
  <c r="G295" i="29" s="1"/>
  <c r="I295" i="29" s="1"/>
  <c r="I348" i="28"/>
  <c r="G351" i="29" s="1"/>
  <c r="I351" i="29" s="1"/>
  <c r="I172" i="28"/>
  <c r="G174" i="29" s="1"/>
  <c r="I174" i="29" s="1"/>
  <c r="I313" i="28"/>
  <c r="G316" i="29" s="1"/>
  <c r="I316" i="29" s="1"/>
  <c r="I381" i="28"/>
  <c r="G384" i="29" s="1"/>
  <c r="I384" i="29" s="1"/>
  <c r="I246" i="28"/>
  <c r="G249" i="29" s="1"/>
  <c r="I249" i="29" s="1"/>
  <c r="I181" i="28"/>
  <c r="G183" i="29" s="1"/>
  <c r="I183" i="29" s="1"/>
  <c r="I298" i="28"/>
  <c r="G301" i="29" s="1"/>
  <c r="I301" i="29" s="1"/>
  <c r="I358" i="28"/>
  <c r="G361" i="29" s="1"/>
  <c r="I361" i="29" s="1"/>
  <c r="I250" i="28"/>
  <c r="G253" i="29" s="1"/>
  <c r="I253" i="29" s="1"/>
  <c r="I239" i="28"/>
  <c r="G242" i="29" s="1"/>
  <c r="I242" i="29" s="1"/>
  <c r="I316" i="28"/>
  <c r="G319" i="29" s="1"/>
  <c r="I319" i="29" s="1"/>
  <c r="I372" i="28"/>
  <c r="G375" i="29" s="1"/>
  <c r="I375" i="29" s="1"/>
  <c r="I220" i="28"/>
  <c r="G222" i="29" s="1"/>
  <c r="I222" i="29" s="1"/>
  <c r="I254" i="28"/>
  <c r="G257" i="29" s="1"/>
  <c r="I257" i="29" s="1"/>
  <c r="I226" i="28"/>
  <c r="G229" i="29" s="1"/>
  <c r="I229" i="29" s="1"/>
  <c r="I356" i="28"/>
  <c r="G359" i="29" s="1"/>
  <c r="I359" i="29" s="1"/>
  <c r="I204" i="28"/>
  <c r="G206" i="29" s="1"/>
  <c r="I206" i="29" s="1"/>
  <c r="I189" i="28"/>
  <c r="G191" i="29" s="1"/>
  <c r="I191" i="29" s="1"/>
  <c r="I280" i="28"/>
  <c r="G283" i="29" s="1"/>
  <c r="I283" i="29" s="1"/>
  <c r="I389" i="28"/>
  <c r="G392" i="29" s="1"/>
  <c r="I392" i="29" s="1"/>
  <c r="I273" i="28"/>
  <c r="G276" i="29" s="1"/>
  <c r="I276" i="29" s="1"/>
  <c r="I157" i="28"/>
  <c r="G157" i="29" s="1"/>
  <c r="I157" i="29" s="1"/>
  <c r="I366" i="28"/>
  <c r="G369" i="29" s="1"/>
  <c r="I369" i="29" s="1"/>
  <c r="I382" i="28"/>
  <c r="G385" i="29" s="1"/>
  <c r="I385" i="29" s="1"/>
  <c r="I391" i="28"/>
  <c r="G394" i="29" s="1"/>
  <c r="I394" i="29" s="1"/>
  <c r="I170" i="28"/>
  <c r="G172" i="29" s="1"/>
  <c r="I172" i="29" s="1"/>
  <c r="I235" i="28"/>
  <c r="G238" i="29" s="1"/>
  <c r="I238" i="29" s="1"/>
  <c r="I270" i="28"/>
  <c r="G273" i="29" s="1"/>
  <c r="I273" i="29" s="1"/>
  <c r="I219" i="28"/>
  <c r="G221" i="29" s="1"/>
  <c r="I221" i="29" s="1"/>
  <c r="I288" i="28"/>
  <c r="G291" i="29" s="1"/>
  <c r="I291" i="29" s="1"/>
  <c r="I360" i="28"/>
  <c r="G363" i="29" s="1"/>
  <c r="I363" i="29" s="1"/>
  <c r="I244" i="28"/>
  <c r="G247" i="29" s="1"/>
  <c r="I247" i="29" s="1"/>
  <c r="I325" i="28"/>
  <c r="G328" i="29" s="1"/>
  <c r="I328" i="29" s="1"/>
  <c r="I377" i="28"/>
  <c r="G380" i="29" s="1"/>
  <c r="I380" i="29" s="1"/>
  <c r="I291" i="28"/>
  <c r="G294" i="29" s="1"/>
  <c r="I294" i="29" s="1"/>
  <c r="I245" i="28"/>
  <c r="G248" i="29" s="1"/>
  <c r="I248" i="29" s="1"/>
  <c r="I231" i="28"/>
  <c r="G234" i="29" s="1"/>
  <c r="I234" i="29" s="1"/>
  <c r="I155" i="28"/>
  <c r="G155" i="29" s="1"/>
  <c r="I155" i="29" s="1"/>
  <c r="I184" i="28"/>
  <c r="G186" i="29" s="1"/>
  <c r="I186" i="29" s="1"/>
  <c r="I343" i="28"/>
  <c r="G346" i="29" s="1"/>
  <c r="I346" i="29" s="1"/>
  <c r="I330" i="28"/>
  <c r="G333" i="29" s="1"/>
  <c r="I333" i="29" s="1"/>
  <c r="I185" i="28"/>
  <c r="G187" i="29" s="1"/>
  <c r="I187" i="29" s="1"/>
  <c r="I302" i="28"/>
  <c r="G305" i="29" s="1"/>
  <c r="I305" i="29" s="1"/>
  <c r="I331" i="28"/>
  <c r="G334" i="29" s="1"/>
  <c r="I334" i="29" s="1"/>
  <c r="I340" i="28"/>
  <c r="G343" i="29" s="1"/>
  <c r="I343" i="29" s="1"/>
  <c r="I315" i="28"/>
  <c r="G318" i="29" s="1"/>
  <c r="I318" i="29" s="1"/>
  <c r="I259" i="28"/>
  <c r="G262" i="29" s="1"/>
  <c r="I262" i="29" s="1"/>
  <c r="I289" i="28"/>
  <c r="G292" i="29" s="1"/>
  <c r="I292" i="29" s="1"/>
  <c r="I213" i="28"/>
  <c r="G215" i="29" s="1"/>
  <c r="I215" i="29" s="1"/>
  <c r="I338" i="28"/>
  <c r="G341" i="29" s="1"/>
  <c r="I341" i="29" s="1"/>
  <c r="I323" i="28"/>
  <c r="G326" i="29" s="1"/>
  <c r="I326" i="29" s="1"/>
  <c r="I279" i="28"/>
  <c r="G282" i="29" s="1"/>
  <c r="I282" i="29" s="1"/>
  <c r="I160" i="28"/>
  <c r="G160" i="29" s="1"/>
  <c r="I160" i="29" s="1"/>
  <c r="I154" i="28"/>
  <c r="G154" i="29" s="1"/>
  <c r="I154" i="29" s="1"/>
  <c r="I164" i="28"/>
  <c r="G164" i="29" s="1"/>
  <c r="I266" i="28"/>
  <c r="G269" i="29" s="1"/>
  <c r="I269" i="29" s="1"/>
  <c r="I205" i="28"/>
  <c r="G207" i="29" s="1"/>
  <c r="I207" i="29" s="1"/>
  <c r="I166" i="28"/>
  <c r="G168" i="29" s="1"/>
  <c r="I168" i="29" s="1"/>
  <c r="I387" i="28"/>
  <c r="G390" i="29" s="1"/>
  <c r="I390" i="29" s="1"/>
  <c r="I255" i="28"/>
  <c r="G258" i="29" s="1"/>
  <c r="I258" i="29" s="1"/>
  <c r="I264" i="28"/>
  <c r="G267" i="29" s="1"/>
  <c r="I267" i="29" s="1"/>
  <c r="I193" i="28"/>
  <c r="G195" i="29" s="1"/>
  <c r="I195" i="29" s="1"/>
  <c r="I370" i="28"/>
  <c r="G373" i="29" s="1"/>
  <c r="I373" i="29" s="1"/>
  <c r="I349" i="28"/>
  <c r="G352" i="29" s="1"/>
  <c r="I352" i="29" s="1"/>
  <c r="I217" i="28"/>
  <c r="G219" i="29" s="1"/>
  <c r="I219" i="29" s="1"/>
  <c r="I395" i="28"/>
  <c r="G398" i="29" s="1"/>
  <c r="I398" i="29" s="1"/>
  <c r="I159" i="28"/>
  <c r="G159" i="29" s="1"/>
  <c r="I159" i="29" s="1"/>
  <c r="I308" i="28"/>
  <c r="G311" i="29" s="1"/>
  <c r="I311" i="29" s="1"/>
  <c r="I188" i="28"/>
  <c r="G190" i="29" s="1"/>
  <c r="I190" i="29" s="1"/>
  <c r="I329" i="28"/>
  <c r="G332" i="29" s="1"/>
  <c r="I332" i="29" s="1"/>
  <c r="I303" i="28"/>
  <c r="G306" i="29" s="1"/>
  <c r="I306" i="29" s="1"/>
  <c r="I249" i="28"/>
  <c r="G252" i="29" s="1"/>
  <c r="I252" i="29" s="1"/>
  <c r="I383" i="28"/>
  <c r="G386" i="29" s="1"/>
  <c r="I386" i="29" s="1"/>
  <c r="I252" i="28"/>
  <c r="G255" i="29" s="1"/>
  <c r="I255" i="29" s="1"/>
  <c r="I284" i="28"/>
  <c r="G287" i="29" s="1"/>
  <c r="I287" i="29" s="1"/>
  <c r="I257" i="28"/>
  <c r="G260" i="29" s="1"/>
  <c r="I260" i="29" s="1"/>
  <c r="I240" i="28"/>
  <c r="G243" i="29" s="1"/>
  <c r="I243" i="29" s="1"/>
  <c r="I221" i="28"/>
  <c r="G223" i="29" s="1"/>
  <c r="I223" i="29" s="1"/>
  <c r="I173" i="28"/>
  <c r="G175" i="29" s="1"/>
  <c r="I175" i="29" s="1"/>
  <c r="I158" i="28"/>
  <c r="G158" i="29" s="1"/>
  <c r="I158" i="29" s="1"/>
  <c r="I328" i="28"/>
  <c r="G331" i="29" s="1"/>
  <c r="I331" i="29" s="1"/>
  <c r="I341" i="28"/>
  <c r="G344" i="29" s="1"/>
  <c r="I344" i="29" s="1"/>
  <c r="I261" i="28"/>
  <c r="G264" i="29" s="1"/>
  <c r="I264" i="29" s="1"/>
  <c r="I390" i="28"/>
  <c r="G393" i="29" s="1"/>
  <c r="I393" i="29" s="1"/>
  <c r="I385" i="28"/>
  <c r="G388" i="29" s="1"/>
  <c r="I388" i="29" s="1"/>
  <c r="I237" i="28"/>
  <c r="G240" i="29" s="1"/>
  <c r="I240" i="29" s="1"/>
  <c r="I378" i="28"/>
  <c r="G381" i="29" s="1"/>
  <c r="I381" i="29" s="1"/>
  <c r="I215" i="28"/>
  <c r="G217" i="29" s="1"/>
  <c r="I217" i="29" s="1"/>
  <c r="I162" i="28"/>
  <c r="G162" i="29" s="1"/>
  <c r="I162" i="29" s="1"/>
  <c r="I187" i="28"/>
  <c r="G189" i="29" s="1"/>
  <c r="I189" i="29" s="1"/>
  <c r="I332" i="28"/>
  <c r="G335" i="29" s="1"/>
  <c r="I335" i="29" s="1"/>
  <c r="I216" i="28"/>
  <c r="G218" i="29" s="1"/>
  <c r="I218" i="29" s="1"/>
  <c r="I345" i="28"/>
  <c r="G348" i="29" s="1"/>
  <c r="I348" i="29" s="1"/>
  <c r="I371" i="28"/>
  <c r="G374" i="29" s="1"/>
  <c r="I374" i="29" s="1"/>
  <c r="I265" i="28"/>
  <c r="G268" i="29" s="1"/>
  <c r="I268" i="29" s="1"/>
  <c r="I178" i="28"/>
  <c r="G180" i="29" s="1"/>
  <c r="I180" i="29" s="1"/>
  <c r="I211" i="28"/>
  <c r="G213" i="29" s="1"/>
  <c r="I213" i="29" s="1"/>
  <c r="I336" i="28"/>
  <c r="G339" i="29" s="1"/>
  <c r="I339" i="29" s="1"/>
  <c r="I297" i="28"/>
  <c r="G300" i="29" s="1"/>
  <c r="I300" i="29" s="1"/>
  <c r="I322" i="28"/>
  <c r="G325" i="29" s="1"/>
  <c r="I325" i="29" s="1"/>
  <c r="I324" i="28"/>
  <c r="G327" i="29" s="1"/>
  <c r="I327" i="29" s="1"/>
  <c r="I224" i="28"/>
  <c r="G227" i="29" s="1"/>
  <c r="I227" i="29" s="1"/>
  <c r="I326" i="28"/>
  <c r="G329" i="29" s="1"/>
  <c r="I329" i="29" s="1"/>
  <c r="I321" i="28"/>
  <c r="G324" i="29" s="1"/>
  <c r="I324" i="29" s="1"/>
  <c r="I350" i="28"/>
  <c r="G353" i="29" s="1"/>
  <c r="I353" i="29" s="1"/>
  <c r="I290" i="28"/>
  <c r="G293" i="29" s="1"/>
  <c r="I293" i="29" s="1"/>
  <c r="I241" i="28"/>
  <c r="G244" i="29" s="1"/>
  <c r="I244" i="29" s="1"/>
  <c r="I307" i="28"/>
  <c r="G310" i="29" s="1"/>
  <c r="I310" i="29" s="1"/>
  <c r="I380" i="28"/>
  <c r="G383" i="29" s="1"/>
  <c r="I383" i="29" s="1"/>
  <c r="I393" i="28"/>
  <c r="G396" i="29" s="1"/>
  <c r="I396" i="29" s="1"/>
  <c r="I294" i="28"/>
  <c r="G297" i="29" s="1"/>
  <c r="I297" i="29" s="1"/>
  <c r="I236" i="28"/>
  <c r="G239" i="29" s="1"/>
  <c r="I239" i="29" s="1"/>
  <c r="I169" i="28"/>
  <c r="G171" i="29" s="1"/>
  <c r="I171" i="29" s="1"/>
  <c r="I286" i="28"/>
  <c r="G289" i="29" s="1"/>
  <c r="I289" i="29" s="1"/>
  <c r="I295" i="28"/>
  <c r="G298" i="29" s="1"/>
  <c r="I298" i="29" s="1"/>
  <c r="I300" i="28"/>
  <c r="G303" i="29" s="1"/>
  <c r="I303" i="29" s="1"/>
  <c r="I278" i="28"/>
  <c r="G281" i="29" s="1"/>
  <c r="I281" i="29" s="1"/>
  <c r="I223" i="28"/>
  <c r="G225" i="29" s="1"/>
  <c r="I225" i="29" s="1"/>
  <c r="I384" i="28"/>
  <c r="G387" i="29" s="1"/>
  <c r="I387" i="29" s="1"/>
  <c r="I248" i="28"/>
  <c r="G251" i="29" s="1"/>
  <c r="I251" i="29" s="1"/>
  <c r="I397" i="28"/>
  <c r="G400" i="29" s="1"/>
  <c r="I400" i="29" s="1"/>
  <c r="I197" i="28"/>
  <c r="G199" i="29" s="1"/>
  <c r="I199" i="29" s="1"/>
  <c r="I314" i="28"/>
  <c r="G317" i="29" s="1"/>
  <c r="I317" i="29" s="1"/>
  <c r="I287" i="28"/>
  <c r="G290" i="29" s="1"/>
  <c r="I290" i="29" s="1"/>
  <c r="I263" i="28"/>
  <c r="G266" i="29" s="1"/>
  <c r="I266" i="29" s="1"/>
  <c r="I388" i="28"/>
  <c r="G391" i="29" s="1"/>
  <c r="I391" i="29" s="1"/>
  <c r="I365" i="28"/>
  <c r="G368" i="29" s="1"/>
  <c r="I368" i="29" s="1"/>
  <c r="I175" i="28"/>
  <c r="G177" i="29" s="1"/>
  <c r="I177" i="29" s="1"/>
  <c r="I376" i="28"/>
  <c r="G379" i="29" s="1"/>
  <c r="I379" i="29" s="1"/>
  <c r="I373" i="28"/>
  <c r="G376" i="29" s="1"/>
  <c r="I376" i="29" s="1"/>
  <c r="I210" i="28"/>
  <c r="G212" i="29" s="1"/>
  <c r="I212" i="29" s="1"/>
  <c r="I335" i="28"/>
  <c r="G338" i="29" s="1"/>
  <c r="I338" i="29" s="1"/>
  <c r="I337" i="28"/>
  <c r="G340" i="29" s="1"/>
  <c r="I340" i="29" s="1"/>
  <c r="I186" i="28"/>
  <c r="G188" i="29" s="1"/>
  <c r="I188" i="29" s="1"/>
  <c r="I282" i="28"/>
  <c r="G285" i="29" s="1"/>
  <c r="I285" i="29" s="1"/>
  <c r="I160" i="40" l="1"/>
  <c r="G160" i="3" s="1"/>
  <c r="I160" i="3" s="1"/>
  <c r="G160" i="44" s="1"/>
  <c r="I160" i="44" s="1"/>
  <c r="G160" i="46" s="1"/>
  <c r="I160" i="46" s="1"/>
  <c r="G160" i="48" s="1"/>
  <c r="I160" i="48" s="1"/>
  <c r="I61" i="38"/>
  <c r="C4" i="39"/>
  <c r="G4" i="39" s="1"/>
  <c r="I4" i="39" s="1"/>
  <c r="I74" i="34"/>
  <c r="G74" i="36" s="1"/>
  <c r="C5" i="35"/>
  <c r="G5" i="35" s="1"/>
  <c r="I5" i="35" s="1"/>
  <c r="I7" i="35" s="1"/>
  <c r="G346" i="30"/>
  <c r="I346" i="30" s="1"/>
  <c r="G349" i="32" s="1"/>
  <c r="I349" i="32" s="1"/>
  <c r="G349" i="34" s="1"/>
  <c r="I349" i="34" s="1"/>
  <c r="G353" i="36" s="1"/>
  <c r="I353" i="36" s="1"/>
  <c r="G356" i="38" s="1"/>
  <c r="I356" i="38" s="1"/>
  <c r="G360" i="40" s="1"/>
  <c r="I360" i="40" s="1"/>
  <c r="G364" i="3" s="1"/>
  <c r="I364" i="3" s="1"/>
  <c r="G371" i="44" s="1"/>
  <c r="I371" i="44" s="1"/>
  <c r="G370" i="46" s="1"/>
  <c r="I370" i="46" s="1"/>
  <c r="G370" i="48" s="1"/>
  <c r="I370" i="48" s="1"/>
  <c r="G184" i="30"/>
  <c r="I184" i="30" s="1"/>
  <c r="G187" i="32" s="1"/>
  <c r="I187" i="32" s="1"/>
  <c r="G187" i="34" s="1"/>
  <c r="I187" i="34" s="1"/>
  <c r="G190" i="36" s="1"/>
  <c r="I190" i="36" s="1"/>
  <c r="G191" i="38" s="1"/>
  <c r="I191" i="38" s="1"/>
  <c r="G192" i="40" s="1"/>
  <c r="I192" i="40" s="1"/>
  <c r="G193" i="3" s="1"/>
  <c r="I193" i="3" s="1"/>
  <c r="G195" i="44" s="1"/>
  <c r="I195" i="44" s="1"/>
  <c r="G195" i="46" s="1"/>
  <c r="I195" i="46" s="1"/>
  <c r="G195" i="48" s="1"/>
  <c r="I195" i="48" s="1"/>
  <c r="G399" i="30"/>
  <c r="I399" i="30" s="1"/>
  <c r="G402" i="32" s="1"/>
  <c r="I402" i="32" s="1"/>
  <c r="G402" i="34" s="1"/>
  <c r="I402" i="34" s="1"/>
  <c r="G406" i="36" s="1"/>
  <c r="I406" i="36" s="1"/>
  <c r="G409" i="38" s="1"/>
  <c r="I409" i="38" s="1"/>
  <c r="G413" i="40" s="1"/>
  <c r="I413" i="40" s="1"/>
  <c r="G417" i="3" s="1"/>
  <c r="I417" i="3" s="1"/>
  <c r="G424" i="44" s="1"/>
  <c r="I424" i="44" s="1"/>
  <c r="G423" i="46" s="1"/>
  <c r="I423" i="46" s="1"/>
  <c r="G423" i="48" s="1"/>
  <c r="I423" i="48" s="1"/>
  <c r="G298" i="30"/>
  <c r="I298" i="30" s="1"/>
  <c r="G301" i="32" s="1"/>
  <c r="I301" i="32" s="1"/>
  <c r="G301" i="34" s="1"/>
  <c r="I301" i="34" s="1"/>
  <c r="G305" i="36" s="1"/>
  <c r="I305" i="36" s="1"/>
  <c r="G308" i="38" s="1"/>
  <c r="I308" i="38" s="1"/>
  <c r="G311" i="40" s="1"/>
  <c r="I311" i="40" s="1"/>
  <c r="G314" i="3" s="1"/>
  <c r="I314" i="3" s="1"/>
  <c r="G320" i="44" s="1"/>
  <c r="I320" i="44" s="1"/>
  <c r="G319" i="46" s="1"/>
  <c r="I319" i="46" s="1"/>
  <c r="G319" i="48" s="1"/>
  <c r="I319" i="48" s="1"/>
  <c r="G206" i="30"/>
  <c r="I206" i="30" s="1"/>
  <c r="G209" i="32" s="1"/>
  <c r="I209" i="32" s="1"/>
  <c r="G209" i="34" s="1"/>
  <c r="I209" i="34" s="1"/>
  <c r="G212" i="36" s="1"/>
  <c r="I212" i="36" s="1"/>
  <c r="G214" i="38" s="1"/>
  <c r="I214" i="38" s="1"/>
  <c r="G216" i="40" s="1"/>
  <c r="I216" i="40" s="1"/>
  <c r="G217" i="3" s="1"/>
  <c r="I217" i="3" s="1"/>
  <c r="G222" i="44" s="1"/>
  <c r="I222" i="44" s="1"/>
  <c r="G222" i="46" s="1"/>
  <c r="I222" i="46" s="1"/>
  <c r="G222" i="48" s="1"/>
  <c r="I222" i="48" s="1"/>
  <c r="G258" i="30"/>
  <c r="I258" i="30" s="1"/>
  <c r="G261" i="32" s="1"/>
  <c r="I261" i="32" s="1"/>
  <c r="G261" i="34" s="1"/>
  <c r="I261" i="34" s="1"/>
  <c r="G264" i="36" s="1"/>
  <c r="I264" i="36" s="1"/>
  <c r="G266" i="38" s="1"/>
  <c r="I266" i="38" s="1"/>
  <c r="G268" i="40" s="1"/>
  <c r="I268" i="40" s="1"/>
  <c r="G269" i="3" s="1"/>
  <c r="I269" i="3" s="1"/>
  <c r="G274" i="44" s="1"/>
  <c r="I274" i="44" s="1"/>
  <c r="G274" i="46" s="1"/>
  <c r="I274" i="46" s="1"/>
  <c r="G274" i="48" s="1"/>
  <c r="I274" i="48" s="1"/>
  <c r="G232" i="30"/>
  <c r="I232" i="30" s="1"/>
  <c r="G235" i="32" s="1"/>
  <c r="I235" i="32" s="1"/>
  <c r="G235" i="34" s="1"/>
  <c r="I235" i="34" s="1"/>
  <c r="G238" i="36" s="1"/>
  <c r="I238" i="36" s="1"/>
  <c r="G240" i="38" s="1"/>
  <c r="I240" i="38" s="1"/>
  <c r="G242" i="40" s="1"/>
  <c r="I242" i="40" s="1"/>
  <c r="G243" i="3" s="1"/>
  <c r="I243" i="3" s="1"/>
  <c r="G248" i="44" s="1"/>
  <c r="I248" i="44" s="1"/>
  <c r="G248" i="46" s="1"/>
  <c r="I248" i="46" s="1"/>
  <c r="G248" i="48" s="1"/>
  <c r="I248" i="48" s="1"/>
  <c r="G311" i="30"/>
  <c r="I311" i="30" s="1"/>
  <c r="G314" i="32" s="1"/>
  <c r="I314" i="32" s="1"/>
  <c r="G314" i="34" s="1"/>
  <c r="I314" i="34" s="1"/>
  <c r="G318" i="36" s="1"/>
  <c r="I318" i="36" s="1"/>
  <c r="G321" i="38" s="1"/>
  <c r="I321" i="38" s="1"/>
  <c r="G324" i="40" s="1"/>
  <c r="I324" i="40" s="1"/>
  <c r="G328" i="3" s="1"/>
  <c r="I328" i="3" s="1"/>
  <c r="G334" i="44" s="1"/>
  <c r="I334" i="44" s="1"/>
  <c r="G333" i="46" s="1"/>
  <c r="I333" i="46" s="1"/>
  <c r="G333" i="48" s="1"/>
  <c r="I333" i="48" s="1"/>
  <c r="G297" i="30"/>
  <c r="I297" i="30" s="1"/>
  <c r="G300" i="32" s="1"/>
  <c r="I300" i="32" s="1"/>
  <c r="G300" i="34" s="1"/>
  <c r="I300" i="34" s="1"/>
  <c r="G304" i="36" s="1"/>
  <c r="I304" i="36" s="1"/>
  <c r="G307" i="38" s="1"/>
  <c r="I307" i="38" s="1"/>
  <c r="G310" i="40" s="1"/>
  <c r="I310" i="40" s="1"/>
  <c r="G313" i="3" s="1"/>
  <c r="I313" i="3" s="1"/>
  <c r="G319" i="44" s="1"/>
  <c r="I319" i="44" s="1"/>
  <c r="G318" i="46" s="1"/>
  <c r="I318" i="46" s="1"/>
  <c r="G318" i="48" s="1"/>
  <c r="I318" i="48" s="1"/>
  <c r="G246" i="30"/>
  <c r="I246" i="30" s="1"/>
  <c r="G249" i="32" s="1"/>
  <c r="I249" i="32" s="1"/>
  <c r="G249" i="34" s="1"/>
  <c r="I249" i="34" s="1"/>
  <c r="G252" i="36" s="1"/>
  <c r="I252" i="36" s="1"/>
  <c r="G254" i="38" s="1"/>
  <c r="I254" i="38" s="1"/>
  <c r="G256" i="40" s="1"/>
  <c r="I256" i="40" s="1"/>
  <c r="G257" i="3" s="1"/>
  <c r="I257" i="3" s="1"/>
  <c r="G262" i="44" s="1"/>
  <c r="I262" i="44" s="1"/>
  <c r="G262" i="46" s="1"/>
  <c r="I262" i="46" s="1"/>
  <c r="G262" i="48" s="1"/>
  <c r="I262" i="48" s="1"/>
  <c r="G404" i="30"/>
  <c r="I404" i="30" s="1"/>
  <c r="G407" i="32" s="1"/>
  <c r="I407" i="32" s="1"/>
  <c r="G407" i="34" s="1"/>
  <c r="I407" i="34" s="1"/>
  <c r="G411" i="36" s="1"/>
  <c r="I411" i="36" s="1"/>
  <c r="G414" i="38" s="1"/>
  <c r="I414" i="38" s="1"/>
  <c r="G418" i="40" s="1"/>
  <c r="I418" i="40" s="1"/>
  <c r="G422" i="3" s="1"/>
  <c r="I422" i="3" s="1"/>
  <c r="G429" i="44" s="1"/>
  <c r="I429" i="44" s="1"/>
  <c r="G428" i="46" s="1"/>
  <c r="I428" i="46" s="1"/>
  <c r="G428" i="48" s="1"/>
  <c r="I428" i="48" s="1"/>
  <c r="G318" i="30"/>
  <c r="I318" i="30" s="1"/>
  <c r="G321" i="32" s="1"/>
  <c r="I321" i="32" s="1"/>
  <c r="G321" i="34" s="1"/>
  <c r="I321" i="34" s="1"/>
  <c r="G325" i="36" s="1"/>
  <c r="I325" i="36" s="1"/>
  <c r="G328" i="38" s="1"/>
  <c r="I328" i="38" s="1"/>
  <c r="G331" i="40" s="1"/>
  <c r="I331" i="40" s="1"/>
  <c r="G335" i="3" s="1"/>
  <c r="I335" i="3" s="1"/>
  <c r="G341" i="44" s="1"/>
  <c r="I341" i="44" s="1"/>
  <c r="G340" i="46" s="1"/>
  <c r="I340" i="46" s="1"/>
  <c r="G340" i="48" s="1"/>
  <c r="I340" i="48" s="1"/>
  <c r="G301" i="30"/>
  <c r="I301" i="30" s="1"/>
  <c r="G304" i="32" s="1"/>
  <c r="I304" i="32" s="1"/>
  <c r="G304" i="34" s="1"/>
  <c r="I304" i="34" s="1"/>
  <c r="G308" i="36" s="1"/>
  <c r="I308" i="36" s="1"/>
  <c r="G311" i="38" s="1"/>
  <c r="I311" i="38" s="1"/>
  <c r="G314" i="40" s="1"/>
  <c r="I314" i="40" s="1"/>
  <c r="G318" i="3" s="1"/>
  <c r="I318" i="3" s="1"/>
  <c r="G324" i="44" s="1"/>
  <c r="I324" i="44" s="1"/>
  <c r="G323" i="46" s="1"/>
  <c r="I323" i="46" s="1"/>
  <c r="G323" i="48" s="1"/>
  <c r="I323" i="48" s="1"/>
  <c r="G332" i="30"/>
  <c r="I332" i="30" s="1"/>
  <c r="G335" i="32" s="1"/>
  <c r="I335" i="32" s="1"/>
  <c r="G335" i="34" s="1"/>
  <c r="I335" i="34" s="1"/>
  <c r="G339" i="36" s="1"/>
  <c r="I339" i="36" s="1"/>
  <c r="G342" i="38" s="1"/>
  <c r="I342" i="38" s="1"/>
  <c r="G346" i="40" s="1"/>
  <c r="I346" i="40" s="1"/>
  <c r="G350" i="3" s="1"/>
  <c r="I350" i="3" s="1"/>
  <c r="G357" i="44" s="1"/>
  <c r="I357" i="44" s="1"/>
  <c r="G356" i="46" s="1"/>
  <c r="I356" i="46" s="1"/>
  <c r="G356" i="48" s="1"/>
  <c r="I356" i="48" s="1"/>
  <c r="G234" i="30"/>
  <c r="I234" i="30" s="1"/>
  <c r="G237" i="32" s="1"/>
  <c r="I237" i="32" s="1"/>
  <c r="G237" i="34" s="1"/>
  <c r="I237" i="34" s="1"/>
  <c r="G240" i="36" s="1"/>
  <c r="I240" i="36" s="1"/>
  <c r="G242" i="38" s="1"/>
  <c r="I242" i="38" s="1"/>
  <c r="G244" i="40" s="1"/>
  <c r="I244" i="40" s="1"/>
  <c r="G245" i="3" s="1"/>
  <c r="I245" i="3" s="1"/>
  <c r="G250" i="44" s="1"/>
  <c r="I250" i="44" s="1"/>
  <c r="G250" i="46" s="1"/>
  <c r="I250" i="46" s="1"/>
  <c r="G250" i="48" s="1"/>
  <c r="I250" i="48" s="1"/>
  <c r="G333" i="30"/>
  <c r="I333" i="30" s="1"/>
  <c r="G336" i="32" s="1"/>
  <c r="I336" i="32" s="1"/>
  <c r="G336" i="34" s="1"/>
  <c r="I336" i="34" s="1"/>
  <c r="G340" i="36" s="1"/>
  <c r="I340" i="36" s="1"/>
  <c r="G343" i="38" s="1"/>
  <c r="I343" i="38" s="1"/>
  <c r="G347" i="40" s="1"/>
  <c r="I347" i="40" s="1"/>
  <c r="G351" i="3" s="1"/>
  <c r="I351" i="3" s="1"/>
  <c r="G358" i="44" s="1"/>
  <c r="I358" i="44" s="1"/>
  <c r="G357" i="46" s="1"/>
  <c r="I357" i="46" s="1"/>
  <c r="G357" i="48" s="1"/>
  <c r="I357" i="48" s="1"/>
  <c r="G347" i="30"/>
  <c r="I347" i="30" s="1"/>
  <c r="G350" i="32" s="1"/>
  <c r="I350" i="32" s="1"/>
  <c r="G350" i="34" s="1"/>
  <c r="I350" i="34" s="1"/>
  <c r="G354" i="36" s="1"/>
  <c r="I354" i="36" s="1"/>
  <c r="G357" i="38" s="1"/>
  <c r="I357" i="38" s="1"/>
  <c r="G361" i="40" s="1"/>
  <c r="I361" i="40" s="1"/>
  <c r="G365" i="3" s="1"/>
  <c r="I365" i="3" s="1"/>
  <c r="G372" i="44" s="1"/>
  <c r="I372" i="44" s="1"/>
  <c r="G371" i="46" s="1"/>
  <c r="I371" i="46" s="1"/>
  <c r="G371" i="48" s="1"/>
  <c r="I371" i="48" s="1"/>
  <c r="G187" i="30"/>
  <c r="I187" i="30" s="1"/>
  <c r="G190" i="32" s="1"/>
  <c r="I190" i="32" s="1"/>
  <c r="G190" i="34" s="1"/>
  <c r="I190" i="34" s="1"/>
  <c r="G193" i="36" s="1"/>
  <c r="I193" i="36" s="1"/>
  <c r="G194" i="38" s="1"/>
  <c r="I194" i="38" s="1"/>
  <c r="G196" i="40" s="1"/>
  <c r="I196" i="40" s="1"/>
  <c r="G197" i="3" s="1"/>
  <c r="I197" i="3" s="1"/>
  <c r="G200" i="44" s="1"/>
  <c r="I200" i="44" s="1"/>
  <c r="G200" i="46" s="1"/>
  <c r="I200" i="46" s="1"/>
  <c r="G200" i="48" s="1"/>
  <c r="I200" i="48" s="1"/>
  <c r="G382" i="30"/>
  <c r="I382" i="30" s="1"/>
  <c r="G385" i="32" s="1"/>
  <c r="I385" i="32" s="1"/>
  <c r="G385" i="34" s="1"/>
  <c r="I385" i="34" s="1"/>
  <c r="G389" i="36" s="1"/>
  <c r="I389" i="36" s="1"/>
  <c r="G392" i="38" s="1"/>
  <c r="I392" i="38" s="1"/>
  <c r="G396" i="40" s="1"/>
  <c r="I396" i="40" s="1"/>
  <c r="G400" i="3" s="1"/>
  <c r="I400" i="3" s="1"/>
  <c r="G407" i="44" s="1"/>
  <c r="I407" i="44" s="1"/>
  <c r="G406" i="46" s="1"/>
  <c r="I406" i="46" s="1"/>
  <c r="G406" i="48" s="1"/>
  <c r="I406" i="48" s="1"/>
  <c r="G225" i="30"/>
  <c r="I225" i="30" s="1"/>
  <c r="G228" i="32" s="1"/>
  <c r="I228" i="32" s="1"/>
  <c r="G228" i="34" s="1"/>
  <c r="I228" i="34" s="1"/>
  <c r="G231" i="36" s="1"/>
  <c r="I231" i="36" s="1"/>
  <c r="G233" i="38" s="1"/>
  <c r="I233" i="38" s="1"/>
  <c r="G235" i="40" s="1"/>
  <c r="I235" i="40" s="1"/>
  <c r="G236" i="3" s="1"/>
  <c r="I236" i="3" s="1"/>
  <c r="G241" i="44" s="1"/>
  <c r="I241" i="44" s="1"/>
  <c r="G241" i="46" s="1"/>
  <c r="I241" i="46" s="1"/>
  <c r="G241" i="48" s="1"/>
  <c r="I241" i="48" s="1"/>
  <c r="G196" i="30"/>
  <c r="I196" i="30" s="1"/>
  <c r="G199" i="32" s="1"/>
  <c r="I199" i="32" s="1"/>
  <c r="G199" i="34" s="1"/>
  <c r="I199" i="34" s="1"/>
  <c r="G202" i="36" s="1"/>
  <c r="I202" i="36" s="1"/>
  <c r="G204" i="38" s="1"/>
  <c r="I204" i="38" s="1"/>
  <c r="G206" i="40" s="1"/>
  <c r="I206" i="40" s="1"/>
  <c r="G207" i="3" s="1"/>
  <c r="I207" i="3" s="1"/>
  <c r="G212" i="44" s="1"/>
  <c r="I212" i="44" s="1"/>
  <c r="G212" i="46" s="1"/>
  <c r="I212" i="46" s="1"/>
  <c r="G212" i="48" s="1"/>
  <c r="I212" i="48" s="1"/>
  <c r="G224" i="30"/>
  <c r="I224" i="30" s="1"/>
  <c r="G227" i="32" s="1"/>
  <c r="I227" i="32" s="1"/>
  <c r="G227" i="34" s="1"/>
  <c r="I227" i="34" s="1"/>
  <c r="G230" i="36" s="1"/>
  <c r="I230" i="36" s="1"/>
  <c r="G232" i="38" s="1"/>
  <c r="I232" i="38" s="1"/>
  <c r="G234" i="40" s="1"/>
  <c r="I234" i="40" s="1"/>
  <c r="G235" i="3" s="1"/>
  <c r="I235" i="3" s="1"/>
  <c r="G240" i="44" s="1"/>
  <c r="I240" i="44" s="1"/>
  <c r="G240" i="46" s="1"/>
  <c r="I240" i="46" s="1"/>
  <c r="G240" i="48" s="1"/>
  <c r="I240" i="48" s="1"/>
  <c r="G247" i="30"/>
  <c r="I247" i="30" s="1"/>
  <c r="G250" i="32" s="1"/>
  <c r="I250" i="32" s="1"/>
  <c r="G250" i="34" s="1"/>
  <c r="I250" i="34" s="1"/>
  <c r="G253" i="36" s="1"/>
  <c r="I253" i="36" s="1"/>
  <c r="G255" i="38" s="1"/>
  <c r="I255" i="38" s="1"/>
  <c r="G257" i="40" s="1"/>
  <c r="I257" i="40" s="1"/>
  <c r="G258" i="3" s="1"/>
  <c r="I258" i="3" s="1"/>
  <c r="G263" i="44" s="1"/>
  <c r="I263" i="44" s="1"/>
  <c r="G263" i="46" s="1"/>
  <c r="I263" i="46" s="1"/>
  <c r="G263" i="48" s="1"/>
  <c r="I263" i="48" s="1"/>
  <c r="G401" i="30"/>
  <c r="I401" i="30" s="1"/>
  <c r="G404" i="32" s="1"/>
  <c r="I404" i="32" s="1"/>
  <c r="G404" i="34" s="1"/>
  <c r="I404" i="34" s="1"/>
  <c r="G408" i="36" s="1"/>
  <c r="I408" i="36" s="1"/>
  <c r="G411" i="38" s="1"/>
  <c r="I411" i="38" s="1"/>
  <c r="G415" i="40" s="1"/>
  <c r="I415" i="40" s="1"/>
  <c r="G419" i="3" s="1"/>
  <c r="I419" i="3" s="1"/>
  <c r="G426" i="44" s="1"/>
  <c r="I426" i="44" s="1"/>
  <c r="G425" i="46" s="1"/>
  <c r="I425" i="46" s="1"/>
  <c r="G425" i="48" s="1"/>
  <c r="I425" i="48" s="1"/>
  <c r="G352" i="30"/>
  <c r="I352" i="30" s="1"/>
  <c r="G355" i="32" s="1"/>
  <c r="I355" i="32" s="1"/>
  <c r="G355" i="34" s="1"/>
  <c r="I355" i="34" s="1"/>
  <c r="G359" i="36" s="1"/>
  <c r="I359" i="36" s="1"/>
  <c r="G362" i="38" s="1"/>
  <c r="I362" i="38" s="1"/>
  <c r="G366" i="40" s="1"/>
  <c r="I366" i="40" s="1"/>
  <c r="G370" i="3" s="1"/>
  <c r="I370" i="3" s="1"/>
  <c r="G377" i="44" s="1"/>
  <c r="I377" i="44" s="1"/>
  <c r="G376" i="46" s="1"/>
  <c r="I376" i="46" s="1"/>
  <c r="G376" i="48" s="1"/>
  <c r="I376" i="48" s="1"/>
  <c r="G161" i="30"/>
  <c r="I161" i="30" s="1"/>
  <c r="G164" i="32" s="1"/>
  <c r="I164" i="32" s="1"/>
  <c r="G164" i="34" s="1"/>
  <c r="I164" i="34" s="1"/>
  <c r="G165" i="36" s="1"/>
  <c r="I165" i="36" s="1"/>
  <c r="G165" i="38" s="1"/>
  <c r="I165" i="38" s="1"/>
  <c r="G165" i="40" s="1"/>
  <c r="I165" i="40" s="1"/>
  <c r="G165" i="3" s="1"/>
  <c r="I165" i="3" s="1"/>
  <c r="G165" i="44" s="1"/>
  <c r="I165" i="44" s="1"/>
  <c r="G165" i="46" s="1"/>
  <c r="I165" i="46" s="1"/>
  <c r="G165" i="48" s="1"/>
  <c r="I165" i="48" s="1"/>
  <c r="G230" i="30"/>
  <c r="I230" i="30" s="1"/>
  <c r="G233" i="32" s="1"/>
  <c r="I233" i="32" s="1"/>
  <c r="G233" i="34" s="1"/>
  <c r="I233" i="34" s="1"/>
  <c r="G236" i="36" s="1"/>
  <c r="I236" i="36" s="1"/>
  <c r="G238" i="38" s="1"/>
  <c r="I238" i="38" s="1"/>
  <c r="G240" i="40" s="1"/>
  <c r="I240" i="40" s="1"/>
  <c r="G241" i="3" s="1"/>
  <c r="I241" i="3" s="1"/>
  <c r="G246" i="44" s="1"/>
  <c r="I246" i="44" s="1"/>
  <c r="G246" i="46" s="1"/>
  <c r="I246" i="46" s="1"/>
  <c r="G246" i="48" s="1"/>
  <c r="I246" i="48" s="1"/>
  <c r="G267" i="30"/>
  <c r="I267" i="30" s="1"/>
  <c r="G270" i="32" s="1"/>
  <c r="I270" i="32" s="1"/>
  <c r="G270" i="34" s="1"/>
  <c r="I270" i="34" s="1"/>
  <c r="G273" i="36" s="1"/>
  <c r="I273" i="36" s="1"/>
  <c r="G275" i="38" s="1"/>
  <c r="I275" i="38" s="1"/>
  <c r="G277" i="40" s="1"/>
  <c r="I277" i="40" s="1"/>
  <c r="G278" i="3" s="1"/>
  <c r="I278" i="3" s="1"/>
  <c r="G283" i="44" s="1"/>
  <c r="I283" i="44" s="1"/>
  <c r="G283" i="46" s="1"/>
  <c r="I283" i="46" s="1"/>
  <c r="G283" i="48" s="1"/>
  <c r="I283" i="48" s="1"/>
  <c r="G262" i="30"/>
  <c r="I262" i="30" s="1"/>
  <c r="G265" i="32" s="1"/>
  <c r="I265" i="32" s="1"/>
  <c r="G265" i="34" s="1"/>
  <c r="I265" i="34" s="1"/>
  <c r="G268" i="36" s="1"/>
  <c r="I268" i="36" s="1"/>
  <c r="G270" i="38" s="1"/>
  <c r="I270" i="38" s="1"/>
  <c r="G272" i="40" s="1"/>
  <c r="I272" i="40" s="1"/>
  <c r="G273" i="3" s="1"/>
  <c r="I273" i="3" s="1"/>
  <c r="G278" i="44" s="1"/>
  <c r="I278" i="44" s="1"/>
  <c r="G278" i="46" s="1"/>
  <c r="I278" i="46" s="1"/>
  <c r="G278" i="48" s="1"/>
  <c r="I278" i="48" s="1"/>
  <c r="G259" i="30"/>
  <c r="I259" i="30" s="1"/>
  <c r="G262" i="32" s="1"/>
  <c r="I262" i="32" s="1"/>
  <c r="G262" i="34" s="1"/>
  <c r="I262" i="34" s="1"/>
  <c r="G265" i="36" s="1"/>
  <c r="I265" i="36" s="1"/>
  <c r="G267" i="38" s="1"/>
  <c r="I267" i="38" s="1"/>
  <c r="G269" i="40" s="1"/>
  <c r="I269" i="40" s="1"/>
  <c r="G270" i="3" s="1"/>
  <c r="I270" i="3" s="1"/>
  <c r="G275" i="44" s="1"/>
  <c r="I275" i="44" s="1"/>
  <c r="G275" i="46" s="1"/>
  <c r="I275" i="46" s="1"/>
  <c r="G275" i="48" s="1"/>
  <c r="I275" i="48" s="1"/>
  <c r="G340" i="30"/>
  <c r="I340" i="30" s="1"/>
  <c r="G343" i="32" s="1"/>
  <c r="I343" i="32" s="1"/>
  <c r="G343" i="34" s="1"/>
  <c r="I343" i="34" s="1"/>
  <c r="G347" i="36" s="1"/>
  <c r="I347" i="36" s="1"/>
  <c r="G350" i="38" s="1"/>
  <c r="I350" i="38" s="1"/>
  <c r="G354" i="40" s="1"/>
  <c r="I354" i="40" s="1"/>
  <c r="G358" i="3" s="1"/>
  <c r="I358" i="3" s="1"/>
  <c r="G365" i="44" s="1"/>
  <c r="I365" i="44" s="1"/>
  <c r="G364" i="46" s="1"/>
  <c r="I364" i="46" s="1"/>
  <c r="G364" i="48" s="1"/>
  <c r="I364" i="48" s="1"/>
  <c r="G319" i="30"/>
  <c r="I319" i="30" s="1"/>
  <c r="G322" i="32" s="1"/>
  <c r="I322" i="32" s="1"/>
  <c r="G322" i="34" s="1"/>
  <c r="I322" i="34" s="1"/>
  <c r="G326" i="36" s="1"/>
  <c r="I326" i="36" s="1"/>
  <c r="G329" i="38" s="1"/>
  <c r="I329" i="38" s="1"/>
  <c r="G332" i="40" s="1"/>
  <c r="I332" i="40" s="1"/>
  <c r="G336" i="3" s="1"/>
  <c r="I336" i="3" s="1"/>
  <c r="G342" i="44" s="1"/>
  <c r="I342" i="44" s="1"/>
  <c r="G341" i="46" s="1"/>
  <c r="I341" i="46" s="1"/>
  <c r="G341" i="48" s="1"/>
  <c r="I341" i="48" s="1"/>
  <c r="G406" i="30"/>
  <c r="I406" i="30" s="1"/>
  <c r="G409" i="32" s="1"/>
  <c r="I409" i="32" s="1"/>
  <c r="G409" i="34" s="1"/>
  <c r="I409" i="34" s="1"/>
  <c r="G413" i="36" s="1"/>
  <c r="I413" i="36" s="1"/>
  <c r="G416" i="38" s="1"/>
  <c r="I416" i="38" s="1"/>
  <c r="G420" i="40" s="1"/>
  <c r="I420" i="40" s="1"/>
  <c r="G424" i="3" s="1"/>
  <c r="I424" i="3" s="1"/>
  <c r="G431" i="44" s="1"/>
  <c r="I431" i="44" s="1"/>
  <c r="G430" i="46" s="1"/>
  <c r="I430" i="46" s="1"/>
  <c r="G430" i="48" s="1"/>
  <c r="I430" i="48" s="1"/>
  <c r="G360" i="30"/>
  <c r="I360" i="30" s="1"/>
  <c r="G363" i="32" s="1"/>
  <c r="I363" i="32" s="1"/>
  <c r="G363" i="34" s="1"/>
  <c r="I363" i="34" s="1"/>
  <c r="G367" i="36" s="1"/>
  <c r="I367" i="36" s="1"/>
  <c r="G370" i="38" s="1"/>
  <c r="I370" i="38" s="1"/>
  <c r="G374" i="40" s="1"/>
  <c r="I374" i="40" s="1"/>
  <c r="G378" i="3" s="1"/>
  <c r="I378" i="3" s="1"/>
  <c r="G385" i="44" s="1"/>
  <c r="I385" i="44" s="1"/>
  <c r="G384" i="46" s="1"/>
  <c r="I384" i="46" s="1"/>
  <c r="G384" i="48" s="1"/>
  <c r="I384" i="48" s="1"/>
  <c r="G202" i="30"/>
  <c r="I202" i="30" s="1"/>
  <c r="G205" i="32" s="1"/>
  <c r="I205" i="32" s="1"/>
  <c r="G205" i="34" s="1"/>
  <c r="I205" i="34" s="1"/>
  <c r="G208" i="36" s="1"/>
  <c r="I208" i="36" s="1"/>
  <c r="G210" i="38" s="1"/>
  <c r="I210" i="38" s="1"/>
  <c r="G212" i="40" s="1"/>
  <c r="I212" i="40" s="1"/>
  <c r="G213" i="3" s="1"/>
  <c r="I213" i="3" s="1"/>
  <c r="G218" i="44" s="1"/>
  <c r="I218" i="44" s="1"/>
  <c r="G218" i="46" s="1"/>
  <c r="I218" i="46" s="1"/>
  <c r="G218" i="48" s="1"/>
  <c r="I218" i="48" s="1"/>
  <c r="G265" i="30"/>
  <c r="I265" i="30" s="1"/>
  <c r="G268" i="32" s="1"/>
  <c r="I268" i="32" s="1"/>
  <c r="G268" i="34" s="1"/>
  <c r="I268" i="34" s="1"/>
  <c r="G271" i="36" s="1"/>
  <c r="I271" i="36" s="1"/>
  <c r="G273" i="38" s="1"/>
  <c r="I273" i="38" s="1"/>
  <c r="G275" i="40" s="1"/>
  <c r="I275" i="40" s="1"/>
  <c r="G276" i="3" s="1"/>
  <c r="I276" i="3" s="1"/>
  <c r="G281" i="44" s="1"/>
  <c r="I281" i="44" s="1"/>
  <c r="G281" i="46" s="1"/>
  <c r="I281" i="46" s="1"/>
  <c r="G281" i="48" s="1"/>
  <c r="I281" i="48" s="1"/>
  <c r="G173" i="30"/>
  <c r="I173" i="30" s="1"/>
  <c r="G176" i="32" s="1"/>
  <c r="I176" i="32" s="1"/>
  <c r="G176" i="34" s="1"/>
  <c r="I176" i="34" s="1"/>
  <c r="G178" i="36" s="1"/>
  <c r="I178" i="36" s="1"/>
  <c r="G179" i="38" s="1"/>
  <c r="I179" i="38" s="1"/>
  <c r="G179" i="40" s="1"/>
  <c r="I179" i="40" s="1"/>
  <c r="G180" i="3" s="1"/>
  <c r="I180" i="3" s="1"/>
  <c r="G182" i="44" s="1"/>
  <c r="I182" i="44" s="1"/>
  <c r="G182" i="46" s="1"/>
  <c r="I182" i="46" s="1"/>
  <c r="G182" i="48" s="1"/>
  <c r="I182" i="48" s="1"/>
  <c r="G276" i="30"/>
  <c r="I276" i="30" s="1"/>
  <c r="G279" i="32" s="1"/>
  <c r="I279" i="32" s="1"/>
  <c r="G279" i="34" s="1"/>
  <c r="I279" i="34" s="1"/>
  <c r="G282" i="36" s="1"/>
  <c r="I282" i="36" s="1"/>
  <c r="G284" i="38" s="1"/>
  <c r="I284" i="38" s="1"/>
  <c r="G286" i="40" s="1"/>
  <c r="I286" i="40" s="1"/>
  <c r="G288" i="3" s="1"/>
  <c r="I288" i="3" s="1"/>
  <c r="G293" i="44" s="1"/>
  <c r="I293" i="44" s="1"/>
  <c r="G293" i="46" s="1"/>
  <c r="I293" i="46" s="1"/>
  <c r="G293" i="48" s="1"/>
  <c r="I293" i="48" s="1"/>
  <c r="G157" i="30"/>
  <c r="I157" i="30" s="1"/>
  <c r="G160" i="32" s="1"/>
  <c r="I160" i="32" s="1"/>
  <c r="G160" i="34" s="1"/>
  <c r="I160" i="34" s="1"/>
  <c r="G161" i="36" s="1"/>
  <c r="I161" i="36" s="1"/>
  <c r="G161" i="38" s="1"/>
  <c r="I161" i="38" s="1"/>
  <c r="G161" i="40" s="1"/>
  <c r="I161" i="40" s="1"/>
  <c r="G161" i="3" s="1"/>
  <c r="I161" i="3" s="1"/>
  <c r="G161" i="44" s="1"/>
  <c r="I161" i="44" s="1"/>
  <c r="G161" i="46" s="1"/>
  <c r="I161" i="46" s="1"/>
  <c r="G161" i="48" s="1"/>
  <c r="I161" i="48" s="1"/>
  <c r="G290" i="30"/>
  <c r="I290" i="30" s="1"/>
  <c r="G293" i="32" s="1"/>
  <c r="I293" i="32" s="1"/>
  <c r="G293" i="34" s="1"/>
  <c r="I293" i="34" s="1"/>
  <c r="G296" i="36" s="1"/>
  <c r="I296" i="36" s="1"/>
  <c r="G299" i="38" s="1"/>
  <c r="I299" i="38" s="1"/>
  <c r="G302" i="40" s="1"/>
  <c r="I302" i="40" s="1"/>
  <c r="G304" i="3" s="1"/>
  <c r="I304" i="3" s="1"/>
  <c r="G309" i="44" s="1"/>
  <c r="I309" i="44" s="1"/>
  <c r="G309" i="46" s="1"/>
  <c r="I309" i="46" s="1"/>
  <c r="G309" i="48" s="1"/>
  <c r="I309" i="48" s="1"/>
  <c r="G349" i="30"/>
  <c r="I349" i="30" s="1"/>
  <c r="G352" i="32" s="1"/>
  <c r="I352" i="32" s="1"/>
  <c r="G352" i="34" s="1"/>
  <c r="I352" i="34" s="1"/>
  <c r="G356" i="36" s="1"/>
  <c r="I356" i="36" s="1"/>
  <c r="G359" i="38" s="1"/>
  <c r="I359" i="38" s="1"/>
  <c r="G363" i="40" s="1"/>
  <c r="I363" i="40" s="1"/>
  <c r="G367" i="3" s="1"/>
  <c r="I367" i="3" s="1"/>
  <c r="G374" i="44" s="1"/>
  <c r="I374" i="44" s="1"/>
  <c r="G373" i="46" s="1"/>
  <c r="I373" i="46" s="1"/>
  <c r="G373" i="48" s="1"/>
  <c r="I373" i="48" s="1"/>
  <c r="G300" i="30"/>
  <c r="I300" i="30" s="1"/>
  <c r="G303" i="32" s="1"/>
  <c r="I303" i="32" s="1"/>
  <c r="G303" i="34" s="1"/>
  <c r="I303" i="34" s="1"/>
  <c r="G307" i="36" s="1"/>
  <c r="I307" i="36" s="1"/>
  <c r="G310" i="38" s="1"/>
  <c r="I310" i="38" s="1"/>
  <c r="G313" i="40" s="1"/>
  <c r="I313" i="40" s="1"/>
  <c r="G317" i="3" s="1"/>
  <c r="I317" i="3" s="1"/>
  <c r="G323" i="44" s="1"/>
  <c r="I323" i="44" s="1"/>
  <c r="G322" i="46" s="1"/>
  <c r="I322" i="46" s="1"/>
  <c r="G322" i="48" s="1"/>
  <c r="I322" i="48" s="1"/>
  <c r="G326" i="30"/>
  <c r="I326" i="30" s="1"/>
  <c r="G329" i="32" s="1"/>
  <c r="I329" i="32" s="1"/>
  <c r="G329" i="34" s="1"/>
  <c r="I329" i="34" s="1"/>
  <c r="G333" i="36" s="1"/>
  <c r="I333" i="36" s="1"/>
  <c r="G336" i="38" s="1"/>
  <c r="I336" i="38" s="1"/>
  <c r="G340" i="40" s="1"/>
  <c r="I340" i="40" s="1"/>
  <c r="G344" i="3" s="1"/>
  <c r="I344" i="3" s="1"/>
  <c r="G351" i="44" s="1"/>
  <c r="I351" i="44" s="1"/>
  <c r="G350" i="46" s="1"/>
  <c r="I350" i="46" s="1"/>
  <c r="G350" i="48" s="1"/>
  <c r="I350" i="48" s="1"/>
  <c r="G342" i="30"/>
  <c r="I342" i="30" s="1"/>
  <c r="G345" i="32" s="1"/>
  <c r="I345" i="32" s="1"/>
  <c r="G345" i="34" s="1"/>
  <c r="I345" i="34" s="1"/>
  <c r="G349" i="36" s="1"/>
  <c r="I349" i="36" s="1"/>
  <c r="G352" i="38" s="1"/>
  <c r="I352" i="38" s="1"/>
  <c r="G356" i="40" s="1"/>
  <c r="I356" i="40" s="1"/>
  <c r="G360" i="3" s="1"/>
  <c r="I360" i="3" s="1"/>
  <c r="G367" i="44" s="1"/>
  <c r="I367" i="44" s="1"/>
  <c r="G366" i="46" s="1"/>
  <c r="I366" i="46" s="1"/>
  <c r="G366" i="48" s="1"/>
  <c r="I366" i="48" s="1"/>
  <c r="G194" i="30"/>
  <c r="I194" i="30" s="1"/>
  <c r="G197" i="32" s="1"/>
  <c r="I197" i="32" s="1"/>
  <c r="G197" i="34" s="1"/>
  <c r="I197" i="34" s="1"/>
  <c r="G200" i="36" s="1"/>
  <c r="I200" i="36" s="1"/>
  <c r="G202" i="38" s="1"/>
  <c r="I202" i="38" s="1"/>
  <c r="G204" i="40" s="1"/>
  <c r="I204" i="40" s="1"/>
  <c r="G205" i="3" s="1"/>
  <c r="I205" i="3" s="1"/>
  <c r="G210" i="44" s="1"/>
  <c r="I210" i="44" s="1"/>
  <c r="G210" i="46" s="1"/>
  <c r="I210" i="46" s="1"/>
  <c r="G210" i="48" s="1"/>
  <c r="I210" i="48" s="1"/>
  <c r="G354" i="30"/>
  <c r="I354" i="30" s="1"/>
  <c r="G357" i="32" s="1"/>
  <c r="I357" i="32" s="1"/>
  <c r="G357" i="34" s="1"/>
  <c r="I357" i="34" s="1"/>
  <c r="G361" i="36" s="1"/>
  <c r="I361" i="36" s="1"/>
  <c r="G364" i="38" s="1"/>
  <c r="I364" i="38" s="1"/>
  <c r="G368" i="40" s="1"/>
  <c r="I368" i="40" s="1"/>
  <c r="G372" i="3" s="1"/>
  <c r="I372" i="3" s="1"/>
  <c r="G379" i="44" s="1"/>
  <c r="I379" i="44" s="1"/>
  <c r="G378" i="46" s="1"/>
  <c r="I378" i="46" s="1"/>
  <c r="G378" i="48" s="1"/>
  <c r="I378" i="48" s="1"/>
  <c r="G158" i="30"/>
  <c r="I158" i="30" s="1"/>
  <c r="G161" i="32" s="1"/>
  <c r="I161" i="32" s="1"/>
  <c r="G161" i="34" s="1"/>
  <c r="I161" i="34" s="1"/>
  <c r="G162" i="36" s="1"/>
  <c r="I162" i="36" s="1"/>
  <c r="G162" i="38" s="1"/>
  <c r="I162" i="38" s="1"/>
  <c r="G162" i="40" s="1"/>
  <c r="I162" i="40" s="1"/>
  <c r="G162" i="3" s="1"/>
  <c r="I162" i="3" s="1"/>
  <c r="G162" i="44" s="1"/>
  <c r="I162" i="44" s="1"/>
  <c r="G162" i="46" s="1"/>
  <c r="I162" i="46" s="1"/>
  <c r="G162" i="48" s="1"/>
  <c r="I162" i="48" s="1"/>
  <c r="G255" i="30"/>
  <c r="I255" i="30" s="1"/>
  <c r="G258" i="32" s="1"/>
  <c r="I258" i="32" s="1"/>
  <c r="G258" i="34" s="1"/>
  <c r="I258" i="34" s="1"/>
  <c r="G261" i="36" s="1"/>
  <c r="I261" i="36" s="1"/>
  <c r="G263" i="38" s="1"/>
  <c r="I263" i="38" s="1"/>
  <c r="G265" i="40" s="1"/>
  <c r="I265" i="40" s="1"/>
  <c r="G266" i="3" s="1"/>
  <c r="I266" i="3" s="1"/>
  <c r="G271" i="44" s="1"/>
  <c r="I271" i="44" s="1"/>
  <c r="G271" i="46" s="1"/>
  <c r="I271" i="46" s="1"/>
  <c r="G271" i="48" s="1"/>
  <c r="I271" i="48" s="1"/>
  <c r="G388" i="30"/>
  <c r="I388" i="30" s="1"/>
  <c r="G391" i="32" s="1"/>
  <c r="I391" i="32" s="1"/>
  <c r="G391" i="34" s="1"/>
  <c r="I391" i="34" s="1"/>
  <c r="G395" i="36" s="1"/>
  <c r="I395" i="36" s="1"/>
  <c r="G398" i="38" s="1"/>
  <c r="I398" i="38" s="1"/>
  <c r="G402" i="40" s="1"/>
  <c r="I402" i="40" s="1"/>
  <c r="G406" i="3" s="1"/>
  <c r="I406" i="3" s="1"/>
  <c r="G413" i="44" s="1"/>
  <c r="I413" i="44" s="1"/>
  <c r="G412" i="46" s="1"/>
  <c r="I412" i="46" s="1"/>
  <c r="G412" i="48" s="1"/>
  <c r="I412" i="48" s="1"/>
  <c r="G254" i="30"/>
  <c r="I254" i="30" s="1"/>
  <c r="G257" i="32" s="1"/>
  <c r="I257" i="32" s="1"/>
  <c r="G257" i="34" s="1"/>
  <c r="I257" i="34" s="1"/>
  <c r="G260" i="36" s="1"/>
  <c r="I260" i="36" s="1"/>
  <c r="G262" i="38" s="1"/>
  <c r="I262" i="38" s="1"/>
  <c r="G264" i="40" s="1"/>
  <c r="I264" i="40" s="1"/>
  <c r="G265" i="3" s="1"/>
  <c r="I265" i="3" s="1"/>
  <c r="G270" i="44" s="1"/>
  <c r="I270" i="44" s="1"/>
  <c r="G270" i="46" s="1"/>
  <c r="I270" i="46" s="1"/>
  <c r="G270" i="48" s="1"/>
  <c r="I270" i="48" s="1"/>
  <c r="G299" i="30"/>
  <c r="I299" i="30" s="1"/>
  <c r="G302" i="32" s="1"/>
  <c r="I302" i="32" s="1"/>
  <c r="G302" i="34" s="1"/>
  <c r="I302" i="34" s="1"/>
  <c r="G306" i="36" s="1"/>
  <c r="I306" i="36" s="1"/>
  <c r="G309" i="38" s="1"/>
  <c r="I309" i="38" s="1"/>
  <c r="G312" i="40" s="1"/>
  <c r="I312" i="40" s="1"/>
  <c r="G316" i="3" s="1"/>
  <c r="I316" i="3" s="1"/>
  <c r="G322" i="44" s="1"/>
  <c r="I322" i="44" s="1"/>
  <c r="G321" i="46" s="1"/>
  <c r="I321" i="46" s="1"/>
  <c r="G321" i="48" s="1"/>
  <c r="I321" i="48" s="1"/>
  <c r="G281" i="30"/>
  <c r="I281" i="30" s="1"/>
  <c r="G284" i="32" s="1"/>
  <c r="I284" i="32" s="1"/>
  <c r="G284" i="34" s="1"/>
  <c r="I284" i="34" s="1"/>
  <c r="G287" i="36" s="1"/>
  <c r="I287" i="36" s="1"/>
  <c r="G290" i="38" s="1"/>
  <c r="I290" i="38" s="1"/>
  <c r="G292" i="40" s="1"/>
  <c r="I292" i="40" s="1"/>
  <c r="G294" i="3" s="1"/>
  <c r="I294" i="3" s="1"/>
  <c r="G299" i="44" s="1"/>
  <c r="I299" i="44" s="1"/>
  <c r="G299" i="46" s="1"/>
  <c r="I299" i="46" s="1"/>
  <c r="G299" i="48" s="1"/>
  <c r="I299" i="48" s="1"/>
  <c r="G178" i="30"/>
  <c r="I178" i="30" s="1"/>
  <c r="G181" i="32" s="1"/>
  <c r="I181" i="32" s="1"/>
  <c r="G181" i="34" s="1"/>
  <c r="I181" i="34" s="1"/>
  <c r="G183" i="36" s="1"/>
  <c r="I183" i="36" s="1"/>
  <c r="G184" i="38" s="1"/>
  <c r="I184" i="38" s="1"/>
  <c r="G184" i="40" s="1"/>
  <c r="I184" i="40" s="1"/>
  <c r="G185" i="3" s="1"/>
  <c r="I185" i="3" s="1"/>
  <c r="G187" i="44" s="1"/>
  <c r="I187" i="44" s="1"/>
  <c r="G187" i="46" s="1"/>
  <c r="I187" i="46" s="1"/>
  <c r="G187" i="48" s="1"/>
  <c r="I187" i="48" s="1"/>
  <c r="G393" i="30"/>
  <c r="I393" i="30" s="1"/>
  <c r="G396" i="32" s="1"/>
  <c r="I396" i="32" s="1"/>
  <c r="G396" i="34" s="1"/>
  <c r="I396" i="34" s="1"/>
  <c r="G400" i="36" s="1"/>
  <c r="I400" i="36" s="1"/>
  <c r="G403" i="38" s="1"/>
  <c r="I403" i="38" s="1"/>
  <c r="G407" i="40" s="1"/>
  <c r="I407" i="40" s="1"/>
  <c r="G411" i="3" s="1"/>
  <c r="I411" i="3" s="1"/>
  <c r="G418" i="44" s="1"/>
  <c r="I418" i="44" s="1"/>
  <c r="G417" i="46" s="1"/>
  <c r="I417" i="46" s="1"/>
  <c r="G417" i="48" s="1"/>
  <c r="I417" i="48" s="1"/>
  <c r="G160" i="30"/>
  <c r="I160" i="30" s="1"/>
  <c r="G163" i="32" s="1"/>
  <c r="I163" i="32" s="1"/>
  <c r="G163" i="34" s="1"/>
  <c r="I163" i="34" s="1"/>
  <c r="G164" i="36" s="1"/>
  <c r="I164" i="36" s="1"/>
  <c r="G164" i="38" s="1"/>
  <c r="I164" i="38" s="1"/>
  <c r="G164" i="40" s="1"/>
  <c r="I164" i="40" s="1"/>
  <c r="G164" i="3" s="1"/>
  <c r="I164" i="3" s="1"/>
  <c r="G164" i="44" s="1"/>
  <c r="I164" i="44" s="1"/>
  <c r="G164" i="46" s="1"/>
  <c r="I164" i="46" s="1"/>
  <c r="G164" i="48" s="1"/>
  <c r="I164" i="48" s="1"/>
  <c r="G400" i="30"/>
  <c r="I400" i="30" s="1"/>
  <c r="G403" i="32" s="1"/>
  <c r="I403" i="32" s="1"/>
  <c r="G403" i="34" s="1"/>
  <c r="I403" i="34" s="1"/>
  <c r="G407" i="36" s="1"/>
  <c r="I407" i="36" s="1"/>
  <c r="G410" i="38" s="1"/>
  <c r="I410" i="38" s="1"/>
  <c r="G414" i="40" s="1"/>
  <c r="I414" i="40" s="1"/>
  <c r="G418" i="3" s="1"/>
  <c r="I418" i="3" s="1"/>
  <c r="G425" i="44" s="1"/>
  <c r="I425" i="44" s="1"/>
  <c r="G424" i="46" s="1"/>
  <c r="I424" i="46" s="1"/>
  <c r="G424" i="48" s="1"/>
  <c r="I424" i="48" s="1"/>
  <c r="G198" i="30"/>
  <c r="I198" i="30" s="1"/>
  <c r="G201" i="32" s="1"/>
  <c r="I201" i="32" s="1"/>
  <c r="G201" i="34" s="1"/>
  <c r="I201" i="34" s="1"/>
  <c r="G204" i="36" s="1"/>
  <c r="I204" i="36" s="1"/>
  <c r="G206" i="38" s="1"/>
  <c r="I206" i="38" s="1"/>
  <c r="G208" i="40" s="1"/>
  <c r="I208" i="40" s="1"/>
  <c r="G209" i="3" s="1"/>
  <c r="I209" i="3" s="1"/>
  <c r="G214" i="44" s="1"/>
  <c r="I214" i="44" s="1"/>
  <c r="G214" i="46" s="1"/>
  <c r="I214" i="46" s="1"/>
  <c r="G214" i="48" s="1"/>
  <c r="I214" i="48" s="1"/>
  <c r="G367" i="30"/>
  <c r="I367" i="30" s="1"/>
  <c r="G370" i="32" s="1"/>
  <c r="I370" i="32" s="1"/>
  <c r="G370" i="34" s="1"/>
  <c r="I370" i="34" s="1"/>
  <c r="G374" i="36" s="1"/>
  <c r="I374" i="36" s="1"/>
  <c r="G377" i="38" s="1"/>
  <c r="I377" i="38" s="1"/>
  <c r="G381" i="40" s="1"/>
  <c r="I381" i="40" s="1"/>
  <c r="G385" i="3" s="1"/>
  <c r="I385" i="3" s="1"/>
  <c r="G392" i="44" s="1"/>
  <c r="I392" i="44" s="1"/>
  <c r="G391" i="46" s="1"/>
  <c r="I391" i="46" s="1"/>
  <c r="G391" i="48" s="1"/>
  <c r="I391" i="48" s="1"/>
  <c r="G264" i="30"/>
  <c r="I264" i="30" s="1"/>
  <c r="G267" i="32" s="1"/>
  <c r="I267" i="32" s="1"/>
  <c r="G267" i="34" s="1"/>
  <c r="I267" i="34" s="1"/>
  <c r="G270" i="36" s="1"/>
  <c r="I270" i="36" s="1"/>
  <c r="G272" i="38" s="1"/>
  <c r="I272" i="38" s="1"/>
  <c r="G274" i="40" s="1"/>
  <c r="I274" i="40" s="1"/>
  <c r="G275" i="3" s="1"/>
  <c r="I275" i="3" s="1"/>
  <c r="G280" i="44" s="1"/>
  <c r="I280" i="44" s="1"/>
  <c r="G280" i="46" s="1"/>
  <c r="I280" i="46" s="1"/>
  <c r="G280" i="48" s="1"/>
  <c r="I280" i="48" s="1"/>
  <c r="G383" i="30"/>
  <c r="I383" i="30" s="1"/>
  <c r="G386" i="32" s="1"/>
  <c r="I386" i="32" s="1"/>
  <c r="G386" i="34" s="1"/>
  <c r="I386" i="34" s="1"/>
  <c r="G390" i="36" s="1"/>
  <c r="I390" i="36" s="1"/>
  <c r="G393" i="38" s="1"/>
  <c r="I393" i="38" s="1"/>
  <c r="G397" i="40" s="1"/>
  <c r="I397" i="40" s="1"/>
  <c r="G401" i="3" s="1"/>
  <c r="I401" i="3" s="1"/>
  <c r="G408" i="44" s="1"/>
  <c r="I408" i="44" s="1"/>
  <c r="G407" i="46" s="1"/>
  <c r="I407" i="46" s="1"/>
  <c r="G407" i="48" s="1"/>
  <c r="I407" i="48" s="1"/>
  <c r="G249" i="30"/>
  <c r="I249" i="30" s="1"/>
  <c r="G252" i="32" s="1"/>
  <c r="I252" i="32" s="1"/>
  <c r="G252" i="34" s="1"/>
  <c r="I252" i="34" s="1"/>
  <c r="G255" i="36" s="1"/>
  <c r="I255" i="36" s="1"/>
  <c r="G257" i="38" s="1"/>
  <c r="I257" i="38" s="1"/>
  <c r="G259" i="40" s="1"/>
  <c r="I259" i="40" s="1"/>
  <c r="G260" i="3" s="1"/>
  <c r="I260" i="3" s="1"/>
  <c r="G265" i="44" s="1"/>
  <c r="I265" i="44" s="1"/>
  <c r="G265" i="46" s="1"/>
  <c r="I265" i="46" s="1"/>
  <c r="G265" i="48" s="1"/>
  <c r="I265" i="48" s="1"/>
  <c r="G369" i="30"/>
  <c r="I369" i="30" s="1"/>
  <c r="G372" i="32" s="1"/>
  <c r="I372" i="32" s="1"/>
  <c r="G372" i="34" s="1"/>
  <c r="I372" i="34" s="1"/>
  <c r="G376" i="36" s="1"/>
  <c r="I376" i="36" s="1"/>
  <c r="G379" i="38" s="1"/>
  <c r="I379" i="38" s="1"/>
  <c r="G383" i="40" s="1"/>
  <c r="I383" i="40" s="1"/>
  <c r="G387" i="3" s="1"/>
  <c r="I387" i="3" s="1"/>
  <c r="G394" i="44" s="1"/>
  <c r="I394" i="44" s="1"/>
  <c r="G393" i="46" s="1"/>
  <c r="I393" i="46" s="1"/>
  <c r="G393" i="48" s="1"/>
  <c r="I393" i="48" s="1"/>
  <c r="G190" i="30"/>
  <c r="I190" i="30" s="1"/>
  <c r="G193" i="32" s="1"/>
  <c r="I193" i="32" s="1"/>
  <c r="G193" i="34" s="1"/>
  <c r="I193" i="34" s="1"/>
  <c r="G196" i="36" s="1"/>
  <c r="I196" i="36" s="1"/>
  <c r="G197" i="38" s="1"/>
  <c r="I197" i="38" s="1"/>
  <c r="G199" i="40" s="1"/>
  <c r="I199" i="40" s="1"/>
  <c r="G200" i="3" s="1"/>
  <c r="I200" i="3" s="1"/>
  <c r="G204" i="44" s="1"/>
  <c r="I204" i="44" s="1"/>
  <c r="G204" i="46" s="1"/>
  <c r="I204" i="46" s="1"/>
  <c r="G204" i="48" s="1"/>
  <c r="I204" i="48" s="1"/>
  <c r="G392" i="30"/>
  <c r="I392" i="30" s="1"/>
  <c r="G395" i="32" s="1"/>
  <c r="I395" i="32" s="1"/>
  <c r="G395" i="34" s="1"/>
  <c r="I395" i="34" s="1"/>
  <c r="G399" i="36" s="1"/>
  <c r="I399" i="36" s="1"/>
  <c r="G402" i="38" s="1"/>
  <c r="I402" i="38" s="1"/>
  <c r="G406" i="40" s="1"/>
  <c r="I406" i="40" s="1"/>
  <c r="G410" i="3" s="1"/>
  <c r="I410" i="3" s="1"/>
  <c r="G417" i="44" s="1"/>
  <c r="I417" i="44" s="1"/>
  <c r="G416" i="46" s="1"/>
  <c r="I416" i="46" s="1"/>
  <c r="G416" i="48" s="1"/>
  <c r="I416" i="48" s="1"/>
  <c r="G181" i="30"/>
  <c r="I181" i="30" s="1"/>
  <c r="G184" i="32" s="1"/>
  <c r="I184" i="32" s="1"/>
  <c r="G184" i="34" s="1"/>
  <c r="I184" i="34" s="1"/>
  <c r="G187" i="36" s="1"/>
  <c r="I187" i="36" s="1"/>
  <c r="G188" i="38" s="1"/>
  <c r="I188" i="38" s="1"/>
  <c r="G188" i="40" s="1"/>
  <c r="I188" i="40" s="1"/>
  <c r="G189" i="3" s="1"/>
  <c r="I189" i="3" s="1"/>
  <c r="G191" i="44" s="1"/>
  <c r="I191" i="44" s="1"/>
  <c r="G191" i="46" s="1"/>
  <c r="I191" i="46" s="1"/>
  <c r="G191" i="48" s="1"/>
  <c r="I191" i="48" s="1"/>
  <c r="G303" i="30"/>
  <c r="I303" i="30" s="1"/>
  <c r="G306" i="32" s="1"/>
  <c r="I306" i="32" s="1"/>
  <c r="G306" i="34" s="1"/>
  <c r="I306" i="34" s="1"/>
  <c r="G310" i="36" s="1"/>
  <c r="I310" i="36" s="1"/>
  <c r="G313" i="38" s="1"/>
  <c r="I313" i="38" s="1"/>
  <c r="G316" i="40" s="1"/>
  <c r="I316" i="40" s="1"/>
  <c r="G320" i="3" s="1"/>
  <c r="I320" i="3" s="1"/>
  <c r="G326" i="44" s="1"/>
  <c r="I326" i="44" s="1"/>
  <c r="G325" i="46" s="1"/>
  <c r="I325" i="46" s="1"/>
  <c r="G325" i="48" s="1"/>
  <c r="I325" i="48" s="1"/>
  <c r="G252" i="30"/>
  <c r="I252" i="30" s="1"/>
  <c r="G255" i="32" s="1"/>
  <c r="I255" i="32" s="1"/>
  <c r="G255" i="34" s="1"/>
  <c r="I255" i="34" s="1"/>
  <c r="G258" i="36" s="1"/>
  <c r="I258" i="36" s="1"/>
  <c r="G260" i="38" s="1"/>
  <c r="I260" i="38" s="1"/>
  <c r="G262" i="40" s="1"/>
  <c r="I262" i="40" s="1"/>
  <c r="G263" i="3" s="1"/>
  <c r="I263" i="3" s="1"/>
  <c r="G268" i="44" s="1"/>
  <c r="I268" i="44" s="1"/>
  <c r="G268" i="46" s="1"/>
  <c r="I268" i="46" s="1"/>
  <c r="G268" i="48" s="1"/>
  <c r="I268" i="48" s="1"/>
  <c r="G277" i="30"/>
  <c r="I277" i="30" s="1"/>
  <c r="G280" i="32" s="1"/>
  <c r="I280" i="32" s="1"/>
  <c r="G280" i="34" s="1"/>
  <c r="I280" i="34" s="1"/>
  <c r="G283" i="36" s="1"/>
  <c r="I283" i="36" s="1"/>
  <c r="G285" i="38" s="1"/>
  <c r="I285" i="38" s="1"/>
  <c r="G287" i="40" s="1"/>
  <c r="I287" i="40" s="1"/>
  <c r="G289" i="3" s="1"/>
  <c r="I289" i="3" s="1"/>
  <c r="G294" i="44" s="1"/>
  <c r="I294" i="44" s="1"/>
  <c r="G294" i="46" s="1"/>
  <c r="I294" i="46" s="1"/>
  <c r="G294" i="48" s="1"/>
  <c r="I294" i="48" s="1"/>
  <c r="G357" i="30"/>
  <c r="I357" i="30" s="1"/>
  <c r="G360" i="32" s="1"/>
  <c r="I360" i="32" s="1"/>
  <c r="G360" i="34" s="1"/>
  <c r="I360" i="34" s="1"/>
  <c r="G364" i="36" s="1"/>
  <c r="I364" i="36" s="1"/>
  <c r="G367" i="38" s="1"/>
  <c r="I367" i="38" s="1"/>
  <c r="G371" i="40" s="1"/>
  <c r="I371" i="40" s="1"/>
  <c r="G375" i="3" s="1"/>
  <c r="I375" i="3" s="1"/>
  <c r="G382" i="44" s="1"/>
  <c r="I382" i="44" s="1"/>
  <c r="G381" i="46" s="1"/>
  <c r="I381" i="46" s="1"/>
  <c r="G381" i="48" s="1"/>
  <c r="I381" i="48" s="1"/>
  <c r="G330" i="30"/>
  <c r="I330" i="30" s="1"/>
  <c r="G333" i="32" s="1"/>
  <c r="I333" i="32" s="1"/>
  <c r="G333" i="34" s="1"/>
  <c r="I333" i="34" s="1"/>
  <c r="G337" i="36" s="1"/>
  <c r="I337" i="36" s="1"/>
  <c r="G340" i="38" s="1"/>
  <c r="I340" i="38" s="1"/>
  <c r="G344" i="40" s="1"/>
  <c r="I344" i="40" s="1"/>
  <c r="G348" i="3" s="1"/>
  <c r="I348" i="3" s="1"/>
  <c r="G355" i="44" s="1"/>
  <c r="I355" i="44" s="1"/>
  <c r="G354" i="46" s="1"/>
  <c r="I354" i="46" s="1"/>
  <c r="G354" i="48" s="1"/>
  <c r="I354" i="48" s="1"/>
  <c r="G185" i="30"/>
  <c r="I185" i="30" s="1"/>
  <c r="G188" i="32" s="1"/>
  <c r="I188" i="32" s="1"/>
  <c r="G188" i="34" s="1"/>
  <c r="I188" i="34" s="1"/>
  <c r="G191" i="36" s="1"/>
  <c r="I191" i="36" s="1"/>
  <c r="G192" i="38" s="1"/>
  <c r="I192" i="38" s="1"/>
  <c r="G194" i="40" s="1"/>
  <c r="I194" i="40" s="1"/>
  <c r="G195" i="3" s="1"/>
  <c r="I195" i="3" s="1"/>
  <c r="G198" i="44" s="1"/>
  <c r="I198" i="44" s="1"/>
  <c r="G198" i="46" s="1"/>
  <c r="I198" i="46" s="1"/>
  <c r="G198" i="48" s="1"/>
  <c r="I198" i="48" s="1"/>
  <c r="G235" i="30"/>
  <c r="I235" i="30" s="1"/>
  <c r="G238" i="32" s="1"/>
  <c r="I238" i="32" s="1"/>
  <c r="G238" i="34" s="1"/>
  <c r="I238" i="34" s="1"/>
  <c r="G241" i="36" s="1"/>
  <c r="I241" i="36" s="1"/>
  <c r="G243" i="38" s="1"/>
  <c r="I243" i="38" s="1"/>
  <c r="G245" i="40" s="1"/>
  <c r="I245" i="40" s="1"/>
  <c r="G246" i="3" s="1"/>
  <c r="I246" i="3" s="1"/>
  <c r="G251" i="44" s="1"/>
  <c r="I251" i="44" s="1"/>
  <c r="G251" i="46" s="1"/>
  <c r="I251" i="46" s="1"/>
  <c r="G251" i="48" s="1"/>
  <c r="I251" i="48" s="1"/>
  <c r="G244" i="30"/>
  <c r="I244" i="30" s="1"/>
  <c r="G247" i="32" s="1"/>
  <c r="I247" i="32" s="1"/>
  <c r="G247" i="34" s="1"/>
  <c r="I247" i="34" s="1"/>
  <c r="G250" i="36" s="1"/>
  <c r="I250" i="36" s="1"/>
  <c r="G252" i="38" s="1"/>
  <c r="I252" i="38" s="1"/>
  <c r="G254" i="40" s="1"/>
  <c r="I254" i="40" s="1"/>
  <c r="G255" i="3" s="1"/>
  <c r="I255" i="3" s="1"/>
  <c r="G260" i="44" s="1"/>
  <c r="I260" i="44" s="1"/>
  <c r="G260" i="46" s="1"/>
  <c r="I260" i="46" s="1"/>
  <c r="G260" i="48" s="1"/>
  <c r="I260" i="48" s="1"/>
  <c r="G238" i="30"/>
  <c r="I238" i="30" s="1"/>
  <c r="G241" i="32" s="1"/>
  <c r="I241" i="32" s="1"/>
  <c r="G241" i="34" s="1"/>
  <c r="I241" i="34" s="1"/>
  <c r="G244" i="36" s="1"/>
  <c r="I244" i="36" s="1"/>
  <c r="G246" i="38" s="1"/>
  <c r="I246" i="38" s="1"/>
  <c r="G248" i="40" s="1"/>
  <c r="I248" i="40" s="1"/>
  <c r="G249" i="3" s="1"/>
  <c r="I249" i="3" s="1"/>
  <c r="G254" i="44" s="1"/>
  <c r="I254" i="44" s="1"/>
  <c r="G254" i="46" s="1"/>
  <c r="I254" i="46" s="1"/>
  <c r="G254" i="48" s="1"/>
  <c r="I254" i="48" s="1"/>
  <c r="G355" i="30"/>
  <c r="I355" i="30" s="1"/>
  <c r="G358" i="32" s="1"/>
  <c r="I358" i="32" s="1"/>
  <c r="G358" i="34" s="1"/>
  <c r="I358" i="34" s="1"/>
  <c r="G362" i="36" s="1"/>
  <c r="I362" i="36" s="1"/>
  <c r="G365" i="38" s="1"/>
  <c r="I365" i="38" s="1"/>
  <c r="G369" i="40" s="1"/>
  <c r="I369" i="40" s="1"/>
  <c r="G373" i="3" s="1"/>
  <c r="I373" i="3" s="1"/>
  <c r="G380" i="44" s="1"/>
  <c r="I380" i="44" s="1"/>
  <c r="G379" i="46" s="1"/>
  <c r="I379" i="46" s="1"/>
  <c r="G379" i="48" s="1"/>
  <c r="I379" i="48" s="1"/>
  <c r="G350" i="30"/>
  <c r="I350" i="30" s="1"/>
  <c r="G353" i="32" s="1"/>
  <c r="I353" i="32" s="1"/>
  <c r="G353" i="34" s="1"/>
  <c r="I353" i="34" s="1"/>
  <c r="G357" i="36" s="1"/>
  <c r="I357" i="36" s="1"/>
  <c r="G360" i="38" s="1"/>
  <c r="I360" i="38" s="1"/>
  <c r="G364" i="40" s="1"/>
  <c r="I364" i="40" s="1"/>
  <c r="G368" i="3" s="1"/>
  <c r="I368" i="3" s="1"/>
  <c r="G375" i="44" s="1"/>
  <c r="I375" i="44" s="1"/>
  <c r="G374" i="46" s="1"/>
  <c r="I374" i="46" s="1"/>
  <c r="G374" i="48" s="1"/>
  <c r="I374" i="48" s="1"/>
  <c r="G322" i="30"/>
  <c r="I322" i="30" s="1"/>
  <c r="G325" i="32" s="1"/>
  <c r="I325" i="32" s="1"/>
  <c r="G325" i="34" s="1"/>
  <c r="I325" i="34" s="1"/>
  <c r="G329" i="36" s="1"/>
  <c r="I329" i="36" s="1"/>
  <c r="G332" i="38" s="1"/>
  <c r="I332" i="38" s="1"/>
  <c r="G335" i="40" s="1"/>
  <c r="I335" i="40" s="1"/>
  <c r="G339" i="3" s="1"/>
  <c r="I339" i="3" s="1"/>
  <c r="G345" i="44" s="1"/>
  <c r="I345" i="44" s="1"/>
  <c r="G344" i="46" s="1"/>
  <c r="I344" i="46" s="1"/>
  <c r="G344" i="48" s="1"/>
  <c r="I344" i="48" s="1"/>
  <c r="G266" i="30"/>
  <c r="I266" i="30" s="1"/>
  <c r="G269" i="32" s="1"/>
  <c r="I269" i="32" s="1"/>
  <c r="G269" i="34" s="1"/>
  <c r="I269" i="34" s="1"/>
  <c r="G272" i="36" s="1"/>
  <c r="I272" i="36" s="1"/>
  <c r="G274" i="38" s="1"/>
  <c r="I274" i="38" s="1"/>
  <c r="G276" i="40" s="1"/>
  <c r="I276" i="40" s="1"/>
  <c r="G277" i="3" s="1"/>
  <c r="I277" i="3" s="1"/>
  <c r="G282" i="44" s="1"/>
  <c r="I282" i="44" s="1"/>
  <c r="G282" i="46" s="1"/>
  <c r="I282" i="46" s="1"/>
  <c r="G282" i="48" s="1"/>
  <c r="I282" i="48" s="1"/>
  <c r="G312" i="30"/>
  <c r="I312" i="30" s="1"/>
  <c r="G315" i="32" s="1"/>
  <c r="I315" i="32" s="1"/>
  <c r="G315" i="34" s="1"/>
  <c r="I315" i="34" s="1"/>
  <c r="G319" i="36" s="1"/>
  <c r="I319" i="36" s="1"/>
  <c r="G322" i="38" s="1"/>
  <c r="I322" i="38" s="1"/>
  <c r="G325" i="40" s="1"/>
  <c r="I325" i="40" s="1"/>
  <c r="G329" i="3" s="1"/>
  <c r="I329" i="3" s="1"/>
  <c r="G335" i="44" s="1"/>
  <c r="I335" i="44" s="1"/>
  <c r="G334" i="46" s="1"/>
  <c r="I334" i="46" s="1"/>
  <c r="G334" i="48" s="1"/>
  <c r="I334" i="48" s="1"/>
  <c r="G209" i="30"/>
  <c r="I209" i="30" s="1"/>
  <c r="G212" i="32" s="1"/>
  <c r="I212" i="32" s="1"/>
  <c r="G212" i="34" s="1"/>
  <c r="I212" i="34" s="1"/>
  <c r="G215" i="36" s="1"/>
  <c r="I215" i="36" s="1"/>
  <c r="G217" i="38" s="1"/>
  <c r="I217" i="38" s="1"/>
  <c r="G219" i="40" s="1"/>
  <c r="I219" i="40" s="1"/>
  <c r="G220" i="3" s="1"/>
  <c r="I220" i="3" s="1"/>
  <c r="G225" i="44" s="1"/>
  <c r="I225" i="44" s="1"/>
  <c r="G225" i="46" s="1"/>
  <c r="I225" i="46" s="1"/>
  <c r="G225" i="48" s="1"/>
  <c r="I225" i="48" s="1"/>
  <c r="G366" i="30"/>
  <c r="I366" i="30" s="1"/>
  <c r="G369" i="32" s="1"/>
  <c r="I369" i="32" s="1"/>
  <c r="G369" i="34" s="1"/>
  <c r="I369" i="34" s="1"/>
  <c r="G373" i="36" s="1"/>
  <c r="I373" i="36" s="1"/>
  <c r="G376" i="38" s="1"/>
  <c r="I376" i="38" s="1"/>
  <c r="G380" i="40" s="1"/>
  <c r="I380" i="40" s="1"/>
  <c r="G384" i="3" s="1"/>
  <c r="I384" i="3" s="1"/>
  <c r="G391" i="44" s="1"/>
  <c r="I391" i="44" s="1"/>
  <c r="G390" i="46" s="1"/>
  <c r="I390" i="46" s="1"/>
  <c r="G390" i="48" s="1"/>
  <c r="I390" i="48" s="1"/>
  <c r="G292" i="30"/>
  <c r="I292" i="30" s="1"/>
  <c r="G295" i="32" s="1"/>
  <c r="I295" i="32" s="1"/>
  <c r="G295" i="34" s="1"/>
  <c r="I295" i="34" s="1"/>
  <c r="G299" i="36" s="1"/>
  <c r="I299" i="36" s="1"/>
  <c r="G302" i="38" s="1"/>
  <c r="I302" i="38" s="1"/>
  <c r="G305" i="40" s="1"/>
  <c r="I305" i="40" s="1"/>
  <c r="G307" i="3" s="1"/>
  <c r="I307" i="3" s="1"/>
  <c r="G313" i="44" s="1"/>
  <c r="I313" i="44" s="1"/>
  <c r="G312" i="46" s="1"/>
  <c r="I312" i="46" s="1"/>
  <c r="G312" i="48" s="1"/>
  <c r="I312" i="48" s="1"/>
  <c r="G372" i="30"/>
  <c r="I372" i="30" s="1"/>
  <c r="G375" i="32" s="1"/>
  <c r="I375" i="32" s="1"/>
  <c r="G375" i="34" s="1"/>
  <c r="I375" i="34" s="1"/>
  <c r="G379" i="36" s="1"/>
  <c r="I379" i="36" s="1"/>
  <c r="G382" i="38" s="1"/>
  <c r="I382" i="38" s="1"/>
  <c r="G386" i="40" s="1"/>
  <c r="I386" i="40" s="1"/>
  <c r="G390" i="3" s="1"/>
  <c r="I390" i="3" s="1"/>
  <c r="G397" i="44" s="1"/>
  <c r="I397" i="44" s="1"/>
  <c r="G396" i="46" s="1"/>
  <c r="I396" i="46" s="1"/>
  <c r="G396" i="48" s="1"/>
  <c r="I396" i="48" s="1"/>
  <c r="G159" i="30"/>
  <c r="I159" i="30" s="1"/>
  <c r="G162" i="32" s="1"/>
  <c r="I162" i="32" s="1"/>
  <c r="G162" i="34" s="1"/>
  <c r="I162" i="34" s="1"/>
  <c r="G163" i="36" s="1"/>
  <c r="I163" i="36" s="1"/>
  <c r="G163" i="38" s="1"/>
  <c r="I163" i="38" s="1"/>
  <c r="G163" i="40" s="1"/>
  <c r="I163" i="40" s="1"/>
  <c r="G163" i="3" s="1"/>
  <c r="I163" i="3" s="1"/>
  <c r="G163" i="44" s="1"/>
  <c r="I163" i="44" s="1"/>
  <c r="G163" i="46" s="1"/>
  <c r="I163" i="46" s="1"/>
  <c r="G163" i="48" s="1"/>
  <c r="I163" i="48" s="1"/>
  <c r="G358" i="30"/>
  <c r="I358" i="30" s="1"/>
  <c r="G361" i="32" s="1"/>
  <c r="I361" i="32" s="1"/>
  <c r="G361" i="34" s="1"/>
  <c r="I361" i="34" s="1"/>
  <c r="G365" i="36" s="1"/>
  <c r="I365" i="36" s="1"/>
  <c r="G368" i="38" s="1"/>
  <c r="I368" i="38" s="1"/>
  <c r="G372" i="40" s="1"/>
  <c r="I372" i="40" s="1"/>
  <c r="G376" i="3" s="1"/>
  <c r="I376" i="3" s="1"/>
  <c r="G383" i="44" s="1"/>
  <c r="I383" i="44" s="1"/>
  <c r="G382" i="46" s="1"/>
  <c r="I382" i="46" s="1"/>
  <c r="G382" i="48" s="1"/>
  <c r="I382" i="48" s="1"/>
  <c r="G374" i="30"/>
  <c r="I374" i="30" s="1"/>
  <c r="G377" i="32" s="1"/>
  <c r="I377" i="32" s="1"/>
  <c r="G377" i="34" s="1"/>
  <c r="I377" i="34" s="1"/>
  <c r="G381" i="36" s="1"/>
  <c r="I381" i="36" s="1"/>
  <c r="G384" i="38" s="1"/>
  <c r="I384" i="38" s="1"/>
  <c r="G388" i="40" s="1"/>
  <c r="I388" i="40" s="1"/>
  <c r="G392" i="3" s="1"/>
  <c r="I392" i="3" s="1"/>
  <c r="G399" i="44" s="1"/>
  <c r="I399" i="44" s="1"/>
  <c r="G398" i="46" s="1"/>
  <c r="I398" i="46" s="1"/>
  <c r="G398" i="48" s="1"/>
  <c r="I398" i="48" s="1"/>
  <c r="G263" i="30"/>
  <c r="I263" i="30" s="1"/>
  <c r="G266" i="32" s="1"/>
  <c r="I266" i="32" s="1"/>
  <c r="G266" i="34" s="1"/>
  <c r="I266" i="34" s="1"/>
  <c r="G269" i="36" s="1"/>
  <c r="I269" i="36" s="1"/>
  <c r="G271" i="38" s="1"/>
  <c r="I271" i="38" s="1"/>
  <c r="G273" i="40" s="1"/>
  <c r="I273" i="40" s="1"/>
  <c r="G274" i="3" s="1"/>
  <c r="I274" i="3" s="1"/>
  <c r="G279" i="44" s="1"/>
  <c r="I279" i="44" s="1"/>
  <c r="G279" i="46" s="1"/>
  <c r="I279" i="46" s="1"/>
  <c r="G279" i="48" s="1"/>
  <c r="I279" i="48" s="1"/>
  <c r="G200" i="30"/>
  <c r="I200" i="30" s="1"/>
  <c r="G203" i="32" s="1"/>
  <c r="I203" i="32" s="1"/>
  <c r="G203" i="34" s="1"/>
  <c r="I203" i="34" s="1"/>
  <c r="G206" i="36" s="1"/>
  <c r="I206" i="36" s="1"/>
  <c r="G208" i="38" s="1"/>
  <c r="I208" i="38" s="1"/>
  <c r="G210" i="40" s="1"/>
  <c r="I210" i="40" s="1"/>
  <c r="G211" i="3" s="1"/>
  <c r="I211" i="3" s="1"/>
  <c r="G216" i="44" s="1"/>
  <c r="I216" i="44" s="1"/>
  <c r="G216" i="46" s="1"/>
  <c r="I216" i="46" s="1"/>
  <c r="G216" i="48" s="1"/>
  <c r="I216" i="48" s="1"/>
  <c r="G218" i="30"/>
  <c r="I218" i="30" s="1"/>
  <c r="G221" i="32" s="1"/>
  <c r="I221" i="32" s="1"/>
  <c r="G221" i="34" s="1"/>
  <c r="I221" i="34" s="1"/>
  <c r="G224" i="36" s="1"/>
  <c r="I224" i="36" s="1"/>
  <c r="G226" i="38" s="1"/>
  <c r="I226" i="38" s="1"/>
  <c r="G228" i="40" s="1"/>
  <c r="I228" i="40" s="1"/>
  <c r="G229" i="3" s="1"/>
  <c r="I229" i="3" s="1"/>
  <c r="G234" i="44" s="1"/>
  <c r="I234" i="44" s="1"/>
  <c r="G234" i="46" s="1"/>
  <c r="I234" i="46" s="1"/>
  <c r="G234" i="48" s="1"/>
  <c r="I234" i="48" s="1"/>
  <c r="G296" i="30"/>
  <c r="I296" i="30" s="1"/>
  <c r="G299" i="32" s="1"/>
  <c r="I299" i="32" s="1"/>
  <c r="G299" i="34" s="1"/>
  <c r="I299" i="34" s="1"/>
  <c r="G303" i="36" s="1"/>
  <c r="I303" i="36" s="1"/>
  <c r="G306" i="38" s="1"/>
  <c r="I306" i="38" s="1"/>
  <c r="G309" i="40" s="1"/>
  <c r="I309" i="40" s="1"/>
  <c r="G312" i="3" s="1"/>
  <c r="I312" i="3" s="1"/>
  <c r="G318" i="44" s="1"/>
  <c r="I318" i="44" s="1"/>
  <c r="G317" i="46" s="1"/>
  <c r="I317" i="46" s="1"/>
  <c r="G317" i="48" s="1"/>
  <c r="I317" i="48" s="1"/>
  <c r="G282" i="30"/>
  <c r="I282" i="30" s="1"/>
  <c r="G285" i="32" s="1"/>
  <c r="I285" i="32" s="1"/>
  <c r="G285" i="34" s="1"/>
  <c r="I285" i="34" s="1"/>
  <c r="G288" i="36" s="1"/>
  <c r="I288" i="36" s="1"/>
  <c r="G291" i="38" s="1"/>
  <c r="I291" i="38" s="1"/>
  <c r="G293" i="40" s="1"/>
  <c r="I293" i="40" s="1"/>
  <c r="G295" i="3" s="1"/>
  <c r="I295" i="3" s="1"/>
  <c r="G300" i="44" s="1"/>
  <c r="I300" i="44" s="1"/>
  <c r="G300" i="46" s="1"/>
  <c r="I300" i="46" s="1"/>
  <c r="G300" i="48" s="1"/>
  <c r="I300" i="48" s="1"/>
  <c r="G207" i="30"/>
  <c r="I207" i="30" s="1"/>
  <c r="G210" i="32" s="1"/>
  <c r="I210" i="32" s="1"/>
  <c r="G210" i="34" s="1"/>
  <c r="I210" i="34" s="1"/>
  <c r="G213" i="36" s="1"/>
  <c r="I213" i="36" s="1"/>
  <c r="G215" i="38" s="1"/>
  <c r="I215" i="38" s="1"/>
  <c r="G217" i="40" s="1"/>
  <c r="I217" i="40" s="1"/>
  <c r="G218" i="3" s="1"/>
  <c r="I218" i="3" s="1"/>
  <c r="G223" i="44" s="1"/>
  <c r="I223" i="44" s="1"/>
  <c r="G223" i="46" s="1"/>
  <c r="I223" i="46" s="1"/>
  <c r="G223" i="48" s="1"/>
  <c r="I223" i="48" s="1"/>
  <c r="G344" i="30"/>
  <c r="I344" i="30" s="1"/>
  <c r="G347" i="32" s="1"/>
  <c r="I347" i="32" s="1"/>
  <c r="G347" i="34" s="1"/>
  <c r="I347" i="34" s="1"/>
  <c r="G351" i="36" s="1"/>
  <c r="I351" i="36" s="1"/>
  <c r="G354" i="38" s="1"/>
  <c r="I354" i="38" s="1"/>
  <c r="G358" i="40" s="1"/>
  <c r="I358" i="40" s="1"/>
  <c r="G362" i="3" s="1"/>
  <c r="I362" i="3" s="1"/>
  <c r="G369" i="44" s="1"/>
  <c r="I369" i="44" s="1"/>
  <c r="G368" i="46" s="1"/>
  <c r="I368" i="46" s="1"/>
  <c r="G368" i="48" s="1"/>
  <c r="I368" i="48" s="1"/>
  <c r="G175" i="30"/>
  <c r="I175" i="30" s="1"/>
  <c r="G178" i="32" s="1"/>
  <c r="I178" i="32" s="1"/>
  <c r="G178" i="34" s="1"/>
  <c r="I178" i="34" s="1"/>
  <c r="G180" i="36" s="1"/>
  <c r="I180" i="36" s="1"/>
  <c r="G181" i="38" s="1"/>
  <c r="I181" i="38" s="1"/>
  <c r="G181" i="40" s="1"/>
  <c r="I181" i="40" s="1"/>
  <c r="G182" i="3" s="1"/>
  <c r="I182" i="3" s="1"/>
  <c r="G184" i="44" s="1"/>
  <c r="I184" i="44" s="1"/>
  <c r="G184" i="46" s="1"/>
  <c r="I184" i="46" s="1"/>
  <c r="G184" i="48" s="1"/>
  <c r="I184" i="48" s="1"/>
  <c r="G239" i="30"/>
  <c r="I239" i="30" s="1"/>
  <c r="G242" i="32" s="1"/>
  <c r="I242" i="32" s="1"/>
  <c r="G242" i="34" s="1"/>
  <c r="I242" i="34" s="1"/>
  <c r="G245" i="36" s="1"/>
  <c r="I245" i="36" s="1"/>
  <c r="G247" i="38" s="1"/>
  <c r="I247" i="38" s="1"/>
  <c r="G249" i="40" s="1"/>
  <c r="I249" i="40" s="1"/>
  <c r="G250" i="3" s="1"/>
  <c r="I250" i="3" s="1"/>
  <c r="G255" i="44" s="1"/>
  <c r="I255" i="44" s="1"/>
  <c r="G255" i="46" s="1"/>
  <c r="I255" i="46" s="1"/>
  <c r="G255" i="48" s="1"/>
  <c r="I255" i="48" s="1"/>
  <c r="G283" i="30"/>
  <c r="I283" i="30" s="1"/>
  <c r="G286" i="32" s="1"/>
  <c r="I286" i="32" s="1"/>
  <c r="G286" i="34" s="1"/>
  <c r="I286" i="34" s="1"/>
  <c r="G289" i="36" s="1"/>
  <c r="I289" i="36" s="1"/>
  <c r="G292" i="38" s="1"/>
  <c r="I292" i="38" s="1"/>
  <c r="G294" i="40" s="1"/>
  <c r="I294" i="40" s="1"/>
  <c r="G296" i="3" s="1"/>
  <c r="I296" i="3" s="1"/>
  <c r="G301" i="44" s="1"/>
  <c r="I301" i="44" s="1"/>
  <c r="G301" i="46" s="1"/>
  <c r="I301" i="46" s="1"/>
  <c r="G301" i="48" s="1"/>
  <c r="I301" i="48" s="1"/>
  <c r="G216" i="30"/>
  <c r="I216" i="30" s="1"/>
  <c r="G219" i="32" s="1"/>
  <c r="I219" i="32" s="1"/>
  <c r="G219" i="34" s="1"/>
  <c r="I219" i="34" s="1"/>
  <c r="G222" i="36" s="1"/>
  <c r="I222" i="36" s="1"/>
  <c r="G224" i="38" s="1"/>
  <c r="I224" i="38" s="1"/>
  <c r="G226" i="40" s="1"/>
  <c r="I226" i="40" s="1"/>
  <c r="G227" i="3" s="1"/>
  <c r="I227" i="3" s="1"/>
  <c r="G232" i="44" s="1"/>
  <c r="I232" i="44" s="1"/>
  <c r="G232" i="46" s="1"/>
  <c r="I232" i="46" s="1"/>
  <c r="G232" i="48" s="1"/>
  <c r="I232" i="48" s="1"/>
  <c r="G204" i="30"/>
  <c r="I204" i="30" s="1"/>
  <c r="G207" i="32" s="1"/>
  <c r="I207" i="32" s="1"/>
  <c r="G207" i="34" s="1"/>
  <c r="I207" i="34" s="1"/>
  <c r="G210" i="36" s="1"/>
  <c r="I210" i="36" s="1"/>
  <c r="G212" i="38" s="1"/>
  <c r="I212" i="38" s="1"/>
  <c r="G214" i="40" s="1"/>
  <c r="I214" i="40" s="1"/>
  <c r="G215" i="3" s="1"/>
  <c r="I215" i="3" s="1"/>
  <c r="G220" i="44" s="1"/>
  <c r="I220" i="44" s="1"/>
  <c r="G220" i="46" s="1"/>
  <c r="I220" i="46" s="1"/>
  <c r="G220" i="48" s="1"/>
  <c r="I220" i="48" s="1"/>
  <c r="G210" i="30"/>
  <c r="I210" i="30" s="1"/>
  <c r="G213" i="32" s="1"/>
  <c r="I213" i="32" s="1"/>
  <c r="G213" i="34" s="1"/>
  <c r="I213" i="34" s="1"/>
  <c r="G216" i="36" s="1"/>
  <c r="I216" i="36" s="1"/>
  <c r="G218" i="38" s="1"/>
  <c r="I218" i="38" s="1"/>
  <c r="G220" i="40" s="1"/>
  <c r="I220" i="40" s="1"/>
  <c r="G221" i="3" s="1"/>
  <c r="I221" i="3" s="1"/>
  <c r="G226" i="44" s="1"/>
  <c r="I226" i="44" s="1"/>
  <c r="G226" i="46" s="1"/>
  <c r="I226" i="46" s="1"/>
  <c r="G226" i="48" s="1"/>
  <c r="I226" i="48" s="1"/>
  <c r="G321" i="30"/>
  <c r="I321" i="30" s="1"/>
  <c r="G324" i="32" s="1"/>
  <c r="I324" i="32" s="1"/>
  <c r="G324" i="34" s="1"/>
  <c r="I324" i="34" s="1"/>
  <c r="G328" i="36" s="1"/>
  <c r="I328" i="36" s="1"/>
  <c r="G331" i="38" s="1"/>
  <c r="I331" i="38" s="1"/>
  <c r="G334" i="40" s="1"/>
  <c r="I334" i="40" s="1"/>
  <c r="G338" i="3" s="1"/>
  <c r="I338" i="3" s="1"/>
  <c r="G344" i="44" s="1"/>
  <c r="I344" i="44" s="1"/>
  <c r="G343" i="46" s="1"/>
  <c r="I343" i="46" s="1"/>
  <c r="G343" i="48" s="1"/>
  <c r="I343" i="48" s="1"/>
  <c r="G368" i="30"/>
  <c r="I368" i="30" s="1"/>
  <c r="G371" i="32" s="1"/>
  <c r="I371" i="32" s="1"/>
  <c r="G371" i="34" s="1"/>
  <c r="I371" i="34" s="1"/>
  <c r="G375" i="36" s="1"/>
  <c r="I375" i="36" s="1"/>
  <c r="G378" i="38" s="1"/>
  <c r="I378" i="38" s="1"/>
  <c r="G382" i="40" s="1"/>
  <c r="I382" i="40" s="1"/>
  <c r="G386" i="3" s="1"/>
  <c r="I386" i="3" s="1"/>
  <c r="G393" i="44" s="1"/>
  <c r="I393" i="44" s="1"/>
  <c r="G392" i="46" s="1"/>
  <c r="I392" i="46" s="1"/>
  <c r="G392" i="48" s="1"/>
  <c r="I392" i="48" s="1"/>
  <c r="G315" i="30"/>
  <c r="I315" i="30" s="1"/>
  <c r="G318" i="32" s="1"/>
  <c r="I318" i="32" s="1"/>
  <c r="G318" i="34" s="1"/>
  <c r="I318" i="34" s="1"/>
  <c r="G322" i="36" s="1"/>
  <c r="I322" i="36" s="1"/>
  <c r="G325" i="38" s="1"/>
  <c r="I325" i="38" s="1"/>
  <c r="G328" i="40" s="1"/>
  <c r="I328" i="40" s="1"/>
  <c r="G332" i="3" s="1"/>
  <c r="I332" i="3" s="1"/>
  <c r="G338" i="44" s="1"/>
  <c r="I338" i="44" s="1"/>
  <c r="G337" i="46" s="1"/>
  <c r="I337" i="46" s="1"/>
  <c r="G337" i="48" s="1"/>
  <c r="I337" i="48" s="1"/>
  <c r="G180" i="30"/>
  <c r="I180" i="30" s="1"/>
  <c r="G183" i="32" s="1"/>
  <c r="I183" i="32" s="1"/>
  <c r="G183" i="34" s="1"/>
  <c r="I183" i="34" s="1"/>
  <c r="G186" i="36" s="1"/>
  <c r="I186" i="36" s="1"/>
  <c r="G187" i="38" s="1"/>
  <c r="I187" i="38" s="1"/>
  <c r="G187" i="40" s="1"/>
  <c r="I187" i="40" s="1"/>
  <c r="G188" i="3" s="1"/>
  <c r="I188" i="3" s="1"/>
  <c r="G190" i="44" s="1"/>
  <c r="I190" i="44" s="1"/>
  <c r="G190" i="46" s="1"/>
  <c r="I190" i="46" s="1"/>
  <c r="G190" i="48" s="1"/>
  <c r="I190" i="48" s="1"/>
  <c r="I5" i="33"/>
  <c r="I7" i="33" s="1"/>
  <c r="G195" i="30"/>
  <c r="I195" i="30" s="1"/>
  <c r="G198" i="32" s="1"/>
  <c r="I198" i="32" s="1"/>
  <c r="G198" i="34" s="1"/>
  <c r="I198" i="34" s="1"/>
  <c r="G201" i="36" s="1"/>
  <c r="I201" i="36" s="1"/>
  <c r="G203" i="38" s="1"/>
  <c r="I203" i="38" s="1"/>
  <c r="G205" i="40" s="1"/>
  <c r="I205" i="40" s="1"/>
  <c r="G206" i="3" s="1"/>
  <c r="I206" i="3" s="1"/>
  <c r="G211" i="44" s="1"/>
  <c r="I211" i="44" s="1"/>
  <c r="G211" i="46" s="1"/>
  <c r="I211" i="46" s="1"/>
  <c r="G211" i="48" s="1"/>
  <c r="I211" i="48" s="1"/>
  <c r="G384" i="30"/>
  <c r="I384" i="30" s="1"/>
  <c r="G387" i="32" s="1"/>
  <c r="I387" i="32" s="1"/>
  <c r="G387" i="34" s="1"/>
  <c r="I387" i="34" s="1"/>
  <c r="G391" i="36" s="1"/>
  <c r="I391" i="36" s="1"/>
  <c r="G394" i="38" s="1"/>
  <c r="I394" i="38" s="1"/>
  <c r="G398" i="40" s="1"/>
  <c r="I398" i="40" s="1"/>
  <c r="G402" i="3" s="1"/>
  <c r="I402" i="3" s="1"/>
  <c r="G409" i="44" s="1"/>
  <c r="I409" i="44" s="1"/>
  <c r="G408" i="46" s="1"/>
  <c r="I408" i="46" s="1"/>
  <c r="G408" i="48" s="1"/>
  <c r="I408" i="48" s="1"/>
  <c r="G293" i="30"/>
  <c r="I293" i="30" s="1"/>
  <c r="G296" i="32" s="1"/>
  <c r="I296" i="32" s="1"/>
  <c r="G296" i="34" s="1"/>
  <c r="I296" i="34" s="1"/>
  <c r="G300" i="36" s="1"/>
  <c r="I300" i="36" s="1"/>
  <c r="G303" i="38" s="1"/>
  <c r="I303" i="38" s="1"/>
  <c r="G306" i="40" s="1"/>
  <c r="I306" i="40" s="1"/>
  <c r="G308" i="3" s="1"/>
  <c r="I308" i="3" s="1"/>
  <c r="G314" i="44" s="1"/>
  <c r="I314" i="44" s="1"/>
  <c r="G313" i="46" s="1"/>
  <c r="I313" i="46" s="1"/>
  <c r="G313" i="48" s="1"/>
  <c r="I313" i="48" s="1"/>
  <c r="G284" i="30"/>
  <c r="I284" i="30" s="1"/>
  <c r="G287" i="32" s="1"/>
  <c r="I287" i="32" s="1"/>
  <c r="G287" i="34" s="1"/>
  <c r="I287" i="34" s="1"/>
  <c r="G290" i="36" s="1"/>
  <c r="I290" i="36" s="1"/>
  <c r="G293" i="38" s="1"/>
  <c r="I293" i="38" s="1"/>
  <c r="G295" i="40" s="1"/>
  <c r="I295" i="40" s="1"/>
  <c r="G297" i="3" s="1"/>
  <c r="I297" i="3" s="1"/>
  <c r="G302" i="44" s="1"/>
  <c r="I302" i="44" s="1"/>
  <c r="G302" i="46" s="1"/>
  <c r="I302" i="46" s="1"/>
  <c r="G302" i="48" s="1"/>
  <c r="I302" i="48" s="1"/>
  <c r="G348" i="30"/>
  <c r="I348" i="30" s="1"/>
  <c r="G351" i="32" s="1"/>
  <c r="I351" i="32" s="1"/>
  <c r="G351" i="34" s="1"/>
  <c r="I351" i="34" s="1"/>
  <c r="G355" i="36" s="1"/>
  <c r="I355" i="36" s="1"/>
  <c r="G358" i="38" s="1"/>
  <c r="I358" i="38" s="1"/>
  <c r="G362" i="40" s="1"/>
  <c r="I362" i="40" s="1"/>
  <c r="G366" i="3" s="1"/>
  <c r="I366" i="3" s="1"/>
  <c r="G373" i="44" s="1"/>
  <c r="I373" i="44" s="1"/>
  <c r="G372" i="46" s="1"/>
  <c r="I372" i="46" s="1"/>
  <c r="G372" i="48" s="1"/>
  <c r="I372" i="48" s="1"/>
  <c r="G219" i="30"/>
  <c r="I219" i="30" s="1"/>
  <c r="G222" i="32" s="1"/>
  <c r="I222" i="32" s="1"/>
  <c r="G222" i="34" s="1"/>
  <c r="I222" i="34" s="1"/>
  <c r="G225" i="36" s="1"/>
  <c r="I225" i="36" s="1"/>
  <c r="G227" i="38" s="1"/>
  <c r="I227" i="38" s="1"/>
  <c r="G229" i="40" s="1"/>
  <c r="I229" i="40" s="1"/>
  <c r="G230" i="3" s="1"/>
  <c r="I230" i="3" s="1"/>
  <c r="G235" i="44" s="1"/>
  <c r="I235" i="44" s="1"/>
  <c r="G235" i="46" s="1"/>
  <c r="I235" i="46" s="1"/>
  <c r="G235" i="48" s="1"/>
  <c r="I235" i="48" s="1"/>
  <c r="G387" i="30"/>
  <c r="I387" i="30" s="1"/>
  <c r="G390" i="32" s="1"/>
  <c r="I390" i="32" s="1"/>
  <c r="G390" i="34" s="1"/>
  <c r="I390" i="34" s="1"/>
  <c r="G394" i="36" s="1"/>
  <c r="I394" i="36" s="1"/>
  <c r="G397" i="38" s="1"/>
  <c r="I397" i="38" s="1"/>
  <c r="G401" i="40" s="1"/>
  <c r="I401" i="40" s="1"/>
  <c r="G405" i="3" s="1"/>
  <c r="I405" i="3" s="1"/>
  <c r="G412" i="44" s="1"/>
  <c r="I412" i="44" s="1"/>
  <c r="G411" i="46" s="1"/>
  <c r="I411" i="46" s="1"/>
  <c r="G411" i="48" s="1"/>
  <c r="I411" i="48" s="1"/>
  <c r="G376" i="30"/>
  <c r="I376" i="30" s="1"/>
  <c r="G379" i="32" s="1"/>
  <c r="I379" i="32" s="1"/>
  <c r="G379" i="34" s="1"/>
  <c r="I379" i="34" s="1"/>
  <c r="G383" i="36" s="1"/>
  <c r="I383" i="36" s="1"/>
  <c r="G386" i="38" s="1"/>
  <c r="I386" i="38" s="1"/>
  <c r="G390" i="40" s="1"/>
  <c r="I390" i="40" s="1"/>
  <c r="G394" i="3" s="1"/>
  <c r="I394" i="3" s="1"/>
  <c r="G401" i="44" s="1"/>
  <c r="I401" i="44" s="1"/>
  <c r="G400" i="46" s="1"/>
  <c r="I400" i="46" s="1"/>
  <c r="G400" i="48" s="1"/>
  <c r="I400" i="48" s="1"/>
  <c r="G273" i="30"/>
  <c r="I273" i="30" s="1"/>
  <c r="G276" i="32" s="1"/>
  <c r="I276" i="32" s="1"/>
  <c r="G276" i="34" s="1"/>
  <c r="I276" i="34" s="1"/>
  <c r="G279" i="36" s="1"/>
  <c r="I279" i="36" s="1"/>
  <c r="G281" i="38" s="1"/>
  <c r="I281" i="38" s="1"/>
  <c r="G283" i="40" s="1"/>
  <c r="I283" i="40" s="1"/>
  <c r="G284" i="3" s="1"/>
  <c r="I284" i="3" s="1"/>
  <c r="G289" i="44" s="1"/>
  <c r="I289" i="44" s="1"/>
  <c r="G289" i="46" s="1"/>
  <c r="I289" i="46" s="1"/>
  <c r="G289" i="48" s="1"/>
  <c r="I289" i="48" s="1"/>
  <c r="G325" i="30"/>
  <c r="I325" i="30" s="1"/>
  <c r="G328" i="32" s="1"/>
  <c r="I328" i="32" s="1"/>
  <c r="G328" i="34" s="1"/>
  <c r="I328" i="34" s="1"/>
  <c r="G332" i="36" s="1"/>
  <c r="I332" i="36" s="1"/>
  <c r="G335" i="38" s="1"/>
  <c r="I335" i="38" s="1"/>
  <c r="G338" i="40" s="1"/>
  <c r="I338" i="40" s="1"/>
  <c r="G342" i="3" s="1"/>
  <c r="I342" i="3" s="1"/>
  <c r="G349" i="44" s="1"/>
  <c r="I349" i="44" s="1"/>
  <c r="G348" i="46" s="1"/>
  <c r="I348" i="46" s="1"/>
  <c r="G348" i="48" s="1"/>
  <c r="I348" i="48" s="1"/>
  <c r="G408" i="30"/>
  <c r="I408" i="30" s="1"/>
  <c r="G411" i="32" s="1"/>
  <c r="I411" i="32" s="1"/>
  <c r="G411" i="34" s="1"/>
  <c r="I411" i="34" s="1"/>
  <c r="G415" i="36" s="1"/>
  <c r="I415" i="36" s="1"/>
  <c r="G418" i="38" s="1"/>
  <c r="I418" i="38" s="1"/>
  <c r="G422" i="40" s="1"/>
  <c r="I422" i="40" s="1"/>
  <c r="G426" i="3" s="1"/>
  <c r="I426" i="3" s="1"/>
  <c r="G433" i="44" s="1"/>
  <c r="I433" i="44" s="1"/>
  <c r="G432" i="46" s="1"/>
  <c r="I432" i="46" s="1"/>
  <c r="G432" i="48" s="1"/>
  <c r="I432" i="48" s="1"/>
  <c r="G395" i="30"/>
  <c r="I395" i="30" s="1"/>
  <c r="G398" i="32" s="1"/>
  <c r="I398" i="32" s="1"/>
  <c r="G398" i="34" s="1"/>
  <c r="I398" i="34" s="1"/>
  <c r="G402" i="36" s="1"/>
  <c r="I402" i="36" s="1"/>
  <c r="G405" i="38" s="1"/>
  <c r="I405" i="38" s="1"/>
  <c r="G409" i="40" s="1"/>
  <c r="I409" i="40" s="1"/>
  <c r="G413" i="3" s="1"/>
  <c r="I413" i="3" s="1"/>
  <c r="G420" i="44" s="1"/>
  <c r="I420" i="44" s="1"/>
  <c r="G419" i="46" s="1"/>
  <c r="I419" i="46" s="1"/>
  <c r="G419" i="48" s="1"/>
  <c r="I419" i="48" s="1"/>
  <c r="G289" i="30"/>
  <c r="I289" i="30" s="1"/>
  <c r="G292" i="32" s="1"/>
  <c r="I292" i="32" s="1"/>
  <c r="G292" i="34" s="1"/>
  <c r="I292" i="34" s="1"/>
  <c r="G295" i="36" s="1"/>
  <c r="I295" i="36" s="1"/>
  <c r="G298" i="38" s="1"/>
  <c r="I298" i="38" s="1"/>
  <c r="G301" i="40" s="1"/>
  <c r="I301" i="40" s="1"/>
  <c r="G303" i="3" s="1"/>
  <c r="I303" i="3" s="1"/>
  <c r="G308" i="44" s="1"/>
  <c r="I308" i="44" s="1"/>
  <c r="G308" i="46" s="1"/>
  <c r="I308" i="46" s="1"/>
  <c r="G308" i="48" s="1"/>
  <c r="I308" i="48" s="1"/>
  <c r="G306" i="30"/>
  <c r="I306" i="30" s="1"/>
  <c r="G309" i="32" s="1"/>
  <c r="I309" i="32" s="1"/>
  <c r="G309" i="34" s="1"/>
  <c r="I309" i="34" s="1"/>
  <c r="G313" i="36" s="1"/>
  <c r="I313" i="36" s="1"/>
  <c r="G316" i="38" s="1"/>
  <c r="I316" i="38" s="1"/>
  <c r="G319" i="40" s="1"/>
  <c r="I319" i="40" s="1"/>
  <c r="G323" i="3" s="1"/>
  <c r="I323" i="3" s="1"/>
  <c r="G329" i="44" s="1"/>
  <c r="I329" i="44" s="1"/>
  <c r="G328" i="46" s="1"/>
  <c r="I328" i="46" s="1"/>
  <c r="G328" i="48" s="1"/>
  <c r="I328" i="48" s="1"/>
  <c r="G177" i="30"/>
  <c r="I177" i="30" s="1"/>
  <c r="G180" i="32" s="1"/>
  <c r="I180" i="32" s="1"/>
  <c r="G180" i="34" s="1"/>
  <c r="I180" i="34" s="1"/>
  <c r="G182" i="36" s="1"/>
  <c r="I182" i="36" s="1"/>
  <c r="G183" i="38" s="1"/>
  <c r="I183" i="38" s="1"/>
  <c r="G183" i="40" s="1"/>
  <c r="I183" i="40" s="1"/>
  <c r="G184" i="3" s="1"/>
  <c r="I184" i="3" s="1"/>
  <c r="G186" i="44" s="1"/>
  <c r="I186" i="44" s="1"/>
  <c r="G186" i="46" s="1"/>
  <c r="I186" i="46" s="1"/>
  <c r="G186" i="48" s="1"/>
  <c r="I186" i="48" s="1"/>
  <c r="G305" i="30"/>
  <c r="I305" i="30" s="1"/>
  <c r="G308" i="32" s="1"/>
  <c r="I308" i="32" s="1"/>
  <c r="G308" i="34" s="1"/>
  <c r="I308" i="34" s="1"/>
  <c r="G312" i="36" s="1"/>
  <c r="I312" i="36" s="1"/>
  <c r="G315" i="38" s="1"/>
  <c r="I315" i="38" s="1"/>
  <c r="G318" i="40" s="1"/>
  <c r="I318" i="40" s="1"/>
  <c r="G322" i="3" s="1"/>
  <c r="I322" i="3" s="1"/>
  <c r="G328" i="44" s="1"/>
  <c r="I328" i="44" s="1"/>
  <c r="G327" i="46" s="1"/>
  <c r="I327" i="46" s="1"/>
  <c r="G327" i="48" s="1"/>
  <c r="I327" i="48" s="1"/>
  <c r="G391" i="30"/>
  <c r="I391" i="30" s="1"/>
  <c r="G394" i="32" s="1"/>
  <c r="I394" i="32" s="1"/>
  <c r="G394" i="34" s="1"/>
  <c r="I394" i="34" s="1"/>
  <c r="G398" i="36" s="1"/>
  <c r="I398" i="36" s="1"/>
  <c r="G401" i="38" s="1"/>
  <c r="I401" i="38" s="1"/>
  <c r="G405" i="40" s="1"/>
  <c r="I405" i="40" s="1"/>
  <c r="G409" i="3" s="1"/>
  <c r="I409" i="3" s="1"/>
  <c r="G416" i="44" s="1"/>
  <c r="I416" i="44" s="1"/>
  <c r="G415" i="46" s="1"/>
  <c r="I415" i="46" s="1"/>
  <c r="G415" i="48" s="1"/>
  <c r="I415" i="48" s="1"/>
  <c r="G251" i="30"/>
  <c r="I251" i="30" s="1"/>
  <c r="G254" i="32" s="1"/>
  <c r="I254" i="32" s="1"/>
  <c r="G254" i="34" s="1"/>
  <c r="I254" i="34" s="1"/>
  <c r="G257" i="36" s="1"/>
  <c r="I257" i="36" s="1"/>
  <c r="G259" i="38" s="1"/>
  <c r="I259" i="38" s="1"/>
  <c r="G261" i="40" s="1"/>
  <c r="I261" i="40" s="1"/>
  <c r="G262" i="3" s="1"/>
  <c r="I262" i="3" s="1"/>
  <c r="G267" i="44" s="1"/>
  <c r="I267" i="44" s="1"/>
  <c r="G267" i="46" s="1"/>
  <c r="I267" i="46" s="1"/>
  <c r="G267" i="48" s="1"/>
  <c r="I267" i="48" s="1"/>
  <c r="G361" i="30"/>
  <c r="I361" i="30" s="1"/>
  <c r="G364" i="32" s="1"/>
  <c r="I364" i="32" s="1"/>
  <c r="G364" i="34" s="1"/>
  <c r="I364" i="34" s="1"/>
  <c r="G368" i="36" s="1"/>
  <c r="I368" i="36" s="1"/>
  <c r="G371" i="38" s="1"/>
  <c r="I371" i="38" s="1"/>
  <c r="G375" i="40" s="1"/>
  <c r="I375" i="40" s="1"/>
  <c r="G379" i="3" s="1"/>
  <c r="I379" i="3" s="1"/>
  <c r="G386" i="44" s="1"/>
  <c r="I386" i="44" s="1"/>
  <c r="G385" i="46" s="1"/>
  <c r="I385" i="46" s="1"/>
  <c r="G385" i="48" s="1"/>
  <c r="I385" i="48" s="1"/>
  <c r="G337" i="30"/>
  <c r="I337" i="30" s="1"/>
  <c r="G340" i="32" s="1"/>
  <c r="I340" i="32" s="1"/>
  <c r="G340" i="34" s="1"/>
  <c r="I340" i="34" s="1"/>
  <c r="G344" i="36" s="1"/>
  <c r="I344" i="36" s="1"/>
  <c r="G347" i="38" s="1"/>
  <c r="I347" i="38" s="1"/>
  <c r="G351" i="40" s="1"/>
  <c r="I351" i="40" s="1"/>
  <c r="G355" i="3" s="1"/>
  <c r="I355" i="3" s="1"/>
  <c r="G362" i="44" s="1"/>
  <c r="I362" i="44" s="1"/>
  <c r="G361" i="46" s="1"/>
  <c r="I361" i="46" s="1"/>
  <c r="G361" i="48" s="1"/>
  <c r="I361" i="48" s="1"/>
  <c r="G335" i="30"/>
  <c r="I335" i="30" s="1"/>
  <c r="G338" i="32" s="1"/>
  <c r="I338" i="32" s="1"/>
  <c r="G338" i="34" s="1"/>
  <c r="I338" i="34" s="1"/>
  <c r="G342" i="36" s="1"/>
  <c r="I342" i="36" s="1"/>
  <c r="G345" i="38" s="1"/>
  <c r="I345" i="38" s="1"/>
  <c r="G349" i="40" s="1"/>
  <c r="I349" i="40" s="1"/>
  <c r="G353" i="3" s="1"/>
  <c r="I353" i="3" s="1"/>
  <c r="G360" i="44" s="1"/>
  <c r="I360" i="44" s="1"/>
  <c r="G359" i="46" s="1"/>
  <c r="I359" i="46" s="1"/>
  <c r="G359" i="48" s="1"/>
  <c r="I359" i="48" s="1"/>
  <c r="G308" i="30"/>
  <c r="I308" i="30" s="1"/>
  <c r="G311" i="32" s="1"/>
  <c r="I311" i="32" s="1"/>
  <c r="G311" i="34" s="1"/>
  <c r="I311" i="34" s="1"/>
  <c r="G315" i="36" s="1"/>
  <c r="I315" i="36" s="1"/>
  <c r="G318" i="38" s="1"/>
  <c r="I318" i="38" s="1"/>
  <c r="G321" i="40" s="1"/>
  <c r="I321" i="40" s="1"/>
  <c r="G325" i="3" s="1"/>
  <c r="I325" i="3" s="1"/>
  <c r="G331" i="44" s="1"/>
  <c r="I331" i="44" s="1"/>
  <c r="G330" i="46" s="1"/>
  <c r="I330" i="46" s="1"/>
  <c r="G330" i="48" s="1"/>
  <c r="I330" i="48" s="1"/>
  <c r="G220" i="30"/>
  <c r="I220" i="30" s="1"/>
  <c r="G223" i="32" s="1"/>
  <c r="I223" i="32" s="1"/>
  <c r="G223" i="34" s="1"/>
  <c r="I223" i="34" s="1"/>
  <c r="G226" i="36" s="1"/>
  <c r="I226" i="36" s="1"/>
  <c r="G228" i="38" s="1"/>
  <c r="I228" i="38" s="1"/>
  <c r="G230" i="40" s="1"/>
  <c r="I230" i="40" s="1"/>
  <c r="G231" i="3" s="1"/>
  <c r="I231" i="3" s="1"/>
  <c r="G236" i="44" s="1"/>
  <c r="I236" i="44" s="1"/>
  <c r="G236" i="46" s="1"/>
  <c r="I236" i="46" s="1"/>
  <c r="G236" i="48" s="1"/>
  <c r="I236" i="48" s="1"/>
  <c r="G275" i="30"/>
  <c r="I275" i="30" s="1"/>
  <c r="G278" i="32" s="1"/>
  <c r="I278" i="32" s="1"/>
  <c r="G278" i="34" s="1"/>
  <c r="I278" i="34" s="1"/>
  <c r="G281" i="36" s="1"/>
  <c r="I281" i="36" s="1"/>
  <c r="G283" i="38" s="1"/>
  <c r="I283" i="38" s="1"/>
  <c r="G285" i="40" s="1"/>
  <c r="I285" i="40" s="1"/>
  <c r="G286" i="3" s="1"/>
  <c r="I286" i="3" s="1"/>
  <c r="G291" i="44" s="1"/>
  <c r="I291" i="44" s="1"/>
  <c r="G291" i="46" s="1"/>
  <c r="I291" i="46" s="1"/>
  <c r="G291" i="48" s="1"/>
  <c r="I291" i="48" s="1"/>
  <c r="G356" i="30"/>
  <c r="I356" i="30" s="1"/>
  <c r="G359" i="32" s="1"/>
  <c r="I359" i="32" s="1"/>
  <c r="G359" i="34" s="1"/>
  <c r="I359" i="34" s="1"/>
  <c r="G363" i="36" s="1"/>
  <c r="I363" i="36" s="1"/>
  <c r="G366" i="38" s="1"/>
  <c r="I366" i="38" s="1"/>
  <c r="G370" i="40" s="1"/>
  <c r="I370" i="40" s="1"/>
  <c r="G374" i="3" s="1"/>
  <c r="I374" i="3" s="1"/>
  <c r="G381" i="44" s="1"/>
  <c r="I381" i="44" s="1"/>
  <c r="G380" i="46" s="1"/>
  <c r="I380" i="46" s="1"/>
  <c r="G380" i="48" s="1"/>
  <c r="I380" i="48" s="1"/>
  <c r="G343" i="30"/>
  <c r="I343" i="30" s="1"/>
  <c r="G346" i="32" s="1"/>
  <c r="I346" i="32" s="1"/>
  <c r="G346" i="34" s="1"/>
  <c r="I346" i="34" s="1"/>
  <c r="G350" i="36" s="1"/>
  <c r="I350" i="36" s="1"/>
  <c r="G353" i="38" s="1"/>
  <c r="I353" i="38" s="1"/>
  <c r="G357" i="40" s="1"/>
  <c r="I357" i="40" s="1"/>
  <c r="G361" i="3" s="1"/>
  <c r="I361" i="3" s="1"/>
  <c r="G368" i="44" s="1"/>
  <c r="I368" i="44" s="1"/>
  <c r="G367" i="46" s="1"/>
  <c r="I367" i="46" s="1"/>
  <c r="G367" i="48" s="1"/>
  <c r="I367" i="48" s="1"/>
  <c r="G165" i="30"/>
  <c r="I165" i="30" s="1"/>
  <c r="G168" i="32" s="1"/>
  <c r="I168" i="32" s="1"/>
  <c r="G168" i="34" s="1"/>
  <c r="I168" i="34" s="1"/>
  <c r="G169" i="36" s="1"/>
  <c r="I169" i="36" s="1"/>
  <c r="G169" i="38" s="1"/>
  <c r="I169" i="38" s="1"/>
  <c r="G169" i="40" s="1"/>
  <c r="I169" i="40" s="1"/>
  <c r="G169" i="3" s="1"/>
  <c r="I169" i="3" s="1"/>
  <c r="G169" i="44" s="1"/>
  <c r="I169" i="44" s="1"/>
  <c r="G169" i="46" s="1"/>
  <c r="I169" i="46" s="1"/>
  <c r="G169" i="48" s="1"/>
  <c r="I169" i="48" s="1"/>
  <c r="G389" i="30"/>
  <c r="I389" i="30" s="1"/>
  <c r="G392" i="32" s="1"/>
  <c r="I392" i="32" s="1"/>
  <c r="G392" i="34" s="1"/>
  <c r="I392" i="34" s="1"/>
  <c r="G396" i="36" s="1"/>
  <c r="I396" i="36" s="1"/>
  <c r="G399" i="38" s="1"/>
  <c r="I399" i="38" s="1"/>
  <c r="G403" i="40" s="1"/>
  <c r="I403" i="40" s="1"/>
  <c r="G407" i="3" s="1"/>
  <c r="I407" i="3" s="1"/>
  <c r="G414" i="44" s="1"/>
  <c r="I414" i="44" s="1"/>
  <c r="G413" i="46" s="1"/>
  <c r="I413" i="46" s="1"/>
  <c r="G413" i="48" s="1"/>
  <c r="I413" i="48" s="1"/>
  <c r="G396" i="30"/>
  <c r="I396" i="30" s="1"/>
  <c r="G399" i="32" s="1"/>
  <c r="I399" i="32" s="1"/>
  <c r="G399" i="34" s="1"/>
  <c r="I399" i="34" s="1"/>
  <c r="G403" i="36" s="1"/>
  <c r="I403" i="36" s="1"/>
  <c r="G406" i="38" s="1"/>
  <c r="I406" i="38" s="1"/>
  <c r="G410" i="40" s="1"/>
  <c r="I410" i="40" s="1"/>
  <c r="G414" i="3" s="1"/>
  <c r="I414" i="3" s="1"/>
  <c r="G421" i="44" s="1"/>
  <c r="I421" i="44" s="1"/>
  <c r="G420" i="46" s="1"/>
  <c r="I420" i="46" s="1"/>
  <c r="G420" i="48" s="1"/>
  <c r="I420" i="48" s="1"/>
  <c r="G271" i="30"/>
  <c r="I271" i="30" s="1"/>
  <c r="G274" i="32" s="1"/>
  <c r="I274" i="32" s="1"/>
  <c r="G274" i="34" s="1"/>
  <c r="I274" i="34" s="1"/>
  <c r="G277" i="36" s="1"/>
  <c r="I277" i="36" s="1"/>
  <c r="G279" i="38" s="1"/>
  <c r="I279" i="38" s="1"/>
  <c r="G281" i="40" s="1"/>
  <c r="I281" i="40" s="1"/>
  <c r="G282" i="3" s="1"/>
  <c r="I282" i="3" s="1"/>
  <c r="G287" i="44" s="1"/>
  <c r="I287" i="44" s="1"/>
  <c r="G287" i="46" s="1"/>
  <c r="I287" i="46" s="1"/>
  <c r="G287" i="48" s="1"/>
  <c r="I287" i="48" s="1"/>
  <c r="G339" i="30"/>
  <c r="I339" i="30" s="1"/>
  <c r="G342" i="32" s="1"/>
  <c r="I342" i="32" s="1"/>
  <c r="G342" i="34" s="1"/>
  <c r="I342" i="34" s="1"/>
  <c r="G346" i="36" s="1"/>
  <c r="I346" i="36" s="1"/>
  <c r="G349" i="38" s="1"/>
  <c r="I349" i="38" s="1"/>
  <c r="G353" i="40" s="1"/>
  <c r="I353" i="40" s="1"/>
  <c r="G357" i="3" s="1"/>
  <c r="I357" i="3" s="1"/>
  <c r="G364" i="44" s="1"/>
  <c r="I364" i="44" s="1"/>
  <c r="G363" i="46" s="1"/>
  <c r="I363" i="46" s="1"/>
  <c r="G363" i="48" s="1"/>
  <c r="I363" i="48" s="1"/>
  <c r="G182" i="30"/>
  <c r="I182" i="30" s="1"/>
  <c r="G185" i="32" s="1"/>
  <c r="I185" i="32" s="1"/>
  <c r="G185" i="34" s="1"/>
  <c r="I185" i="34" s="1"/>
  <c r="G188" i="36" s="1"/>
  <c r="I188" i="36" s="1"/>
  <c r="G189" i="38" s="1"/>
  <c r="I189" i="38" s="1"/>
  <c r="G190" i="40" s="1"/>
  <c r="I190" i="40" s="1"/>
  <c r="G191" i="3" s="1"/>
  <c r="I191" i="3" s="1"/>
  <c r="G193" i="44" s="1"/>
  <c r="I193" i="44" s="1"/>
  <c r="G193" i="46" s="1"/>
  <c r="I193" i="46" s="1"/>
  <c r="G193" i="48" s="1"/>
  <c r="I193" i="48" s="1"/>
  <c r="G250" i="30"/>
  <c r="I250" i="30" s="1"/>
  <c r="G253" i="32" s="1"/>
  <c r="I253" i="32" s="1"/>
  <c r="G253" i="34" s="1"/>
  <c r="I253" i="34" s="1"/>
  <c r="G256" i="36" s="1"/>
  <c r="I256" i="36" s="1"/>
  <c r="G258" i="38" s="1"/>
  <c r="I258" i="38" s="1"/>
  <c r="G260" i="40" s="1"/>
  <c r="I260" i="40" s="1"/>
  <c r="G261" i="3" s="1"/>
  <c r="I261" i="3" s="1"/>
  <c r="G266" i="44" s="1"/>
  <c r="I266" i="44" s="1"/>
  <c r="G266" i="46" s="1"/>
  <c r="I266" i="46" s="1"/>
  <c r="G266" i="48" s="1"/>
  <c r="I266" i="48" s="1"/>
  <c r="G295" i="30"/>
  <c r="I295" i="30" s="1"/>
  <c r="G298" i="32" s="1"/>
  <c r="I298" i="32" s="1"/>
  <c r="G298" i="34" s="1"/>
  <c r="I298" i="34" s="1"/>
  <c r="G302" i="36" s="1"/>
  <c r="I302" i="36" s="1"/>
  <c r="G305" i="38" s="1"/>
  <c r="I305" i="38" s="1"/>
  <c r="G308" i="40" s="1"/>
  <c r="I308" i="40" s="1"/>
  <c r="G311" i="3" s="1"/>
  <c r="I311" i="3" s="1"/>
  <c r="G317" i="44" s="1"/>
  <c r="I317" i="44" s="1"/>
  <c r="G316" i="46" s="1"/>
  <c r="I316" i="46" s="1"/>
  <c r="G316" i="48" s="1"/>
  <c r="I316" i="48" s="1"/>
  <c r="G394" i="30"/>
  <c r="I394" i="30" s="1"/>
  <c r="G397" i="32" s="1"/>
  <c r="I397" i="32" s="1"/>
  <c r="G397" i="34" s="1"/>
  <c r="I397" i="34" s="1"/>
  <c r="G401" i="36" s="1"/>
  <c r="I401" i="36" s="1"/>
  <c r="G404" i="38" s="1"/>
  <c r="I404" i="38" s="1"/>
  <c r="G408" i="40" s="1"/>
  <c r="I408" i="40" s="1"/>
  <c r="G412" i="3" s="1"/>
  <c r="I412" i="3" s="1"/>
  <c r="G419" i="44" s="1"/>
  <c r="I419" i="44" s="1"/>
  <c r="G418" i="46" s="1"/>
  <c r="I418" i="46" s="1"/>
  <c r="G418" i="48" s="1"/>
  <c r="I418" i="48" s="1"/>
  <c r="G314" i="30"/>
  <c r="I314" i="30" s="1"/>
  <c r="G317" i="32" s="1"/>
  <c r="I317" i="32" s="1"/>
  <c r="G317" i="34" s="1"/>
  <c r="I317" i="34" s="1"/>
  <c r="G321" i="36" s="1"/>
  <c r="I321" i="36" s="1"/>
  <c r="G324" i="38" s="1"/>
  <c r="I324" i="38" s="1"/>
  <c r="G327" i="40" s="1"/>
  <c r="I327" i="40" s="1"/>
  <c r="G331" i="3" s="1"/>
  <c r="I331" i="3" s="1"/>
  <c r="G337" i="44" s="1"/>
  <c r="I337" i="44" s="1"/>
  <c r="G336" i="46" s="1"/>
  <c r="I336" i="46" s="1"/>
  <c r="G336" i="48" s="1"/>
  <c r="I336" i="48" s="1"/>
  <c r="G197" i="30"/>
  <c r="I197" i="30" s="1"/>
  <c r="G200" i="32" s="1"/>
  <c r="I200" i="32" s="1"/>
  <c r="G200" i="34" s="1"/>
  <c r="I200" i="34" s="1"/>
  <c r="G203" i="36" s="1"/>
  <c r="I203" i="36" s="1"/>
  <c r="G205" i="38" s="1"/>
  <c r="I205" i="38" s="1"/>
  <c r="G207" i="40" s="1"/>
  <c r="I207" i="40" s="1"/>
  <c r="G208" i="3" s="1"/>
  <c r="I208" i="3" s="1"/>
  <c r="G213" i="44" s="1"/>
  <c r="I213" i="44" s="1"/>
  <c r="G213" i="46" s="1"/>
  <c r="I213" i="46" s="1"/>
  <c r="G213" i="48" s="1"/>
  <c r="I213" i="48" s="1"/>
  <c r="G162" i="30"/>
  <c r="I162" i="30" s="1"/>
  <c r="G165" i="32" s="1"/>
  <c r="I165" i="32" s="1"/>
  <c r="G165" i="34" s="1"/>
  <c r="I165" i="34" s="1"/>
  <c r="G166" i="36" s="1"/>
  <c r="I166" i="36" s="1"/>
  <c r="G166" i="38" s="1"/>
  <c r="I166" i="38" s="1"/>
  <c r="G166" i="40" s="1"/>
  <c r="I166" i="40" s="1"/>
  <c r="G166" i="3" s="1"/>
  <c r="I166" i="3" s="1"/>
  <c r="G166" i="44" s="1"/>
  <c r="I166" i="44" s="1"/>
  <c r="G166" i="46" s="1"/>
  <c r="I166" i="46" s="1"/>
  <c r="G166" i="48" s="1"/>
  <c r="I166" i="48" s="1"/>
  <c r="G226" i="30"/>
  <c r="I226" i="30" s="1"/>
  <c r="G229" i="32" s="1"/>
  <c r="I229" i="32" s="1"/>
  <c r="G229" i="34" s="1"/>
  <c r="I229" i="34" s="1"/>
  <c r="G232" i="36" s="1"/>
  <c r="I232" i="36" s="1"/>
  <c r="G234" i="38" s="1"/>
  <c r="I234" i="38" s="1"/>
  <c r="G236" i="40" s="1"/>
  <c r="I236" i="40" s="1"/>
  <c r="G237" i="3" s="1"/>
  <c r="I237" i="3" s="1"/>
  <c r="G242" i="44" s="1"/>
  <c r="I242" i="44" s="1"/>
  <c r="G242" i="46" s="1"/>
  <c r="I242" i="46" s="1"/>
  <c r="G242" i="48" s="1"/>
  <c r="I242" i="48" s="1"/>
  <c r="G381" i="30"/>
  <c r="I381" i="30" s="1"/>
  <c r="G384" i="32" s="1"/>
  <c r="I384" i="32" s="1"/>
  <c r="G384" i="34" s="1"/>
  <c r="I384" i="34" s="1"/>
  <c r="G388" i="36" s="1"/>
  <c r="I388" i="36" s="1"/>
  <c r="G391" i="38" s="1"/>
  <c r="I391" i="38" s="1"/>
  <c r="G395" i="40" s="1"/>
  <c r="I395" i="40" s="1"/>
  <c r="G399" i="3" s="1"/>
  <c r="I399" i="3" s="1"/>
  <c r="G406" i="44" s="1"/>
  <c r="I406" i="44" s="1"/>
  <c r="G405" i="46" s="1"/>
  <c r="I405" i="46" s="1"/>
  <c r="G405" i="48" s="1"/>
  <c r="I405" i="48" s="1"/>
  <c r="G274" i="30"/>
  <c r="I274" i="30" s="1"/>
  <c r="G277" i="32" s="1"/>
  <c r="I277" i="32" s="1"/>
  <c r="G277" i="34" s="1"/>
  <c r="I277" i="34" s="1"/>
  <c r="G280" i="36" s="1"/>
  <c r="I280" i="36" s="1"/>
  <c r="G282" i="38" s="1"/>
  <c r="I282" i="38" s="1"/>
  <c r="G284" i="40" s="1"/>
  <c r="I284" i="40" s="1"/>
  <c r="G285" i="3" s="1"/>
  <c r="I285" i="3" s="1"/>
  <c r="G290" i="44" s="1"/>
  <c r="I290" i="44" s="1"/>
  <c r="G290" i="46" s="1"/>
  <c r="I290" i="46" s="1"/>
  <c r="G290" i="48" s="1"/>
  <c r="I290" i="48" s="1"/>
  <c r="G398" i="30"/>
  <c r="I398" i="30" s="1"/>
  <c r="G401" i="32" s="1"/>
  <c r="I401" i="32" s="1"/>
  <c r="G401" i="34" s="1"/>
  <c r="I401" i="34" s="1"/>
  <c r="G405" i="36" s="1"/>
  <c r="I405" i="36" s="1"/>
  <c r="G408" i="38" s="1"/>
  <c r="I408" i="38" s="1"/>
  <c r="G412" i="40" s="1"/>
  <c r="I412" i="40" s="1"/>
  <c r="G416" i="3" s="1"/>
  <c r="I416" i="3" s="1"/>
  <c r="G423" i="44" s="1"/>
  <c r="I423" i="44" s="1"/>
  <c r="G422" i="46" s="1"/>
  <c r="I422" i="46" s="1"/>
  <c r="G422" i="48" s="1"/>
  <c r="I422" i="48" s="1"/>
  <c r="G214" i="30"/>
  <c r="I214" i="30" s="1"/>
  <c r="G217" i="32" s="1"/>
  <c r="I217" i="32" s="1"/>
  <c r="G217" i="34" s="1"/>
  <c r="I217" i="34" s="1"/>
  <c r="G220" i="36" s="1"/>
  <c r="I220" i="36" s="1"/>
  <c r="G222" i="38" s="1"/>
  <c r="I222" i="38" s="1"/>
  <c r="G224" i="40" s="1"/>
  <c r="I224" i="40" s="1"/>
  <c r="G225" i="3" s="1"/>
  <c r="I225" i="3" s="1"/>
  <c r="G230" i="44" s="1"/>
  <c r="I230" i="44" s="1"/>
  <c r="G230" i="46" s="1"/>
  <c r="I230" i="46" s="1"/>
  <c r="G230" i="48" s="1"/>
  <c r="I230" i="48" s="1"/>
  <c r="G163" i="30"/>
  <c r="I163" i="30" s="1"/>
  <c r="G166" i="32" s="1"/>
  <c r="I166" i="32" s="1"/>
  <c r="G166" i="34" s="1"/>
  <c r="I166" i="34" s="1"/>
  <c r="G167" i="36" s="1"/>
  <c r="I167" i="36" s="1"/>
  <c r="G167" i="38" s="1"/>
  <c r="I167" i="38" s="1"/>
  <c r="G167" i="40" s="1"/>
  <c r="I167" i="40" s="1"/>
  <c r="G167" i="3" s="1"/>
  <c r="I167" i="3" s="1"/>
  <c r="G167" i="44" s="1"/>
  <c r="I167" i="44" s="1"/>
  <c r="G167" i="46" s="1"/>
  <c r="I167" i="46" s="1"/>
  <c r="G167" i="48" s="1"/>
  <c r="I167" i="48" s="1"/>
  <c r="G334" i="30"/>
  <c r="I334" i="30" s="1"/>
  <c r="G337" i="32" s="1"/>
  <c r="I337" i="32" s="1"/>
  <c r="G337" i="34" s="1"/>
  <c r="I337" i="34" s="1"/>
  <c r="G341" i="36" s="1"/>
  <c r="I341" i="36" s="1"/>
  <c r="G344" i="38" s="1"/>
  <c r="I344" i="38" s="1"/>
  <c r="G348" i="40" s="1"/>
  <c r="I348" i="40" s="1"/>
  <c r="G352" i="3" s="1"/>
  <c r="I352" i="3" s="1"/>
  <c r="G359" i="44" s="1"/>
  <c r="I359" i="44" s="1"/>
  <c r="G358" i="46" s="1"/>
  <c r="I358" i="46" s="1"/>
  <c r="G358" i="48" s="1"/>
  <c r="I358" i="48" s="1"/>
  <c r="G222" i="30"/>
  <c r="I222" i="30" s="1"/>
  <c r="G225" i="32" s="1"/>
  <c r="I225" i="32" s="1"/>
  <c r="G225" i="34" s="1"/>
  <c r="I225" i="34" s="1"/>
  <c r="G228" i="36" s="1"/>
  <c r="I228" i="36" s="1"/>
  <c r="G230" i="38" s="1"/>
  <c r="I230" i="38" s="1"/>
  <c r="G232" i="40" s="1"/>
  <c r="I232" i="40" s="1"/>
  <c r="G233" i="3" s="1"/>
  <c r="I233" i="3" s="1"/>
  <c r="G238" i="44" s="1"/>
  <c r="I238" i="44" s="1"/>
  <c r="G238" i="46" s="1"/>
  <c r="I238" i="46" s="1"/>
  <c r="G238" i="48" s="1"/>
  <c r="I238" i="48" s="1"/>
  <c r="G269" i="30"/>
  <c r="I269" i="30" s="1"/>
  <c r="G272" i="32" s="1"/>
  <c r="I272" i="32" s="1"/>
  <c r="G272" i="34" s="1"/>
  <c r="I272" i="34" s="1"/>
  <c r="G275" i="36" s="1"/>
  <c r="I275" i="36" s="1"/>
  <c r="G277" i="38" s="1"/>
  <c r="I277" i="38" s="1"/>
  <c r="G279" i="40" s="1"/>
  <c r="I279" i="40" s="1"/>
  <c r="G280" i="3" s="1"/>
  <c r="I280" i="3" s="1"/>
  <c r="G285" i="44" s="1"/>
  <c r="I285" i="44" s="1"/>
  <c r="G285" i="46" s="1"/>
  <c r="I285" i="46" s="1"/>
  <c r="G285" i="48" s="1"/>
  <c r="I285" i="48" s="1"/>
  <c r="G351" i="30"/>
  <c r="I351" i="30" s="1"/>
  <c r="G354" i="32" s="1"/>
  <c r="I354" i="32" s="1"/>
  <c r="G354" i="34" s="1"/>
  <c r="I354" i="34" s="1"/>
  <c r="G358" i="36" s="1"/>
  <c r="I358" i="36" s="1"/>
  <c r="G361" i="38" s="1"/>
  <c r="I361" i="38" s="1"/>
  <c r="G365" i="40" s="1"/>
  <c r="I365" i="40" s="1"/>
  <c r="G369" i="3" s="1"/>
  <c r="I369" i="3" s="1"/>
  <c r="G376" i="44" s="1"/>
  <c r="I376" i="44" s="1"/>
  <c r="G375" i="46" s="1"/>
  <c r="I375" i="46" s="1"/>
  <c r="G375" i="48" s="1"/>
  <c r="I375" i="48" s="1"/>
  <c r="G313" i="30"/>
  <c r="I313" i="30" s="1"/>
  <c r="G316" i="32" s="1"/>
  <c r="I316" i="32" s="1"/>
  <c r="G316" i="34" s="1"/>
  <c r="I316" i="34" s="1"/>
  <c r="G320" i="36" s="1"/>
  <c r="I320" i="36" s="1"/>
  <c r="G323" i="38" s="1"/>
  <c r="I323" i="38" s="1"/>
  <c r="G326" i="40" s="1"/>
  <c r="I326" i="40" s="1"/>
  <c r="G330" i="3" s="1"/>
  <c r="I330" i="3" s="1"/>
  <c r="G336" i="44" s="1"/>
  <c r="I336" i="44" s="1"/>
  <c r="G335" i="46" s="1"/>
  <c r="I335" i="46" s="1"/>
  <c r="G335" i="48" s="1"/>
  <c r="I335" i="48" s="1"/>
  <c r="G341" i="30"/>
  <c r="I341" i="30" s="1"/>
  <c r="G344" i="32" s="1"/>
  <c r="I344" i="32" s="1"/>
  <c r="G344" i="34" s="1"/>
  <c r="I344" i="34" s="1"/>
  <c r="G348" i="36" s="1"/>
  <c r="I348" i="36" s="1"/>
  <c r="G351" i="38" s="1"/>
  <c r="I351" i="38" s="1"/>
  <c r="G355" i="40" s="1"/>
  <c r="I355" i="40" s="1"/>
  <c r="G359" i="3" s="1"/>
  <c r="I359" i="3" s="1"/>
  <c r="G366" i="44" s="1"/>
  <c r="I366" i="44" s="1"/>
  <c r="G365" i="46" s="1"/>
  <c r="I365" i="46" s="1"/>
  <c r="G365" i="48" s="1"/>
  <c r="I365" i="48" s="1"/>
  <c r="G193" i="30"/>
  <c r="I193" i="30" s="1"/>
  <c r="G196" i="32" s="1"/>
  <c r="I196" i="32" s="1"/>
  <c r="G196" i="34" s="1"/>
  <c r="I196" i="34" s="1"/>
  <c r="G199" i="36" s="1"/>
  <c r="I199" i="36" s="1"/>
  <c r="G201" i="38" s="1"/>
  <c r="I201" i="38" s="1"/>
  <c r="G203" i="40" s="1"/>
  <c r="I203" i="40" s="1"/>
  <c r="G204" i="3" s="1"/>
  <c r="I204" i="3" s="1"/>
  <c r="G209" i="44" s="1"/>
  <c r="I209" i="44" s="1"/>
  <c r="G209" i="46" s="1"/>
  <c r="I209" i="46" s="1"/>
  <c r="G209" i="48" s="1"/>
  <c r="I209" i="48" s="1"/>
  <c r="G241" i="30"/>
  <c r="I241" i="30" s="1"/>
  <c r="G244" i="32" s="1"/>
  <c r="I244" i="32" s="1"/>
  <c r="G244" i="34" s="1"/>
  <c r="I244" i="34" s="1"/>
  <c r="G247" i="36" s="1"/>
  <c r="I247" i="36" s="1"/>
  <c r="G249" i="38" s="1"/>
  <c r="I249" i="38" s="1"/>
  <c r="G251" i="40" s="1"/>
  <c r="I251" i="40" s="1"/>
  <c r="G252" i="3" s="1"/>
  <c r="I252" i="3" s="1"/>
  <c r="G257" i="44" s="1"/>
  <c r="I257" i="44" s="1"/>
  <c r="G257" i="46" s="1"/>
  <c r="I257" i="46" s="1"/>
  <c r="G257" i="48" s="1"/>
  <c r="I257" i="48" s="1"/>
  <c r="G302" i="30"/>
  <c r="I302" i="30" s="1"/>
  <c r="G305" i="32" s="1"/>
  <c r="I305" i="32" s="1"/>
  <c r="G305" i="34" s="1"/>
  <c r="I305" i="34" s="1"/>
  <c r="G309" i="36" s="1"/>
  <c r="I309" i="36" s="1"/>
  <c r="G312" i="38" s="1"/>
  <c r="I312" i="38" s="1"/>
  <c r="G315" i="40" s="1"/>
  <c r="I315" i="40" s="1"/>
  <c r="G319" i="3" s="1"/>
  <c r="I319" i="3" s="1"/>
  <c r="G325" i="44" s="1"/>
  <c r="I325" i="44" s="1"/>
  <c r="G324" i="46" s="1"/>
  <c r="I324" i="46" s="1"/>
  <c r="G324" i="48" s="1"/>
  <c r="I324" i="48" s="1"/>
  <c r="G336" i="30"/>
  <c r="I336" i="30" s="1"/>
  <c r="G339" i="32" s="1"/>
  <c r="I339" i="32" s="1"/>
  <c r="G339" i="34" s="1"/>
  <c r="I339" i="34" s="1"/>
  <c r="G343" i="36" s="1"/>
  <c r="I343" i="36" s="1"/>
  <c r="G346" i="38" s="1"/>
  <c r="I346" i="38" s="1"/>
  <c r="G350" i="40" s="1"/>
  <c r="I350" i="40" s="1"/>
  <c r="G354" i="3" s="1"/>
  <c r="I354" i="3" s="1"/>
  <c r="G361" i="44" s="1"/>
  <c r="I361" i="44" s="1"/>
  <c r="G360" i="46" s="1"/>
  <c r="I360" i="46" s="1"/>
  <c r="G360" i="48" s="1"/>
  <c r="I360" i="48" s="1"/>
  <c r="G371" i="30"/>
  <c r="I371" i="30" s="1"/>
  <c r="G374" i="32" s="1"/>
  <c r="I374" i="32" s="1"/>
  <c r="G374" i="34" s="1"/>
  <c r="I374" i="34" s="1"/>
  <c r="G378" i="36" s="1"/>
  <c r="I378" i="36" s="1"/>
  <c r="G381" i="38" s="1"/>
  <c r="I381" i="38" s="1"/>
  <c r="G385" i="40" s="1"/>
  <c r="I385" i="40" s="1"/>
  <c r="G389" i="3" s="1"/>
  <c r="I389" i="3" s="1"/>
  <c r="G396" i="44" s="1"/>
  <c r="I396" i="44" s="1"/>
  <c r="G395" i="46" s="1"/>
  <c r="I395" i="46" s="1"/>
  <c r="G395" i="48" s="1"/>
  <c r="I395" i="48" s="1"/>
  <c r="G228" i="30"/>
  <c r="I228" i="30" s="1"/>
  <c r="G231" i="32" s="1"/>
  <c r="I231" i="32" s="1"/>
  <c r="G231" i="34" s="1"/>
  <c r="I231" i="34" s="1"/>
  <c r="G234" i="36" s="1"/>
  <c r="I234" i="36" s="1"/>
  <c r="G236" i="38" s="1"/>
  <c r="I236" i="38" s="1"/>
  <c r="G238" i="40" s="1"/>
  <c r="I238" i="40" s="1"/>
  <c r="G239" i="3" s="1"/>
  <c r="I239" i="3" s="1"/>
  <c r="G244" i="44" s="1"/>
  <c r="I244" i="44" s="1"/>
  <c r="G244" i="46" s="1"/>
  <c r="I244" i="46" s="1"/>
  <c r="G244" i="48" s="1"/>
  <c r="I244" i="48" s="1"/>
  <c r="G245" i="30"/>
  <c r="I245" i="30" s="1"/>
  <c r="G248" i="32" s="1"/>
  <c r="I248" i="32" s="1"/>
  <c r="G248" i="34" s="1"/>
  <c r="I248" i="34" s="1"/>
  <c r="G251" i="36" s="1"/>
  <c r="I251" i="36" s="1"/>
  <c r="G253" i="38" s="1"/>
  <c r="I253" i="38" s="1"/>
  <c r="G255" i="40" s="1"/>
  <c r="I255" i="40" s="1"/>
  <c r="G256" i="3" s="1"/>
  <c r="I256" i="3" s="1"/>
  <c r="G261" i="44" s="1"/>
  <c r="I261" i="44" s="1"/>
  <c r="G261" i="46" s="1"/>
  <c r="I261" i="46" s="1"/>
  <c r="G261" i="48" s="1"/>
  <c r="I261" i="48" s="1"/>
  <c r="G402" i="30"/>
  <c r="I402" i="30" s="1"/>
  <c r="G405" i="32" s="1"/>
  <c r="I405" i="32" s="1"/>
  <c r="G405" i="34" s="1"/>
  <c r="I405" i="34" s="1"/>
  <c r="G409" i="36" s="1"/>
  <c r="I409" i="36" s="1"/>
  <c r="G412" i="38" s="1"/>
  <c r="I412" i="38" s="1"/>
  <c r="G416" i="40" s="1"/>
  <c r="I416" i="40" s="1"/>
  <c r="G420" i="3" s="1"/>
  <c r="I420" i="3" s="1"/>
  <c r="G427" i="44" s="1"/>
  <c r="I427" i="44" s="1"/>
  <c r="G426" i="46" s="1"/>
  <c r="I426" i="46" s="1"/>
  <c r="G426" i="48" s="1"/>
  <c r="I426" i="48" s="1"/>
  <c r="G377" i="30"/>
  <c r="I377" i="30" s="1"/>
  <c r="G380" i="32" s="1"/>
  <c r="I380" i="32" s="1"/>
  <c r="G380" i="34" s="1"/>
  <c r="I380" i="34" s="1"/>
  <c r="G384" i="36" s="1"/>
  <c r="I384" i="36" s="1"/>
  <c r="G387" i="38" s="1"/>
  <c r="I387" i="38" s="1"/>
  <c r="G391" i="40" s="1"/>
  <c r="I391" i="40" s="1"/>
  <c r="G395" i="3" s="1"/>
  <c r="I395" i="3" s="1"/>
  <c r="G402" i="44" s="1"/>
  <c r="I402" i="44" s="1"/>
  <c r="G401" i="46" s="1"/>
  <c r="I401" i="46" s="1"/>
  <c r="G401" i="48" s="1"/>
  <c r="I401" i="48" s="1"/>
  <c r="G291" i="30"/>
  <c r="I291" i="30" s="1"/>
  <c r="G294" i="32" s="1"/>
  <c r="I294" i="32" s="1"/>
  <c r="G294" i="34" s="1"/>
  <c r="I294" i="34" s="1"/>
  <c r="G297" i="36" s="1"/>
  <c r="I297" i="36" s="1"/>
  <c r="G300" i="38" s="1"/>
  <c r="I300" i="38" s="1"/>
  <c r="G303" i="40" s="1"/>
  <c r="I303" i="40" s="1"/>
  <c r="G305" i="3" s="1"/>
  <c r="I305" i="3" s="1"/>
  <c r="G310" i="44" s="1"/>
  <c r="I310" i="44" s="1"/>
  <c r="G310" i="46" s="1"/>
  <c r="I310" i="46" s="1"/>
  <c r="G310" i="48" s="1"/>
  <c r="I310" i="48" s="1"/>
  <c r="G213" i="30"/>
  <c r="I213" i="30" s="1"/>
  <c r="G216" i="32" s="1"/>
  <c r="I216" i="32" s="1"/>
  <c r="G216" i="34" s="1"/>
  <c r="I216" i="34" s="1"/>
  <c r="G219" i="36" s="1"/>
  <c r="I219" i="36" s="1"/>
  <c r="G221" i="38" s="1"/>
  <c r="I221" i="38" s="1"/>
  <c r="G223" i="40" s="1"/>
  <c r="I223" i="40" s="1"/>
  <c r="G224" i="3" s="1"/>
  <c r="I224" i="3" s="1"/>
  <c r="G229" i="44" s="1"/>
  <c r="I229" i="44" s="1"/>
  <c r="G229" i="46" s="1"/>
  <c r="I229" i="46" s="1"/>
  <c r="G229" i="48" s="1"/>
  <c r="I229" i="48" s="1"/>
  <c r="G236" i="30"/>
  <c r="I236" i="30" s="1"/>
  <c r="G239" i="32" s="1"/>
  <c r="I239" i="32" s="1"/>
  <c r="G239" i="34" s="1"/>
  <c r="I239" i="34" s="1"/>
  <c r="G242" i="36" s="1"/>
  <c r="I242" i="36" s="1"/>
  <c r="G244" i="38" s="1"/>
  <c r="I244" i="38" s="1"/>
  <c r="G246" i="40" s="1"/>
  <c r="I246" i="40" s="1"/>
  <c r="G247" i="3" s="1"/>
  <c r="I247" i="3" s="1"/>
  <c r="G252" i="44" s="1"/>
  <c r="I252" i="44" s="1"/>
  <c r="G252" i="46" s="1"/>
  <c r="I252" i="46" s="1"/>
  <c r="G252" i="48" s="1"/>
  <c r="I252" i="48" s="1"/>
  <c r="G229" i="30"/>
  <c r="I229" i="30" s="1"/>
  <c r="G232" i="32" s="1"/>
  <c r="I232" i="32" s="1"/>
  <c r="G232" i="34" s="1"/>
  <c r="I232" i="34" s="1"/>
  <c r="G235" i="36" s="1"/>
  <c r="I235" i="36" s="1"/>
  <c r="G237" i="38" s="1"/>
  <c r="I237" i="38" s="1"/>
  <c r="G239" i="40" s="1"/>
  <c r="I239" i="40" s="1"/>
  <c r="G240" i="3" s="1"/>
  <c r="I240" i="3" s="1"/>
  <c r="G245" i="44" s="1"/>
  <c r="I245" i="44" s="1"/>
  <c r="G245" i="46" s="1"/>
  <c r="I245" i="46" s="1"/>
  <c r="G245" i="48" s="1"/>
  <c r="I245" i="48" s="1"/>
  <c r="G327" i="30"/>
  <c r="I327" i="30" s="1"/>
  <c r="G330" i="32" s="1"/>
  <c r="I330" i="32" s="1"/>
  <c r="G330" i="34" s="1"/>
  <c r="I330" i="34" s="1"/>
  <c r="G334" i="36" s="1"/>
  <c r="I334" i="36" s="1"/>
  <c r="G337" i="38" s="1"/>
  <c r="I337" i="38" s="1"/>
  <c r="G341" i="40" s="1"/>
  <c r="I341" i="40" s="1"/>
  <c r="G345" i="3" s="1"/>
  <c r="I345" i="3" s="1"/>
  <c r="G352" i="44" s="1"/>
  <c r="I352" i="44" s="1"/>
  <c r="G351" i="46" s="1"/>
  <c r="I351" i="46" s="1"/>
  <c r="G351" i="48" s="1"/>
  <c r="I351" i="48" s="1"/>
  <c r="G260" i="30"/>
  <c r="I260" i="30" s="1"/>
  <c r="G263" i="32" s="1"/>
  <c r="I263" i="32" s="1"/>
  <c r="G263" i="34" s="1"/>
  <c r="I263" i="34" s="1"/>
  <c r="G266" i="36" s="1"/>
  <c r="I266" i="36" s="1"/>
  <c r="G268" i="38" s="1"/>
  <c r="I268" i="38" s="1"/>
  <c r="G270" i="40" s="1"/>
  <c r="I270" i="40" s="1"/>
  <c r="G271" i="3" s="1"/>
  <c r="I271" i="3" s="1"/>
  <c r="G276" i="44" s="1"/>
  <c r="I276" i="44" s="1"/>
  <c r="G276" i="46" s="1"/>
  <c r="I276" i="46" s="1"/>
  <c r="G276" i="48" s="1"/>
  <c r="I276" i="48" s="1"/>
  <c r="G309" i="30"/>
  <c r="I309" i="30" s="1"/>
  <c r="G312" i="32" s="1"/>
  <c r="I312" i="32" s="1"/>
  <c r="G312" i="34" s="1"/>
  <c r="I312" i="34" s="1"/>
  <c r="G316" i="36" s="1"/>
  <c r="I316" i="36" s="1"/>
  <c r="G319" i="38" s="1"/>
  <c r="I319" i="38" s="1"/>
  <c r="G322" i="40" s="1"/>
  <c r="I322" i="40" s="1"/>
  <c r="G326" i="3" s="1"/>
  <c r="I326" i="3" s="1"/>
  <c r="G332" i="44" s="1"/>
  <c r="I332" i="44" s="1"/>
  <c r="G331" i="46" s="1"/>
  <c r="I331" i="46" s="1"/>
  <c r="G331" i="48" s="1"/>
  <c r="I331" i="48" s="1"/>
  <c r="G256" i="30"/>
  <c r="I256" i="30" s="1"/>
  <c r="G259" i="32" s="1"/>
  <c r="I259" i="32" s="1"/>
  <c r="G259" i="34" s="1"/>
  <c r="I259" i="34" s="1"/>
  <c r="G262" i="36" s="1"/>
  <c r="I262" i="36" s="1"/>
  <c r="G264" i="38" s="1"/>
  <c r="I264" i="38" s="1"/>
  <c r="G266" i="40" s="1"/>
  <c r="I266" i="40" s="1"/>
  <c r="G267" i="3" s="1"/>
  <c r="I267" i="3" s="1"/>
  <c r="G272" i="44" s="1"/>
  <c r="I272" i="44" s="1"/>
  <c r="G272" i="46" s="1"/>
  <c r="I272" i="46" s="1"/>
  <c r="G272" i="48" s="1"/>
  <c r="I272" i="48" s="1"/>
  <c r="G324" i="30"/>
  <c r="I324" i="30" s="1"/>
  <c r="G327" i="32" s="1"/>
  <c r="I327" i="32" s="1"/>
  <c r="G327" i="34" s="1"/>
  <c r="I327" i="34" s="1"/>
  <c r="G331" i="36" s="1"/>
  <c r="I331" i="36" s="1"/>
  <c r="G334" i="38" s="1"/>
  <c r="I334" i="38" s="1"/>
  <c r="G337" i="40" s="1"/>
  <c r="I337" i="40" s="1"/>
  <c r="G341" i="3" s="1"/>
  <c r="I341" i="3" s="1"/>
  <c r="G348" i="44" s="1"/>
  <c r="I348" i="44" s="1"/>
  <c r="G347" i="46" s="1"/>
  <c r="I347" i="46" s="1"/>
  <c r="G347" i="48" s="1"/>
  <c r="I347" i="48" s="1"/>
  <c r="G359" i="30"/>
  <c r="I359" i="30" s="1"/>
  <c r="G362" i="32" s="1"/>
  <c r="I362" i="32" s="1"/>
  <c r="G362" i="34" s="1"/>
  <c r="I362" i="34" s="1"/>
  <c r="G366" i="36" s="1"/>
  <c r="I366" i="36" s="1"/>
  <c r="G369" i="38" s="1"/>
  <c r="I369" i="38" s="1"/>
  <c r="G373" i="40" s="1"/>
  <c r="I373" i="40" s="1"/>
  <c r="G377" i="3" s="1"/>
  <c r="I377" i="3" s="1"/>
  <c r="G384" i="44" s="1"/>
  <c r="I384" i="44" s="1"/>
  <c r="G383" i="46" s="1"/>
  <c r="I383" i="46" s="1"/>
  <c r="G383" i="48" s="1"/>
  <c r="I383" i="48" s="1"/>
  <c r="G386" i="30"/>
  <c r="I386" i="30" s="1"/>
  <c r="G389" i="32" s="1"/>
  <c r="I389" i="32" s="1"/>
  <c r="G389" i="34" s="1"/>
  <c r="I389" i="34" s="1"/>
  <c r="G393" i="36" s="1"/>
  <c r="I393" i="36" s="1"/>
  <c r="G396" i="38" s="1"/>
  <c r="I396" i="38" s="1"/>
  <c r="G400" i="40" s="1"/>
  <c r="I400" i="40" s="1"/>
  <c r="G404" i="3" s="1"/>
  <c r="I404" i="3" s="1"/>
  <c r="G411" i="44" s="1"/>
  <c r="I411" i="44" s="1"/>
  <c r="G410" i="46" s="1"/>
  <c r="I410" i="46" s="1"/>
  <c r="G410" i="48" s="1"/>
  <c r="I410" i="48" s="1"/>
  <c r="G189" i="30"/>
  <c r="I189" i="30" s="1"/>
  <c r="G192" i="32" s="1"/>
  <c r="I192" i="32" s="1"/>
  <c r="G192" i="34" s="1"/>
  <c r="I192" i="34" s="1"/>
  <c r="G195" i="36" s="1"/>
  <c r="I195" i="36" s="1"/>
  <c r="G196" i="38" s="1"/>
  <c r="I196" i="38" s="1"/>
  <c r="G198" i="40" s="1"/>
  <c r="I198" i="40" s="1"/>
  <c r="G199" i="3" s="1"/>
  <c r="I199" i="3" s="1"/>
  <c r="G203" i="44" s="1"/>
  <c r="I203" i="44" s="1"/>
  <c r="G203" i="46" s="1"/>
  <c r="I203" i="46" s="1"/>
  <c r="G203" i="48" s="1"/>
  <c r="I203" i="48" s="1"/>
  <c r="G272" i="30"/>
  <c r="I272" i="30" s="1"/>
  <c r="G275" i="32" s="1"/>
  <c r="I275" i="32" s="1"/>
  <c r="G275" i="34" s="1"/>
  <c r="I275" i="34" s="1"/>
  <c r="G278" i="36" s="1"/>
  <c r="I278" i="36" s="1"/>
  <c r="G280" i="38" s="1"/>
  <c r="I280" i="38" s="1"/>
  <c r="G282" i="40" s="1"/>
  <c r="I282" i="40" s="1"/>
  <c r="G283" i="3" s="1"/>
  <c r="I283" i="3" s="1"/>
  <c r="G288" i="44" s="1"/>
  <c r="I288" i="44" s="1"/>
  <c r="G288" i="46" s="1"/>
  <c r="I288" i="46" s="1"/>
  <c r="G288" i="48" s="1"/>
  <c r="I288" i="48" s="1"/>
  <c r="G279" i="30"/>
  <c r="I279" i="30" s="1"/>
  <c r="G282" i="32" s="1"/>
  <c r="I282" i="32" s="1"/>
  <c r="G282" i="34" s="1"/>
  <c r="I282" i="34" s="1"/>
  <c r="G285" i="36" s="1"/>
  <c r="I285" i="36" s="1"/>
  <c r="G288" i="38" s="1"/>
  <c r="I288" i="38" s="1"/>
  <c r="G290" i="40" s="1"/>
  <c r="I290" i="40" s="1"/>
  <c r="G292" i="3" s="1"/>
  <c r="I292" i="3" s="1"/>
  <c r="G297" i="44" s="1"/>
  <c r="I297" i="44" s="1"/>
  <c r="G297" i="46" s="1"/>
  <c r="I297" i="46" s="1"/>
  <c r="G297" i="48" s="1"/>
  <c r="I297" i="48" s="1"/>
  <c r="G328" i="30"/>
  <c r="I328" i="30" s="1"/>
  <c r="G331" i="32" s="1"/>
  <c r="I331" i="32" s="1"/>
  <c r="G331" i="34" s="1"/>
  <c r="I331" i="34" s="1"/>
  <c r="G335" i="36" s="1"/>
  <c r="I335" i="36" s="1"/>
  <c r="G338" i="38" s="1"/>
  <c r="I338" i="38" s="1"/>
  <c r="G342" i="40" s="1"/>
  <c r="I342" i="40" s="1"/>
  <c r="G346" i="3" s="1"/>
  <c r="I346" i="3" s="1"/>
  <c r="G353" i="44" s="1"/>
  <c r="I353" i="44" s="1"/>
  <c r="G352" i="46" s="1"/>
  <c r="I352" i="46" s="1"/>
  <c r="G352" i="48" s="1"/>
  <c r="I352" i="48" s="1"/>
  <c r="G365" i="30"/>
  <c r="I365" i="30" s="1"/>
  <c r="G368" i="32" s="1"/>
  <c r="I368" i="32" s="1"/>
  <c r="G368" i="34" s="1"/>
  <c r="I368" i="34" s="1"/>
  <c r="G372" i="36" s="1"/>
  <c r="I372" i="36" s="1"/>
  <c r="G375" i="38" s="1"/>
  <c r="I375" i="38" s="1"/>
  <c r="G379" i="40" s="1"/>
  <c r="I379" i="40" s="1"/>
  <c r="G383" i="3" s="1"/>
  <c r="I383" i="3" s="1"/>
  <c r="G390" i="44" s="1"/>
  <c r="I390" i="44" s="1"/>
  <c r="G389" i="46" s="1"/>
  <c r="I389" i="46" s="1"/>
  <c r="G389" i="48" s="1"/>
  <c r="I389" i="48" s="1"/>
  <c r="G164" i="30"/>
  <c r="I164" i="30" s="1"/>
  <c r="G167" i="32" s="1"/>
  <c r="I167" i="32" s="1"/>
  <c r="G167" i="34" s="1"/>
  <c r="I167" i="34" s="1"/>
  <c r="G168" i="36" s="1"/>
  <c r="I168" i="36" s="1"/>
  <c r="G168" i="38" s="1"/>
  <c r="I168" i="38" s="1"/>
  <c r="G168" i="40" s="1"/>
  <c r="I168" i="40" s="1"/>
  <c r="G168" i="3" s="1"/>
  <c r="I168" i="3" s="1"/>
  <c r="G168" i="44" s="1"/>
  <c r="I168" i="44" s="1"/>
  <c r="G168" i="46" s="1"/>
  <c r="I168" i="46" s="1"/>
  <c r="G168" i="48" s="1"/>
  <c r="I168" i="48" s="1"/>
  <c r="G320" i="30"/>
  <c r="I320" i="30" s="1"/>
  <c r="G323" i="32" s="1"/>
  <c r="I323" i="32" s="1"/>
  <c r="G323" i="34" s="1"/>
  <c r="I323" i="34" s="1"/>
  <c r="G327" i="36" s="1"/>
  <c r="I327" i="36" s="1"/>
  <c r="G330" i="38" s="1"/>
  <c r="I330" i="38" s="1"/>
  <c r="G333" i="40" s="1"/>
  <c r="I333" i="40" s="1"/>
  <c r="G337" i="3" s="1"/>
  <c r="I337" i="3" s="1"/>
  <c r="G343" i="44" s="1"/>
  <c r="I343" i="44" s="1"/>
  <c r="G342" i="46" s="1"/>
  <c r="I342" i="46" s="1"/>
  <c r="G342" i="48" s="1"/>
  <c r="I342" i="48" s="1"/>
  <c r="G176" i="30"/>
  <c r="I176" i="30" s="1"/>
  <c r="G179" i="32" s="1"/>
  <c r="I179" i="32" s="1"/>
  <c r="G179" i="34" s="1"/>
  <c r="I179" i="34" s="1"/>
  <c r="G181" i="36" s="1"/>
  <c r="I181" i="36" s="1"/>
  <c r="G182" i="38" s="1"/>
  <c r="I182" i="38" s="1"/>
  <c r="G182" i="40" s="1"/>
  <c r="I182" i="40" s="1"/>
  <c r="G183" i="3" s="1"/>
  <c r="I183" i="3" s="1"/>
  <c r="G185" i="44" s="1"/>
  <c r="I185" i="44" s="1"/>
  <c r="G185" i="46" s="1"/>
  <c r="I185" i="46" s="1"/>
  <c r="G185" i="48" s="1"/>
  <c r="I185" i="48" s="1"/>
  <c r="G212" i="30"/>
  <c r="I212" i="30" s="1"/>
  <c r="G215" i="32" s="1"/>
  <c r="I215" i="32" s="1"/>
  <c r="G215" i="34" s="1"/>
  <c r="I215" i="34" s="1"/>
  <c r="G218" i="36" s="1"/>
  <c r="I218" i="36" s="1"/>
  <c r="G220" i="38" s="1"/>
  <c r="I220" i="38" s="1"/>
  <c r="G222" i="40" s="1"/>
  <c r="I222" i="40" s="1"/>
  <c r="G223" i="3" s="1"/>
  <c r="I223" i="3" s="1"/>
  <c r="G228" i="44" s="1"/>
  <c r="I228" i="44" s="1"/>
  <c r="G228" i="46" s="1"/>
  <c r="I228" i="46" s="1"/>
  <c r="G228" i="48" s="1"/>
  <c r="I228" i="48" s="1"/>
  <c r="G240" i="30"/>
  <c r="I240" i="30" s="1"/>
  <c r="G243" i="32" s="1"/>
  <c r="I243" i="32" s="1"/>
  <c r="G243" i="34" s="1"/>
  <c r="I243" i="34" s="1"/>
  <c r="G246" i="36" s="1"/>
  <c r="I246" i="36" s="1"/>
  <c r="G248" i="38" s="1"/>
  <c r="I248" i="38" s="1"/>
  <c r="G250" i="40" s="1"/>
  <c r="I250" i="40" s="1"/>
  <c r="G251" i="3" s="1"/>
  <c r="I251" i="3" s="1"/>
  <c r="G256" i="44" s="1"/>
  <c r="I256" i="44" s="1"/>
  <c r="G256" i="46" s="1"/>
  <c r="I256" i="46" s="1"/>
  <c r="G256" i="48" s="1"/>
  <c r="I256" i="48" s="1"/>
  <c r="G364" i="30"/>
  <c r="I364" i="30" s="1"/>
  <c r="G367" i="32" s="1"/>
  <c r="I367" i="32" s="1"/>
  <c r="G367" i="34" s="1"/>
  <c r="I367" i="34" s="1"/>
  <c r="G371" i="36" s="1"/>
  <c r="I371" i="36" s="1"/>
  <c r="G374" i="38" s="1"/>
  <c r="I374" i="38" s="1"/>
  <c r="G378" i="40" s="1"/>
  <c r="I378" i="40" s="1"/>
  <c r="G382" i="3" s="1"/>
  <c r="I382" i="3" s="1"/>
  <c r="G389" i="44" s="1"/>
  <c r="I389" i="44" s="1"/>
  <c r="G388" i="46" s="1"/>
  <c r="I388" i="46" s="1"/>
  <c r="G388" i="48" s="1"/>
  <c r="I388" i="48" s="1"/>
  <c r="G317" i="30"/>
  <c r="I317" i="30" s="1"/>
  <c r="G320" i="32" s="1"/>
  <c r="I320" i="32" s="1"/>
  <c r="G320" i="34" s="1"/>
  <c r="I320" i="34" s="1"/>
  <c r="G324" i="36" s="1"/>
  <c r="I324" i="36" s="1"/>
  <c r="G327" i="38" s="1"/>
  <c r="I327" i="38" s="1"/>
  <c r="G330" i="40" s="1"/>
  <c r="I330" i="40" s="1"/>
  <c r="G334" i="3" s="1"/>
  <c r="I334" i="3" s="1"/>
  <c r="G340" i="44" s="1"/>
  <c r="I340" i="44" s="1"/>
  <c r="G339" i="46" s="1"/>
  <c r="I339" i="46" s="1"/>
  <c r="G339" i="48" s="1"/>
  <c r="I339" i="48" s="1"/>
  <c r="G257" i="30"/>
  <c r="I257" i="30" s="1"/>
  <c r="G260" i="32" s="1"/>
  <c r="I260" i="32" s="1"/>
  <c r="G260" i="34" s="1"/>
  <c r="I260" i="34" s="1"/>
  <c r="G263" i="36" s="1"/>
  <c r="I263" i="36" s="1"/>
  <c r="G265" i="38" s="1"/>
  <c r="I265" i="38" s="1"/>
  <c r="G267" i="40" s="1"/>
  <c r="I267" i="40" s="1"/>
  <c r="G268" i="3" s="1"/>
  <c r="I268" i="3" s="1"/>
  <c r="G273" i="44" s="1"/>
  <c r="I273" i="44" s="1"/>
  <c r="G273" i="46" s="1"/>
  <c r="I273" i="46" s="1"/>
  <c r="G273" i="48" s="1"/>
  <c r="I273" i="48" s="1"/>
  <c r="G307" i="30"/>
  <c r="I307" i="30" s="1"/>
  <c r="G310" i="32" s="1"/>
  <c r="I310" i="32" s="1"/>
  <c r="G310" i="34" s="1"/>
  <c r="I310" i="34" s="1"/>
  <c r="G314" i="36" s="1"/>
  <c r="I314" i="36" s="1"/>
  <c r="G317" i="38" s="1"/>
  <c r="I317" i="38" s="1"/>
  <c r="G320" i="40" s="1"/>
  <c r="I320" i="40" s="1"/>
  <c r="G324" i="3" s="1"/>
  <c r="I324" i="3" s="1"/>
  <c r="G330" i="44" s="1"/>
  <c r="I330" i="44" s="1"/>
  <c r="G329" i="46" s="1"/>
  <c r="I329" i="46" s="1"/>
  <c r="G329" i="48" s="1"/>
  <c r="I329" i="48" s="1"/>
  <c r="G227" i="30"/>
  <c r="I227" i="30" s="1"/>
  <c r="G230" i="32" s="1"/>
  <c r="I230" i="32" s="1"/>
  <c r="G230" i="34" s="1"/>
  <c r="I230" i="34" s="1"/>
  <c r="G233" i="36" s="1"/>
  <c r="I233" i="36" s="1"/>
  <c r="G235" i="38" s="1"/>
  <c r="I235" i="38" s="1"/>
  <c r="G237" i="40" s="1"/>
  <c r="I237" i="40" s="1"/>
  <c r="G238" i="3" s="1"/>
  <c r="I238" i="3" s="1"/>
  <c r="G243" i="44" s="1"/>
  <c r="I243" i="44" s="1"/>
  <c r="G243" i="46" s="1"/>
  <c r="I243" i="46" s="1"/>
  <c r="G243" i="48" s="1"/>
  <c r="I243" i="48" s="1"/>
  <c r="I172" i="30"/>
  <c r="G175" i="32" s="1"/>
  <c r="I175" i="32" s="1"/>
  <c r="G175" i="34" s="1"/>
  <c r="I175" i="34" s="1"/>
  <c r="G177" i="36" s="1"/>
  <c r="I177" i="36" s="1"/>
  <c r="G178" i="38" s="1"/>
  <c r="I178" i="38" s="1"/>
  <c r="G178" i="40" s="1"/>
  <c r="I178" i="40" s="1"/>
  <c r="G179" i="3" s="1"/>
  <c r="I179" i="3" s="1"/>
  <c r="G181" i="44" s="1"/>
  <c r="I181" i="44" s="1"/>
  <c r="G181" i="46" s="1"/>
  <c r="I181" i="46" s="1"/>
  <c r="G181" i="48" s="1"/>
  <c r="I181" i="48" s="1"/>
  <c r="G170" i="30"/>
  <c r="I170" i="30" s="1"/>
  <c r="G173" i="32" s="1"/>
  <c r="I173" i="32" s="1"/>
  <c r="G173" i="34" s="1"/>
  <c r="I173" i="34" s="1"/>
  <c r="G175" i="36" s="1"/>
  <c r="I175" i="36" s="1"/>
  <c r="G175" i="38" s="1"/>
  <c r="I175" i="38" s="1"/>
  <c r="G175" i="40" s="1"/>
  <c r="I175" i="40" s="1"/>
  <c r="G176" i="3" s="1"/>
  <c r="I176" i="3" s="1"/>
  <c r="G178" i="44" s="1"/>
  <c r="I178" i="44" s="1"/>
  <c r="G178" i="46" s="1"/>
  <c r="I178" i="46" s="1"/>
  <c r="G178" i="48" s="1"/>
  <c r="I178" i="48" s="1"/>
  <c r="G242" i="30"/>
  <c r="I242" i="30" s="1"/>
  <c r="G245" i="32" s="1"/>
  <c r="I245" i="32" s="1"/>
  <c r="G245" i="34" s="1"/>
  <c r="I245" i="34" s="1"/>
  <c r="G248" i="36" s="1"/>
  <c r="I248" i="36" s="1"/>
  <c r="G250" i="38" s="1"/>
  <c r="I250" i="38" s="1"/>
  <c r="G252" i="40" s="1"/>
  <c r="I252" i="40" s="1"/>
  <c r="G253" i="3" s="1"/>
  <c r="I253" i="3" s="1"/>
  <c r="G258" i="44" s="1"/>
  <c r="I258" i="44" s="1"/>
  <c r="G258" i="46" s="1"/>
  <c r="I258" i="46" s="1"/>
  <c r="G258" i="48" s="1"/>
  <c r="I258" i="48" s="1"/>
  <c r="G286" i="30"/>
  <c r="I286" i="30" s="1"/>
  <c r="G289" i="32" s="1"/>
  <c r="I289" i="32" s="1"/>
  <c r="G289" i="34" s="1"/>
  <c r="I289" i="34" s="1"/>
  <c r="G292" i="36" s="1"/>
  <c r="I292" i="36" s="1"/>
  <c r="G295" i="38" s="1"/>
  <c r="I295" i="38" s="1"/>
  <c r="G297" i="40" s="1"/>
  <c r="I297" i="40" s="1"/>
  <c r="G299" i="3" s="1"/>
  <c r="I299" i="3" s="1"/>
  <c r="G304" i="44" s="1"/>
  <c r="I304" i="44" s="1"/>
  <c r="G304" i="46" s="1"/>
  <c r="I304" i="46" s="1"/>
  <c r="G304" i="48" s="1"/>
  <c r="I304" i="48" s="1"/>
  <c r="G403" i="30"/>
  <c r="I403" i="30" s="1"/>
  <c r="G406" i="32" s="1"/>
  <c r="I406" i="32" s="1"/>
  <c r="G406" i="34" s="1"/>
  <c r="I406" i="34" s="1"/>
  <c r="G410" i="36" s="1"/>
  <c r="I410" i="36" s="1"/>
  <c r="G413" i="38" s="1"/>
  <c r="I413" i="38" s="1"/>
  <c r="G417" i="40" s="1"/>
  <c r="I417" i="40" s="1"/>
  <c r="G421" i="3" s="1"/>
  <c r="I421" i="3" s="1"/>
  <c r="G428" i="44" s="1"/>
  <c r="I428" i="44" s="1"/>
  <c r="G427" i="46" s="1"/>
  <c r="I427" i="46" s="1"/>
  <c r="G427" i="48" s="1"/>
  <c r="I427" i="48" s="1"/>
  <c r="G199" i="30"/>
  <c r="I199" i="30" s="1"/>
  <c r="G202" i="32" s="1"/>
  <c r="I202" i="32" s="1"/>
  <c r="G202" i="34" s="1"/>
  <c r="I202" i="34" s="1"/>
  <c r="G205" i="36" s="1"/>
  <c r="I205" i="36" s="1"/>
  <c r="G207" i="38" s="1"/>
  <c r="I207" i="38" s="1"/>
  <c r="G209" i="40" s="1"/>
  <c r="I209" i="40" s="1"/>
  <c r="G210" i="3" s="1"/>
  <c r="I210" i="3" s="1"/>
  <c r="G215" i="44" s="1"/>
  <c r="I215" i="44" s="1"/>
  <c r="G215" i="46" s="1"/>
  <c r="I215" i="46" s="1"/>
  <c r="G215" i="48" s="1"/>
  <c r="I215" i="48" s="1"/>
  <c r="G211" i="30"/>
  <c r="I211" i="30" s="1"/>
  <c r="G214" i="32" s="1"/>
  <c r="I214" i="32" s="1"/>
  <c r="G214" i="34" s="1"/>
  <c r="I214" i="34" s="1"/>
  <c r="G217" i="36" s="1"/>
  <c r="I217" i="36" s="1"/>
  <c r="G219" i="38" s="1"/>
  <c r="I219" i="38" s="1"/>
  <c r="G221" i="40" s="1"/>
  <c r="I221" i="40" s="1"/>
  <c r="G222" i="3" s="1"/>
  <c r="I222" i="3" s="1"/>
  <c r="G227" i="44" s="1"/>
  <c r="I227" i="44" s="1"/>
  <c r="G227" i="46" s="1"/>
  <c r="I227" i="46" s="1"/>
  <c r="G227" i="48" s="1"/>
  <c r="I227" i="48" s="1"/>
  <c r="G288" i="30"/>
  <c r="I288" i="30" s="1"/>
  <c r="G291" i="32" s="1"/>
  <c r="I291" i="32" s="1"/>
  <c r="G291" i="34" s="1"/>
  <c r="I291" i="34" s="1"/>
  <c r="G294" i="36" s="1"/>
  <c r="I294" i="36" s="1"/>
  <c r="G297" i="38" s="1"/>
  <c r="I297" i="38" s="1"/>
  <c r="G300" i="40" s="1"/>
  <c r="I300" i="40" s="1"/>
  <c r="G302" i="3" s="1"/>
  <c r="I302" i="3" s="1"/>
  <c r="G307" i="44" s="1"/>
  <c r="I307" i="44" s="1"/>
  <c r="G307" i="46" s="1"/>
  <c r="I307" i="46" s="1"/>
  <c r="G307" i="48" s="1"/>
  <c r="I307" i="48" s="1"/>
  <c r="G191" i="30"/>
  <c r="I191" i="30" s="1"/>
  <c r="G194" i="32" s="1"/>
  <c r="I194" i="32" s="1"/>
  <c r="G194" i="34" s="1"/>
  <c r="I194" i="34" s="1"/>
  <c r="G197" i="36" s="1"/>
  <c r="I197" i="36" s="1"/>
  <c r="G199" i="38" s="1"/>
  <c r="I199" i="38" s="1"/>
  <c r="G201" i="40" s="1"/>
  <c r="I201" i="40" s="1"/>
  <c r="G202" i="3" s="1"/>
  <c r="I202" i="3" s="1"/>
  <c r="G207" i="44" s="1"/>
  <c r="I207" i="44" s="1"/>
  <c r="G207" i="46" s="1"/>
  <c r="I207" i="46" s="1"/>
  <c r="G207" i="48" s="1"/>
  <c r="I207" i="48" s="1"/>
  <c r="G407" i="30"/>
  <c r="I407" i="30" s="1"/>
  <c r="G410" i="32" s="1"/>
  <c r="I410" i="32" s="1"/>
  <c r="G410" i="34" s="1"/>
  <c r="I410" i="34" s="1"/>
  <c r="G414" i="36" s="1"/>
  <c r="I414" i="36" s="1"/>
  <c r="G417" i="38" s="1"/>
  <c r="I417" i="38" s="1"/>
  <c r="G421" i="40" s="1"/>
  <c r="I421" i="40" s="1"/>
  <c r="G425" i="3" s="1"/>
  <c r="I425" i="3" s="1"/>
  <c r="G432" i="44" s="1"/>
  <c r="I432" i="44" s="1"/>
  <c r="G431" i="46" s="1"/>
  <c r="I431" i="46" s="1"/>
  <c r="G431" i="48" s="1"/>
  <c r="I431" i="48" s="1"/>
  <c r="G188" i="30"/>
  <c r="I188" i="30" s="1"/>
  <c r="G191" i="32" s="1"/>
  <c r="I191" i="32" s="1"/>
  <c r="G191" i="34" s="1"/>
  <c r="I191" i="34" s="1"/>
  <c r="G194" i="36" s="1"/>
  <c r="I194" i="36" s="1"/>
  <c r="G195" i="38" s="1"/>
  <c r="I195" i="38" s="1"/>
  <c r="G197" i="40" s="1"/>
  <c r="I197" i="40" s="1"/>
  <c r="G198" i="3" s="1"/>
  <c r="I198" i="3" s="1"/>
  <c r="G201" i="44" s="1"/>
  <c r="I201" i="44" s="1"/>
  <c r="G201" i="46" s="1"/>
  <c r="I201" i="46" s="1"/>
  <c r="G201" i="48" s="1"/>
  <c r="I201" i="48" s="1"/>
  <c r="G166" i="30"/>
  <c r="I166" i="30" s="1"/>
  <c r="G169" i="32" s="1"/>
  <c r="I169" i="32" s="1"/>
  <c r="G169" i="34" s="1"/>
  <c r="I169" i="34" s="1"/>
  <c r="G170" i="36" s="1"/>
  <c r="I170" i="36" s="1"/>
  <c r="G170" i="38" s="1"/>
  <c r="I170" i="38" s="1"/>
  <c r="G170" i="40" s="1"/>
  <c r="I170" i="40" s="1"/>
  <c r="G170" i="3" s="1"/>
  <c r="I170" i="3" s="1"/>
  <c r="G170" i="44" s="1"/>
  <c r="I170" i="44" s="1"/>
  <c r="G170" i="46" s="1"/>
  <c r="I170" i="46" s="1"/>
  <c r="G170" i="48" s="1"/>
  <c r="I170" i="48" s="1"/>
  <c r="G363" i="30"/>
  <c r="I363" i="30" s="1"/>
  <c r="G366" i="32" s="1"/>
  <c r="I366" i="32" s="1"/>
  <c r="G366" i="34" s="1"/>
  <c r="I366" i="34" s="1"/>
  <c r="G370" i="36" s="1"/>
  <c r="I370" i="36" s="1"/>
  <c r="G373" i="38" s="1"/>
  <c r="I373" i="38" s="1"/>
  <c r="G377" i="40" s="1"/>
  <c r="I377" i="40" s="1"/>
  <c r="G381" i="3" s="1"/>
  <c r="I381" i="3" s="1"/>
  <c r="G388" i="44" s="1"/>
  <c r="I388" i="44" s="1"/>
  <c r="G387" i="46" s="1"/>
  <c r="I387" i="46" s="1"/>
  <c r="G387" i="48" s="1"/>
  <c r="I387" i="48" s="1"/>
  <c r="G385" i="30"/>
  <c r="I385" i="30" s="1"/>
  <c r="G388" i="32" s="1"/>
  <c r="I388" i="32" s="1"/>
  <c r="G388" i="34" s="1"/>
  <c r="I388" i="34" s="1"/>
  <c r="G392" i="36" s="1"/>
  <c r="I392" i="36" s="1"/>
  <c r="G395" i="38" s="1"/>
  <c r="I395" i="38" s="1"/>
  <c r="G399" i="40" s="1"/>
  <c r="I399" i="40" s="1"/>
  <c r="G403" i="3" s="1"/>
  <c r="I403" i="3" s="1"/>
  <c r="G410" i="44" s="1"/>
  <c r="I410" i="44" s="1"/>
  <c r="G409" i="46" s="1"/>
  <c r="I409" i="46" s="1"/>
  <c r="G409" i="48" s="1"/>
  <c r="I409" i="48" s="1"/>
  <c r="G203" i="30"/>
  <c r="I203" i="30" s="1"/>
  <c r="G206" i="32" s="1"/>
  <c r="I206" i="32" s="1"/>
  <c r="G206" i="34" s="1"/>
  <c r="I206" i="34" s="1"/>
  <c r="G209" i="36" s="1"/>
  <c r="I209" i="36" s="1"/>
  <c r="G211" i="38" s="1"/>
  <c r="I211" i="38" s="1"/>
  <c r="G213" i="40" s="1"/>
  <c r="I213" i="40" s="1"/>
  <c r="G214" i="3" s="1"/>
  <c r="I214" i="3" s="1"/>
  <c r="G219" i="44" s="1"/>
  <c r="I219" i="44" s="1"/>
  <c r="G219" i="46" s="1"/>
  <c r="I219" i="46" s="1"/>
  <c r="G219" i="48" s="1"/>
  <c r="I219" i="48" s="1"/>
  <c r="G379" i="30"/>
  <c r="I379" i="30" s="1"/>
  <c r="G382" i="32" s="1"/>
  <c r="I382" i="32" s="1"/>
  <c r="G382" i="34" s="1"/>
  <c r="I382" i="34" s="1"/>
  <c r="G386" i="36" s="1"/>
  <c r="I386" i="36" s="1"/>
  <c r="G389" i="38" s="1"/>
  <c r="I389" i="38" s="1"/>
  <c r="G393" i="40" s="1"/>
  <c r="I393" i="40" s="1"/>
  <c r="G397" i="3" s="1"/>
  <c r="I397" i="3" s="1"/>
  <c r="G404" i="44" s="1"/>
  <c r="I404" i="44" s="1"/>
  <c r="G403" i="46" s="1"/>
  <c r="I403" i="46" s="1"/>
  <c r="G403" i="48" s="1"/>
  <c r="I403" i="48" s="1"/>
  <c r="G215" i="30"/>
  <c r="I215" i="30" s="1"/>
  <c r="G218" i="32" s="1"/>
  <c r="I218" i="32" s="1"/>
  <c r="G218" i="34" s="1"/>
  <c r="I218" i="34" s="1"/>
  <c r="G221" i="36" s="1"/>
  <c r="I221" i="36" s="1"/>
  <c r="G223" i="38" s="1"/>
  <c r="I223" i="38" s="1"/>
  <c r="G225" i="40" s="1"/>
  <c r="I225" i="40" s="1"/>
  <c r="G226" i="3" s="1"/>
  <c r="I226" i="3" s="1"/>
  <c r="G231" i="44" s="1"/>
  <c r="I231" i="44" s="1"/>
  <c r="G231" i="46" s="1"/>
  <c r="I231" i="46" s="1"/>
  <c r="G231" i="48" s="1"/>
  <c r="I231" i="48" s="1"/>
  <c r="G373" i="30"/>
  <c r="I373" i="30" s="1"/>
  <c r="G376" i="32" s="1"/>
  <c r="I376" i="32" s="1"/>
  <c r="G376" i="34" s="1"/>
  <c r="I376" i="34" s="1"/>
  <c r="G380" i="36" s="1"/>
  <c r="I380" i="36" s="1"/>
  <c r="G383" i="38" s="1"/>
  <c r="I383" i="38" s="1"/>
  <c r="G387" i="40" s="1"/>
  <c r="I387" i="40" s="1"/>
  <c r="G391" i="3" s="1"/>
  <c r="I391" i="3" s="1"/>
  <c r="G398" i="44" s="1"/>
  <c r="I398" i="44" s="1"/>
  <c r="G397" i="46" s="1"/>
  <c r="I397" i="46" s="1"/>
  <c r="G397" i="48" s="1"/>
  <c r="I397" i="48" s="1"/>
  <c r="G287" i="30"/>
  <c r="I287" i="30" s="1"/>
  <c r="G290" i="32" s="1"/>
  <c r="I290" i="32" s="1"/>
  <c r="G290" i="34" s="1"/>
  <c r="I290" i="34" s="1"/>
  <c r="G293" i="36" s="1"/>
  <c r="I293" i="36" s="1"/>
  <c r="G296" i="38" s="1"/>
  <c r="I296" i="38" s="1"/>
  <c r="G299" i="40" s="1"/>
  <c r="I299" i="40" s="1"/>
  <c r="G301" i="3" s="1"/>
  <c r="I301" i="3" s="1"/>
  <c r="G306" i="44" s="1"/>
  <c r="I306" i="44" s="1"/>
  <c r="G306" i="46" s="1"/>
  <c r="I306" i="46" s="1"/>
  <c r="G306" i="48" s="1"/>
  <c r="I306" i="48" s="1"/>
  <c r="G186" i="30"/>
  <c r="I186" i="30" s="1"/>
  <c r="G189" i="32" s="1"/>
  <c r="I189" i="32" s="1"/>
  <c r="G189" i="34" s="1"/>
  <c r="I189" i="34" s="1"/>
  <c r="G192" i="36" s="1"/>
  <c r="I192" i="36" s="1"/>
  <c r="G193" i="38" s="1"/>
  <c r="I193" i="38" s="1"/>
  <c r="G195" i="40" s="1"/>
  <c r="I195" i="40" s="1"/>
  <c r="G196" i="3" s="1"/>
  <c r="I196" i="3" s="1"/>
  <c r="G199" i="44" s="1"/>
  <c r="I199" i="44" s="1"/>
  <c r="G199" i="46" s="1"/>
  <c r="I199" i="46" s="1"/>
  <c r="G199" i="48" s="1"/>
  <c r="I199" i="48" s="1"/>
  <c r="G221" i="30"/>
  <c r="I221" i="30" s="1"/>
  <c r="G224" i="32" s="1"/>
  <c r="I224" i="32" s="1"/>
  <c r="G224" i="34" s="1"/>
  <c r="I224" i="34" s="1"/>
  <c r="G227" i="36" s="1"/>
  <c r="I227" i="36" s="1"/>
  <c r="G229" i="38" s="1"/>
  <c r="I229" i="38" s="1"/>
  <c r="G231" i="40" s="1"/>
  <c r="I231" i="40" s="1"/>
  <c r="G232" i="3" s="1"/>
  <c r="I232" i="3" s="1"/>
  <c r="G237" i="44" s="1"/>
  <c r="I237" i="44" s="1"/>
  <c r="G237" i="46" s="1"/>
  <c r="I237" i="46" s="1"/>
  <c r="G237" i="48" s="1"/>
  <c r="I237" i="48" s="1"/>
  <c r="G378" i="30"/>
  <c r="I378" i="30" s="1"/>
  <c r="G381" i="32" s="1"/>
  <c r="I381" i="32" s="1"/>
  <c r="G381" i="34" s="1"/>
  <c r="I381" i="34" s="1"/>
  <c r="G385" i="36" s="1"/>
  <c r="I385" i="36" s="1"/>
  <c r="G388" i="38" s="1"/>
  <c r="I388" i="38" s="1"/>
  <c r="G392" i="40" s="1"/>
  <c r="I392" i="40" s="1"/>
  <c r="G396" i="3" s="1"/>
  <c r="I396" i="3" s="1"/>
  <c r="G403" i="44" s="1"/>
  <c r="I403" i="44" s="1"/>
  <c r="G402" i="46" s="1"/>
  <c r="I402" i="46" s="1"/>
  <c r="G402" i="48" s="1"/>
  <c r="I402" i="48" s="1"/>
  <c r="G165" i="29"/>
  <c r="I165" i="29" s="1"/>
  <c r="I164" i="29"/>
  <c r="I400" i="28"/>
  <c r="G4" i="42" l="1"/>
  <c r="I74" i="36"/>
  <c r="G74" i="38" s="1"/>
  <c r="C5" i="37"/>
  <c r="G5" i="37" s="1"/>
  <c r="G7" i="37" s="1"/>
  <c r="G7" i="35"/>
  <c r="G168" i="30"/>
  <c r="I168" i="30" s="1"/>
  <c r="G171" i="32" s="1"/>
  <c r="I171" i="32" s="1"/>
  <c r="G171" i="34" s="1"/>
  <c r="I171" i="34" s="1"/>
  <c r="G172" i="36" s="1"/>
  <c r="I172" i="36" s="1"/>
  <c r="G172" i="38" s="1"/>
  <c r="I172" i="38" s="1"/>
  <c r="G172" i="40" s="1"/>
  <c r="I172" i="40" s="1"/>
  <c r="G172" i="3" s="1"/>
  <c r="I172" i="3" s="1"/>
  <c r="G172" i="44" s="1"/>
  <c r="I172" i="44" s="1"/>
  <c r="G172" i="46" s="1"/>
  <c r="I172" i="46" s="1"/>
  <c r="G172" i="48" s="1"/>
  <c r="I172" i="48" s="1"/>
  <c r="G167" i="30"/>
  <c r="I167" i="30" s="1"/>
  <c r="I403" i="29"/>
  <c r="G411" i="30" s="1"/>
  <c r="I809" i="28"/>
  <c r="G813" i="29" s="1"/>
  <c r="G403" i="29"/>
  <c r="I4" i="42" l="1"/>
  <c r="I74" i="38"/>
  <c r="G74" i="40" s="1"/>
  <c r="C5" i="39"/>
  <c r="G5" i="39" s="1"/>
  <c r="I5" i="39" s="1"/>
  <c r="I7" i="39" s="1"/>
  <c r="I5" i="37"/>
  <c r="I7" i="37" s="1"/>
  <c r="G170" i="32"/>
  <c r="I170" i="32" s="1"/>
  <c r="I411" i="30"/>
  <c r="I823" i="30" s="1"/>
  <c r="G834" i="32" s="1"/>
  <c r="C11" i="8"/>
  <c r="G11" i="8" s="1"/>
  <c r="I813" i="29"/>
  <c r="G823" i="30" s="1"/>
  <c r="C11" i="31"/>
  <c r="I74" i="40" l="1"/>
  <c r="G74" i="3" s="1"/>
  <c r="C5" i="42"/>
  <c r="G5" i="42"/>
  <c r="G7" i="39"/>
  <c r="G421" i="32"/>
  <c r="C13" i="33" s="1"/>
  <c r="G13" i="33" s="1"/>
  <c r="G15" i="33" s="1"/>
  <c r="I421" i="32"/>
  <c r="G421" i="34" s="1"/>
  <c r="G170" i="34"/>
  <c r="I170" i="34" s="1"/>
  <c r="C17" i="8"/>
  <c r="C18" i="31"/>
  <c r="G11" i="31"/>
  <c r="I11" i="8"/>
  <c r="I17" i="8" s="1"/>
  <c r="G17" i="8"/>
  <c r="I74" i="3" l="1"/>
  <c r="G74" i="44" s="1"/>
  <c r="C5" i="43"/>
  <c r="G5" i="43" s="1"/>
  <c r="I5" i="43" s="1"/>
  <c r="I5" i="42"/>
  <c r="I7" i="42" s="1"/>
  <c r="G7" i="42"/>
  <c r="C13" i="35"/>
  <c r="G13" i="35" s="1"/>
  <c r="I13" i="35" s="1"/>
  <c r="I15" i="35" s="1"/>
  <c r="I421" i="34"/>
  <c r="G171" i="36"/>
  <c r="I171" i="36" s="1"/>
  <c r="I13" i="33"/>
  <c r="I15" i="33" s="1"/>
  <c r="I11" i="31"/>
  <c r="I18" i="31" s="1"/>
  <c r="G18" i="31"/>
  <c r="I135" i="30"/>
  <c r="G138" i="32" s="1"/>
  <c r="G150" i="32" s="1"/>
  <c r="I74" i="44" l="1"/>
  <c r="G74" i="46" s="1"/>
  <c r="C5" i="45"/>
  <c r="G5" i="45" s="1"/>
  <c r="I5" i="45" s="1"/>
  <c r="G15" i="35"/>
  <c r="I432" i="36"/>
  <c r="G443" i="38" s="1"/>
  <c r="G171" i="38"/>
  <c r="I171" i="38" s="1"/>
  <c r="G432" i="36"/>
  <c r="I150" i="32"/>
  <c r="C10" i="33"/>
  <c r="I138" i="32"/>
  <c r="G138" i="34" s="1"/>
  <c r="I138" i="34" s="1"/>
  <c r="G139" i="36" s="1"/>
  <c r="I139" i="36" s="1"/>
  <c r="G139" i="38" s="1"/>
  <c r="I139" i="38" s="1"/>
  <c r="G139" i="40" s="1"/>
  <c r="I74" i="46" l="1"/>
  <c r="G74" i="48" s="1"/>
  <c r="I74" i="48" s="1"/>
  <c r="C5" i="47"/>
  <c r="G5" i="47" s="1"/>
  <c r="I5" i="47" s="1"/>
  <c r="C13" i="39"/>
  <c r="G13" i="39" s="1"/>
  <c r="I139" i="40"/>
  <c r="G139" i="3" s="1"/>
  <c r="G151" i="40"/>
  <c r="I443" i="38"/>
  <c r="G171" i="40"/>
  <c r="C13" i="37"/>
  <c r="G13" i="37" s="1"/>
  <c r="I13" i="37" s="1"/>
  <c r="I15" i="37" s="1"/>
  <c r="I834" i="32"/>
  <c r="G834" i="34" s="1"/>
  <c r="G150" i="34"/>
  <c r="G10" i="33"/>
  <c r="G11" i="33" s="1"/>
  <c r="G22" i="33" s="1"/>
  <c r="C22" i="33"/>
  <c r="I151" i="40" l="1"/>
  <c r="C10" i="42"/>
  <c r="I139" i="3"/>
  <c r="G139" i="44" s="1"/>
  <c r="I139" i="44" s="1"/>
  <c r="G151" i="3"/>
  <c r="I171" i="40"/>
  <c r="G447" i="40"/>
  <c r="C13" i="42" s="1"/>
  <c r="G13" i="42" s="1"/>
  <c r="I13" i="42" s="1"/>
  <c r="I15" i="42" s="1"/>
  <c r="G15" i="37"/>
  <c r="I13" i="39"/>
  <c r="I15" i="39" s="1"/>
  <c r="G15" i="39"/>
  <c r="I150" i="34"/>
  <c r="C10" i="35"/>
  <c r="I10" i="33"/>
  <c r="G139" i="46" l="1"/>
  <c r="I139" i="46" s="1"/>
  <c r="I139" i="48"/>
  <c r="I151" i="3"/>
  <c r="G151" i="44" s="1"/>
  <c r="C10" i="43"/>
  <c r="G15" i="42"/>
  <c r="I447" i="40"/>
  <c r="G171" i="3"/>
  <c r="I171" i="3" s="1"/>
  <c r="I834" i="34"/>
  <c r="G847" i="36" s="1"/>
  <c r="G151" i="36"/>
  <c r="I835" i="34"/>
  <c r="G10" i="35"/>
  <c r="C21" i="35"/>
  <c r="I11" i="33"/>
  <c r="I22" i="33" s="1"/>
  <c r="I151" i="44" l="1"/>
  <c r="C10" i="45"/>
  <c r="G10" i="45" s="1"/>
  <c r="I452" i="3"/>
  <c r="G466" i="44" s="1"/>
  <c r="C13" i="45" s="1"/>
  <c r="G13" i="45" s="1"/>
  <c r="G171" i="44"/>
  <c r="I171" i="44" s="1"/>
  <c r="I868" i="40"/>
  <c r="G875" i="3" s="1"/>
  <c r="G452" i="3"/>
  <c r="C13" i="43" s="1"/>
  <c r="G13" i="43" s="1"/>
  <c r="I151" i="36"/>
  <c r="C10" i="37"/>
  <c r="I10" i="35"/>
  <c r="I11" i="35" s="1"/>
  <c r="I21" i="35" s="1"/>
  <c r="G11" i="35"/>
  <c r="G21" i="35" s="1"/>
  <c r="G151" i="46" l="1"/>
  <c r="I151" i="48"/>
  <c r="I466" i="44"/>
  <c r="G468" i="46" s="1"/>
  <c r="C13" i="47" s="1"/>
  <c r="G171" i="46"/>
  <c r="I171" i="46" s="1"/>
  <c r="I13" i="45"/>
  <c r="I15" i="45" s="1"/>
  <c r="G15" i="45"/>
  <c r="G15" i="43"/>
  <c r="I13" i="43"/>
  <c r="I15" i="43" s="1"/>
  <c r="I10" i="45"/>
  <c r="I11" i="45" s="1"/>
  <c r="G11" i="45"/>
  <c r="I847" i="36"/>
  <c r="G859" i="38" s="1"/>
  <c r="G151" i="38"/>
  <c r="G10" i="37"/>
  <c r="C21" i="37"/>
  <c r="I62" i="34"/>
  <c r="G62" i="36" s="1"/>
  <c r="I62" i="36" s="1"/>
  <c r="G62" i="38" s="1"/>
  <c r="I62" i="38" s="1"/>
  <c r="G62" i="40" s="1"/>
  <c r="I62" i="40" s="1"/>
  <c r="G62" i="3" s="1"/>
  <c r="I62" i="3" s="1"/>
  <c r="G62" i="44" s="1"/>
  <c r="I62" i="44" s="1"/>
  <c r="G62" i="46" s="1"/>
  <c r="I62" i="46" s="1"/>
  <c r="G62" i="48" s="1"/>
  <c r="I62" i="48" s="1"/>
  <c r="I468" i="46" l="1"/>
  <c r="G468" i="48" s="1"/>
  <c r="G171" i="48"/>
  <c r="I171" i="48" s="1"/>
  <c r="I468" i="48" s="1"/>
  <c r="I151" i="46"/>
  <c r="C10" i="47"/>
  <c r="G10" i="47" s="1"/>
  <c r="G13" i="47"/>
  <c r="I151" i="38"/>
  <c r="I859" i="38" s="1"/>
  <c r="G868" i="40" s="1"/>
  <c r="C10" i="39"/>
  <c r="G11" i="37"/>
  <c r="G21" i="37" s="1"/>
  <c r="I10" i="37"/>
  <c r="I11" i="37" s="1"/>
  <c r="I21" i="37" s="1"/>
  <c r="I10" i="47" l="1"/>
  <c r="I11" i="47" s="1"/>
  <c r="G11" i="47"/>
  <c r="I13" i="47"/>
  <c r="I15" i="47" s="1"/>
  <c r="G15" i="47"/>
  <c r="G10" i="42"/>
  <c r="C21" i="42"/>
  <c r="G10" i="43"/>
  <c r="G10" i="39"/>
  <c r="C21" i="39"/>
  <c r="I10" i="43" l="1"/>
  <c r="I11" i="43" s="1"/>
  <c r="G11" i="43"/>
  <c r="I10" i="42"/>
  <c r="I11" i="42" s="1"/>
  <c r="I21" i="42" s="1"/>
  <c r="G11" i="42"/>
  <c r="G21" i="42" s="1"/>
  <c r="I10" i="39"/>
  <c r="I11" i="39" s="1"/>
  <c r="I21" i="39" s="1"/>
  <c r="G11" i="39"/>
  <c r="G21" i="39" s="1"/>
  <c r="I6" i="40"/>
  <c r="G6" i="3" s="1"/>
  <c r="I6" i="3" s="1"/>
  <c r="G6" i="44" s="1"/>
  <c r="I6" i="44" s="1"/>
  <c r="G6" i="46" s="1"/>
  <c r="I6" i="46" s="1"/>
  <c r="G6" i="48" s="1"/>
  <c r="I6" i="48" s="1"/>
  <c r="I4" i="40"/>
  <c r="G4" i="3" s="1"/>
  <c r="I5" i="40"/>
  <c r="G5" i="3" s="1"/>
  <c r="I5" i="3" s="1"/>
  <c r="G5" i="44" s="1"/>
  <c r="I5" i="44" s="1"/>
  <c r="G5" i="46" s="1"/>
  <c r="I5" i="46" s="1"/>
  <c r="G5" i="48" s="1"/>
  <c r="I5" i="48" s="1"/>
  <c r="I8" i="40"/>
  <c r="G8" i="3" s="1"/>
  <c r="I8" i="3" s="1"/>
  <c r="G8" i="44" s="1"/>
  <c r="I8" i="44" s="1"/>
  <c r="G8" i="46" s="1"/>
  <c r="I8" i="46" s="1"/>
  <c r="G8" i="48" s="1"/>
  <c r="I8" i="48" s="1"/>
  <c r="I7" i="40"/>
  <c r="G7" i="3" s="1"/>
  <c r="I7" i="3" s="1"/>
  <c r="G7" i="44" s="1"/>
  <c r="I7" i="44" s="1"/>
  <c r="G7" i="46" s="1"/>
  <c r="I7" i="46" s="1"/>
  <c r="G7" i="48" s="1"/>
  <c r="I7" i="48" s="1"/>
  <c r="I4" i="3" l="1"/>
  <c r="G4" i="44" s="1"/>
  <c r="G61" i="3"/>
  <c r="I61" i="3" l="1"/>
  <c r="I875" i="3" s="1"/>
  <c r="G900" i="44" s="1"/>
  <c r="C4" i="43"/>
  <c r="I4" i="44"/>
  <c r="G4" i="46" s="1"/>
  <c r="I4" i="46" s="1"/>
  <c r="G4" i="48" s="1"/>
  <c r="I4" i="48" s="1"/>
  <c r="G61" i="44"/>
  <c r="I61" i="44" l="1"/>
  <c r="C4" i="45"/>
  <c r="G4" i="43"/>
  <c r="C21" i="43"/>
  <c r="I900" i="44" l="1"/>
  <c r="G902" i="46" s="1"/>
  <c r="G61" i="46"/>
  <c r="I4" i="43"/>
  <c r="I7" i="43" s="1"/>
  <c r="I21" i="43" s="1"/>
  <c r="G7" i="43"/>
  <c r="G21" i="43" s="1"/>
  <c r="G4" i="45"/>
  <c r="C21" i="45"/>
  <c r="I61" i="46" l="1"/>
  <c r="C4" i="47"/>
  <c r="I4" i="45"/>
  <c r="I7" i="45" s="1"/>
  <c r="I21" i="45" s="1"/>
  <c r="G7" i="45"/>
  <c r="G21" i="45" s="1"/>
  <c r="G4" i="47" l="1"/>
  <c r="C21" i="47"/>
  <c r="I902" i="46"/>
  <c r="G902" i="48" s="1"/>
  <c r="G61" i="48"/>
  <c r="I61" i="48" s="1"/>
  <c r="I902" i="48" s="1"/>
  <c r="G7" i="47" l="1"/>
  <c r="G21" i="47" s="1"/>
  <c r="I4" i="47"/>
  <c r="I7" i="47" s="1"/>
  <c r="I21" i="47" s="1"/>
</calcChain>
</file>

<file path=xl/sharedStrings.xml><?xml version="1.0" encoding="utf-8"?>
<sst xmlns="http://schemas.openxmlformats.org/spreadsheetml/2006/main" count="44600" uniqueCount="1284">
  <si>
    <r>
      <t xml:space="preserve">SERVICIOS DE PUBLICIDAD </t>
    </r>
    <r>
      <rPr>
        <b/>
        <sz val="8"/>
        <color rgb="FFFF0000"/>
        <rFont val="Times New Roman"/>
        <family val="1"/>
      </rPr>
      <t>(Publicidad de Proyectos )</t>
    </r>
  </si>
  <si>
    <t>0301</t>
  </si>
  <si>
    <r>
      <t xml:space="preserve">IMPRESIONES PUBLICACIONES Y REPRODUCCIONES </t>
    </r>
    <r>
      <rPr>
        <sz val="8"/>
        <color rgb="FFFF0000"/>
        <rFont val="Times New Roman"/>
        <family val="1"/>
      </rPr>
      <t>(mat.apoyo capac.y cop.planos , Publicac., Invitac. Adjudic. Proyectos y registro de doc. legales)</t>
    </r>
  </si>
  <si>
    <r>
      <t xml:space="preserve">SERVICIOS JURIDICOS  </t>
    </r>
    <r>
      <rPr>
        <sz val="8"/>
        <rFont val="Times New Roman"/>
        <family val="1"/>
      </rPr>
      <t>(</t>
    </r>
    <r>
      <rPr>
        <sz val="8"/>
        <color rgb="FFFF0000"/>
        <rFont val="Times New Roman"/>
        <family val="1"/>
      </rPr>
      <t xml:space="preserve"> Por servic.  Elaborac. Contratos proyectos)</t>
    </r>
  </si>
  <si>
    <t>SERVICIOS DE CAPACITACION</t>
  </si>
  <si>
    <t>CONSULTORIAS ESTUDIOS DE INVESTIGACIONES DIVERSAS</t>
  </si>
  <si>
    <t xml:space="preserve">COMISIONES Y GASTOS BANCARIOS </t>
  </si>
  <si>
    <r>
      <t xml:space="preserve">PROYECTOS Y PROGRAMAS DE INVERSION DIVERSOS </t>
    </r>
    <r>
      <rPr>
        <sz val="8"/>
        <color rgb="FFFF0000"/>
        <rFont val="Times New Roman"/>
        <family val="1"/>
      </rPr>
      <t xml:space="preserve">(pago de carpetas )  </t>
    </r>
  </si>
  <si>
    <t xml:space="preserve">CODIGO PRESUP. </t>
  </si>
  <si>
    <t>TOTAL UNIDAD PRESUPUESTARIA 0301  01 75%</t>
  </si>
  <si>
    <t xml:space="preserve">PRODUCTOS TEXTILES Y VESTUARIOS </t>
  </si>
  <si>
    <t>0302</t>
  </si>
  <si>
    <t>MATERIALES DE DEFENSA Y SEGURIDAD PUBLICA</t>
  </si>
  <si>
    <r>
      <t xml:space="preserve">COMISIONES Y GASTOS  BANCARIOS </t>
    </r>
    <r>
      <rPr>
        <b/>
        <sz val="8"/>
        <color rgb="FFFF0000"/>
        <rFont val="Times New Roman"/>
        <family val="1"/>
      </rPr>
      <t>( Desc. BFA  x Comision  gastos bancarios del 70%)</t>
    </r>
  </si>
  <si>
    <t>61101-1</t>
  </si>
  <si>
    <t>61603-1</t>
  </si>
  <si>
    <t>61603-2</t>
  </si>
  <si>
    <t>TOTAL UNIDAD PRESUPUESTARIA 0302  01 75%</t>
  </si>
  <si>
    <t>0401</t>
  </si>
  <si>
    <t>61607-1</t>
  </si>
  <si>
    <t>0501</t>
  </si>
  <si>
    <t>TOTAL UNIDAD PRESUPUESTARIA 0501 01 75%</t>
  </si>
  <si>
    <t>0502</t>
  </si>
  <si>
    <t>TOTAL UNIDAD PRESUPUESTARIA 0502 01 75%</t>
  </si>
  <si>
    <t>TOTAL UNIDAD PRESUPUESTARIA 0302  FISDL</t>
  </si>
  <si>
    <t>03</t>
  </si>
  <si>
    <t>01 75%.</t>
  </si>
  <si>
    <t>01 75%</t>
  </si>
  <si>
    <t>04</t>
  </si>
  <si>
    <t>01</t>
  </si>
  <si>
    <t>01 25%</t>
  </si>
  <si>
    <t>05</t>
  </si>
  <si>
    <t>FISDL</t>
  </si>
  <si>
    <t xml:space="preserve">EJECUCION PRESUPUESTARIA  </t>
  </si>
  <si>
    <t>CONCEPTO</t>
  </si>
  <si>
    <t>NO. DE CUENTA DE PROYECTO</t>
  </si>
  <si>
    <t>UNIDAD PRESUP.</t>
  </si>
  <si>
    <t>AREA DE GESTION</t>
  </si>
  <si>
    <t>FUENTE DE FINANCIAMIENTO</t>
  </si>
  <si>
    <t>SALDO ANTERIOR</t>
  </si>
  <si>
    <t>AUMENTO O CRACION</t>
  </si>
  <si>
    <t xml:space="preserve">DISMINUCION </t>
  </si>
  <si>
    <t>0101</t>
  </si>
  <si>
    <t>02 F.P.</t>
  </si>
  <si>
    <t>SUELDOS EVENTUALES</t>
  </si>
  <si>
    <t>HORAS EXTRAORDINARIAS</t>
  </si>
  <si>
    <t xml:space="preserve">POR PRESTACION DE SERVICIOS EN EL EXTERIOR </t>
  </si>
  <si>
    <t xml:space="preserve">REMUNERACIONES DIVERSAS </t>
  </si>
  <si>
    <r>
      <t xml:space="preserve">PRODUCTOS ALIMENTICIOS PARA PERSONAS </t>
    </r>
    <r>
      <rPr>
        <sz val="8"/>
        <color rgb="FFFF0000"/>
        <rFont val="Times New Roman"/>
        <family val="1"/>
      </rPr>
      <t>(Capacit. Org. Adescos con lideres, Inaguraciones, Proy. Reuniones, Eventos Cultur. Fiestas Patron, Fiests Civicas  y otros)</t>
    </r>
  </si>
  <si>
    <t xml:space="preserve">PRODUCTOS DE PAPEL Y CARTON </t>
  </si>
  <si>
    <t xml:space="preserve">PRODUCTOS QUIMICOS </t>
  </si>
  <si>
    <t xml:space="preserve">PRODUCTOS FARMACEUTICOS Y MEDICINALES </t>
  </si>
  <si>
    <t xml:space="preserve">LLANTAS Y NEUMATICOS </t>
  </si>
  <si>
    <t xml:space="preserve">COMBUSTIBLE Y LUBRICANTES </t>
  </si>
  <si>
    <r>
      <t xml:space="preserve">MINERALES  NO  METALICOS Y PRODUCTOS DERIVADOS </t>
    </r>
    <r>
      <rPr>
        <sz val="9"/>
        <rFont val="Times New Roman"/>
        <family val="1"/>
      </rPr>
      <t>(</t>
    </r>
    <r>
      <rPr>
        <sz val="9"/>
        <color rgb="FFFF0000"/>
        <rFont val="Times New Roman"/>
        <family val="1"/>
      </rPr>
      <t xml:space="preserve">Compra de arena, balastre, piedra, cemento </t>
    </r>
    <r>
      <rPr>
        <sz val="9"/>
        <rFont val="Times New Roman"/>
        <family val="1"/>
      </rPr>
      <t>)</t>
    </r>
  </si>
  <si>
    <r>
      <t xml:space="preserve">MINERALES   METALICOS Y PRODUCTOS DERIVADOS </t>
    </r>
    <r>
      <rPr>
        <sz val="9"/>
        <color rgb="FFFF0000"/>
        <rFont val="Times New Roman"/>
        <family val="1"/>
      </rPr>
      <t xml:space="preserve">(Incluye la compra de minerales metalicos, sin elaborar tales como: aluminio, cobre, plomo, estaño, hierro, zinc, niquel, oro, plata, etc. </t>
    </r>
    <r>
      <rPr>
        <sz val="9"/>
        <rFont val="Times New Roman"/>
        <family val="1"/>
      </rPr>
      <t>)</t>
    </r>
  </si>
  <si>
    <t xml:space="preserve">MATERIALES DE OFICINA </t>
  </si>
  <si>
    <t xml:space="preserve">MATERIALES INFORMATICOS </t>
  </si>
  <si>
    <t>LIBROS, TEXTOS, UTILES DE ENSEÑANZA Y PUBLICACIONES</t>
  </si>
  <si>
    <t xml:space="preserve">HERRAMIENTAS REPUESTOS Y ACCESORIOS </t>
  </si>
  <si>
    <t xml:space="preserve">MATERIALES ELECTRICOS </t>
  </si>
  <si>
    <t xml:space="preserve">BIENES DE USO Y CONSUMO DIVERSOS </t>
  </si>
  <si>
    <t xml:space="preserve">SERVICIOS DE ENERGIA ELECTRICA </t>
  </si>
  <si>
    <t xml:space="preserve">SERVICIOS DE AGUA </t>
  </si>
  <si>
    <t xml:space="preserve">SERVICIOS DE TELECOMUNICACIONES </t>
  </si>
  <si>
    <t>SERVICIOS DE CORREOS</t>
  </si>
  <si>
    <t xml:space="preserve">MTTO Y REPARACION DE BIENES MUEBLES </t>
  </si>
  <si>
    <t xml:space="preserve">MTTO Y REPARACION DE VEHICULOS </t>
  </si>
  <si>
    <t xml:space="preserve">MTTO Y REPARACION DE BIENES INMUEBLES </t>
  </si>
  <si>
    <t>TRANSPORTE, FLETE Y ALMACENAMIENTOS</t>
  </si>
  <si>
    <t>SERVICIOS DE PUBLICIDAD</t>
  </si>
  <si>
    <t xml:space="preserve">IMPRESIONES, PUBLICACIONES Y REPRODUCCIONES </t>
  </si>
  <si>
    <t>ARRENDAMIENTOS DE BIENES MUEBLES</t>
  </si>
  <si>
    <t>ARRENDAMIENTOS DE BIENES INMUEBLES</t>
  </si>
  <si>
    <t xml:space="preserve">SERVICIOS GENERALES Y ARRENDAMIENTOS DIVERSOS </t>
  </si>
  <si>
    <t xml:space="preserve">PASAJES AL INTERIOR </t>
  </si>
  <si>
    <t xml:space="preserve">VIATICOS POR COMISION INTERNA </t>
  </si>
  <si>
    <t xml:space="preserve">SERVICIOS MEDICOS </t>
  </si>
  <si>
    <t xml:space="preserve">SERVICIOS JURIDICOS </t>
  </si>
  <si>
    <t>SERVICIOS DE CONTABILIDAD Y AUDITORIA</t>
  </si>
  <si>
    <t xml:space="preserve">0101 </t>
  </si>
  <si>
    <r>
      <t>SERVICIOS DE CAPACITACION</t>
    </r>
    <r>
      <rPr>
        <b/>
        <sz val="11"/>
        <color rgb="FFFF0000"/>
        <rFont val="Times New Roman"/>
        <family val="1"/>
      </rPr>
      <t xml:space="preserve"> </t>
    </r>
    <r>
      <rPr>
        <b/>
        <sz val="9"/>
        <color rgb="FFFF0000"/>
        <rFont val="Times New Roman"/>
        <family val="1"/>
      </rPr>
      <t>(Empleados Mpales/Adescos)</t>
    </r>
  </si>
  <si>
    <t xml:space="preserve">CONSULTORIAS, ESTUDIOS  E INVESTIGACIONES DIVERSAS </t>
  </si>
  <si>
    <r>
      <t xml:space="preserve">DE INSTITUC. DESCENTRALIZADAS NO EMPRESARIALES </t>
    </r>
    <r>
      <rPr>
        <sz val="9"/>
        <color rgb="FFFF0000"/>
        <rFont val="Times New Roman"/>
        <family val="1"/>
      </rPr>
      <t>(</t>
    </r>
    <r>
      <rPr>
        <b/>
        <sz val="9"/>
        <color rgb="FFFF0000"/>
        <rFont val="Times New Roman"/>
        <family val="1"/>
      </rPr>
      <t>Intereses  AFP'S, y Multas  e  ISSS )</t>
    </r>
  </si>
  <si>
    <t xml:space="preserve">PRIMAS Y GASTOS DE SEGUROS DE PERSONAS </t>
  </si>
  <si>
    <t xml:space="preserve">  </t>
  </si>
  <si>
    <t xml:space="preserve">PRIMAS Y GASTOS DE SEGUROS DE BIENES </t>
  </si>
  <si>
    <t>.</t>
  </si>
  <si>
    <r>
      <t xml:space="preserve">TRANSFERENCIAS CORRIENTES AL SECTOR PUBLICO </t>
    </r>
    <r>
      <rPr>
        <sz val="9"/>
        <color rgb="FFFF0000"/>
        <rFont val="Times New Roman"/>
        <family val="1"/>
      </rPr>
      <t>( Cobro comision  CAESS, por cobro de recibos de tasas mpales. Según contrato de Prestacion de Servicios, de fecha  Sept/10)</t>
    </r>
  </si>
  <si>
    <r>
      <t xml:space="preserve">A EMPRESAS PRIVADAS NO FINANCIERAS   </t>
    </r>
    <r>
      <rPr>
        <sz val="9"/>
        <color rgb="FFFF0000"/>
        <rFont val="Times New Roman"/>
        <family val="1"/>
      </rPr>
      <t>( Contribucion a ENEPASA)</t>
    </r>
  </si>
  <si>
    <t>A ORGANISMOS SIN FINES DE LUCRO</t>
  </si>
  <si>
    <t xml:space="preserve">A PERSONAS NATURALES </t>
  </si>
  <si>
    <t>TOTAL UNIDAD PRESUPUESTARIA 0101 02 F.P</t>
  </si>
  <si>
    <t xml:space="preserve">BENEFICIOS ADICIONALES </t>
  </si>
  <si>
    <t>0102</t>
  </si>
  <si>
    <r>
      <t xml:space="preserve">DESARROLLO INFORMATICOS </t>
    </r>
    <r>
      <rPr>
        <b/>
        <sz val="11"/>
        <color rgb="FFFF0000"/>
        <rFont val="Times New Roman"/>
        <family val="1"/>
      </rPr>
      <t>( Sistema de Tesoreria)</t>
    </r>
  </si>
  <si>
    <t>TOTAL UNIDAD PRESUPUESTARIA 0102 02 F.P</t>
  </si>
  <si>
    <t>0201</t>
  </si>
  <si>
    <t xml:space="preserve">HORAS EXTRAORDINARIAS </t>
  </si>
  <si>
    <r>
      <t>PRODUCTOS DE CUERO Y CAUCHOS</t>
    </r>
    <r>
      <rPr>
        <i/>
        <sz val="9"/>
        <rFont val="Times New Roman"/>
        <family val="1"/>
      </rPr>
      <t xml:space="preserve"> (</t>
    </r>
    <r>
      <rPr>
        <i/>
        <sz val="9"/>
        <color rgb="FFFF0000"/>
        <rFont val="Times New Roman"/>
        <family val="1"/>
      </rPr>
      <t>A</t>
    </r>
    <r>
      <rPr>
        <sz val="9"/>
        <color rgb="FFFF0000"/>
        <rFont val="Times New Roman"/>
        <family val="1"/>
      </rPr>
      <t>cces,  para Servicios Generales/Compra pelotas de futbol</t>
    </r>
  </si>
  <si>
    <r>
      <t>HERRAMIENTAS REPUESTOS Y ACCESORIOS</t>
    </r>
    <r>
      <rPr>
        <sz val="9"/>
        <rFont val="Times New Roman"/>
        <family val="1"/>
      </rPr>
      <t xml:space="preserve"> </t>
    </r>
    <r>
      <rPr>
        <b/>
        <sz val="9"/>
        <color rgb="FFFF0000"/>
        <rFont val="Times New Roman"/>
        <family val="1"/>
      </rPr>
      <t>( Acces p/servicios Grales y Veh)</t>
    </r>
  </si>
  <si>
    <r>
      <t xml:space="preserve">ATENCIONES  OFICIALES </t>
    </r>
    <r>
      <rPr>
        <sz val="9"/>
        <rFont val="Times New Roman"/>
        <family val="1"/>
      </rPr>
      <t xml:space="preserve"> </t>
    </r>
    <r>
      <rPr>
        <sz val="9"/>
        <color rgb="FFFF0000"/>
        <rFont val="Times New Roman"/>
        <family val="1"/>
      </rPr>
      <t>( Fiestas patronales, eventos culturales  y otros)</t>
    </r>
  </si>
  <si>
    <t xml:space="preserve">VIATICOS POR COMISION  INTERNA </t>
  </si>
  <si>
    <r>
      <t>DESARROLLO INFORMATICOS</t>
    </r>
    <r>
      <rPr>
        <sz val="9"/>
        <rFont val="Times New Roman"/>
        <family val="1"/>
      </rPr>
      <t xml:space="preserve"> (</t>
    </r>
    <r>
      <rPr>
        <b/>
        <sz val="9"/>
        <color rgb="FFFF0000"/>
        <rFont val="Times New Roman"/>
        <family val="1"/>
      </rPr>
      <t xml:space="preserve"> </t>
    </r>
    <r>
      <rPr>
        <sz val="9"/>
        <color rgb="FFFF0000"/>
        <rFont val="Times New Roman"/>
        <family val="1"/>
      </rPr>
      <t>Sistema de Catastro Tributario)</t>
    </r>
  </si>
  <si>
    <r>
      <t xml:space="preserve">SERVICIOS DIVERSOS </t>
    </r>
    <r>
      <rPr>
        <sz val="9"/>
        <color rgb="FFFF0000"/>
        <rFont val="Times New Roman"/>
        <family val="1"/>
      </rPr>
      <t>( Recoleccion y tratamiento de desechos solidos)</t>
    </r>
  </si>
  <si>
    <t>TOTAL UNIDAD PRESUPUESTARIA 0201 02 F.P</t>
  </si>
  <si>
    <t>01 25%.</t>
  </si>
  <si>
    <t xml:space="preserve">AGUINALDOS </t>
  </si>
  <si>
    <t>COMBUSTIBLE Y LUBRICANTES</t>
  </si>
  <si>
    <t>SERVICIOS DE AGUA</t>
  </si>
  <si>
    <t>56201-1</t>
  </si>
  <si>
    <r>
      <t xml:space="preserve">TRANSF.DE CTES AL SECTOR PUBLICO </t>
    </r>
    <r>
      <rPr>
        <b/>
        <sz val="9"/>
        <color rgb="FFFF0000"/>
        <rFont val="Times New Roman"/>
        <family val="1"/>
      </rPr>
      <t>(Desc. De   COMURES)</t>
    </r>
  </si>
  <si>
    <t>56201-2</t>
  </si>
  <si>
    <r>
      <t xml:space="preserve">TRANSF.DE CTES AL SECTOR PUBLICO </t>
    </r>
    <r>
      <rPr>
        <b/>
        <sz val="9"/>
        <color rgb="FFFF0000"/>
        <rFont val="Times New Roman"/>
        <family val="1"/>
      </rPr>
      <t>(Desc. De   CDA)</t>
    </r>
  </si>
  <si>
    <r>
      <t xml:space="preserve">A EMPRESAS PRIVADAS NO FINANCIERAS   </t>
    </r>
    <r>
      <rPr>
        <sz val="9"/>
        <rFont val="Times New Roman"/>
        <family val="1"/>
      </rPr>
      <t>( Aportacion  a</t>
    </r>
    <r>
      <rPr>
        <b/>
        <sz val="9"/>
        <color rgb="FFFF0000"/>
        <rFont val="Times New Roman"/>
        <family val="1"/>
      </rPr>
      <t xml:space="preserve"> ENEPASA</t>
    </r>
    <r>
      <rPr>
        <sz val="9"/>
        <rFont val="Times New Roman"/>
        <family val="1"/>
      </rPr>
      <t>)</t>
    </r>
  </si>
  <si>
    <t>TOTAL UNIDAD PRESUPUESTARIA 0101 01 25%</t>
  </si>
  <si>
    <t>PRODUCTOS PAPEL CARTON</t>
  </si>
  <si>
    <t>TOTAL UNIDAD PRESUPUESTARIA 0102 01 25%</t>
  </si>
  <si>
    <t xml:space="preserve">AGUINALDOS  </t>
  </si>
  <si>
    <r>
      <t xml:space="preserve">SUELDOS    </t>
    </r>
    <r>
      <rPr>
        <b/>
        <sz val="11"/>
        <color rgb="FFFF0000"/>
        <rFont val="Times New Roman"/>
        <family val="1"/>
      </rPr>
      <t xml:space="preserve"> ( Eventuales)</t>
    </r>
  </si>
  <si>
    <t>ESPECIES MUNICIPALES DIVERSAS</t>
  </si>
  <si>
    <t xml:space="preserve">MANTENIMIENTO Y REPARACION DE VEHICULOS </t>
  </si>
  <si>
    <t xml:space="preserve">0201 </t>
  </si>
  <si>
    <t>TOTAL UNIDAD PRESUPUESTARIA 0201  01 25%</t>
  </si>
  <si>
    <t xml:space="preserve">TOTALES  GENERALES </t>
  </si>
  <si>
    <r>
      <t xml:space="preserve">DIETAS </t>
    </r>
    <r>
      <rPr>
        <b/>
        <sz val="8"/>
        <color theme="8" tint="-0.249977111117893"/>
        <rFont val="Times New Roman"/>
        <family val="1"/>
      </rPr>
      <t>(Presupuesto de este Fdo)</t>
    </r>
  </si>
  <si>
    <r>
      <t xml:space="preserve">INDEMNIZACIONES POR SERVICIOS PERMANENTES </t>
    </r>
    <r>
      <rPr>
        <b/>
        <sz val="8"/>
        <color rgb="FFFF0000"/>
        <rFont val="Times New Roman"/>
        <family val="1"/>
      </rPr>
      <t>( Según Ac. Mpal, entraria el personal permanente por retiro voluntario)</t>
    </r>
  </si>
  <si>
    <r>
      <t>POR REMUNERACIONES PERMANENTES</t>
    </r>
    <r>
      <rPr>
        <sz val="11"/>
        <color rgb="FFFF0000"/>
        <rFont val="Times New Roman"/>
        <family val="1"/>
      </rPr>
      <t xml:space="preserve"> </t>
    </r>
    <r>
      <rPr>
        <b/>
        <sz val="9"/>
        <color rgb="FFFF0000"/>
        <rFont val="Times New Roman"/>
        <family val="1"/>
      </rPr>
      <t xml:space="preserve"> </t>
    </r>
    <r>
      <rPr>
        <b/>
        <sz val="8"/>
        <color rgb="FFFF0000"/>
        <rFont val="Times New Roman"/>
        <family val="1"/>
      </rPr>
      <t>Aportac. AFP'S: CONFIA Y CRECER 6,75 % sobre el monto total de salarios de esta unidad,  Calculado  para 6 meses de este fdo)</t>
    </r>
  </si>
  <si>
    <r>
      <t xml:space="preserve">POR REMUNERACIONES PERMANENTES </t>
    </r>
    <r>
      <rPr>
        <b/>
        <sz val="8"/>
        <color rgb="FFFF0000"/>
        <rFont val="Times New Roman"/>
        <family val="1"/>
      </rPr>
      <t>( Aportac. ISSS 7,50 % sobre el valor de salario hastta $1,000  Calculado  para 6 meses de este fdo)</t>
    </r>
  </si>
  <si>
    <r>
      <t xml:space="preserve">POR PRESTACION DE SERVICIOS  EN EL PAIS </t>
    </r>
    <r>
      <rPr>
        <i/>
        <sz val="11"/>
        <rFont val="Times New Roman"/>
        <family val="1"/>
      </rPr>
      <t xml:space="preserve"> </t>
    </r>
    <r>
      <rPr>
        <i/>
        <sz val="8"/>
        <color rgb="FFFF0000"/>
        <rFont val="Times New Roman"/>
        <family val="1"/>
      </rPr>
      <t>(</t>
    </r>
    <r>
      <rPr>
        <b/>
        <sz val="8"/>
        <color rgb="FFFF0000"/>
        <rFont val="Times New Roman"/>
        <family val="1"/>
      </rPr>
      <t xml:space="preserve"> Sr. Alcalde Municipal)</t>
    </r>
  </si>
  <si>
    <r>
      <t xml:space="preserve">PRODUCTOS TEXTILES Y VESTUARIOS </t>
    </r>
    <r>
      <rPr>
        <sz val="8"/>
        <color rgb="FFFF0000"/>
        <rFont val="Times New Roman"/>
        <family val="1"/>
      </rPr>
      <t>(Incluye uniformes personal Permanente de esta unidad)</t>
    </r>
  </si>
  <si>
    <r>
      <t xml:space="preserve">LLANTAS Y NEUMATICOS </t>
    </r>
    <r>
      <rPr>
        <b/>
        <sz val="8"/>
        <color rgb="FFFF0000"/>
        <rFont val="Times New Roman"/>
        <family val="1"/>
      </rPr>
      <t>( Vehiculos administrativos)</t>
    </r>
  </si>
  <si>
    <r>
      <t xml:space="preserve">COMBUSTIBLE Y LUBRICANTES  </t>
    </r>
    <r>
      <rPr>
        <b/>
        <sz val="8"/>
        <color rgb="FFFF0000"/>
        <rFont val="Times New Roman"/>
        <family val="1"/>
      </rPr>
      <t>( Vehiculuos Administrativos)</t>
    </r>
  </si>
  <si>
    <r>
      <t xml:space="preserve">SERVICIOS DE TELECOMUNICACIONES </t>
    </r>
    <r>
      <rPr>
        <sz val="8"/>
        <color rgb="FFFF0000"/>
        <rFont val="Times New Roman"/>
        <family val="1"/>
      </rPr>
      <t>( Compañias: CTE, Digicel y Movistar, por servicios de Linea fija, Internet, Celular, Web, otros Comunic)</t>
    </r>
  </si>
  <si>
    <r>
      <t xml:space="preserve">POR REMUNERACIONES PERMANENTES </t>
    </r>
    <r>
      <rPr>
        <b/>
        <sz val="8"/>
        <color rgb="FFFF0000"/>
        <rFont val="Times New Roman"/>
        <family val="1"/>
      </rPr>
      <t>( Aportac. ISSS E IPSFA Se presupuesta para este año 2017/ el  7,50 % sobre el valor total de esta unidad, mas el 6%  de aportacion al IPSFA.)</t>
    </r>
  </si>
  <si>
    <r>
      <t xml:space="preserve">SUELDOS EVENTUALES  </t>
    </r>
    <r>
      <rPr>
        <sz val="8"/>
        <color rgb="FFFF0000"/>
        <rFont val="Times New Roman"/>
        <family val="1"/>
      </rPr>
      <t>( Por servicios de Auditoria Interna)</t>
    </r>
  </si>
  <si>
    <t>MTTO Y REPARACION DE  VEHICULOS</t>
  </si>
  <si>
    <r>
      <t xml:space="preserve">GASTOS DIVERSOS </t>
    </r>
    <r>
      <rPr>
        <b/>
        <sz val="8"/>
        <color rgb="FFFF0000"/>
        <rFont val="Times New Roman"/>
        <family val="1"/>
      </rPr>
      <t>(Aportac. A  INSAFORP=$1%  sobre el valor a  pagar + Intereses  X ISSS /u otros gastos)</t>
    </r>
  </si>
  <si>
    <r>
      <t xml:space="preserve">POR REMUNERACIONES PERMANENTES </t>
    </r>
    <r>
      <rPr>
        <b/>
        <sz val="8"/>
        <color rgb="FFFF0000"/>
        <rFont val="Times New Roman"/>
        <family val="1"/>
      </rPr>
      <t xml:space="preserve">( Aportac. ISSS 7,50 % sobre el valor  a cancelar  de este fdo.  Calculado  para 6 meses </t>
    </r>
  </si>
  <si>
    <r>
      <t xml:space="preserve">POR REMUNERACIONES PERMANENTES </t>
    </r>
    <r>
      <rPr>
        <b/>
        <sz val="8"/>
        <color rgb="FFFF0000"/>
        <rFont val="Times New Roman"/>
        <family val="1"/>
      </rPr>
      <t xml:space="preserve">( Aportac. ISSS E IPSFA el   7,50 % y el 6% a cancelar sobre el valor  a cancelar  de este fdo.  Calculado  para 6 meses </t>
    </r>
  </si>
  <si>
    <t>MANTENIMIENTO Y REPARACION DE BIENES MUNICIPALES</t>
  </si>
  <si>
    <r>
      <t>POR REMUNERACIONES PERMANENTES</t>
    </r>
    <r>
      <rPr>
        <sz val="11"/>
        <color rgb="FFFF0000"/>
        <rFont val="Times New Roman"/>
        <family val="1"/>
      </rPr>
      <t xml:space="preserve"> </t>
    </r>
    <r>
      <rPr>
        <b/>
        <sz val="8"/>
        <color rgb="FFFF0000"/>
        <rFont val="Times New Roman"/>
        <family val="1"/>
      </rPr>
      <t xml:space="preserve"> (Aportac. AFP'S: CONFIA Y CRECER 6,75 % sobre el monto total de salarios de esta unidad,  Calculado  para 6 meses de este fdo)</t>
    </r>
  </si>
  <si>
    <t>UNIDAD PRESUPUESTARIA</t>
  </si>
  <si>
    <t>FUENTE DE FINANCIAMINETO</t>
  </si>
  <si>
    <t>SALDO PRESUPUEST. ANTERIOR</t>
  </si>
  <si>
    <t>AUMENTO O CREACION POR REPROGRAMACION</t>
  </si>
  <si>
    <t>/POR INGRESO DE  FONDO COMUN</t>
  </si>
  <si>
    <t>DISMINUCION  POR REPROGRAMACION</t>
  </si>
  <si>
    <t>PRESUPUESTO REPROGRAMADO</t>
  </si>
  <si>
    <t>02 FDOS PROP.</t>
  </si>
  <si>
    <t>01 25% FODES</t>
  </si>
  <si>
    <t>01 75% FODES</t>
  </si>
  <si>
    <t>FISDL-BCIE-INFRAESTRUCTURA SOCIAL BASICA</t>
  </si>
  <si>
    <t>TOTAL</t>
  </si>
  <si>
    <t>Fecha de actualizacion:</t>
  </si>
  <si>
    <t xml:space="preserve">RESUMEN  EJECUCION PRESUPUESTARIA  </t>
  </si>
  <si>
    <r>
      <t xml:space="preserve">PRESTAMO INTERNO  </t>
    </r>
    <r>
      <rPr>
        <b/>
        <sz val="14"/>
        <color rgb="FF216BFF"/>
        <rFont val="BrowalliaUPC"/>
        <family val="2"/>
      </rPr>
      <t>(Bco. Hipotecario)</t>
    </r>
  </si>
  <si>
    <r>
      <t xml:space="preserve">PRESTAMO INTERNO      </t>
    </r>
    <r>
      <rPr>
        <b/>
        <sz val="14"/>
        <color rgb="FF216BFF"/>
        <rFont val="BrowalliaUPC"/>
        <family val="2"/>
      </rPr>
      <t>(Bco. Hipotecario)</t>
    </r>
  </si>
  <si>
    <t>SALDO INICIAL</t>
  </si>
  <si>
    <t>SALDO PRESUPUEST. INICIAL</t>
  </si>
  <si>
    <t>61201-1</t>
  </si>
  <si>
    <t>56301-2</t>
  </si>
  <si>
    <t>100-200-700869-0</t>
  </si>
  <si>
    <t>ENERO 2018</t>
  </si>
  <si>
    <t>AGUINALDOS ( 2018)</t>
  </si>
  <si>
    <t>GASTOS 31/01/18</t>
  </si>
  <si>
    <t>SALDOS DISPONIBLES  31/01/18</t>
  </si>
  <si>
    <r>
      <t>BENEFICIOS ADICIONALES</t>
    </r>
    <r>
      <rPr>
        <b/>
        <sz val="11"/>
        <rFont val="Times New Roman"/>
        <family val="1"/>
      </rPr>
      <t xml:space="preserve"> </t>
    </r>
    <r>
      <rPr>
        <b/>
        <sz val="9"/>
        <color rgb="FFFF0000"/>
        <rFont val="Times New Roman"/>
        <family val="1"/>
      </rPr>
      <t>( Bonificacion,empleados)</t>
    </r>
  </si>
  <si>
    <r>
      <t>POR REMUNERACIONES PERMANENTES</t>
    </r>
    <r>
      <rPr>
        <sz val="11"/>
        <color rgb="FFFF0000"/>
        <rFont val="Times New Roman"/>
        <family val="1"/>
      </rPr>
      <t xml:space="preserve"> </t>
    </r>
    <r>
      <rPr>
        <b/>
        <sz val="9"/>
        <color rgb="FFFF0000"/>
        <rFont val="Times New Roman"/>
        <family val="1"/>
      </rPr>
      <t xml:space="preserve"> </t>
    </r>
    <r>
      <rPr>
        <b/>
        <sz val="8"/>
        <color rgb="FFFF0000"/>
        <rFont val="Times New Roman"/>
        <family val="1"/>
      </rPr>
      <t>Aportac. AFP'S: CONFIA Y CRECER 7,75 % sobre el monto total de salarios de esta unidad,  Calculado  para 6 meses de este fdo)</t>
    </r>
  </si>
  <si>
    <r>
      <t xml:space="preserve">GASTOS DIVERSOS </t>
    </r>
    <r>
      <rPr>
        <sz val="9"/>
        <rFont val="Times New Roman"/>
        <family val="1"/>
      </rPr>
      <t>(APORTAC.</t>
    </r>
    <r>
      <rPr>
        <sz val="9"/>
        <color rgb="FFFF0000"/>
        <rFont val="Times New Roman"/>
        <family val="1"/>
      </rPr>
      <t>INSAFORP:  El 1% sobre monto a cancelar: Calculado para 6 meses y otros gastos no  clasificados</t>
    </r>
    <r>
      <rPr>
        <sz val="9"/>
        <rFont val="Times New Roman"/>
        <family val="1"/>
      </rPr>
      <t>)</t>
    </r>
  </si>
  <si>
    <t>56201-1)</t>
  </si>
  <si>
    <t>56301-</t>
  </si>
  <si>
    <t>TRANSFERENCIAS CORRIENTES AL SECTOR PUBLICO ( pago aportac. Cuota  ISAMUC)</t>
  </si>
  <si>
    <t>AGUINALDOS</t>
  </si>
  <si>
    <t>AGUINALDOS( se presupuesta año 2018)</t>
  </si>
  <si>
    <r>
      <t xml:space="preserve">SUELDOS  </t>
    </r>
    <r>
      <rPr>
        <b/>
        <sz val="11"/>
        <color rgb="FFFF0000"/>
        <rFont val="Times New Roman"/>
        <family val="1"/>
      </rPr>
      <t>( Enero-Dic/18)</t>
    </r>
  </si>
  <si>
    <r>
      <t xml:space="preserve">DIETAS </t>
    </r>
    <r>
      <rPr>
        <b/>
        <sz val="11"/>
        <rFont val="Times New Roman"/>
        <family val="1"/>
      </rPr>
      <t>(</t>
    </r>
    <r>
      <rPr>
        <b/>
        <sz val="11"/>
        <color rgb="FFFF0000"/>
        <rFont val="Times New Roman"/>
        <family val="1"/>
      </rPr>
      <t>Enero-Dic-18)</t>
    </r>
  </si>
  <si>
    <t xml:space="preserve">Horas Extraordinarias </t>
  </si>
  <si>
    <r>
      <t>POR REMUNERACIONES DIVERSAS</t>
    </r>
    <r>
      <rPr>
        <sz val="8"/>
        <rFont val="Times New Roman"/>
        <family val="1"/>
      </rPr>
      <t xml:space="preserve"> </t>
    </r>
    <r>
      <rPr>
        <b/>
        <sz val="8"/>
        <color rgb="FFFF0000"/>
        <rFont val="Times New Roman"/>
        <family val="1"/>
      </rPr>
      <t>( Se hace constar que se presupuesta - para 6 meses-2018)</t>
    </r>
  </si>
  <si>
    <r>
      <t xml:space="preserve">CUENTAS POR PAGAR DE AÑOS ANTERIORES </t>
    </r>
    <r>
      <rPr>
        <b/>
        <sz val="11"/>
        <color rgb="FFFF0000"/>
        <rFont val="Times New Roman"/>
        <family val="1"/>
      </rPr>
      <t>( Nota</t>
    </r>
    <r>
      <rPr>
        <sz val="11"/>
        <rFont val="Times New Roman"/>
        <family val="1"/>
      </rPr>
      <t xml:space="preserve">: </t>
    </r>
    <r>
      <rPr>
        <sz val="7"/>
        <color rgb="FF002060"/>
        <rFont val="Times New Roman"/>
        <family val="1"/>
      </rPr>
      <t xml:space="preserve">Se deja presupuestada la asignacion del 25% FODES pendiente de Dic/17, de transferir y queda provisionada del año anterior </t>
    </r>
  </si>
  <si>
    <r>
      <t xml:space="preserve">SUELDOS </t>
    </r>
    <r>
      <rPr>
        <b/>
        <sz val="11"/>
        <rFont val="Times New Roman"/>
        <family val="1"/>
      </rPr>
      <t xml:space="preserve"> </t>
    </r>
    <r>
      <rPr>
        <b/>
        <sz val="11"/>
        <color rgb="FFFF0000"/>
        <rFont val="Times New Roman"/>
        <family val="1"/>
      </rPr>
      <t>( Enero-Dic/18)</t>
    </r>
  </si>
  <si>
    <r>
      <t xml:space="preserve">AGUINALDOS </t>
    </r>
    <r>
      <rPr>
        <b/>
        <sz val="11"/>
        <color rgb="FFFF0000"/>
        <rFont val="Times New Roman"/>
        <family val="1"/>
      </rPr>
      <t>(para dic-18)</t>
    </r>
  </si>
  <si>
    <r>
      <t>POR REMUNERACIONES PERMANENTES</t>
    </r>
    <r>
      <rPr>
        <sz val="11"/>
        <color rgb="FFFF0000"/>
        <rFont val="Times New Roman"/>
        <family val="1"/>
      </rPr>
      <t xml:space="preserve"> </t>
    </r>
    <r>
      <rPr>
        <b/>
        <sz val="9"/>
        <color rgb="FFFF0000"/>
        <rFont val="Times New Roman"/>
        <family val="1"/>
      </rPr>
      <t xml:space="preserve"> </t>
    </r>
    <r>
      <rPr>
        <b/>
        <sz val="8"/>
        <color rgb="FFFF0000"/>
        <rFont val="Times New Roman"/>
        <family val="1"/>
      </rPr>
      <t xml:space="preserve">Aportac. AFP'S: CONFIA Y CRECER 7,75 % sobre el valor a cancelar de este fdo. Calculado  para 5 meses </t>
    </r>
  </si>
  <si>
    <r>
      <t xml:space="preserve">SUELDOS     </t>
    </r>
    <r>
      <rPr>
        <b/>
        <sz val="11"/>
        <color rgb="FFFF0000"/>
        <rFont val="Times New Roman"/>
        <family val="1"/>
      </rPr>
      <t>( Enero- Diciembre-18)</t>
    </r>
  </si>
  <si>
    <r>
      <t xml:space="preserve">BENEFICIOS ADICIONALES </t>
    </r>
    <r>
      <rPr>
        <b/>
        <sz val="11"/>
        <color rgb="FFFF0000"/>
        <rFont val="Times New Roman"/>
        <family val="1"/>
      </rPr>
      <t>( Eventuales)</t>
    </r>
  </si>
  <si>
    <r>
      <t xml:space="preserve">POR RENUMERACIONES PERMANENTES   </t>
    </r>
    <r>
      <rPr>
        <sz val="8"/>
        <rFont val="Times New Roman"/>
        <family val="1"/>
      </rPr>
      <t xml:space="preserve"> </t>
    </r>
    <r>
      <rPr>
        <b/>
        <sz val="8"/>
        <color rgb="FFFF0000"/>
        <rFont val="Times New Roman"/>
        <family val="1"/>
      </rPr>
      <t>( Aportac. AFP´S CONFIA -CRECER) el 7,75% sobre el valor a cancelar de est fondo, calculado para 6 meses.</t>
    </r>
  </si>
  <si>
    <r>
      <t xml:space="preserve">PRODUCTOS TEXTILES Y VESTUARIOS </t>
    </r>
    <r>
      <rPr>
        <b/>
        <sz val="11"/>
        <color rgb="FFFF0000"/>
        <rFont val="Times New Roman"/>
        <family val="1"/>
      </rPr>
      <t>(COMPRA UNIFORMES Y ACCESORIOS  AGENTES DEL CAM-18)</t>
    </r>
  </si>
  <si>
    <r>
      <t>MATERIALES DE DEFENSA Y SEGURIDAD PUBLICA</t>
    </r>
    <r>
      <rPr>
        <b/>
        <sz val="11"/>
        <color rgb="FFFF0000"/>
        <rFont val="Times New Roman"/>
        <family val="1"/>
      </rPr>
      <t>( COMPRA DE UNIFORMES Y ACCESORIOS AGENTES DEL CAM-18)</t>
    </r>
  </si>
  <si>
    <r>
      <t>MOBILIARIO</t>
    </r>
    <r>
      <rPr>
        <b/>
        <sz val="11"/>
        <color rgb="FFFF0000"/>
        <rFont val="Times New Roman"/>
        <family val="1"/>
      </rPr>
      <t xml:space="preserve"> </t>
    </r>
    <r>
      <rPr>
        <b/>
        <sz val="8"/>
        <color rgb="FFFF0000"/>
        <rFont val="Times New Roman"/>
        <family val="1"/>
      </rPr>
      <t>( Proyeccion  para el año 2018, según Plan Estrategico)</t>
    </r>
  </si>
  <si>
    <r>
      <rPr>
        <b/>
        <sz val="11"/>
        <rFont val="Times New Roman"/>
        <family val="1"/>
      </rPr>
      <t>EQUIPO INFORMATICO</t>
    </r>
    <r>
      <rPr>
        <sz val="11"/>
        <rFont val="Times New Roman"/>
        <family val="1"/>
      </rPr>
      <t xml:space="preserve"> : </t>
    </r>
    <r>
      <rPr>
        <sz val="8"/>
        <rFont val="Times New Roman"/>
        <family val="1"/>
      </rPr>
      <t xml:space="preserve">Compra  de Equipo Informatico y Accesorios para la Municipalidad </t>
    </r>
    <r>
      <rPr>
        <b/>
        <sz val="8"/>
        <color rgb="FFFF0000"/>
        <rFont val="Times New Roman"/>
        <family val="1"/>
      </rPr>
      <t xml:space="preserve">( Proyeccion para el año 2018, según Plan Estrategico) </t>
    </r>
  </si>
  <si>
    <r>
      <rPr>
        <b/>
        <sz val="11"/>
        <rFont val="Times New Roman"/>
        <family val="1"/>
      </rPr>
      <t>MAQUINARIAS Y EQUIPOS PARA LA PRODUCCION</t>
    </r>
    <r>
      <rPr>
        <sz val="11"/>
        <rFont val="Times New Roman"/>
        <family val="1"/>
      </rPr>
      <t xml:space="preserve"> </t>
    </r>
    <r>
      <rPr>
        <b/>
        <sz val="8"/>
        <color rgb="FFFF0000"/>
        <rFont val="Times New Roman"/>
        <family val="1"/>
      </rPr>
      <t>( Proyeccion para el año 2018, Según Plan Estrategico)</t>
    </r>
  </si>
  <si>
    <t>61201-2</t>
  </si>
  <si>
    <t>61201-3</t>
  </si>
  <si>
    <t>61201-4</t>
  </si>
  <si>
    <r>
      <rPr>
        <b/>
        <sz val="11"/>
        <rFont val="Times New Roman"/>
        <family val="1"/>
      </rPr>
      <t xml:space="preserve">TERRENOS. </t>
    </r>
    <r>
      <rPr>
        <sz val="11"/>
        <rFont val="Times New Roman"/>
        <family val="1"/>
      </rPr>
      <t xml:space="preserve">Compra de una  franja de terreno para la cancha en cantón La Loma </t>
    </r>
    <r>
      <rPr>
        <b/>
        <sz val="8"/>
        <color rgb="FFFF0000"/>
        <rFont val="Times New Roman"/>
        <family val="1"/>
      </rPr>
      <t>(Se trae presupuestado del 75%fodes para año 2018)</t>
    </r>
  </si>
  <si>
    <r>
      <rPr>
        <b/>
        <sz val="11"/>
        <rFont val="Times New Roman"/>
        <family val="1"/>
      </rPr>
      <t xml:space="preserve">TERRENOS. </t>
    </r>
    <r>
      <rPr>
        <sz val="11"/>
        <rFont val="Times New Roman"/>
        <family val="1"/>
      </rPr>
      <t xml:space="preserve">Compra de terreno para  cantón La Cruz  </t>
    </r>
    <r>
      <rPr>
        <b/>
        <sz val="8"/>
        <color rgb="FFFF0000"/>
        <rFont val="Times New Roman"/>
        <family val="1"/>
      </rPr>
      <t>(Se trae presupuestado del 75%fodes para año 2018)</t>
    </r>
  </si>
  <si>
    <r>
      <t xml:space="preserve">TERRENOS. </t>
    </r>
    <r>
      <rPr>
        <sz val="11"/>
        <rFont val="Times New Roman"/>
        <family val="1"/>
      </rPr>
      <t>Compra de terreno con casa  para el adulto mayor en cantón  La Loma</t>
    </r>
    <r>
      <rPr>
        <b/>
        <sz val="11"/>
        <rFont val="Times New Roman"/>
        <family val="1"/>
      </rPr>
      <t xml:space="preserve"> </t>
    </r>
    <r>
      <rPr>
        <b/>
        <sz val="8"/>
        <color rgb="FFFF0000"/>
        <rFont val="Times New Roman"/>
        <family val="1"/>
      </rPr>
      <t>(Se trae presupuestado del 75%fodes para año 2018)</t>
    </r>
  </si>
  <si>
    <r>
      <t xml:space="preserve">TERRENOS. </t>
    </r>
    <r>
      <rPr>
        <sz val="11"/>
        <rFont val="Times New Roman"/>
        <family val="1"/>
      </rPr>
      <t>Compra de terreno para casa comunal,Sector Candelaria del  cantón  San Francisco</t>
    </r>
    <r>
      <rPr>
        <b/>
        <sz val="11"/>
        <rFont val="Times New Roman"/>
        <family val="1"/>
      </rPr>
      <t xml:space="preserve"> </t>
    </r>
    <r>
      <rPr>
        <b/>
        <sz val="8"/>
        <color rgb="FFFF0000"/>
        <rFont val="Times New Roman"/>
        <family val="1"/>
      </rPr>
      <t>(Se trae presupuestado del 75%fodes para año 2018)</t>
    </r>
  </si>
  <si>
    <t>61201-5</t>
  </si>
  <si>
    <r>
      <t xml:space="preserve">TERRENOS. </t>
    </r>
    <r>
      <rPr>
        <sz val="11"/>
        <rFont val="Times New Roman"/>
        <family val="1"/>
      </rPr>
      <t>Compra de terreno para cancha en   cantón  El Paraiso</t>
    </r>
    <r>
      <rPr>
        <b/>
        <sz val="11"/>
        <rFont val="Times New Roman"/>
        <family val="1"/>
      </rPr>
      <t xml:space="preserve"> </t>
    </r>
    <r>
      <rPr>
        <b/>
        <sz val="8"/>
        <color rgb="FFFF0000"/>
        <rFont val="Times New Roman"/>
        <family val="1"/>
      </rPr>
      <t>(Se trae presupuestado del 75%fodes para año 2018)</t>
    </r>
  </si>
  <si>
    <t>1-</t>
  </si>
  <si>
    <t>2-</t>
  </si>
  <si>
    <r>
      <rPr>
        <b/>
        <sz val="11"/>
        <rFont val="Times New Roman"/>
        <family val="1"/>
      </rPr>
      <t>PROYECTOS SOCIALES</t>
    </r>
    <r>
      <rPr>
        <sz val="11"/>
        <rFont val="Times New Roman"/>
        <family val="1"/>
      </rPr>
      <t xml:space="preserve">:CONSTRUCCION DE ESTRUCTURA PARA SALON DE USOS MULTIPLES CANCHA PARA DISCIPLINAS DE FUTBOL SALA,BALONCESTO Y VOLEIBOL EN SECTOR LA UNIDAD DE SALUD, </t>
    </r>
    <r>
      <rPr>
        <b/>
        <sz val="11"/>
        <rFont val="Times New Roman"/>
        <family val="1"/>
      </rPr>
      <t>CANTON LA ESPERANZA</t>
    </r>
    <r>
      <rPr>
        <sz val="11"/>
        <rFont val="Times New Roman"/>
        <family val="1"/>
      </rPr>
      <t xml:space="preserve">  </t>
    </r>
    <r>
      <rPr>
        <b/>
        <sz val="8"/>
        <color rgb="FFFF0000"/>
        <rFont val="Times New Roman"/>
        <family val="1"/>
      </rPr>
      <t>(Se trae  conciliacion  bancaria a dic/17, por $ 98.70,se  presupuesta para el año 2018 contrapartida  del 75% fodes )</t>
    </r>
  </si>
  <si>
    <t>2)51202</t>
  </si>
  <si>
    <r>
      <rPr>
        <b/>
        <sz val="11"/>
        <rFont val="Times New Roman"/>
        <family val="1"/>
      </rPr>
      <t>PROYECTOS SOCIALES</t>
    </r>
    <r>
      <rPr>
        <sz val="11"/>
        <rFont val="Times New Roman"/>
        <family val="1"/>
      </rPr>
      <t xml:space="preserve">:CONSTRUCCION DE ESTRUCTURA PARA SALON DE USOS MULTIPLES CON  CANCHA PARA DISCIPLINAS DE FUTBOL SALA,BALONCESTO Y VOLEIBOL EN SECTOR LA BASCULA, DEL  </t>
    </r>
    <r>
      <rPr>
        <b/>
        <sz val="11"/>
        <rFont val="Times New Roman"/>
        <family val="1"/>
      </rPr>
      <t>CANTON LA LOMA</t>
    </r>
    <r>
      <rPr>
        <sz val="11"/>
        <rFont val="Times New Roman"/>
        <family val="1"/>
      </rPr>
      <t xml:space="preserve">  </t>
    </r>
    <r>
      <rPr>
        <b/>
        <sz val="8"/>
        <color rgb="FFFF0000"/>
        <rFont val="Times New Roman"/>
        <family val="1"/>
      </rPr>
      <t>(Se trae  conciliacion  bancaria a dic/17, por $ 98.70, se  presupuesta para el año 2018 contrapartida  del 75% fodes,por $ 55,000.00, por lo que se presupuesta $ 55,098.70 ) segun detalle de rubros:</t>
    </r>
  </si>
  <si>
    <t>2)54110</t>
  </si>
  <si>
    <r>
      <t xml:space="preserve">SALARIO POR JORNAL </t>
    </r>
    <r>
      <rPr>
        <b/>
        <sz val="9"/>
        <rFont val="Times New Roman"/>
        <family val="1"/>
      </rPr>
      <t>(CANCHA  CANTON LA LOMA)</t>
    </r>
  </si>
  <si>
    <r>
      <t>COMBUSTIBLE Y LUBRICANTES  (</t>
    </r>
    <r>
      <rPr>
        <b/>
        <sz val="9"/>
        <rFont val="Times New Roman"/>
        <family val="1"/>
      </rPr>
      <t>CANCHA  CANTON LA LOMA)</t>
    </r>
  </si>
  <si>
    <t>2)54111</t>
  </si>
  <si>
    <r>
      <t xml:space="preserve">MINERALES NO METALICOS Y PRODUCTOS DERIVADOS (COMPRA DE ARENA, CEMENTO PIEDRA, TIERRA, Y GRAVA PARA </t>
    </r>
    <r>
      <rPr>
        <b/>
        <sz val="9"/>
        <rFont val="Times New Roman"/>
        <family val="1"/>
      </rPr>
      <t>CANCHA  CANTON LA LOMA)</t>
    </r>
  </si>
  <si>
    <t>2)54112</t>
  </si>
  <si>
    <r>
      <t xml:space="preserve">MINERALES METALICOS Y PRODUCTOS DERIVADOS (COMPRA DE COBRE, HIERRO,ETC PARA </t>
    </r>
    <r>
      <rPr>
        <b/>
        <sz val="9"/>
        <rFont val="Times New Roman"/>
        <family val="1"/>
      </rPr>
      <t>CANCHA  CANTON LA LOMA)</t>
    </r>
  </si>
  <si>
    <t>2)54118</t>
  </si>
  <si>
    <r>
      <t xml:space="preserve">HERRAMIENTAS,REPUESTOS Y ACCESORIOS (PARA </t>
    </r>
    <r>
      <rPr>
        <b/>
        <sz val="9"/>
        <rFont val="Times New Roman"/>
        <family val="1"/>
      </rPr>
      <t>CANCHA  CANTON LA LOMA)</t>
    </r>
  </si>
  <si>
    <r>
      <t xml:space="preserve">TRANSPORTE,FLETE Y ALMACENAMIENTOS  (PARA </t>
    </r>
    <r>
      <rPr>
        <b/>
        <sz val="9"/>
        <rFont val="Times New Roman"/>
        <family val="1"/>
      </rPr>
      <t>CANCHA  CANTON LA LOMA)</t>
    </r>
  </si>
  <si>
    <t>2)54304</t>
  </si>
  <si>
    <t>2)54316</t>
  </si>
  <si>
    <r>
      <t xml:space="preserve">ARRENDAMIENTOS DE BIENES MUEBLES </t>
    </r>
    <r>
      <rPr>
        <b/>
        <sz val="9"/>
        <rFont val="Times New Roman"/>
        <family val="1"/>
      </rPr>
      <t>(PARA CANCHA CANTON LA LOMA)</t>
    </r>
  </si>
  <si>
    <t>2)55603</t>
  </si>
  <si>
    <r>
      <t xml:space="preserve">COMISIONES Y GASTOS BANCARIOS  </t>
    </r>
    <r>
      <rPr>
        <b/>
        <sz val="9"/>
        <rFont val="Times New Roman"/>
        <family val="1"/>
      </rPr>
      <t>(PARA CANCHA CANTON LA LOMA)</t>
    </r>
  </si>
  <si>
    <t>3-</t>
  </si>
  <si>
    <r>
      <rPr>
        <b/>
        <sz val="11"/>
        <rFont val="Times New Roman"/>
        <family val="1"/>
      </rPr>
      <t>PROYECTOS SOCIALES</t>
    </r>
    <r>
      <rPr>
        <sz val="11"/>
        <rFont val="Times New Roman"/>
        <family val="1"/>
      </rPr>
      <t>:CONSTRUCCION DE   CANCHA REGLAMENTARIA DE 90 MTL X 45 MTS PARA  FUTBOL ONCE,INCLUYENDO LOS SERVICIOS BASICOS  DE FUNCIONAMIENTO EN EL SECTOR LA CRUZ,</t>
    </r>
    <r>
      <rPr>
        <b/>
        <sz val="11"/>
        <rFont val="Times New Roman"/>
        <family val="1"/>
      </rPr>
      <t>CANTON ISTAGUA,</t>
    </r>
    <r>
      <rPr>
        <sz val="11"/>
        <rFont val="Times New Roman"/>
        <family val="1"/>
      </rPr>
      <t xml:space="preserve">  </t>
    </r>
    <r>
      <rPr>
        <b/>
        <sz val="8"/>
        <color rgb="FFFF0000"/>
        <rFont val="Times New Roman"/>
        <family val="1"/>
      </rPr>
      <t>(Se trae  conciliacion  bancaria a dic/17, por $ 98.70, se  presupuesta para el año 2018 contrapartida  del 75% fodes,por $ 10,000.00, por lo que se presupuesta $ 10,098.70 ) segun detalle de rubros:</t>
    </r>
  </si>
  <si>
    <t>3)51202</t>
  </si>
  <si>
    <r>
      <t xml:space="preserve">SALARIO POR JORNAL </t>
    </r>
    <r>
      <rPr>
        <b/>
        <sz val="9"/>
        <rFont val="Times New Roman"/>
        <family val="1"/>
      </rPr>
      <t>(CANCHA  CANTON ISTAGUA)</t>
    </r>
  </si>
  <si>
    <r>
      <t>COMBUSTIBLE Y LUBRICANTES  (</t>
    </r>
    <r>
      <rPr>
        <b/>
        <sz val="9"/>
        <rFont val="Times New Roman"/>
        <family val="1"/>
      </rPr>
      <t>CANCHA  CANTON ISTAGUA)</t>
    </r>
  </si>
  <si>
    <t>3)54110</t>
  </si>
  <si>
    <t>3)54111</t>
  </si>
  <si>
    <r>
      <t xml:space="preserve">MINERALES NO METALICOS Y PRODUCTOS DERIVADOS (COMPRA DE ARENA, CEMENTO PIEDRA, TIERRA, Y GRAVA PARA </t>
    </r>
    <r>
      <rPr>
        <b/>
        <sz val="9"/>
        <rFont val="Times New Roman"/>
        <family val="1"/>
      </rPr>
      <t>CANCHA  CANTON ISTAGUA)</t>
    </r>
  </si>
  <si>
    <t>3)54112</t>
  </si>
  <si>
    <r>
      <t xml:space="preserve">MINERALES METALICOS Y PRODUCTOS DERIVADOS (COMPRA DE COBRE, HIERRO,ETC PARA </t>
    </r>
    <r>
      <rPr>
        <b/>
        <sz val="9"/>
        <rFont val="Times New Roman"/>
        <family val="1"/>
      </rPr>
      <t>CANCHA  CANTON ISTAGUA)</t>
    </r>
  </si>
  <si>
    <t>3)54118</t>
  </si>
  <si>
    <r>
      <t xml:space="preserve">HERRAMIENTAS,REPUESTOS Y ACCESORIOS (PARA </t>
    </r>
    <r>
      <rPr>
        <b/>
        <sz val="9"/>
        <rFont val="Times New Roman"/>
        <family val="1"/>
      </rPr>
      <t>CANCHA  CANTON ISTAGUA)</t>
    </r>
  </si>
  <si>
    <t>3)54304</t>
  </si>
  <si>
    <r>
      <t xml:space="preserve">TRANSPORTE,FLETE Y ALMACENAMIENTOS  (PARA </t>
    </r>
    <r>
      <rPr>
        <b/>
        <sz val="9"/>
        <rFont val="Times New Roman"/>
        <family val="1"/>
      </rPr>
      <t>CANCHA  CANTON ISTAGUA)</t>
    </r>
  </si>
  <si>
    <t>3)54316</t>
  </si>
  <si>
    <t>3)55603</t>
  </si>
  <si>
    <r>
      <t xml:space="preserve">COMISIONES Y GASTOS BANCARIOS  </t>
    </r>
    <r>
      <rPr>
        <b/>
        <sz val="9"/>
        <rFont val="Times New Roman"/>
        <family val="1"/>
      </rPr>
      <t>(PARA CANCHA CANTON ISTAGUA)</t>
    </r>
  </si>
  <si>
    <r>
      <t xml:space="preserve">ARRENDAMIENTOS DE BIENES MUEBLES </t>
    </r>
    <r>
      <rPr>
        <b/>
        <sz val="9"/>
        <rFont val="Times New Roman"/>
        <family val="1"/>
      </rPr>
      <t>(PARA CANCHA CANTON ISTAGUA)</t>
    </r>
  </si>
  <si>
    <t>4-</t>
  </si>
  <si>
    <r>
      <rPr>
        <b/>
        <sz val="11"/>
        <rFont val="Times New Roman"/>
        <family val="1"/>
      </rPr>
      <t>PROYECTOS SOCIALES</t>
    </r>
    <r>
      <rPr>
        <sz val="11"/>
        <rFont val="Times New Roman"/>
        <family val="1"/>
      </rPr>
      <t>:CONSTRUCCION DE SERVICIOS SANITARIOS CON SISTEMA SEPTICO,CENTRO ESCOLAR,</t>
    </r>
    <r>
      <rPr>
        <b/>
        <sz val="11"/>
        <rFont val="Times New Roman"/>
        <family val="1"/>
      </rPr>
      <t xml:space="preserve"> CANTON BUENA VISTA.</t>
    </r>
    <r>
      <rPr>
        <sz val="11"/>
        <rFont val="Times New Roman"/>
        <family val="1"/>
      </rPr>
      <t xml:space="preserve">  </t>
    </r>
    <r>
      <rPr>
        <b/>
        <sz val="8"/>
        <color rgb="FFFF0000"/>
        <rFont val="Times New Roman"/>
        <family val="1"/>
      </rPr>
      <t>(Segun conciliacion  bancaria a diciembre /17, se trae saldo  por $ 10,171.77, que pasa  para  presupusto 2018, del 75% fodes,plan estrateg. por lo que se presupuesta $ 10,171.77 ) segun detalle de rubros:</t>
    </r>
  </si>
  <si>
    <t>4)51202</t>
  </si>
  <si>
    <t>4)54110</t>
  </si>
  <si>
    <r>
      <t xml:space="preserve">COMBUSTIBLE Y LUBRICANTES  </t>
    </r>
    <r>
      <rPr>
        <b/>
        <sz val="9"/>
        <rFont val="Times New Roman"/>
        <family val="1"/>
      </rPr>
      <t>(const.servicios sanit.C/Buena Vista)</t>
    </r>
  </si>
  <si>
    <r>
      <t xml:space="preserve">SALARIO POR JORNAL </t>
    </r>
    <r>
      <rPr>
        <b/>
        <sz val="9"/>
        <rFont val="Times New Roman"/>
        <family val="1"/>
      </rPr>
      <t>(const.servicios sanitarios,Cantón  Buena Vista)</t>
    </r>
  </si>
  <si>
    <r>
      <t xml:space="preserve">MINERALES NO METALICOS Y PRODUCTOS DERIVADOS (COMPRA DE ARENA, CEMENTO PIEDRA, TIERRA, Y GRAVA PARA </t>
    </r>
    <r>
      <rPr>
        <b/>
        <sz val="9"/>
        <rFont val="Times New Roman"/>
        <family val="1"/>
      </rPr>
      <t>Const.Servicios Sanitarios Canton Buena Vista )</t>
    </r>
  </si>
  <si>
    <t>4)54111</t>
  </si>
  <si>
    <t>4)54112</t>
  </si>
  <si>
    <r>
      <t xml:space="preserve">MINERALES METALICOS Y PRODUCTOS DERIVADOS (COMPRA DE COBRE, HIERRO,ETC PARA </t>
    </r>
    <r>
      <rPr>
        <b/>
        <sz val="9"/>
        <rFont val="Times New Roman"/>
        <family val="1"/>
      </rPr>
      <t>Const.servicios Sanitarios Canton Buena Vista)</t>
    </r>
  </si>
  <si>
    <r>
      <t xml:space="preserve">HERRAMIENTAS,REPUESTOS Y ACCESORIOS </t>
    </r>
    <r>
      <rPr>
        <b/>
        <sz val="9"/>
        <rFont val="Times New Roman"/>
        <family val="1"/>
      </rPr>
      <t>(Const.Servicios Sanitarios Cantón Buena Vista)</t>
    </r>
  </si>
  <si>
    <t>4)54118</t>
  </si>
  <si>
    <t>4)54313</t>
  </si>
  <si>
    <t>4)54304</t>
  </si>
  <si>
    <r>
      <t xml:space="preserve">TRANSPORTE,FLETE Y ALMACENAMIENTOS  </t>
    </r>
    <r>
      <rPr>
        <b/>
        <sz val="9"/>
        <rFont val="Times New Roman"/>
        <family val="1"/>
      </rPr>
      <t>(Const.Servicios Sanitarios Cantón Buena Vista)</t>
    </r>
  </si>
  <si>
    <r>
      <t>IMPRESIONES,PUBLICACIONES Y REPRODUCCIONES</t>
    </r>
    <r>
      <rPr>
        <b/>
        <sz val="9"/>
        <rFont val="Times New Roman"/>
        <family val="1"/>
      </rPr>
      <t>( Const.Servicios Sanitarios Cantón Buena Vista)</t>
    </r>
  </si>
  <si>
    <r>
      <t xml:space="preserve">COMISIONES Y GASTOS BANCARIOS  </t>
    </r>
    <r>
      <rPr>
        <b/>
        <sz val="9"/>
        <rFont val="Times New Roman"/>
        <family val="1"/>
      </rPr>
      <t>(Const.Servicios Sanitarios Canton Buena Vista)</t>
    </r>
  </si>
  <si>
    <t>4)55603</t>
  </si>
  <si>
    <t>5-</t>
  </si>
  <si>
    <r>
      <rPr>
        <b/>
        <sz val="11"/>
        <rFont val="Times New Roman"/>
        <family val="1"/>
      </rPr>
      <t>PROYECTOS SOCIALES</t>
    </r>
    <r>
      <rPr>
        <sz val="11"/>
        <rFont val="Times New Roman"/>
        <family val="1"/>
      </rPr>
      <t>: DINAMIZACION DE ESPACIOS PUBLICOS Y APOYO ACTIVIDADES DE SANO ESPARCIMIENTO,</t>
    </r>
    <r>
      <rPr>
        <b/>
        <sz val="11"/>
        <rFont val="Times New Roman"/>
        <family val="1"/>
      </rPr>
      <t xml:space="preserve"> EN EL MUNICIPIO.</t>
    </r>
    <r>
      <rPr>
        <sz val="11"/>
        <rFont val="Times New Roman"/>
        <family val="1"/>
      </rPr>
      <t xml:space="preserve">  </t>
    </r>
    <r>
      <rPr>
        <b/>
        <sz val="8"/>
        <color rgb="FFFF0000"/>
        <rFont val="Times New Roman"/>
        <family val="1"/>
      </rPr>
      <t>(Segun conciliacion  bancaria a diciembre /17, se trae saldo  por $ 1,524.22, que pasa  para  presupusto 2018, del 75% fodes,plan estrateg. por lo que se presupuesta $ 1,524.22) segun detalle de rubros:</t>
    </r>
  </si>
  <si>
    <t>5)51999</t>
  </si>
  <si>
    <t>5)54104</t>
  </si>
  <si>
    <t>5)54112</t>
  </si>
  <si>
    <r>
      <t xml:space="preserve">MINERALES METALICOS Y PRODUCTOS DERIVADOS (compra de materailes alumino,bronce,cobre etc, </t>
    </r>
    <r>
      <rPr>
        <b/>
        <sz val="9"/>
        <rFont val="Times New Roman"/>
        <family val="1"/>
      </rPr>
      <t>para Dinamizac.Espacios publicos/17)</t>
    </r>
  </si>
  <si>
    <r>
      <t>PRODUCTOS TEXTILES Y VESTUARIOS(</t>
    </r>
    <r>
      <rPr>
        <b/>
        <sz val="9"/>
        <rFont val="Times New Roman"/>
        <family val="1"/>
      </rPr>
      <t>Dinamizac.espac.publicos/17)</t>
    </r>
  </si>
  <si>
    <r>
      <t>REMUNERACIONES DIVERSAS(</t>
    </r>
    <r>
      <rPr>
        <b/>
        <sz val="9"/>
        <rFont val="Times New Roman"/>
        <family val="1"/>
      </rPr>
      <t>Dinamizac,espac.publicos/17)</t>
    </r>
  </si>
  <si>
    <t>6-</t>
  </si>
  <si>
    <t>6)54301</t>
  </si>
  <si>
    <t>6)56303</t>
  </si>
  <si>
    <r>
      <t xml:space="preserve">MANTENIMIENTO Y REPARCION DE BIENES MUEBLES </t>
    </r>
    <r>
      <rPr>
        <b/>
        <sz val="9"/>
        <rFont val="Times New Roman"/>
        <family val="1"/>
      </rPr>
      <t>(Apoyo para centros escolares)</t>
    </r>
  </si>
  <si>
    <r>
      <t>CONTRIBUCIONES  A ORGANISMOS SIN FINES DE LUCRO(</t>
    </r>
    <r>
      <rPr>
        <b/>
        <sz val="9"/>
        <rFont val="Times New Roman"/>
        <family val="1"/>
      </rPr>
      <t>Apoyo para centros escolares)</t>
    </r>
  </si>
  <si>
    <t>7-</t>
  </si>
  <si>
    <r>
      <t xml:space="preserve">REMUNERACIONES DIVERSAS  (pagos de serv, tecnicos, arbitros del </t>
    </r>
    <r>
      <rPr>
        <b/>
        <sz val="9"/>
        <rFont val="Times New Roman"/>
        <family val="1"/>
      </rPr>
      <t>proy.Dinamiz.espac.publicos/18)</t>
    </r>
  </si>
  <si>
    <r>
      <t>PRODUCTOS TEXTILES Y VESTUARIOS(</t>
    </r>
    <r>
      <rPr>
        <b/>
        <sz val="9"/>
        <rFont val="Times New Roman"/>
        <family val="1"/>
      </rPr>
      <t>del  proy.Dinamizac.espac.public/18)</t>
    </r>
  </si>
  <si>
    <t>7)54104</t>
  </si>
  <si>
    <t>7)51999</t>
  </si>
  <si>
    <t>7)54106</t>
  </si>
  <si>
    <r>
      <t xml:space="preserve">PRODUCTOS DE CUERO Y CAUCHO(compra de pelotas y guantes </t>
    </r>
    <r>
      <rPr>
        <b/>
        <sz val="9"/>
        <rFont val="Times New Roman"/>
        <family val="1"/>
      </rPr>
      <t>del  proy.Dinamizac.espac.public/18)</t>
    </r>
  </si>
  <si>
    <t>7)54112</t>
  </si>
  <si>
    <r>
      <t xml:space="preserve">MINERALES METALICOS Y PRODUCTOS DERIVADOS (compra de TROFEOS,ETC </t>
    </r>
    <r>
      <rPr>
        <b/>
        <sz val="9"/>
        <rFont val="Times New Roman"/>
        <family val="1"/>
      </rPr>
      <t>del  proy.Dinamizac.espac.public/18)</t>
    </r>
  </si>
  <si>
    <t>7)54118</t>
  </si>
  <si>
    <r>
      <t xml:space="preserve">HERRAMIENTAS,REPUESTOS Y ACCESORIOS (compra de accesorios  </t>
    </r>
    <r>
      <rPr>
        <b/>
        <sz val="9"/>
        <rFont val="Times New Roman"/>
        <family val="1"/>
      </rPr>
      <t>del  proy.Dinamizac.espac.public/18)</t>
    </r>
  </si>
  <si>
    <t>7)54304</t>
  </si>
  <si>
    <r>
      <t>TRANSPORTE,FLETE Y ALMACENAMIENTOS (</t>
    </r>
    <r>
      <rPr>
        <b/>
        <sz val="9"/>
        <rFont val="Times New Roman"/>
        <family val="1"/>
      </rPr>
      <t>del  proy. Dinamizac. espac. public/18)</t>
    </r>
  </si>
  <si>
    <t>7)54399</t>
  </si>
  <si>
    <r>
      <t xml:space="preserve">SERVICIOS GENERALES Y ARRENDAMIENTOS DIVERSOS  ( </t>
    </r>
    <r>
      <rPr>
        <b/>
        <sz val="9"/>
        <rFont val="Times New Roman"/>
        <family val="1"/>
      </rPr>
      <t>del  proy. Dinamizac. espac.public/18)</t>
    </r>
  </si>
  <si>
    <t>7)55603</t>
  </si>
  <si>
    <r>
      <t xml:space="preserve">COMISIONES Y GASTOS BANCARIOS   ( </t>
    </r>
    <r>
      <rPr>
        <b/>
        <sz val="9"/>
        <rFont val="Times New Roman"/>
        <family val="1"/>
      </rPr>
      <t>del  proy. Dinamizac. espac.public/18)</t>
    </r>
  </si>
  <si>
    <r>
      <rPr>
        <b/>
        <sz val="11"/>
        <rFont val="Times New Roman"/>
        <family val="1"/>
      </rPr>
      <t>PROYECTOS SOCIALES e INSTITUCIONALES</t>
    </r>
    <r>
      <rPr>
        <sz val="11"/>
        <rFont val="Times New Roman"/>
        <family val="1"/>
      </rPr>
      <t xml:space="preserve">: PROY. DINAMIZACION DE ESPACIOS PUBLICOS Y APOYO A ACTIVIDADES DE SANO ESPARCIMIENTO EN CENTROS ESCOLARES </t>
    </r>
    <r>
      <rPr>
        <b/>
        <sz val="11"/>
        <rFont val="Times New Roman"/>
        <family val="1"/>
      </rPr>
      <t>EN EL  MUNICIPIO.</t>
    </r>
    <r>
      <rPr>
        <sz val="11"/>
        <rFont val="Times New Roman"/>
        <family val="1"/>
      </rPr>
      <t xml:space="preserve">  </t>
    </r>
    <r>
      <rPr>
        <b/>
        <sz val="8"/>
        <color rgb="FFFF0000"/>
        <rFont val="Times New Roman"/>
        <family val="1"/>
      </rPr>
      <t>(Se  presupusta para año 2018, del 75% fodes, POR $60,000.00 segun detalle de rubros:</t>
    </r>
  </si>
  <si>
    <r>
      <rPr>
        <b/>
        <sz val="11"/>
        <rFont val="Times New Roman"/>
        <family val="1"/>
      </rPr>
      <t>PROYECTOS SOCIALES e INSTITUCIONALES</t>
    </r>
    <r>
      <rPr>
        <sz val="11"/>
        <rFont val="Times New Roman"/>
        <family val="1"/>
      </rPr>
      <t xml:space="preserve">: PROY. APOYO  AL MEJORAMIENTO Y REPARACION DE CENTROS ESCOLARES </t>
    </r>
    <r>
      <rPr>
        <b/>
        <sz val="11"/>
        <rFont val="Times New Roman"/>
        <family val="1"/>
      </rPr>
      <t xml:space="preserve"> DEL MUNICIPIO.</t>
    </r>
    <r>
      <rPr>
        <sz val="11"/>
        <rFont val="Times New Roman"/>
        <family val="1"/>
      </rPr>
      <t xml:space="preserve">  </t>
    </r>
    <r>
      <rPr>
        <b/>
        <sz val="8"/>
        <color rgb="FFFF0000"/>
        <rFont val="Times New Roman"/>
        <family val="1"/>
      </rPr>
      <t>(Se  presupusta para año 2018, del 75% fodes, POR $5,000.00 segun detalle de rubros:</t>
    </r>
  </si>
  <si>
    <r>
      <rPr>
        <b/>
        <sz val="11"/>
        <rFont val="Times New Roman"/>
        <family val="1"/>
      </rPr>
      <t>PROYECTOS SOCIALES e INSTITUCIONALES</t>
    </r>
    <r>
      <rPr>
        <sz val="11"/>
        <rFont val="Times New Roman"/>
        <family val="1"/>
      </rPr>
      <t>: PROY. PROGRAMA MUNICIPAL DE BECAS PARA ESTUDIANTES  UNIVERSITARIOS Y BACHILLERES DE ESCASOS RECURSOS ECONOMICOS,DEL</t>
    </r>
    <r>
      <rPr>
        <b/>
        <sz val="11"/>
        <rFont val="Times New Roman"/>
        <family val="1"/>
      </rPr>
      <t xml:space="preserve">  MUNICIPIO.</t>
    </r>
    <r>
      <rPr>
        <sz val="11"/>
        <rFont val="Times New Roman"/>
        <family val="1"/>
      </rPr>
      <t xml:space="preserve">  </t>
    </r>
    <r>
      <rPr>
        <b/>
        <sz val="8"/>
        <color rgb="FFFF0000"/>
        <rFont val="Times New Roman"/>
        <family val="1"/>
      </rPr>
      <t>(Se  presupusta para año 2018, del 75% fodes, POR $ 60,600.00 (Se hace constar que son 60 becas de univers. por $80.00 c/u  hace un total de $4,800 x10 meses =$48,000.00 y 15-becas bachilleres de $ 50.00 c/u x 10 meses =7,500, haciendo un total de $55,500 + $11,100 x gtos diversos)segun detalle de rubros:</t>
    </r>
  </si>
  <si>
    <t>8-</t>
  </si>
  <si>
    <t>8)51999</t>
  </si>
  <si>
    <r>
      <t>REMUNERACIONES DIVERSAS</t>
    </r>
    <r>
      <rPr>
        <b/>
        <sz val="9"/>
        <rFont val="Times New Roman"/>
        <family val="1"/>
      </rPr>
      <t>( Becas universitarios/bachiller)</t>
    </r>
  </si>
  <si>
    <t>8)54399</t>
  </si>
  <si>
    <r>
      <t xml:space="preserve">SERVICIOS GENERALES Y ARRENDAMIENTOS DIVERSOS </t>
    </r>
    <r>
      <rPr>
        <b/>
        <sz val="9"/>
        <rFont val="Times New Roman"/>
        <family val="1"/>
      </rPr>
      <t>( Becas universitarios/bachiller)</t>
    </r>
  </si>
  <si>
    <t>8)55603</t>
  </si>
  <si>
    <r>
      <t xml:space="preserve">COMISIONES Y GASTOS DIVERSOS  </t>
    </r>
    <r>
      <rPr>
        <b/>
        <sz val="9"/>
        <rFont val="Times New Roman"/>
        <family val="1"/>
      </rPr>
      <t>( Becas universitarios/bachiller)</t>
    </r>
  </si>
  <si>
    <t>8)56305</t>
  </si>
  <si>
    <r>
      <t xml:space="preserve">BECAS  </t>
    </r>
    <r>
      <rPr>
        <b/>
        <sz val="9"/>
        <rFont val="Times New Roman"/>
        <family val="1"/>
      </rPr>
      <t>( Becas universitarios/bachiller)</t>
    </r>
  </si>
  <si>
    <t>8)55799</t>
  </si>
  <si>
    <r>
      <t xml:space="preserve">GASTOS DIVERSOS  </t>
    </r>
    <r>
      <rPr>
        <b/>
        <sz val="9"/>
        <rFont val="Times New Roman"/>
        <family val="1"/>
      </rPr>
      <t>( Becas universitarios/bachiller)</t>
    </r>
  </si>
  <si>
    <t>9-</t>
  </si>
  <si>
    <r>
      <rPr>
        <b/>
        <sz val="11"/>
        <rFont val="Times New Roman"/>
        <family val="1"/>
      </rPr>
      <t>PROYECTOS SOCIALES e INSTITUCIONALES</t>
    </r>
    <r>
      <rPr>
        <sz val="11"/>
        <rFont val="Times New Roman"/>
        <family val="1"/>
      </rPr>
      <t xml:space="preserve">: PROY. ESCUELAS DE FUTBOL PARA JOVENES PARA PREVENIR LA DELINCUENCIA Y LA VIOLENCIA  DEL </t>
    </r>
    <r>
      <rPr>
        <b/>
        <sz val="11"/>
        <rFont val="Times New Roman"/>
        <family val="1"/>
      </rPr>
      <t xml:space="preserve">  MUNICIPIO.</t>
    </r>
    <r>
      <rPr>
        <b/>
        <sz val="8"/>
        <color rgb="FFFF0000"/>
        <rFont val="Times New Roman"/>
        <family val="1"/>
      </rPr>
      <t>(Se  presupusta para año 2018, del 75% fodes, del Plan Estrategico)por $ 25,000.00,segun detalle de rubros:</t>
    </r>
  </si>
  <si>
    <t>9)51999</t>
  </si>
  <si>
    <t>9)54104</t>
  </si>
  <si>
    <t>9)54112</t>
  </si>
  <si>
    <t>9)54304</t>
  </si>
  <si>
    <t>9)54399</t>
  </si>
  <si>
    <t>9)55603</t>
  </si>
  <si>
    <t>9)56303</t>
  </si>
  <si>
    <r>
      <t>REMUNERACIONES DIVERSAS</t>
    </r>
    <r>
      <rPr>
        <b/>
        <sz val="9"/>
        <rFont val="Times New Roman"/>
        <family val="1"/>
      </rPr>
      <t>( de Escuelas de futbol)</t>
    </r>
  </si>
  <si>
    <r>
      <t xml:space="preserve">PRODUCTOS TEXTILES Y VESTUARIOS  </t>
    </r>
    <r>
      <rPr>
        <b/>
        <sz val="9"/>
        <rFont val="Times New Roman"/>
        <family val="1"/>
      </rPr>
      <t>(Escuelas de futbol)</t>
    </r>
  </si>
  <si>
    <r>
      <t>MINERALES METALICOS Y PRODUCTOS DERIVADOS(</t>
    </r>
    <r>
      <rPr>
        <b/>
        <sz val="9"/>
        <rFont val="Times New Roman"/>
        <family val="1"/>
      </rPr>
      <t xml:space="preserve"> escuelas de futbol)</t>
    </r>
  </si>
  <si>
    <r>
      <t xml:space="preserve">TRANSPORTE,FLETE Y ALMACENAMIENTOS </t>
    </r>
    <r>
      <rPr>
        <b/>
        <sz val="9"/>
        <rFont val="Times New Roman"/>
        <family val="1"/>
      </rPr>
      <t>(escuelas de futbol)</t>
    </r>
  </si>
  <si>
    <r>
      <t>SERVICIOS GENERALES Y ARRENDAMIENTOS DIVERSOS (</t>
    </r>
    <r>
      <rPr>
        <b/>
        <sz val="9"/>
        <rFont val="Times New Roman"/>
        <family val="1"/>
      </rPr>
      <t>escuelas de futbol)</t>
    </r>
  </si>
  <si>
    <r>
      <t xml:space="preserve">COMISIONES Y GASTOS BANCARIOS </t>
    </r>
    <r>
      <rPr>
        <b/>
        <sz val="9"/>
        <rFont val="Times New Roman"/>
        <family val="1"/>
      </rPr>
      <t>(escuelas de futbol)</t>
    </r>
  </si>
  <si>
    <r>
      <t>CONTRIBUCIONES A ORGANISMOS SIN FINES DE LUCRO (</t>
    </r>
    <r>
      <rPr>
        <b/>
        <sz val="9"/>
        <rFont val="Times New Roman"/>
        <family val="1"/>
      </rPr>
      <t>escuelas de futbol)</t>
    </r>
  </si>
  <si>
    <t>10-</t>
  </si>
  <si>
    <r>
      <rPr>
        <b/>
        <sz val="11"/>
        <rFont val="Times New Roman"/>
        <family val="1"/>
      </rPr>
      <t>PROYECTOS SOCIALES e INSTITUCIONALES</t>
    </r>
    <r>
      <rPr>
        <sz val="11"/>
        <rFont val="Times New Roman"/>
        <family val="1"/>
      </rPr>
      <t xml:space="preserve">: PROY. ESCUELAS DE TAKE  WOND PARA JOVENES PARA PREVENIR LA DELINCUENCIA Y LA VIOLENCIA  DEL </t>
    </r>
    <r>
      <rPr>
        <b/>
        <sz val="11"/>
        <rFont val="Times New Roman"/>
        <family val="1"/>
      </rPr>
      <t xml:space="preserve">  MUNICIPIO.</t>
    </r>
    <r>
      <rPr>
        <b/>
        <sz val="8"/>
        <color rgb="FFFF0000"/>
        <rFont val="Times New Roman"/>
        <family val="1"/>
      </rPr>
      <t>(Se  presupusta para año 2018, del 75% fodes, del Plan Estrategico) por $ 8,000.00,segun detalle de rubros:</t>
    </r>
  </si>
  <si>
    <t>10)51999</t>
  </si>
  <si>
    <t>10)54399</t>
  </si>
  <si>
    <t>10)55603</t>
  </si>
  <si>
    <t>10)56303</t>
  </si>
  <si>
    <r>
      <t>REMUNERACIONES DIVERSAS</t>
    </r>
    <r>
      <rPr>
        <b/>
        <sz val="9"/>
        <rFont val="Times New Roman"/>
        <family val="1"/>
      </rPr>
      <t>( de Escuelas de take wond)</t>
    </r>
  </si>
  <si>
    <r>
      <t>SERVICIOS GENERALES Y ARRENDAMIENTOS DIVERSOS (</t>
    </r>
    <r>
      <rPr>
        <b/>
        <sz val="9"/>
        <rFont val="Times New Roman"/>
        <family val="1"/>
      </rPr>
      <t>escuelas de take wond)</t>
    </r>
  </si>
  <si>
    <r>
      <t xml:space="preserve">COMISIONES Y GASTOS BANCARIOS </t>
    </r>
    <r>
      <rPr>
        <b/>
        <sz val="9"/>
        <rFont val="Times New Roman"/>
        <family val="1"/>
      </rPr>
      <t>(escuelas de take wond)</t>
    </r>
  </si>
  <si>
    <r>
      <t>CONTRIBUCIONES A ORGANISMOS SIN FINES DE LUCRO (</t>
    </r>
    <r>
      <rPr>
        <b/>
        <sz val="9"/>
        <rFont val="Times New Roman"/>
        <family val="1"/>
      </rPr>
      <t>escuelas de take wond)</t>
    </r>
  </si>
  <si>
    <t>11-</t>
  </si>
  <si>
    <r>
      <rPr>
        <b/>
        <sz val="11"/>
        <rFont val="Times New Roman"/>
        <family val="1"/>
      </rPr>
      <t>PROYECTOS SOCIALES e INSTITUCIONALES</t>
    </r>
    <r>
      <rPr>
        <sz val="11"/>
        <rFont val="Times New Roman"/>
        <family val="1"/>
      </rPr>
      <t>: PROY. CAPACITACIONES  TECNICAS PARA JOVENES  VULNERABLES   A LA DELINCUENCIA,DEL</t>
    </r>
    <r>
      <rPr>
        <b/>
        <sz val="11"/>
        <rFont val="Times New Roman"/>
        <family val="1"/>
      </rPr>
      <t xml:space="preserve"> MUNICIPIO.</t>
    </r>
    <r>
      <rPr>
        <b/>
        <sz val="8"/>
        <color rgb="FFFF0000"/>
        <rFont val="Times New Roman"/>
        <family val="1"/>
      </rPr>
      <t>(Se  presupusta para año 2018, del 75% fodes, del Plan Estrategico) por $ 10,000.00,segun detalle de rubros:</t>
    </r>
  </si>
  <si>
    <t>11)51999</t>
  </si>
  <si>
    <r>
      <t>REMUNERACIONES DIVERSAS</t>
    </r>
    <r>
      <rPr>
        <b/>
        <sz val="9"/>
        <rFont val="Times New Roman"/>
        <family val="1"/>
      </rPr>
      <t>( Capacitaciones tecnicas)</t>
    </r>
  </si>
  <si>
    <t>11)54399</t>
  </si>
  <si>
    <r>
      <t>SERVICIOS GENERALES Y ARRENDAMIENTOS DIVERSOS</t>
    </r>
    <r>
      <rPr>
        <b/>
        <sz val="9"/>
        <rFont val="Times New Roman"/>
        <family val="1"/>
      </rPr>
      <t xml:space="preserve"> (Capacitaciones Tecnicas)</t>
    </r>
  </si>
  <si>
    <t>11)55603</t>
  </si>
  <si>
    <r>
      <t xml:space="preserve">COMISIONES Y GASTOS BANCARIOS </t>
    </r>
    <r>
      <rPr>
        <b/>
        <sz val="9"/>
        <rFont val="Times New Roman"/>
        <family val="1"/>
      </rPr>
      <t>(Capacitaciones Tecnicas)</t>
    </r>
  </si>
  <si>
    <t>11)55799</t>
  </si>
  <si>
    <r>
      <t>GASTOS DIVERSOS</t>
    </r>
    <r>
      <rPr>
        <b/>
        <sz val="9"/>
        <rFont val="Times New Roman"/>
        <family val="1"/>
      </rPr>
      <t xml:space="preserve"> (Capacitaciones Tecnicas)</t>
    </r>
  </si>
  <si>
    <t>11)56303</t>
  </si>
  <si>
    <r>
      <t>CONTRIBUCIONES A ORGANISMOS SIN FINES DE LUCRO (</t>
    </r>
    <r>
      <rPr>
        <b/>
        <sz val="9"/>
        <rFont val="Times New Roman"/>
        <family val="1"/>
      </rPr>
      <t>Capacitaciones tecnicas)</t>
    </r>
  </si>
  <si>
    <t>12-</t>
  </si>
  <si>
    <r>
      <rPr>
        <b/>
        <sz val="11"/>
        <rFont val="Times New Roman"/>
        <family val="1"/>
      </rPr>
      <t>PROYECTOS SOCIALES e INSTITUCIONALES</t>
    </r>
    <r>
      <rPr>
        <sz val="11"/>
        <rFont val="Times New Roman"/>
        <family val="1"/>
      </rPr>
      <t>: PROY. CELEBRACION DEL ADULTO MAYOR EN EL CASCO URBANO Y CANTONES,DEL</t>
    </r>
    <r>
      <rPr>
        <b/>
        <sz val="11"/>
        <rFont val="Times New Roman"/>
        <family val="1"/>
      </rPr>
      <t xml:space="preserve"> MUNICIPIO.</t>
    </r>
    <r>
      <rPr>
        <b/>
        <sz val="8"/>
        <color rgb="FFFF0000"/>
        <rFont val="Times New Roman"/>
        <family val="1"/>
      </rPr>
      <t>(Se  presupusta para año 2018, del 75% fodes)  por $ 6,000.00,segun detalle de rubros:</t>
    </r>
  </si>
  <si>
    <t>12)54314</t>
  </si>
  <si>
    <t>12)54399</t>
  </si>
  <si>
    <t>12)55603</t>
  </si>
  <si>
    <t>12)56303</t>
  </si>
  <si>
    <r>
      <t xml:space="preserve">ATENCIONES  OFICIALES </t>
    </r>
    <r>
      <rPr>
        <b/>
        <sz val="9"/>
        <rFont val="Times New Roman"/>
        <family val="1"/>
      </rPr>
      <t xml:space="preserve"> ( Celebracion adulto mayor)</t>
    </r>
  </si>
  <si>
    <r>
      <t>SERVICIOS GENERALES Y ARRENDAMIENTOS DIVERSOS (</t>
    </r>
    <r>
      <rPr>
        <b/>
        <sz val="9"/>
        <rFont val="Times New Roman"/>
        <family val="1"/>
      </rPr>
      <t>Celebracion adulto mayor)</t>
    </r>
  </si>
  <si>
    <r>
      <t>COMISIONES Y GASTOS BANCARIOS (</t>
    </r>
    <r>
      <rPr>
        <b/>
        <sz val="9"/>
        <rFont val="Times New Roman"/>
        <family val="1"/>
      </rPr>
      <t>Celebracion del adulto mayor)</t>
    </r>
  </si>
  <si>
    <r>
      <t>CONTRIBUCIONES A ORGANISMOS SIN FINES DE LUCRO</t>
    </r>
    <r>
      <rPr>
        <b/>
        <sz val="9"/>
        <rFont val="Times New Roman"/>
        <family val="1"/>
      </rPr>
      <t>( Celebracion del adulto mayor)</t>
    </r>
  </si>
  <si>
    <t>13-</t>
  </si>
  <si>
    <r>
      <rPr>
        <b/>
        <sz val="11"/>
        <rFont val="Times New Roman"/>
        <family val="1"/>
      </rPr>
      <t>PROYECTOS SOCIALES e INSTITUCIONALES</t>
    </r>
    <r>
      <rPr>
        <sz val="11"/>
        <rFont val="Times New Roman"/>
        <family val="1"/>
      </rPr>
      <t>: PROY. APERTURAS DE ESCUELAS;CLASES DE MUSICA, VIOLIN, Y SINFONICA EN CASCO URBANO Y CANTONES,DEL</t>
    </r>
    <r>
      <rPr>
        <b/>
        <sz val="11"/>
        <rFont val="Times New Roman"/>
        <family val="1"/>
      </rPr>
      <t xml:space="preserve"> MUNICIPIO.</t>
    </r>
    <r>
      <rPr>
        <b/>
        <sz val="8"/>
        <color rgb="FFFF0000"/>
        <rFont val="Times New Roman"/>
        <family val="1"/>
      </rPr>
      <t>(Se  presupusta para año 2018, del 75% fodes)  por $ 10,000.00,segun detalle de rubros:</t>
    </r>
  </si>
  <si>
    <t>13)51999</t>
  </si>
  <si>
    <t>13)54399</t>
  </si>
  <si>
    <t>13)55603</t>
  </si>
  <si>
    <t>13)56303</t>
  </si>
  <si>
    <r>
      <t>SERVICIOS GENERALES Y ARRENDAMIENTOS DIVERSOS (</t>
    </r>
    <r>
      <rPr>
        <b/>
        <sz val="9"/>
        <rFont val="Times New Roman"/>
        <family val="1"/>
      </rPr>
      <t>clases de musica)</t>
    </r>
  </si>
  <si>
    <r>
      <t>REMUNERACIONES DIVERSAS</t>
    </r>
    <r>
      <rPr>
        <b/>
        <sz val="9"/>
        <rFont val="Times New Roman"/>
        <family val="1"/>
      </rPr>
      <t xml:space="preserve"> ( Clases de musica)</t>
    </r>
  </si>
  <si>
    <r>
      <t>COMISIONES Y GASTOS BANCARIOS (</t>
    </r>
    <r>
      <rPr>
        <b/>
        <sz val="9"/>
        <rFont val="Times New Roman"/>
        <family val="1"/>
      </rPr>
      <t>Clases de musica)</t>
    </r>
  </si>
  <si>
    <r>
      <t>CONTRIBUCIONES A ORGANISMOS SIN FINES DE LUCRO</t>
    </r>
    <r>
      <rPr>
        <b/>
        <sz val="9"/>
        <rFont val="Times New Roman"/>
        <family val="1"/>
      </rPr>
      <t>( Clases de musica)</t>
    </r>
  </si>
  <si>
    <t>14-</t>
  </si>
  <si>
    <r>
      <rPr>
        <b/>
        <sz val="11"/>
        <rFont val="Times New Roman"/>
        <family val="1"/>
      </rPr>
      <t>PROYECTOS SOCIALES e INSTITUCIONALES</t>
    </r>
    <r>
      <rPr>
        <sz val="11"/>
        <rFont val="Times New Roman"/>
        <family val="1"/>
      </rPr>
      <t xml:space="preserve">: PROY. MEJORAMIENTO DE FACHADA  DEL PARQUE  MUNICIPAL FRENTE A LA ALCALDIA,DEL </t>
    </r>
    <r>
      <rPr>
        <b/>
        <sz val="11"/>
        <rFont val="Times New Roman"/>
        <family val="1"/>
      </rPr>
      <t xml:space="preserve"> MUNICIPIO.</t>
    </r>
    <r>
      <rPr>
        <b/>
        <sz val="8"/>
        <color rgb="FFFF0000"/>
        <rFont val="Times New Roman"/>
        <family val="1"/>
      </rPr>
      <t>(Se  presupusta para año 2018, del 75% fodes)  por $ 15,000.00,segun detalle de rubros:</t>
    </r>
  </si>
  <si>
    <r>
      <rPr>
        <sz val="9"/>
        <rFont val="Times New Roman"/>
        <family val="1"/>
      </rPr>
      <t>SALARIO DE JORNAL</t>
    </r>
    <r>
      <rPr>
        <b/>
        <sz val="9"/>
        <rFont val="Times New Roman"/>
        <family val="1"/>
      </rPr>
      <t>( mejoramiento parque mpal )</t>
    </r>
  </si>
  <si>
    <t>14)51202</t>
  </si>
  <si>
    <t>14)54107</t>
  </si>
  <si>
    <t>14)54110</t>
  </si>
  <si>
    <t>14)54111</t>
  </si>
  <si>
    <r>
      <t xml:space="preserve">PRODUCTOS QUIMICOS </t>
    </r>
    <r>
      <rPr>
        <b/>
        <sz val="9"/>
        <rFont val="Times New Roman"/>
        <family val="1"/>
      </rPr>
      <t>(mejoramiento parque mpal)</t>
    </r>
  </si>
  <si>
    <r>
      <t xml:space="preserve">COMBUSTIBLE Y LUBRICANTES  </t>
    </r>
    <r>
      <rPr>
        <b/>
        <sz val="9"/>
        <rFont val="Times New Roman"/>
        <family val="1"/>
      </rPr>
      <t>(mejoramento parque mpal)</t>
    </r>
  </si>
  <si>
    <r>
      <rPr>
        <sz val="9"/>
        <rFont val="Times New Roman"/>
        <family val="1"/>
      </rPr>
      <t>MINERALES NO METALICOS Y PRODUCTOS DERIVADOS</t>
    </r>
    <r>
      <rPr>
        <b/>
        <sz val="9"/>
        <rFont val="Times New Roman"/>
        <family val="1"/>
      </rPr>
      <t xml:space="preserve"> ( arena, cemento,  grava,etc para  mejoramieno parque mpal)</t>
    </r>
  </si>
  <si>
    <t>14)54112</t>
  </si>
  <si>
    <r>
      <t>MINERALES METALICOS Y PRODUCTOS DERIVADOS</t>
    </r>
    <r>
      <rPr>
        <b/>
        <sz val="9"/>
        <rFont val="Times New Roman"/>
        <family val="1"/>
      </rPr>
      <t>(material.cobre, hierro, etc, para mejoramiento parque mpal)</t>
    </r>
  </si>
  <si>
    <t>14)54399</t>
  </si>
  <si>
    <r>
      <t xml:space="preserve">SERVICIOS GENERALES Y ARRENDAMIENTOS DIVERSOS  </t>
    </r>
    <r>
      <rPr>
        <b/>
        <sz val="9"/>
        <rFont val="Times New Roman"/>
        <family val="1"/>
      </rPr>
      <t>(mejoramento parque mpal)</t>
    </r>
  </si>
  <si>
    <t>14)55603</t>
  </si>
  <si>
    <r>
      <t xml:space="preserve">COMISIONES Y GASTOS  BANCARIOS   </t>
    </r>
    <r>
      <rPr>
        <b/>
        <sz val="9"/>
        <rFont val="Times New Roman"/>
        <family val="1"/>
      </rPr>
      <t>(mejoramento parque mpal)</t>
    </r>
  </si>
  <si>
    <t>15-</t>
  </si>
  <si>
    <r>
      <rPr>
        <b/>
        <sz val="11"/>
        <rFont val="Times New Roman"/>
        <family val="1"/>
      </rPr>
      <t>PROYECTOS SOCIALES e INSTITUCIONALES</t>
    </r>
    <r>
      <rPr>
        <sz val="11"/>
        <rFont val="Times New Roman"/>
        <family val="1"/>
      </rPr>
      <t xml:space="preserve">: PROY. CONSTRUCCION DE SERVICIOS SANITARIOS Y TECHO DE LA CANCHA MUNICIPAL ,BO CONCEPCION, DE ESTE  </t>
    </r>
    <r>
      <rPr>
        <b/>
        <sz val="11"/>
        <rFont val="Times New Roman"/>
        <family val="1"/>
      </rPr>
      <t xml:space="preserve"> MUNICIPIO.</t>
    </r>
    <r>
      <rPr>
        <b/>
        <sz val="8"/>
        <color rgb="FFFF0000"/>
        <rFont val="Times New Roman"/>
        <family val="1"/>
      </rPr>
      <t>(Se  presupusta para año 2018, del 75% fodes)  por $ 15,000.00,segun detalle de rubros:</t>
    </r>
  </si>
  <si>
    <t>15)51202</t>
  </si>
  <si>
    <r>
      <rPr>
        <sz val="9"/>
        <rFont val="Times New Roman"/>
        <family val="1"/>
      </rPr>
      <t>SALARIO DE JORNAL</t>
    </r>
    <r>
      <rPr>
        <b/>
        <sz val="9"/>
        <rFont val="Times New Roman"/>
        <family val="1"/>
      </rPr>
      <t>( Construccion servicios sanitarios y techo cancha  )</t>
    </r>
  </si>
  <si>
    <r>
      <t xml:space="preserve">COMBUSTIBLE Y LUBRICANTES  </t>
    </r>
    <r>
      <rPr>
        <b/>
        <sz val="9"/>
        <rFont val="Times New Roman"/>
        <family val="1"/>
      </rPr>
      <t>(Construcción servicios sanitarios y techo cancha)</t>
    </r>
  </si>
  <si>
    <r>
      <rPr>
        <sz val="9"/>
        <rFont val="Times New Roman"/>
        <family val="1"/>
      </rPr>
      <t>MINERALES NO METALICOS Y PRODUCTOS DERIVADOS</t>
    </r>
    <r>
      <rPr>
        <b/>
        <sz val="9"/>
        <rFont val="Times New Roman"/>
        <family val="1"/>
      </rPr>
      <t xml:space="preserve"> ( arena, cemento,  grava,etc para  Construccion servicios sanitarios y techo cancha)</t>
    </r>
  </si>
  <si>
    <r>
      <t>MINERALES METALICOS Y PRODUCTOS DERIVADOS</t>
    </r>
    <r>
      <rPr>
        <b/>
        <sz val="9"/>
        <rFont val="Times New Roman"/>
        <family val="1"/>
      </rPr>
      <t>(material.cobre, hierro, etc, para construccion servicios sanitarios y techo cancha)</t>
    </r>
  </si>
  <si>
    <r>
      <t>SERVICIOS GENERALES Y ARRENDAMIENTOS DIVERSOS (</t>
    </r>
    <r>
      <rPr>
        <b/>
        <sz val="9"/>
        <rFont val="Times New Roman"/>
        <family val="1"/>
      </rPr>
      <t xml:space="preserve"> Construccion servicios sanitarios y techo cancha)</t>
    </r>
  </si>
  <si>
    <r>
      <t xml:space="preserve">COMISIONES Y GASTOS  BANCARIOS   </t>
    </r>
    <r>
      <rPr>
        <b/>
        <sz val="9"/>
        <rFont val="Times New Roman"/>
        <family val="1"/>
      </rPr>
      <t>(construccion servicios sanitarios y techo cancha)</t>
    </r>
  </si>
  <si>
    <t>15)54110</t>
  </si>
  <si>
    <t>15)54111</t>
  </si>
  <si>
    <t>15)54112</t>
  </si>
  <si>
    <t>15)54399</t>
  </si>
  <si>
    <t>15)55603</t>
  </si>
  <si>
    <t>16-</t>
  </si>
  <si>
    <t>16)51999</t>
  </si>
  <si>
    <r>
      <t>REMUNERACIONES DIVERSAS (</t>
    </r>
    <r>
      <rPr>
        <b/>
        <sz val="11"/>
        <rFont val="Times New Roman"/>
        <family val="1"/>
      </rPr>
      <t xml:space="preserve"> aperturas de escuelas de artes)</t>
    </r>
  </si>
  <si>
    <r>
      <rPr>
        <b/>
        <sz val="11"/>
        <rFont val="Times New Roman"/>
        <family val="1"/>
      </rPr>
      <t>PROYECTOS SOCIALES e INSTITUCIONALES</t>
    </r>
    <r>
      <rPr>
        <sz val="11"/>
        <rFont val="Times New Roman"/>
        <family val="1"/>
      </rPr>
      <t xml:space="preserve">: PROY.  APERTURAS DE ESCUELAS  DE ARTES EN QUE SE IMPARTAN CLASE DE DANZA,CERAMICA,BASQUETBOL Y CREACION  DE CENTROS DE FORMACION DE CONCENTRADOS, MECANICA AUTOMOTRIZ, CORTE Y CONFECCION, SASTRERIA, FLORISTERIA, PIÑATERIA, CARPINTERIA, PANADERIA, COMPUTACION, MTTO Y REPARACION DE COMPUTADORAS  DE ESTE  </t>
    </r>
    <r>
      <rPr>
        <b/>
        <sz val="11"/>
        <rFont val="Times New Roman"/>
        <family val="1"/>
      </rPr>
      <t xml:space="preserve"> MUNICIPIO.</t>
    </r>
    <r>
      <rPr>
        <b/>
        <sz val="8"/>
        <color rgb="FFFF0000"/>
        <rFont val="Times New Roman"/>
        <family val="1"/>
      </rPr>
      <t>(Se  presupusta para año 2018, del 75% fodes-plan estrategico)  por $ 10,000.00,segun detalle de rubros:</t>
    </r>
  </si>
  <si>
    <t>17-</t>
  </si>
  <si>
    <r>
      <rPr>
        <b/>
        <sz val="11"/>
        <rFont val="Times New Roman"/>
        <family val="1"/>
      </rPr>
      <t>PROYECTOS SOCIALES e INSTITUCIONALES</t>
    </r>
    <r>
      <rPr>
        <sz val="11"/>
        <rFont val="Times New Roman"/>
        <family val="1"/>
      </rPr>
      <t xml:space="preserve">: PROY.  FORTALECIMIENTO DE LA UNIDAD DE  COMUNICACIONES DE LA ALCALDIA MUNICIPAL,DE ESTE   </t>
    </r>
    <r>
      <rPr>
        <b/>
        <sz val="11"/>
        <rFont val="Times New Roman"/>
        <family val="1"/>
      </rPr>
      <t xml:space="preserve"> MUNICIPIO.</t>
    </r>
    <r>
      <rPr>
        <b/>
        <sz val="8"/>
        <color rgb="FFFF0000"/>
        <rFont val="Times New Roman"/>
        <family val="1"/>
      </rPr>
      <t>(Se  presupusta para año 2018, del 75% fodes-plan estrategico)  por $ 20,000.00,segun detalle de rubros:</t>
    </r>
  </si>
  <si>
    <r>
      <t xml:space="preserve">REMUNERACIONES  DIVERSAS </t>
    </r>
    <r>
      <rPr>
        <b/>
        <sz val="11"/>
        <rFont val="Times New Roman"/>
        <family val="1"/>
      </rPr>
      <t>(fortalec.comunicaciones)</t>
    </r>
  </si>
  <si>
    <r>
      <t xml:space="preserve">MINERALES METALICOS Y PRODUCTOS DERIVADOS </t>
    </r>
    <r>
      <rPr>
        <b/>
        <sz val="11"/>
        <rFont val="Times New Roman"/>
        <family val="1"/>
      </rPr>
      <t>(fortalec.comunicaciones)</t>
    </r>
  </si>
  <si>
    <r>
      <t xml:space="preserve">BIENES DE USO Y CONSUMO DIVERSOS </t>
    </r>
    <r>
      <rPr>
        <b/>
        <sz val="11"/>
        <rFont val="Times New Roman"/>
        <family val="1"/>
      </rPr>
      <t>(fortalec.comunicaciones)</t>
    </r>
  </si>
  <si>
    <r>
      <t>SERVICIOS DE PUBLICIDAD(</t>
    </r>
    <r>
      <rPr>
        <b/>
        <sz val="11"/>
        <rFont val="Times New Roman"/>
        <family val="1"/>
      </rPr>
      <t xml:space="preserve"> fortalec. Comunicaciones )</t>
    </r>
  </si>
  <si>
    <r>
      <t>IMPRESIONES,PUBLICACIONES Y REPRODUCCIONES (</t>
    </r>
    <r>
      <rPr>
        <b/>
        <sz val="11"/>
        <rFont val="Times New Roman"/>
        <family val="1"/>
      </rPr>
      <t>fortalec. comunicaciones)</t>
    </r>
  </si>
  <si>
    <r>
      <t>SERVICIOS GENERALES Y ARRENDAMIENTOS DIVERSOS</t>
    </r>
    <r>
      <rPr>
        <b/>
        <sz val="11"/>
        <rFont val="Times New Roman"/>
        <family val="1"/>
      </rPr>
      <t>(fortalec.comunicaciones)</t>
    </r>
  </si>
  <si>
    <r>
      <t>COMISIONES Y GASTOS  BANCARIOS(fo</t>
    </r>
    <r>
      <rPr>
        <b/>
        <sz val="11"/>
        <rFont val="Times New Roman"/>
        <family val="1"/>
      </rPr>
      <t>rtalec.comunicaciones)</t>
    </r>
  </si>
  <si>
    <t>18-</t>
  </si>
  <si>
    <r>
      <rPr>
        <b/>
        <sz val="11"/>
        <rFont val="Times New Roman"/>
        <family val="1"/>
      </rPr>
      <t>PROYECTOS SOCIALES e INSTITUCIONALES</t>
    </r>
    <r>
      <rPr>
        <sz val="11"/>
        <rFont val="Times New Roman"/>
        <family val="1"/>
      </rPr>
      <t xml:space="preserve">: PROY.  MANTENIMIENTO Y AMPLIACION DEL SISTEMA PUBLICO DE ALUMBRADO ELECTRICO DE ESTE   </t>
    </r>
    <r>
      <rPr>
        <b/>
        <sz val="11"/>
        <rFont val="Times New Roman"/>
        <family val="1"/>
      </rPr>
      <t xml:space="preserve"> MUNICIPIO.</t>
    </r>
    <r>
      <rPr>
        <b/>
        <sz val="8"/>
        <color rgb="FFFF0000"/>
        <rFont val="Times New Roman"/>
        <family val="1"/>
      </rPr>
      <t>(Se  presupusta para año 2018, del 75% fodes-)  por $ 25,000.00,segun detalle de rubros:</t>
    </r>
  </si>
  <si>
    <r>
      <t>MATERIALES ELECTRICOS (</t>
    </r>
    <r>
      <rPr>
        <b/>
        <sz val="9"/>
        <rFont val="Times New Roman"/>
        <family val="1"/>
      </rPr>
      <t>mtto y ampliac.alumbrado publico)</t>
    </r>
  </si>
  <si>
    <r>
      <t>MINERALES METALICOS Y PRODUCTOS DEREIVADOS (</t>
    </r>
    <r>
      <rPr>
        <b/>
        <sz val="9"/>
        <rFont val="Times New Roman"/>
        <family val="1"/>
      </rPr>
      <t>mtto y ampliac.alumbrado publico)</t>
    </r>
  </si>
  <si>
    <r>
      <t>BIENES DE USOS Y CONSUMO DIVERSOS (</t>
    </r>
    <r>
      <rPr>
        <b/>
        <sz val="9"/>
        <rFont val="Times New Roman"/>
        <family val="1"/>
      </rPr>
      <t>mtto y ampliac.alumbrado publico)</t>
    </r>
  </si>
  <si>
    <r>
      <t xml:space="preserve">SERVICIOS GENERALES Y ARRENDAMIENTOS DIVERSOS </t>
    </r>
    <r>
      <rPr>
        <b/>
        <sz val="9"/>
        <rFont val="Times New Roman"/>
        <family val="1"/>
      </rPr>
      <t>(mtto y ampliacion alumbrado publico)</t>
    </r>
  </si>
  <si>
    <r>
      <t>COMISIONES Y GASTOS BANCARIOS(</t>
    </r>
    <r>
      <rPr>
        <b/>
        <sz val="9"/>
        <rFont val="Times New Roman"/>
        <family val="1"/>
      </rPr>
      <t>mtto y ampliac.alumb,public)</t>
    </r>
  </si>
  <si>
    <t>19-</t>
  </si>
  <si>
    <r>
      <rPr>
        <b/>
        <sz val="11"/>
        <rFont val="Times New Roman"/>
        <family val="1"/>
      </rPr>
      <t>PROYECTOS SOCIALES e INSTITUCIONALES</t>
    </r>
    <r>
      <rPr>
        <sz val="11"/>
        <rFont val="Times New Roman"/>
        <family val="1"/>
      </rPr>
      <t xml:space="preserve">: PROY.  MANTENIMIENTO Y REPARACION DE BIENES MUEBLES DE LA MUNICIPALIDAD </t>
    </r>
    <r>
      <rPr>
        <b/>
        <sz val="8"/>
        <color rgb="FFFF0000"/>
        <rFont val="Times New Roman"/>
        <family val="1"/>
      </rPr>
      <t>(Se  presupusta para año 2018, del 75% fodes-)  por                        $ 20,000.00,segun detalle de rubros:</t>
    </r>
  </si>
  <si>
    <r>
      <t>REMUNERACIONES DIVERSAS(</t>
    </r>
    <r>
      <rPr>
        <b/>
        <sz val="11"/>
        <rFont val="Times New Roman"/>
        <family val="1"/>
      </rPr>
      <t>mtto y reparac.de bienes muebles)</t>
    </r>
  </si>
  <si>
    <r>
      <t xml:space="preserve">MINERALES NO METALICOS Y PRODUCTOS DERIVADOS( </t>
    </r>
    <r>
      <rPr>
        <b/>
        <sz val="11"/>
        <rFont val="Times New Roman"/>
        <family val="1"/>
      </rPr>
      <t>Mtto y reparac. De bienes muebles)</t>
    </r>
  </si>
  <si>
    <r>
      <t>MINERALES METALICOS Y PRODUCTOS DERIVADOS (</t>
    </r>
    <r>
      <rPr>
        <b/>
        <sz val="11"/>
        <rFont val="Times New Roman"/>
        <family val="1"/>
      </rPr>
      <t>Mtto y reparac.de Bienes muebles)</t>
    </r>
  </si>
  <si>
    <r>
      <t>HERRAMIENTAS,REPUESTOS Y ACCESORIOS (</t>
    </r>
    <r>
      <rPr>
        <b/>
        <sz val="11"/>
        <rFont val="Times New Roman"/>
        <family val="1"/>
      </rPr>
      <t xml:space="preserve"> Mtto y reparac.de bienes muebles</t>
    </r>
    <r>
      <rPr>
        <sz val="11"/>
        <rFont val="Times New Roman"/>
        <family val="1"/>
      </rPr>
      <t>)</t>
    </r>
  </si>
  <si>
    <r>
      <t>BIENE DE USO Y CONSUMO DIVERSOS (</t>
    </r>
    <r>
      <rPr>
        <b/>
        <sz val="11"/>
        <rFont val="Times New Roman"/>
        <family val="1"/>
      </rPr>
      <t>Mtto y reparac.de bienes muebles)</t>
    </r>
  </si>
  <si>
    <r>
      <t>MANTENIMIENTO Y REPARACION DE BIENES MUEBLES(</t>
    </r>
    <r>
      <rPr>
        <b/>
        <sz val="11"/>
        <rFont val="Times New Roman"/>
        <family val="1"/>
      </rPr>
      <t>mtto y reparac.de bienes muebles)</t>
    </r>
  </si>
  <si>
    <r>
      <t>SERVICIOS GENERALES Y ARRENDAMIENTOS DIVERSOS (</t>
    </r>
    <r>
      <rPr>
        <b/>
        <sz val="11"/>
        <rFont val="Times New Roman"/>
        <family val="1"/>
      </rPr>
      <t>mttoy reparac.de bienes muebles)</t>
    </r>
  </si>
  <si>
    <r>
      <t xml:space="preserve">COMISIONES Y GASTOS BANCARIOS </t>
    </r>
    <r>
      <rPr>
        <b/>
        <sz val="11"/>
        <rFont val="Times New Roman"/>
        <family val="1"/>
      </rPr>
      <t>(mtto y reparac.de bienes muebles)</t>
    </r>
  </si>
  <si>
    <t>20-</t>
  </si>
  <si>
    <r>
      <rPr>
        <b/>
        <sz val="11"/>
        <rFont val="Times New Roman"/>
        <family val="1"/>
      </rPr>
      <t>PROYECTOS SOCIALES e INSTITUCIONALES</t>
    </r>
    <r>
      <rPr>
        <sz val="11"/>
        <rFont val="Times New Roman"/>
        <family val="1"/>
      </rPr>
      <t xml:space="preserve">: PROY.  OBRAS DE MITIGACION EN PROYECTOS  A REALIZARCE EN DIFERENTES LUGARES DEL MUNICIPIO </t>
    </r>
    <r>
      <rPr>
        <b/>
        <sz val="8"/>
        <color rgb="FFFF0000"/>
        <rFont val="Times New Roman"/>
        <family val="1"/>
      </rPr>
      <t>(Se  presupusta para año 2018, del 75% fodes-)  por  $ 66,000.00,segun detalle de rubros:</t>
    </r>
  </si>
  <si>
    <r>
      <t>SALARIOS DE JORNAL (</t>
    </r>
    <r>
      <rPr>
        <b/>
        <sz val="11"/>
        <rFont val="Times New Roman"/>
        <family val="1"/>
      </rPr>
      <t>obras de mitigacion)</t>
    </r>
  </si>
  <si>
    <r>
      <t>COMBUTIBLE Y LUBRICANTES</t>
    </r>
    <r>
      <rPr>
        <b/>
        <sz val="11"/>
        <rFont val="Times New Roman"/>
        <family val="1"/>
      </rPr>
      <t>(obras de mitigacion)</t>
    </r>
  </si>
  <si>
    <r>
      <t>MINERLES NO METALICOS Y PRODUCTOS DERIVADOS</t>
    </r>
    <r>
      <rPr>
        <b/>
        <sz val="11"/>
        <rFont val="Times New Roman"/>
        <family val="1"/>
      </rPr>
      <t>( obras de mitigacion)</t>
    </r>
  </si>
  <si>
    <r>
      <t xml:space="preserve">MINERALES METALICOS  Y PRODUCTOS DERIVADOS( </t>
    </r>
    <r>
      <rPr>
        <b/>
        <sz val="11"/>
        <rFont val="Times New Roman"/>
        <family val="1"/>
      </rPr>
      <t>obras de mitigacion)</t>
    </r>
  </si>
  <si>
    <r>
      <t xml:space="preserve">IMPRESIONES, PUBLICACIONES Y REPRODUCCIONES </t>
    </r>
    <r>
      <rPr>
        <b/>
        <sz val="11"/>
        <rFont val="Times New Roman"/>
        <family val="1"/>
      </rPr>
      <t>(obras de mitigacion)</t>
    </r>
  </si>
  <si>
    <r>
      <t xml:space="preserve">ARRENDAMIENTOS DE BIENES MUEBLES( </t>
    </r>
    <r>
      <rPr>
        <b/>
        <sz val="11"/>
        <rFont val="Times New Roman"/>
        <family val="1"/>
      </rPr>
      <t>obras de mitigacion)</t>
    </r>
  </si>
  <si>
    <r>
      <t>SERVICIOS GENERALES Y ARRENDAMIENTOS  DIVERSOS (</t>
    </r>
    <r>
      <rPr>
        <b/>
        <sz val="11"/>
        <rFont val="Times New Roman"/>
        <family val="1"/>
      </rPr>
      <t>obras de mitigacion)</t>
    </r>
  </si>
  <si>
    <r>
      <t>COMISIONES Y GASTOS BANCARIOS (</t>
    </r>
    <r>
      <rPr>
        <b/>
        <sz val="11"/>
        <rFont val="Times New Roman"/>
        <family val="1"/>
      </rPr>
      <t xml:space="preserve"> obras de mitigacion)</t>
    </r>
  </si>
  <si>
    <r>
      <t>GASTOS  DIVERSOS (</t>
    </r>
    <r>
      <rPr>
        <b/>
        <sz val="11"/>
        <rFont val="Times New Roman"/>
        <family val="1"/>
      </rPr>
      <t>obras de mitigacion)</t>
    </r>
  </si>
  <si>
    <t>21-</t>
  </si>
  <si>
    <r>
      <rPr>
        <b/>
        <sz val="11"/>
        <rFont val="Times New Roman"/>
        <family val="1"/>
      </rPr>
      <t>PROYECTOS SOCIALES e INSTITUCIONALES</t>
    </r>
    <r>
      <rPr>
        <sz val="11"/>
        <rFont val="Times New Roman"/>
        <family val="1"/>
      </rPr>
      <t>: CELEBRACION ARTISTICA CULTURAL DE LAS FIESTAS PATRONALES DE COMUNIDADES DE LOS 17 CANTONES DEL MUNICIPIO</t>
    </r>
    <r>
      <rPr>
        <b/>
        <sz val="8"/>
        <color rgb="FFFF0000"/>
        <rFont val="Times New Roman"/>
        <family val="1"/>
      </rPr>
      <t>(Se  presupusta para año 2018, del 75% fodes-)  por  $ 45,000.00,segun detalle de rubros:</t>
    </r>
  </si>
  <si>
    <r>
      <t>BIENES DE USOS Y CONSUMO DIVERSOS (</t>
    </r>
    <r>
      <rPr>
        <b/>
        <sz val="11"/>
        <rFont val="Times New Roman"/>
        <family val="1"/>
      </rPr>
      <t>celebrac.artist.cult.ctones del municipio)</t>
    </r>
  </si>
  <si>
    <r>
      <t xml:space="preserve">ATENCIONES OFICIALES( </t>
    </r>
    <r>
      <rPr>
        <b/>
        <sz val="11"/>
        <rFont val="Times New Roman"/>
        <family val="1"/>
      </rPr>
      <t>celebrac.artisticcult.ctone del municipio)</t>
    </r>
  </si>
  <si>
    <r>
      <t xml:space="preserve">SERVICIOS  GRALES Y ARRENDAMIENTOS DIVERSOS   ( </t>
    </r>
    <r>
      <rPr>
        <b/>
        <sz val="11"/>
        <rFont val="Times New Roman"/>
        <family val="1"/>
      </rPr>
      <t>celebracion, artistica   ctons del municipio)</t>
    </r>
  </si>
  <si>
    <r>
      <t xml:space="preserve">COMIISIONES Y GASTOS BANCARIOS( </t>
    </r>
    <r>
      <rPr>
        <b/>
        <sz val="11"/>
        <rFont val="Times New Roman"/>
        <family val="1"/>
      </rPr>
      <t>celebrac.artistica cultural ctones del muncipio</t>
    </r>
  </si>
  <si>
    <r>
      <t>A ORGANIMSO SIN FINES DE LUCRO (</t>
    </r>
    <r>
      <rPr>
        <b/>
        <sz val="11"/>
        <rFont val="Times New Roman"/>
        <family val="1"/>
      </rPr>
      <t>celebrac.artist.cult.ctones del municipio.</t>
    </r>
  </si>
  <si>
    <r>
      <rPr>
        <b/>
        <sz val="11"/>
        <rFont val="Times New Roman"/>
        <family val="1"/>
      </rPr>
      <t>PROYECTOS SOCIALES e INSTITUCIONALES: C</t>
    </r>
    <r>
      <rPr>
        <sz val="11"/>
        <rFont val="Times New Roman"/>
        <family val="1"/>
      </rPr>
      <t xml:space="preserve">ELEBRACION DE  FIESTAS  CO-PATRONALES EN HONOR </t>
    </r>
    <r>
      <rPr>
        <b/>
        <sz val="11"/>
        <rFont val="Times New Roman"/>
        <family val="1"/>
      </rPr>
      <t>A SA</t>
    </r>
    <r>
      <rPr>
        <sz val="11"/>
        <rFont val="Times New Roman"/>
        <family val="1"/>
      </rPr>
      <t>NTA FRANCISCA ROMANA DE ESTE MUNICIPIO</t>
    </r>
    <r>
      <rPr>
        <b/>
        <sz val="8"/>
        <color rgb="FFFF0000"/>
        <rFont val="Times New Roman"/>
        <family val="1"/>
      </rPr>
      <t>(Se  presupusta para año 2018, del 75% fodes-marzo)  por  $ 5,000.00,segun detalle de rubros:</t>
    </r>
  </si>
  <si>
    <t>22-</t>
  </si>
  <si>
    <r>
      <t>BIENES DE USO Y CONSUMO DIVERSOS(</t>
    </r>
    <r>
      <rPr>
        <b/>
        <sz val="11"/>
        <rFont val="Times New Roman"/>
        <family val="1"/>
      </rPr>
      <t>ftas Sta Francisca)</t>
    </r>
  </si>
  <si>
    <r>
      <t>ATENCIONES OFICIALES</t>
    </r>
    <r>
      <rPr>
        <b/>
        <sz val="11"/>
        <rFont val="Times New Roman"/>
        <family val="1"/>
      </rPr>
      <t>( celebrac. Fiestas  Sta Francisca)</t>
    </r>
  </si>
  <si>
    <r>
      <t>SERVICIOS GENERALES Y ARRENDAMIENTOS DIVERSOS</t>
    </r>
    <r>
      <rPr>
        <b/>
        <sz val="11"/>
        <rFont val="Times New Roman"/>
        <family val="1"/>
      </rPr>
      <t>( celebrac. Fiestas  Sta Francisca)</t>
    </r>
  </si>
  <si>
    <r>
      <t xml:space="preserve">COMISIONES Y GASTOS BANCARIOS </t>
    </r>
    <r>
      <rPr>
        <b/>
        <sz val="11"/>
        <rFont val="Times New Roman"/>
        <family val="1"/>
      </rPr>
      <t>( celebrac. Fiestas  Sta Francisca)</t>
    </r>
  </si>
  <si>
    <r>
      <t xml:space="preserve">GASTOS DIVERSOS  </t>
    </r>
    <r>
      <rPr>
        <b/>
        <sz val="11"/>
        <rFont val="Times New Roman"/>
        <family val="1"/>
      </rPr>
      <t>( celebrac. Fiestas  Sta Francisca)</t>
    </r>
  </si>
  <si>
    <t>23-</t>
  </si>
  <si>
    <r>
      <rPr>
        <b/>
        <sz val="11"/>
        <rFont val="Times New Roman"/>
        <family val="1"/>
      </rPr>
      <t xml:space="preserve">PROYECTOS SOCIALES e INSTITUCIONALES:  </t>
    </r>
    <r>
      <rPr>
        <sz val="11"/>
        <rFont val="Times New Roman"/>
        <family val="1"/>
      </rPr>
      <t>CELEBRACIONES  FIETAS PATRONALES Y CULTURALE</t>
    </r>
    <r>
      <rPr>
        <b/>
        <sz val="11"/>
        <rFont val="Times New Roman"/>
        <family val="1"/>
      </rPr>
      <t xml:space="preserve">S  EN </t>
    </r>
    <r>
      <rPr>
        <sz val="11"/>
        <rFont val="Times New Roman"/>
        <family val="1"/>
      </rPr>
      <t>HONOR A SAN PEDRO APOSTOL EN  ESTE MUNICIPIO</t>
    </r>
    <r>
      <rPr>
        <b/>
        <sz val="8"/>
        <color rgb="FFFF0000"/>
        <rFont val="Times New Roman"/>
        <family val="1"/>
      </rPr>
      <t>(Se  presupusta para año 2018, del 75% fodes- junio )  por  $ 45,000.00,segun detalle de rubros:</t>
    </r>
  </si>
  <si>
    <r>
      <t>BIENES DE USO  Y CONSUMOS DIVERSOS (</t>
    </r>
    <r>
      <rPr>
        <b/>
        <sz val="11"/>
        <rFont val="Times New Roman"/>
        <family val="1"/>
      </rPr>
      <t>Celeb fiestas San Pedro Apostol)</t>
    </r>
  </si>
  <si>
    <r>
      <t>ATENCIONES OFICIALES (</t>
    </r>
    <r>
      <rPr>
        <b/>
        <sz val="11"/>
        <rFont val="Times New Roman"/>
        <family val="1"/>
      </rPr>
      <t>Celeb fiestas San Pedro Apostol)</t>
    </r>
  </si>
  <si>
    <r>
      <t>IMPRESIONES, PUBLICACIONES Y REPRODUCCIONES(</t>
    </r>
    <r>
      <rPr>
        <b/>
        <sz val="11"/>
        <rFont val="Times New Roman"/>
        <family val="1"/>
      </rPr>
      <t>Celeb fiestas San Pedro Apostol)</t>
    </r>
  </si>
  <si>
    <r>
      <t>COMISIONES Y GASTOS BANCARIOS(</t>
    </r>
    <r>
      <rPr>
        <b/>
        <sz val="11"/>
        <rFont val="Times New Roman"/>
        <family val="1"/>
      </rPr>
      <t>Celeb fiestas San Pedro Apostol)</t>
    </r>
  </si>
  <si>
    <r>
      <t>A ORGANISMOS SIN FINES DE LUCRO (</t>
    </r>
    <r>
      <rPr>
        <b/>
        <sz val="11"/>
        <rFont val="Times New Roman"/>
        <family val="1"/>
      </rPr>
      <t>Celeb fiestas San Pedro Apostol)</t>
    </r>
  </si>
  <si>
    <r>
      <t>SERVICIOS GENERALES Y ARRENDAMIENTOS DIVERSOS(</t>
    </r>
    <r>
      <rPr>
        <b/>
        <sz val="11"/>
        <rFont val="Times New Roman"/>
        <family val="1"/>
      </rPr>
      <t>Celeb fiestas San Pedro Apostol)</t>
    </r>
  </si>
  <si>
    <t>24-</t>
  </si>
  <si>
    <r>
      <rPr>
        <b/>
        <sz val="11"/>
        <rFont val="Times New Roman"/>
        <family val="1"/>
      </rPr>
      <t xml:space="preserve">PROYECTOS SOCIALES e INSTITUCIONALES:    </t>
    </r>
    <r>
      <rPr>
        <sz val="11"/>
        <rFont val="Times New Roman"/>
        <family val="1"/>
      </rPr>
      <t>CONMEMORACION BATALLA DEL GENERAL FRANCISCO MORAZAN 179 ANIVERSARIO  EN EL MUNICIPIO</t>
    </r>
    <r>
      <rPr>
        <b/>
        <sz val="8"/>
        <color rgb="FFFF0000"/>
        <rFont val="Times New Roman"/>
        <family val="1"/>
      </rPr>
      <t>(Se  presupusta para año 2018, del 75% fodes- Sept )  por  $ 10,279.74,segun detalle de rubros:</t>
    </r>
  </si>
  <si>
    <r>
      <t>BIENES DE USO Y CONSUMO DIVERSOS</t>
    </r>
    <r>
      <rPr>
        <b/>
        <sz val="11"/>
        <rFont val="Times New Roman"/>
        <family val="1"/>
      </rPr>
      <t xml:space="preserve"> (Conme. Del Gral  Francisco Morazan)</t>
    </r>
  </si>
  <si>
    <r>
      <rPr>
        <sz val="11"/>
        <rFont val="Times New Roman"/>
        <family val="1"/>
      </rPr>
      <t>ATENCIONES OFICIALES</t>
    </r>
    <r>
      <rPr>
        <b/>
        <sz val="11"/>
        <rFont val="Times New Roman"/>
        <family val="1"/>
      </rPr>
      <t xml:space="preserve"> (Conme. Del Gral  Francisco Morazan)</t>
    </r>
  </si>
  <si>
    <r>
      <rPr>
        <sz val="11"/>
        <rFont val="Times New Roman"/>
        <family val="1"/>
      </rPr>
      <t>SERVICIOS GENERALES Y ARRENDAMIENTOS DIVERSOS</t>
    </r>
    <r>
      <rPr>
        <b/>
        <sz val="11"/>
        <rFont val="Times New Roman"/>
        <family val="1"/>
      </rPr>
      <t xml:space="preserve">  (Conme. Del Gral  Francisco Morazan)</t>
    </r>
  </si>
  <si>
    <r>
      <rPr>
        <sz val="11"/>
        <rFont val="Times New Roman"/>
        <family val="1"/>
      </rPr>
      <t>COMISIONES Y GASTOS BANCARIO</t>
    </r>
    <r>
      <rPr>
        <b/>
        <sz val="11"/>
        <rFont val="Times New Roman"/>
        <family val="1"/>
      </rPr>
      <t>S  (Conme. Del Gral  Francisco Morazan)</t>
    </r>
  </si>
  <si>
    <r>
      <rPr>
        <sz val="11"/>
        <rFont val="Times New Roman"/>
        <family val="1"/>
      </rPr>
      <t>A ORGANISMOS SIN FINES DE LUCRO</t>
    </r>
    <r>
      <rPr>
        <b/>
        <sz val="11"/>
        <rFont val="Times New Roman"/>
        <family val="1"/>
      </rPr>
      <t xml:space="preserve">  (Conme. Del Gral  Francisco Morazan)</t>
    </r>
  </si>
  <si>
    <r>
      <rPr>
        <b/>
        <sz val="11"/>
        <rFont val="Times New Roman"/>
        <family val="1"/>
      </rPr>
      <t xml:space="preserve">PROYECTOS SOCIALES e INSTITUCIONALES:  </t>
    </r>
    <r>
      <rPr>
        <sz val="11"/>
        <rFont val="Times New Roman"/>
        <family val="1"/>
      </rPr>
      <t xml:space="preserve">CELEBRACION NAVIDEÑA , PARA NIÑOS , DEL CASCO URBANO Y CANTONES /17  </t>
    </r>
    <r>
      <rPr>
        <b/>
        <sz val="8"/>
        <color rgb="FFFF0000"/>
        <rFont val="Times New Roman"/>
        <family val="1"/>
      </rPr>
      <t>(Según conciliac. Banc. A dic/17 se trae un  saldo de $1,949.81 , que pasa al presup. Del 75% fodes para  año 2018.)</t>
    </r>
  </si>
  <si>
    <t>25-</t>
  </si>
  <si>
    <r>
      <t xml:space="preserve">ATENCIONES OFICIALES </t>
    </r>
    <r>
      <rPr>
        <b/>
        <sz val="11"/>
        <rFont val="Times New Roman"/>
        <family val="1"/>
      </rPr>
      <t>(Celeb  Nav.en los 17/cantones.)</t>
    </r>
  </si>
  <si>
    <t>26-</t>
  </si>
  <si>
    <r>
      <t>BIENES DE USO Y CONSUMO DIVERSOS</t>
    </r>
    <r>
      <rPr>
        <b/>
        <sz val="11"/>
        <rFont val="Times New Roman"/>
        <family val="1"/>
      </rPr>
      <t xml:space="preserve"> (Celeb. Nav en Casco Urbano y  Cantones del Mun)</t>
    </r>
  </si>
  <si>
    <r>
      <rPr>
        <sz val="11"/>
        <rFont val="Times New Roman"/>
        <family val="1"/>
      </rPr>
      <t>ATENCIONES OFICIALES</t>
    </r>
    <r>
      <rPr>
        <b/>
        <sz val="11"/>
        <rFont val="Times New Roman"/>
        <family val="1"/>
      </rPr>
      <t xml:space="preserve"> (Celeb. Nav en Casco Urbano y  Cantones del Mun)</t>
    </r>
  </si>
  <si>
    <r>
      <rPr>
        <sz val="11"/>
        <rFont val="Times New Roman"/>
        <family val="1"/>
      </rPr>
      <t>IMPRESIONES, PUBLICACIONES Y REPRODUCCIONES</t>
    </r>
    <r>
      <rPr>
        <b/>
        <sz val="11"/>
        <rFont val="Times New Roman"/>
        <family val="1"/>
      </rPr>
      <t xml:space="preserve"> (Celeb. Nav en Casco Urbano y  Cantones del Mun)</t>
    </r>
  </si>
  <si>
    <r>
      <rPr>
        <sz val="11"/>
        <rFont val="Times New Roman"/>
        <family val="1"/>
      </rPr>
      <t>SERVICIOS GENERALES Y ARRENDAMIENTOS DVERSOS</t>
    </r>
    <r>
      <rPr>
        <b/>
        <sz val="11"/>
        <rFont val="Times New Roman"/>
        <family val="1"/>
      </rPr>
      <t>(Celeb. Nav en Casco Urbano y  Cantones del Mun)</t>
    </r>
  </si>
  <si>
    <r>
      <rPr>
        <sz val="11"/>
        <rFont val="Times New Roman"/>
        <family val="1"/>
      </rPr>
      <t>COMISIONES Y  GASTOS BANCARIOS</t>
    </r>
    <r>
      <rPr>
        <b/>
        <sz val="11"/>
        <rFont val="Times New Roman"/>
        <family val="1"/>
      </rPr>
      <t xml:space="preserve"> (Celeb. Nav en Casco Urbano y  Cantones del Mun)</t>
    </r>
  </si>
  <si>
    <r>
      <rPr>
        <sz val="11"/>
        <rFont val="Times New Roman"/>
        <family val="1"/>
      </rPr>
      <t xml:space="preserve">A  ORGANISMOS SIN FINES DE LUCRO </t>
    </r>
    <r>
      <rPr>
        <b/>
        <sz val="11"/>
        <rFont val="Times New Roman"/>
        <family val="1"/>
      </rPr>
      <t>(Celeb. Nav en Casco Urbano y  Cantones del Mun)</t>
    </r>
  </si>
  <si>
    <t>27-</t>
  </si>
  <si>
    <r>
      <rPr>
        <b/>
        <sz val="11"/>
        <rFont val="Times New Roman"/>
        <family val="1"/>
      </rPr>
      <t xml:space="preserve">PROYECTOS SOCIALES e INSTITUCIONALES:  </t>
    </r>
    <r>
      <rPr>
        <sz val="11"/>
        <rFont val="Times New Roman"/>
        <family val="1"/>
      </rPr>
      <t xml:space="preserve"> HECHURA DE RAMPAS , MARCACION  DE PARADAS DE BUSES, TUMULOS Y BASUREROS  EN EL CASCO URBANO DEL MJNCIPIO  </t>
    </r>
    <r>
      <rPr>
        <b/>
        <sz val="8"/>
        <color rgb="FFFF0000"/>
        <rFont val="Times New Roman"/>
        <family val="1"/>
      </rPr>
      <t>(Se presupuesta  del 75% , para año 2018) por $8,820.00 según detalles de rubros</t>
    </r>
  </si>
  <si>
    <r>
      <rPr>
        <b/>
        <sz val="11"/>
        <rFont val="Times New Roman"/>
        <family val="1"/>
      </rPr>
      <t xml:space="preserve">PROYECTOS SOCIALES e INSTITUCIONALES:  </t>
    </r>
    <r>
      <rPr>
        <sz val="11"/>
        <rFont val="Times New Roman"/>
        <family val="1"/>
      </rPr>
      <t xml:space="preserve">CELEBRACION NAVIDEÑA,  PARA NIÑOS  DEL CASCO URBANO  Y CANTONES DEL MJNCIPIO  </t>
    </r>
    <r>
      <rPr>
        <b/>
        <sz val="8"/>
        <color rgb="FFFF0000"/>
        <rFont val="Times New Roman"/>
        <family val="1"/>
      </rPr>
      <t>(Se presupuesta  del 75% , para año 2018- diciembre) por $35,000.00 según detalles de rubros</t>
    </r>
  </si>
  <si>
    <r>
      <t>SALARIO DE JORNAL</t>
    </r>
    <r>
      <rPr>
        <b/>
        <sz val="11"/>
        <rFont val="Times New Roman"/>
        <family val="1"/>
      </rPr>
      <t xml:space="preserve"> (Hechura de rampas, marc y paradas de buses en el Mun.)</t>
    </r>
  </si>
  <si>
    <r>
      <t>MINERALES NO METALICOS Y PRODUCTOS DERIVADOS</t>
    </r>
    <r>
      <rPr>
        <b/>
        <sz val="11"/>
        <rFont val="Times New Roman"/>
        <family val="1"/>
      </rPr>
      <t xml:space="preserve">  (Hechura de rampas, marc y paradas de buses en el Mun.)</t>
    </r>
  </si>
  <si>
    <r>
      <t>MINERALES  METALICOS Y PRODUCTOS DERIVADOS</t>
    </r>
    <r>
      <rPr>
        <b/>
        <sz val="11"/>
        <rFont val="Times New Roman"/>
        <family val="1"/>
      </rPr>
      <t xml:space="preserve">  (Hechura de rampas, marc y paradas de buses en el Mun.)</t>
    </r>
  </si>
  <si>
    <r>
      <rPr>
        <sz val="11"/>
        <rFont val="Times New Roman"/>
        <family val="1"/>
      </rPr>
      <t>HERRAMIENTAS, REPUESTOS Y ACCESORIOS</t>
    </r>
    <r>
      <rPr>
        <b/>
        <sz val="11"/>
        <rFont val="Times New Roman"/>
        <family val="1"/>
      </rPr>
      <t xml:space="preserve">  (Hechura de rampas, marc y paradas de buses en el Mun.)</t>
    </r>
  </si>
  <si>
    <r>
      <rPr>
        <sz val="11"/>
        <rFont val="Times New Roman"/>
        <family val="1"/>
      </rPr>
      <t>IMPRESIONES, PUBLICACIONES Y REPRODUCCIONES</t>
    </r>
    <r>
      <rPr>
        <b/>
        <sz val="11"/>
        <rFont val="Times New Roman"/>
        <family val="1"/>
      </rPr>
      <t xml:space="preserve">  (Hechura de rampas, marc y paradas de buses en el Mun.)</t>
    </r>
  </si>
  <si>
    <r>
      <rPr>
        <sz val="11"/>
        <rFont val="Times New Roman"/>
        <family val="1"/>
      </rPr>
      <t>COMISIONES Y GASTOS BANCARIOS</t>
    </r>
    <r>
      <rPr>
        <b/>
        <sz val="11"/>
        <rFont val="Times New Roman"/>
        <family val="1"/>
      </rPr>
      <t xml:space="preserve">   (Hechura de rampas, marc y paradas de buses en el Mun.)</t>
    </r>
  </si>
  <si>
    <t>28-</t>
  </si>
  <si>
    <r>
      <rPr>
        <b/>
        <sz val="11"/>
        <rFont val="Times New Roman"/>
        <family val="1"/>
      </rPr>
      <t xml:space="preserve">PROYECTOS SOCIALES e INSTITUCIONALES:  </t>
    </r>
    <r>
      <rPr>
        <sz val="11"/>
        <rFont val="Times New Roman"/>
        <family val="1"/>
      </rPr>
      <t xml:space="preserve"> CONSTRUCCION DE MURO  PARA PROTECCION CALLE DE LA LOTIFICACION  SAN PEDRO DE CANTON BUENOS AIRES  Y PROTECCION  DE CANCHA DE FUTBOL SALA DEL SECTOR  BEL GUAYABO, CANTON LA LOMA ,  </t>
    </r>
    <r>
      <rPr>
        <b/>
        <sz val="8"/>
        <color rgb="FFFF0000"/>
        <rFont val="Times New Roman"/>
        <family val="1"/>
      </rPr>
      <t>(Se presupuesta  del 75% , para año 2018) por $12,000.00 según detalles de rubros</t>
    </r>
  </si>
  <si>
    <r>
      <t>SALARIO DE JORNAL (</t>
    </r>
    <r>
      <rPr>
        <b/>
        <sz val="11"/>
        <rFont val="Times New Roman"/>
        <family val="1"/>
      </rPr>
      <t xml:space="preserve">Constr. De muro en sect. El Guayabo C/La Loma </t>
    </r>
  </si>
  <si>
    <r>
      <t>MINERALES NO METALICOS Y PRODUCTOS NO DERIVADOS  (</t>
    </r>
    <r>
      <rPr>
        <b/>
        <sz val="11"/>
        <rFont val="Times New Roman"/>
        <family val="1"/>
      </rPr>
      <t xml:space="preserve">Constr. De muro en sect. El Guayabo C/La Loma </t>
    </r>
  </si>
  <si>
    <r>
      <t>MINERALES  METALICOS Y PRODUCTOS NO DERIVADOS  (</t>
    </r>
    <r>
      <rPr>
        <b/>
        <sz val="11"/>
        <rFont val="Times New Roman"/>
        <family val="1"/>
      </rPr>
      <t xml:space="preserve">Constr. De muro en sect. El Guayabo C/La Loma </t>
    </r>
  </si>
  <si>
    <r>
      <t>HERRAMIENTAS, REPUESTOS Y ACCESORIOS  (</t>
    </r>
    <r>
      <rPr>
        <b/>
        <sz val="11"/>
        <rFont val="Times New Roman"/>
        <family val="1"/>
      </rPr>
      <t xml:space="preserve">Constr. De muro en sect. El Guayabo C/La Loma </t>
    </r>
  </si>
  <si>
    <r>
      <t>IMPRESIONES, PUBLICACIONES Y REPRODUCCIONES  (</t>
    </r>
    <r>
      <rPr>
        <b/>
        <sz val="11"/>
        <rFont val="Times New Roman"/>
        <family val="1"/>
      </rPr>
      <t xml:space="preserve">Constr. De muro en sect. El Guayabo C/La Loma </t>
    </r>
  </si>
  <si>
    <r>
      <t>SERVICIOS GENERALES Y ARRENDAMIENTOS DIVERSOS(</t>
    </r>
    <r>
      <rPr>
        <b/>
        <sz val="11"/>
        <rFont val="Times New Roman"/>
        <family val="1"/>
      </rPr>
      <t xml:space="preserve">Constr. De muro en sect. El Guayabo C/La Loma </t>
    </r>
  </si>
  <si>
    <r>
      <t>COMISIONES Y GASTOS BANCARIOS(</t>
    </r>
    <r>
      <rPr>
        <b/>
        <sz val="11"/>
        <rFont val="Times New Roman"/>
        <family val="1"/>
      </rPr>
      <t xml:space="preserve">Constr. De muro en sect. El Guayabo C/La Loma </t>
    </r>
  </si>
  <si>
    <t>29-</t>
  </si>
  <si>
    <r>
      <rPr>
        <b/>
        <sz val="11"/>
        <rFont val="Times New Roman"/>
        <family val="1"/>
      </rPr>
      <t xml:space="preserve">PROYECTOS SOCIALES e INSTITUCIONALES:  </t>
    </r>
    <r>
      <rPr>
        <sz val="11"/>
        <rFont val="Times New Roman"/>
        <family val="1"/>
      </rPr>
      <t xml:space="preserve"> REMODELACION  Y CONSTRUCCION  DE LA UNIDAD DE GESTION  DOCUMENTAL DE ARCHIVO Y AMPLIACION  DE LA ALCALDIA  MUNICIPAL  Y OTRAS AREAS, ,  </t>
    </r>
    <r>
      <rPr>
        <b/>
        <sz val="8"/>
        <color rgb="FFFF0000"/>
        <rFont val="Times New Roman"/>
        <family val="1"/>
      </rPr>
      <t>(Se presupuesta  del 75% , para año 2018) por $40,000.00 según detalles de rubros</t>
    </r>
  </si>
  <si>
    <r>
      <t xml:space="preserve">SALARIO DE JORNAL </t>
    </r>
    <r>
      <rPr>
        <b/>
        <sz val="11"/>
        <rFont val="Times New Roman"/>
        <family val="1"/>
      </rPr>
      <t>(Remodel. Y Constr.  En la unidad de gestion documental)</t>
    </r>
  </si>
  <si>
    <r>
      <t xml:space="preserve">REMUNERACIONES DIVERSAS </t>
    </r>
    <r>
      <rPr>
        <b/>
        <sz val="11"/>
        <rFont val="Times New Roman"/>
        <family val="1"/>
      </rPr>
      <t>(Remodel. Y Constr.  En la unidad de gestion documental)</t>
    </r>
  </si>
  <si>
    <r>
      <t xml:space="preserve">MINERALES NO METALICOS Y PRODUCTOS DERIVADOS  </t>
    </r>
    <r>
      <rPr>
        <b/>
        <sz val="11"/>
        <rFont val="Times New Roman"/>
        <family val="1"/>
      </rPr>
      <t>(Remodel. Y Constr.  En la unidad de gestion documental)</t>
    </r>
  </si>
  <si>
    <r>
      <t xml:space="preserve">MINERALES METALICOS Y PRODUCTOS DERIVADOS  </t>
    </r>
    <r>
      <rPr>
        <b/>
        <sz val="11"/>
        <rFont val="Times New Roman"/>
        <family val="1"/>
      </rPr>
      <t>(Remodel. Y Constr.  En la unidad de gestion documental)</t>
    </r>
  </si>
  <si>
    <r>
      <t xml:space="preserve">HERRAMIENTAS, REPUESTOS Y ACCESORIOS  </t>
    </r>
    <r>
      <rPr>
        <b/>
        <sz val="11"/>
        <rFont val="Times New Roman"/>
        <family val="1"/>
      </rPr>
      <t>(Remodel. Y Constr.  En la unidad de gestion documental)</t>
    </r>
  </si>
  <si>
    <r>
      <t>BIENES DE USO</t>
    </r>
    <r>
      <rPr>
        <b/>
        <sz val="11"/>
        <rFont val="Times New Roman"/>
        <family val="1"/>
      </rPr>
      <t xml:space="preserve"> </t>
    </r>
    <r>
      <rPr>
        <sz val="11"/>
        <rFont val="Times New Roman"/>
        <family val="1"/>
      </rPr>
      <t>Y CONSUMO DIVERSOS</t>
    </r>
    <r>
      <rPr>
        <b/>
        <sz val="11"/>
        <rFont val="Times New Roman"/>
        <family val="1"/>
      </rPr>
      <t>(Remodel. Y Constr.  En la unidad de gestion documental)</t>
    </r>
  </si>
  <si>
    <r>
      <t xml:space="preserve">SERVICIOS GENERALES Y ARRENDAMIENTOS DIVERSOS </t>
    </r>
    <r>
      <rPr>
        <b/>
        <sz val="11"/>
        <rFont val="Times New Roman"/>
        <family val="1"/>
      </rPr>
      <t>(Remodel. Y Constr.  En la unidad de gestion documental)</t>
    </r>
  </si>
  <si>
    <r>
      <t xml:space="preserve">COMISIONES Y GASTOS BANCARIOS  </t>
    </r>
    <r>
      <rPr>
        <b/>
        <sz val="11"/>
        <rFont val="Times New Roman"/>
        <family val="1"/>
      </rPr>
      <t>(Remodel. Y Constr.  En la unidad de gestion documental)</t>
    </r>
  </si>
  <si>
    <r>
      <rPr>
        <b/>
        <sz val="11"/>
        <rFont val="Times New Roman"/>
        <family val="1"/>
      </rPr>
      <t xml:space="preserve">PROYECTOS SOCIALES e INSTITUCIONALES: </t>
    </r>
    <r>
      <rPr>
        <sz val="11"/>
        <rFont val="Times New Roman"/>
        <family val="1"/>
      </rPr>
      <t xml:space="preserve">APOYO AL MEJORAMIENTO  DE VIVIENDAS Y COMUNIDADES VULNERABLES DEL MUNICIPIO,  </t>
    </r>
    <r>
      <rPr>
        <b/>
        <sz val="8"/>
        <color rgb="FFFF0000"/>
        <rFont val="Times New Roman"/>
        <family val="1"/>
      </rPr>
      <t>(Se presupuesta  del 75% , para año 2018) por $20,000.00 según detalles de rubros</t>
    </r>
  </si>
  <si>
    <r>
      <t xml:space="preserve">MINERALES METALICOS Y PRODUCTOS DERIVADOS </t>
    </r>
    <r>
      <rPr>
        <b/>
        <sz val="11"/>
        <rFont val="Times New Roman"/>
        <family val="1"/>
      </rPr>
      <t>(Apoy. Mejoramientos de vivied y apoyo _Com. Vulnerables)</t>
    </r>
  </si>
  <si>
    <r>
      <t xml:space="preserve">HERRAMIENTAS, REPUESTOS Y ACCESORIOS  </t>
    </r>
    <r>
      <rPr>
        <b/>
        <sz val="11"/>
        <rFont val="Times New Roman"/>
        <family val="1"/>
      </rPr>
      <t>(Apoy. Mejoramientos de vivied y apoyo _Com. Vulnerables)</t>
    </r>
  </si>
  <si>
    <r>
      <t xml:space="preserve">MINERALES NO METALICOS Y PRODUCTOS DERIVADOS </t>
    </r>
    <r>
      <rPr>
        <b/>
        <sz val="11"/>
        <rFont val="Times New Roman"/>
        <family val="1"/>
      </rPr>
      <t>(Apoy. Mejoramientos de vivied y apoyo _Com. Vulnerables)</t>
    </r>
  </si>
  <si>
    <r>
      <t xml:space="preserve">SALARIO DE JORNAL </t>
    </r>
    <r>
      <rPr>
        <b/>
        <sz val="11"/>
        <rFont val="Times New Roman"/>
        <family val="1"/>
      </rPr>
      <t>(Apoy. Mejoramientos de vivied y apoyo _Com. Vulnerables)</t>
    </r>
  </si>
  <si>
    <r>
      <t xml:space="preserve">IMPRESIONES, PUBLICACIONES Y REPRODUCCIONES </t>
    </r>
    <r>
      <rPr>
        <b/>
        <sz val="11"/>
        <rFont val="Times New Roman"/>
        <family val="1"/>
      </rPr>
      <t>(Apoy. Mejoramientos de vivied y apoyo _Com. Vulnerables)</t>
    </r>
  </si>
  <si>
    <r>
      <t xml:space="preserve">SERVICIOS GENERALES Y ARRENDAMIENTOS DIVERSOS </t>
    </r>
    <r>
      <rPr>
        <b/>
        <sz val="11"/>
        <rFont val="Times New Roman"/>
        <family val="1"/>
      </rPr>
      <t>(Apoy. Mejoramientos de vivied y apoyo _Com. Vulnerables)</t>
    </r>
  </si>
  <si>
    <r>
      <t xml:space="preserve">COMISIONES Y GASTOS BANCARIOS </t>
    </r>
    <r>
      <rPr>
        <b/>
        <sz val="11"/>
        <rFont val="Times New Roman"/>
        <family val="1"/>
      </rPr>
      <t>(Apoy. Mejoramientos de vivied y apoyo _Com. Vulnerables)</t>
    </r>
  </si>
  <si>
    <t>30-</t>
  </si>
  <si>
    <t>31-</t>
  </si>
  <si>
    <r>
      <rPr>
        <sz val="11"/>
        <rFont val="Times New Roman"/>
        <family val="1"/>
      </rPr>
      <t>REMUNERACIONES DIVERSAS</t>
    </r>
    <r>
      <rPr>
        <b/>
        <sz val="11"/>
        <rFont val="Times New Roman"/>
        <family val="1"/>
      </rPr>
      <t xml:space="preserve"> (Fort. Y Organi.  De  mujeres para erradicar la violencia en el municipio</t>
    </r>
  </si>
  <si>
    <r>
      <rPr>
        <sz val="11"/>
        <rFont val="Times New Roman"/>
        <family val="1"/>
      </rPr>
      <t>BIENES DE USO Y CONSUMO DIVERSOS</t>
    </r>
    <r>
      <rPr>
        <b/>
        <sz val="11"/>
        <rFont val="Times New Roman"/>
        <family val="1"/>
      </rPr>
      <t xml:space="preserve"> (Fort. Y Organi.  De  mujeres para erradicar la violencia en el municipio</t>
    </r>
  </si>
  <si>
    <r>
      <rPr>
        <sz val="11"/>
        <rFont val="Times New Roman"/>
        <family val="1"/>
      </rPr>
      <t>SERVICIOS GENERALES Y ARRENDAMIENTOS DIVERSOS</t>
    </r>
    <r>
      <rPr>
        <b/>
        <sz val="11"/>
        <rFont val="Times New Roman"/>
        <family val="1"/>
      </rPr>
      <t xml:space="preserve"> (Fort. Y Organi.  De  mujeres para erradicar la violencia en el municipio</t>
    </r>
  </si>
  <si>
    <r>
      <rPr>
        <sz val="11"/>
        <rFont val="Times New Roman"/>
        <family val="1"/>
      </rPr>
      <t xml:space="preserve">COMISIONES Y GASTOS BANCARIOS  </t>
    </r>
    <r>
      <rPr>
        <b/>
        <sz val="11"/>
        <rFont val="Times New Roman"/>
        <family val="1"/>
      </rPr>
      <t>(Fort. Y Organi.  De  mujeres para erradicar la violencia en el municipio</t>
    </r>
  </si>
  <si>
    <r>
      <t xml:space="preserve">PROYECTOS SOCIALES e INSTITUCIONALES: </t>
    </r>
    <r>
      <rPr>
        <sz val="11"/>
        <rFont val="Times New Roman"/>
        <family val="1"/>
      </rPr>
      <t>FORTALECIMIENTO  DE CAPACIDADES  Y  ORGANIZACIÓN DE MUJERES PARA PROMOVER UNIDAD DE GENERO Y ERRADICAR LA VIOLENCIA EN EL MUNICIPIO</t>
    </r>
    <r>
      <rPr>
        <b/>
        <sz val="11"/>
        <rFont val="Times New Roman"/>
        <family val="1"/>
      </rPr>
      <t xml:space="preserve"> ,</t>
    </r>
    <r>
      <rPr>
        <b/>
        <sz val="8"/>
        <color rgb="FFFF0000"/>
        <rFont val="Times New Roman"/>
        <family val="1"/>
      </rPr>
      <t>(Se presupuesta  del 75% , para año 2018) por $3,000.00 según detalles de rubros</t>
    </r>
  </si>
  <si>
    <t>32-</t>
  </si>
  <si>
    <r>
      <t xml:space="preserve">PROYECTOS SOCIALES e INSTITUCIONALES: INSTALACIONES </t>
    </r>
    <r>
      <rPr>
        <sz val="11"/>
        <rFont val="Times New Roman"/>
        <family val="1"/>
      </rPr>
      <t xml:space="preserve">DEL SISTEMA DE INTERNET Y ACCESORIOS PARA LA INSTALACION DE </t>
    </r>
    <r>
      <rPr>
        <b/>
        <sz val="11"/>
        <rFont val="Times New Roman"/>
        <family val="1"/>
      </rPr>
      <t>SAFIM</t>
    </r>
    <r>
      <rPr>
        <sz val="11"/>
        <rFont val="Times New Roman"/>
        <family val="1"/>
      </rPr>
      <t xml:space="preserve">, AREAS DE TESORERIA, PRESUPUESTO, CONTABILIDAD Y CUENTAS CORRIENTES DE ESTA  MUNICIPALIDAD </t>
    </r>
    <r>
      <rPr>
        <b/>
        <sz val="11"/>
        <rFont val="Times New Roman"/>
        <family val="1"/>
      </rPr>
      <t>,</t>
    </r>
    <r>
      <rPr>
        <b/>
        <sz val="8"/>
        <color rgb="FFFF0000"/>
        <rFont val="Times New Roman"/>
        <family val="1"/>
      </rPr>
      <t>(Se presupuesta  del 75% , para año 2018) por $5,000.00 según detalles de rubros</t>
    </r>
  </si>
  <si>
    <r>
      <t xml:space="preserve">REMUNERACIONES DIVERSAS  </t>
    </r>
    <r>
      <rPr>
        <b/>
        <sz val="11"/>
        <rFont val="Times New Roman"/>
        <family val="1"/>
      </rPr>
      <t>(Instalacion del SAFIM en areas de la Mpalidad)</t>
    </r>
  </si>
  <si>
    <r>
      <t xml:space="preserve">MATERIALES INFORMATICOS  </t>
    </r>
    <r>
      <rPr>
        <b/>
        <sz val="11"/>
        <rFont val="Times New Roman"/>
        <family val="1"/>
      </rPr>
      <t>(Instalacion del SAFIM en areas de la Mpalidad)</t>
    </r>
  </si>
  <si>
    <r>
      <t xml:space="preserve">EQUIPO INFORMATICO </t>
    </r>
    <r>
      <rPr>
        <b/>
        <sz val="11"/>
        <rFont val="Times New Roman"/>
        <family val="1"/>
      </rPr>
      <t>(Instalacion del SAFIM en areas de la Mpalidad)</t>
    </r>
  </si>
  <si>
    <r>
      <t xml:space="preserve">COMISIONES Y GASTOS BANCARIOS  </t>
    </r>
    <r>
      <rPr>
        <b/>
        <sz val="11"/>
        <rFont val="Times New Roman"/>
        <family val="1"/>
      </rPr>
      <t>(Instalacion del SAFIM en areas de la Mpalidad)</t>
    </r>
  </si>
  <si>
    <t>33-</t>
  </si>
  <si>
    <r>
      <t xml:space="preserve">PROYECTOS SOCIALES e INSTITUCIONALES: INSTALACIONES  </t>
    </r>
    <r>
      <rPr>
        <sz val="11"/>
        <rFont val="Times New Roman"/>
        <family val="1"/>
      </rPr>
      <t xml:space="preserve">MODERNIZACION  DEL SISTEMA DE CATASTRO Y CUENTAS CORRIENTES </t>
    </r>
    <r>
      <rPr>
        <b/>
        <sz val="11"/>
        <rFont val="Times New Roman"/>
        <family val="1"/>
      </rPr>
      <t>,</t>
    </r>
    <r>
      <rPr>
        <b/>
        <sz val="8"/>
        <color rgb="FFFF0000"/>
        <rFont val="Times New Roman"/>
        <family val="1"/>
      </rPr>
      <t>(Se presupuesta  del 75% , para año 2018) por $25,000.00 según detalles de rubros</t>
    </r>
  </si>
  <si>
    <r>
      <t>REMUNERACIONES DIVERSAS(</t>
    </r>
    <r>
      <rPr>
        <b/>
        <sz val="11"/>
        <rFont val="Times New Roman"/>
        <family val="1"/>
      </rPr>
      <t>Moder. Catastro y Cta. Corrientes)</t>
    </r>
  </si>
  <si>
    <r>
      <t>IMPRESIONES, PUBLICACIONES Y REPRODUCCIONES(</t>
    </r>
    <r>
      <rPr>
        <b/>
        <sz val="11"/>
        <rFont val="Times New Roman"/>
        <family val="1"/>
      </rPr>
      <t>Moder. Catastro y Cta. Corrientes)</t>
    </r>
  </si>
  <si>
    <r>
      <t>SERVICIOS GENERALES Y ARRENDAMIENTOS DIVERSOS(</t>
    </r>
    <r>
      <rPr>
        <b/>
        <sz val="11"/>
        <rFont val="Times New Roman"/>
        <family val="1"/>
      </rPr>
      <t>Moder. Catastro y Cta. Corrientes)</t>
    </r>
  </si>
  <si>
    <r>
      <t>CONSULTORIAS, ESTUDIOS E INVESTIGACIONES(</t>
    </r>
    <r>
      <rPr>
        <b/>
        <sz val="11"/>
        <rFont val="Times New Roman"/>
        <family val="1"/>
      </rPr>
      <t>Moder. Catastro y Cta. Corrientes)</t>
    </r>
  </si>
  <si>
    <r>
      <t>COMISIONES Y GASTOS BANCARIOS(</t>
    </r>
    <r>
      <rPr>
        <b/>
        <sz val="11"/>
        <rFont val="Times New Roman"/>
        <family val="1"/>
      </rPr>
      <t>Moder. Catastro y Cta. Corrientes)</t>
    </r>
  </si>
  <si>
    <t>34)61606-1</t>
  </si>
  <si>
    <r>
      <t xml:space="preserve">PROYECTOS ELECTRICAS Y COMUNICACIONES,  </t>
    </r>
    <r>
      <rPr>
        <sz val="11"/>
        <rFont val="Times New Roman"/>
        <family val="1"/>
      </rPr>
      <t xml:space="preserve">ELECTRIFICACION EN CANTON BUENOS AIRES , SEGÚN CONCILIACION  A DIC/17  SE  TRAE UN SALDO  DE $5,504.86, QUE PASA PARA EL AÑO  2018 DEL 75% FODES </t>
    </r>
    <r>
      <rPr>
        <b/>
        <sz val="8"/>
        <color rgb="FFFF0000"/>
        <rFont val="Times New Roman"/>
        <family val="1"/>
      </rPr>
      <t>(Se presupuesta  del 75% , para año 2018)</t>
    </r>
  </si>
  <si>
    <t>35)61606-2</t>
  </si>
  <si>
    <r>
      <t xml:space="preserve">PROYECTOS ELECTRICAS Y COMUNICACIONES,  </t>
    </r>
    <r>
      <rPr>
        <sz val="11"/>
        <rFont val="Times New Roman"/>
        <family val="1"/>
      </rPr>
      <t xml:space="preserve">ELECTRIFICACION  EN CANTON EL PARAISO, CASERIO LOS MATIAS ZONA 3  </t>
    </r>
    <r>
      <rPr>
        <b/>
        <sz val="8"/>
        <color rgb="FFFF0000"/>
        <rFont val="Times New Roman"/>
        <family val="1"/>
      </rPr>
      <t>(Se presupuesta  del 75% , para año 2018)</t>
    </r>
  </si>
  <si>
    <t>36)61606-3</t>
  </si>
  <si>
    <r>
      <t xml:space="preserve">PROYECTOS ELECTRICAS Y COMUNICACIONES,  </t>
    </r>
    <r>
      <rPr>
        <sz val="11"/>
        <rFont val="Times New Roman"/>
        <family val="1"/>
      </rPr>
      <t xml:space="preserve">ELECTRIFICACION  2- PASAJE DEL Bo.EL ANGEL </t>
    </r>
    <r>
      <rPr>
        <b/>
        <sz val="8"/>
        <color rgb="FFFF0000"/>
        <rFont val="Times New Roman"/>
        <family val="1"/>
      </rPr>
      <t>(Se presupuesta  del 75% , para año 2018)</t>
    </r>
  </si>
  <si>
    <t>37)61606-4</t>
  </si>
  <si>
    <r>
      <t xml:space="preserve">PROYECTOS ELECTRICAS Y COMUNICACIONES,  </t>
    </r>
    <r>
      <rPr>
        <sz val="11"/>
        <rFont val="Times New Roman"/>
        <family val="1"/>
      </rPr>
      <t xml:space="preserve">ELECTRIFICACION EN CANTON BUENA VISTA </t>
    </r>
    <r>
      <rPr>
        <b/>
        <sz val="8"/>
        <color rgb="FFFF0000"/>
        <rFont val="Times New Roman"/>
        <family val="1"/>
      </rPr>
      <t>(Se presupuesta  del 75% , para año 2018)</t>
    </r>
  </si>
  <si>
    <t>38-</t>
  </si>
  <si>
    <r>
      <t xml:space="preserve">PROYECTOS SOCIALES, </t>
    </r>
    <r>
      <rPr>
        <sz val="11"/>
        <rFont val="Times New Roman"/>
        <family val="1"/>
      </rPr>
      <t xml:space="preserve">INTRODUCCION DE TUBERIAS PARA DRENAJE  EN AGUAS SERVIDAS Y LLUVIAS EN Bo. CONCEPCION  </t>
    </r>
    <r>
      <rPr>
        <b/>
        <sz val="8"/>
        <color rgb="FFFF0000"/>
        <rFont val="Times New Roman"/>
        <family val="1"/>
      </rPr>
      <t xml:space="preserve">(Se presupuesta  del 75% , para año 2018)por $20,000.00 según detalles de rubros </t>
    </r>
  </si>
  <si>
    <r>
      <rPr>
        <sz val="11"/>
        <rFont val="Times New Roman"/>
        <family val="1"/>
      </rPr>
      <t xml:space="preserve">SALARIO DE JORNAL </t>
    </r>
    <r>
      <rPr>
        <b/>
        <sz val="11"/>
        <rFont val="Times New Roman"/>
        <family val="1"/>
      </rPr>
      <t>(Introd. De tuberias en Bo. Concepcion)</t>
    </r>
  </si>
  <si>
    <r>
      <rPr>
        <sz val="11"/>
        <rFont val="Times New Roman"/>
        <family val="1"/>
      </rPr>
      <t xml:space="preserve">MINERALES NO METALICOS Y PRODUCTOS DERIVADOS </t>
    </r>
    <r>
      <rPr>
        <b/>
        <sz val="11"/>
        <rFont val="Times New Roman"/>
        <family val="1"/>
      </rPr>
      <t>(Introd. De tuberias en Bo. Concepcion)</t>
    </r>
  </si>
  <si>
    <r>
      <rPr>
        <sz val="11"/>
        <rFont val="Times New Roman"/>
        <family val="1"/>
      </rPr>
      <t xml:space="preserve">MINERALES  METALICOS Y PRODUCTOS DERIVADOS </t>
    </r>
    <r>
      <rPr>
        <b/>
        <sz val="11"/>
        <rFont val="Times New Roman"/>
        <family val="1"/>
      </rPr>
      <t>(Introd. De tuberias en Bo. Concepcion)</t>
    </r>
  </si>
  <si>
    <r>
      <rPr>
        <sz val="11"/>
        <rFont val="Times New Roman"/>
        <family val="1"/>
      </rPr>
      <t>IMPRESIONES, PUBLICACIONES  Y REPRODUCCIONES</t>
    </r>
    <r>
      <rPr>
        <b/>
        <sz val="11"/>
        <rFont val="Times New Roman"/>
        <family val="1"/>
      </rPr>
      <t>(Introd. De tuberias en Bo. Concepcion)</t>
    </r>
  </si>
  <si>
    <r>
      <rPr>
        <sz val="11"/>
        <rFont val="Times New Roman"/>
        <family val="1"/>
      </rPr>
      <t>SERVICIOS GENERALES</t>
    </r>
    <r>
      <rPr>
        <b/>
        <sz val="11"/>
        <rFont val="Times New Roman"/>
        <family val="1"/>
      </rPr>
      <t xml:space="preserve"> </t>
    </r>
    <r>
      <rPr>
        <sz val="11"/>
        <rFont val="Times New Roman"/>
        <family val="1"/>
      </rPr>
      <t>Y ARRENDAMIENTOS DIVERSOS</t>
    </r>
    <r>
      <rPr>
        <b/>
        <sz val="11"/>
        <rFont val="Times New Roman"/>
        <family val="1"/>
      </rPr>
      <t>(Introd. De tuberias en Bo. Concepcion)</t>
    </r>
  </si>
  <si>
    <r>
      <rPr>
        <sz val="11"/>
        <rFont val="Times New Roman"/>
        <family val="1"/>
      </rPr>
      <t>COMISIONES Y GASTOS BANCARIOS</t>
    </r>
    <r>
      <rPr>
        <b/>
        <sz val="11"/>
        <rFont val="Times New Roman"/>
        <family val="1"/>
      </rPr>
      <t>(Introd. De tuberias en Bo. Concepcion)</t>
    </r>
  </si>
  <si>
    <t>39-</t>
  </si>
  <si>
    <r>
      <t>PROYECTOS SOCIALES,</t>
    </r>
    <r>
      <rPr>
        <sz val="11"/>
        <rFont val="Times New Roman"/>
        <family val="1"/>
      </rPr>
      <t xml:space="preserve">CERCADO DE CANCHA PRIMETRAL Y CONSTRUCCION DE MURO EN EL CANTON MIRAFLORES </t>
    </r>
    <r>
      <rPr>
        <b/>
        <sz val="8"/>
        <color rgb="FFFF0000"/>
        <rFont val="Times New Roman"/>
        <family val="1"/>
      </rPr>
      <t xml:space="preserve">(Se presupuesta  del 75% , para año 2018)por $15,000.00 según detalles de rubros </t>
    </r>
  </si>
  <si>
    <r>
      <rPr>
        <sz val="11"/>
        <rFont val="Times New Roman"/>
        <family val="1"/>
      </rPr>
      <t xml:space="preserve">SALARIO DE JORNAL </t>
    </r>
    <r>
      <rPr>
        <b/>
        <sz val="11"/>
        <rFont val="Times New Roman"/>
        <family val="1"/>
      </rPr>
      <t>(Cercado de cancha perim. Y const. De  muro en C/Miraflores)</t>
    </r>
  </si>
  <si>
    <r>
      <rPr>
        <sz val="11"/>
        <rFont val="Times New Roman"/>
        <family val="1"/>
      </rPr>
      <t>MINERALES NO METALICOS Y PRODUCTOS DERIVADOS</t>
    </r>
    <r>
      <rPr>
        <b/>
        <sz val="11"/>
        <rFont val="Times New Roman"/>
        <family val="1"/>
      </rPr>
      <t>(Cercado de cancha perim. Y const. De  muro en C/Miraflores)</t>
    </r>
  </si>
  <si>
    <r>
      <rPr>
        <sz val="11"/>
        <rFont val="Times New Roman"/>
        <family val="1"/>
      </rPr>
      <t>MINERALES  METALICOS Y PRODUCTOS DERIVADOS</t>
    </r>
    <r>
      <rPr>
        <b/>
        <sz val="11"/>
        <rFont val="Times New Roman"/>
        <family val="1"/>
      </rPr>
      <t>(Cercado de cancha perim. Y const. De  muro en C/Miraflores)</t>
    </r>
  </si>
  <si>
    <r>
      <rPr>
        <sz val="11"/>
        <rFont val="Times New Roman"/>
        <family val="1"/>
      </rPr>
      <t>IMPRESIONES, PUBLICACIONES Y REPRODUCCIONES</t>
    </r>
    <r>
      <rPr>
        <b/>
        <sz val="11"/>
        <rFont val="Times New Roman"/>
        <family val="1"/>
      </rPr>
      <t>(Cercado de cancha perim. Y const. De  muro en C/Miraflores)</t>
    </r>
  </si>
  <si>
    <r>
      <rPr>
        <sz val="11"/>
        <rFont val="Times New Roman"/>
        <family val="1"/>
      </rPr>
      <t>SERVICIOS GENERALES Y ARRENDAMIENTOS DIVERSOS</t>
    </r>
    <r>
      <rPr>
        <b/>
        <sz val="11"/>
        <rFont val="Times New Roman"/>
        <family val="1"/>
      </rPr>
      <t>(Cercado de cancha perim. Y const. De  muro en C/Miraflores)</t>
    </r>
  </si>
  <si>
    <r>
      <rPr>
        <sz val="11"/>
        <rFont val="Times New Roman"/>
        <family val="1"/>
      </rPr>
      <t>COMISIONES Y  GASTOS BANCARIOS</t>
    </r>
    <r>
      <rPr>
        <b/>
        <sz val="11"/>
        <rFont val="Times New Roman"/>
        <family val="1"/>
      </rPr>
      <t>(Cercado de cancha perim. Y const. De  muro en C/Miraflores)</t>
    </r>
  </si>
  <si>
    <t>40)61608-1</t>
  </si>
  <si>
    <r>
      <t>PROYECTOS SUPERVISION DE PROYECTOS  FODES  2018</t>
    </r>
    <r>
      <rPr>
        <b/>
        <sz val="8"/>
        <color rgb="FFFF0000"/>
        <rFont val="Times New Roman"/>
        <family val="1"/>
      </rPr>
      <t>(Se presupuesta  del 75% , para año 2018)</t>
    </r>
  </si>
  <si>
    <t>41-</t>
  </si>
  <si>
    <r>
      <t xml:space="preserve">PROYECTOS </t>
    </r>
    <r>
      <rPr>
        <sz val="11"/>
        <rFont val="Times New Roman"/>
        <family val="1"/>
      </rPr>
      <t xml:space="preserve">CONTRAARTIDAS PARA EJECUCION DE PROYECTOS  2018 FODES 75% </t>
    </r>
    <r>
      <rPr>
        <b/>
        <sz val="8"/>
        <color rgb="FFFF0000"/>
        <rFont val="Times New Roman"/>
        <family val="1"/>
      </rPr>
      <t xml:space="preserve">(Se presupuesta  del 75% , para año 2018)por $36,180.00 según detalles de rubros </t>
    </r>
  </si>
  <si>
    <t>REMUNERACIONES DIVERSAS</t>
  </si>
  <si>
    <t>SERVICIOS GENERALES  Y ARRENDAMIENTOS DIVERSOS</t>
  </si>
  <si>
    <t>CONSULTORIAS, ESTUDIOS E INVESTIGACIONES</t>
  </si>
  <si>
    <t>1-) 51201</t>
  </si>
  <si>
    <t>1)51202</t>
  </si>
  <si>
    <r>
      <rPr>
        <b/>
        <sz val="11"/>
        <rFont val="Times New Roman"/>
        <family val="1"/>
      </rPr>
      <t xml:space="preserve">MTTO DE CALLES(Se hace constar que se ha proyectado para </t>
    </r>
    <r>
      <rPr>
        <sz val="11"/>
        <rFont val="Times New Roman"/>
        <family val="1"/>
      </rPr>
      <t xml:space="preserve">el año 2018, según plan estrategico/18 del 75% FODES la cantidad de $75000, </t>
    </r>
    <r>
      <rPr>
        <b/>
        <sz val="11"/>
        <rFont val="Times New Roman"/>
        <family val="1"/>
      </rPr>
      <t xml:space="preserve">lo que se ejecutara,  por administracion  y se presupuesta en varios rubros, asi: </t>
    </r>
    <r>
      <rPr>
        <b/>
        <sz val="11"/>
        <color rgb="FFFF0000"/>
        <rFont val="Times New Roman"/>
        <family val="1"/>
      </rPr>
      <t>SUELDOS</t>
    </r>
  </si>
  <si>
    <r>
      <rPr>
        <b/>
        <sz val="11"/>
        <rFont val="Times New Roman"/>
        <family val="1"/>
      </rPr>
      <t xml:space="preserve">MTTO DE CALLES(Se hace constar que se ha proyectado para </t>
    </r>
    <r>
      <rPr>
        <sz val="11"/>
        <rFont val="Times New Roman"/>
        <family val="1"/>
      </rPr>
      <t xml:space="preserve">el año 2018, según plan estrategico/18 del 75% FODES la cantidad de $75000, </t>
    </r>
    <r>
      <rPr>
        <b/>
        <sz val="11"/>
        <rFont val="Times New Roman"/>
        <family val="1"/>
      </rPr>
      <t xml:space="preserve">lo que se ejecutara,  por administracion  y se presupuesta en varios rubros, asi: </t>
    </r>
    <r>
      <rPr>
        <b/>
        <sz val="11"/>
        <color rgb="FFFF0000"/>
        <rFont val="Times New Roman"/>
        <family val="1"/>
      </rPr>
      <t>SALARIO DE JORNAL</t>
    </r>
  </si>
  <si>
    <r>
      <rPr>
        <b/>
        <sz val="11"/>
        <rFont val="Times New Roman"/>
        <family val="1"/>
      </rPr>
      <t xml:space="preserve">MTTO DE CALLES(Se hace constar que se ha proyectado para </t>
    </r>
    <r>
      <rPr>
        <sz val="11"/>
        <rFont val="Times New Roman"/>
        <family val="1"/>
      </rPr>
      <t xml:space="preserve">el año 2018, según plan estrategico/18 del 75% FODES la cantidad de $75000, </t>
    </r>
    <r>
      <rPr>
        <b/>
        <sz val="11"/>
        <rFont val="Times New Roman"/>
        <family val="1"/>
      </rPr>
      <t xml:space="preserve">lo que se ejecutara,  por administracion  y se presupuesta en varios rubros, asi: </t>
    </r>
    <r>
      <rPr>
        <b/>
        <sz val="11"/>
        <color rgb="FFFF0000"/>
        <rFont val="Times New Roman"/>
        <family val="1"/>
      </rPr>
      <t>HORAS EXTRAORDINARIAS</t>
    </r>
  </si>
  <si>
    <t>1)51301</t>
  </si>
  <si>
    <t>1)54109</t>
  </si>
  <si>
    <r>
      <rPr>
        <b/>
        <sz val="11"/>
        <rFont val="Times New Roman"/>
        <family val="1"/>
      </rPr>
      <t xml:space="preserve">MTTO DE CALLES(Se hace constar que se ha proyectado para </t>
    </r>
    <r>
      <rPr>
        <sz val="11"/>
        <rFont val="Times New Roman"/>
        <family val="1"/>
      </rPr>
      <t xml:space="preserve">el año 2018, según plan estrategico/18 del 75% FODES la cantidad de $75000, </t>
    </r>
    <r>
      <rPr>
        <b/>
        <sz val="11"/>
        <rFont val="Times New Roman"/>
        <family val="1"/>
      </rPr>
      <t>lo que se ejecutara,  por administracion  y se presupuesta en varios rubros, asi:</t>
    </r>
    <r>
      <rPr>
        <b/>
        <sz val="11"/>
        <color rgb="FFFF0000"/>
        <rFont val="Times New Roman"/>
        <family val="1"/>
      </rPr>
      <t xml:space="preserve"> LLANTAS Y NEUMATICOS</t>
    </r>
  </si>
  <si>
    <r>
      <rPr>
        <b/>
        <sz val="11"/>
        <rFont val="Times New Roman"/>
        <family val="1"/>
      </rPr>
      <t xml:space="preserve">MTTO DE CALLES(Se hace constar que se ha proyectado para </t>
    </r>
    <r>
      <rPr>
        <sz val="11"/>
        <rFont val="Times New Roman"/>
        <family val="1"/>
      </rPr>
      <t xml:space="preserve">el año 2018, según plan estrategico/18 del 75% FODES la cantidad de $75000, </t>
    </r>
    <r>
      <rPr>
        <b/>
        <sz val="11"/>
        <rFont val="Times New Roman"/>
        <family val="1"/>
      </rPr>
      <t>lo que se ejecutara,  por administracion  y se presupuesta en varios rubros, asi:</t>
    </r>
    <r>
      <rPr>
        <b/>
        <sz val="11"/>
        <color rgb="FFFF0000"/>
        <rFont val="Times New Roman"/>
        <family val="1"/>
      </rPr>
      <t xml:space="preserve"> COMBUSTIBLE Y LUBRICANTES</t>
    </r>
  </si>
  <si>
    <t>1)54110</t>
  </si>
  <si>
    <t>1)54112</t>
  </si>
  <si>
    <t>1)54111</t>
  </si>
  <si>
    <r>
      <rPr>
        <b/>
        <sz val="11"/>
        <rFont val="Times New Roman"/>
        <family val="1"/>
      </rPr>
      <t xml:space="preserve">MTTO DE CALLES(Se hace constar que se ha proyectado para </t>
    </r>
    <r>
      <rPr>
        <sz val="11"/>
        <rFont val="Times New Roman"/>
        <family val="1"/>
      </rPr>
      <t xml:space="preserve">el año 2018, según plan estrategico/18 del 75% FODES la cantidad de $75000, </t>
    </r>
    <r>
      <rPr>
        <b/>
        <sz val="11"/>
        <rFont val="Times New Roman"/>
        <family val="1"/>
      </rPr>
      <t>lo que se ejecutara,  por administracion  y se presupuesta en varios rubros, asi:</t>
    </r>
    <r>
      <rPr>
        <b/>
        <sz val="11"/>
        <color rgb="FFFF0000"/>
        <rFont val="Times New Roman"/>
        <family val="1"/>
      </rPr>
      <t xml:space="preserve"> MINERALES NO METALICOS Y PRODUCTOS NO DERIVADOS </t>
    </r>
  </si>
  <si>
    <r>
      <rPr>
        <b/>
        <sz val="11"/>
        <rFont val="Times New Roman"/>
        <family val="1"/>
      </rPr>
      <t xml:space="preserve">MTTO DE CALLES(Se hace constar que se ha proyectado para </t>
    </r>
    <r>
      <rPr>
        <sz val="11"/>
        <rFont val="Times New Roman"/>
        <family val="1"/>
      </rPr>
      <t xml:space="preserve">el año 2018, según plan estrategico/18 del 75% FODES la cantidad de $75000, </t>
    </r>
    <r>
      <rPr>
        <b/>
        <sz val="11"/>
        <rFont val="Times New Roman"/>
        <family val="1"/>
      </rPr>
      <t>lo que se ejecutara,  por administracion  y se presupuesta en varios rubros, asi:</t>
    </r>
    <r>
      <rPr>
        <b/>
        <sz val="11"/>
        <color rgb="FFFF0000"/>
        <rFont val="Times New Roman"/>
        <family val="1"/>
      </rPr>
      <t xml:space="preserve"> MINERALES  METALICOS Y PRODUCTOS NO DERIVADOS </t>
    </r>
  </si>
  <si>
    <t>1)54304</t>
  </si>
  <si>
    <r>
      <rPr>
        <b/>
        <sz val="11"/>
        <rFont val="Times New Roman"/>
        <family val="1"/>
      </rPr>
      <t xml:space="preserve">MTTO DE CALLES(Se hace constar que se ha proyectado para </t>
    </r>
    <r>
      <rPr>
        <sz val="11"/>
        <rFont val="Times New Roman"/>
        <family val="1"/>
      </rPr>
      <t xml:space="preserve">el año 2018, según plan estrategico/18 del 75% FODES la cantidad de $75000, </t>
    </r>
    <r>
      <rPr>
        <b/>
        <sz val="11"/>
        <rFont val="Times New Roman"/>
        <family val="1"/>
      </rPr>
      <t>lo que se ejecutara,  por administracion  y se presupuesta en varios rubros, asi:</t>
    </r>
    <r>
      <rPr>
        <b/>
        <sz val="11"/>
        <color rgb="FFFF0000"/>
        <rFont val="Times New Roman"/>
        <family val="1"/>
      </rPr>
      <t xml:space="preserve"> TRANSPORTES FLETES Y ALMACENAMIENTOS</t>
    </r>
  </si>
  <si>
    <t>1)54316</t>
  </si>
  <si>
    <r>
      <rPr>
        <b/>
        <sz val="11"/>
        <rFont val="Times New Roman"/>
        <family val="1"/>
      </rPr>
      <t xml:space="preserve">MTTO DE CALLES(Se hace constar que se ha proyectado para </t>
    </r>
    <r>
      <rPr>
        <sz val="11"/>
        <rFont val="Times New Roman"/>
        <family val="1"/>
      </rPr>
      <t xml:space="preserve">el año 2018, según plan estrategico/18 del 75% FODES la cantidad de $75000, </t>
    </r>
    <r>
      <rPr>
        <b/>
        <sz val="11"/>
        <rFont val="Times New Roman"/>
        <family val="1"/>
      </rPr>
      <t>lo que se ejecutara,  por administracion  y se presupuesta en varios rubros, asi:</t>
    </r>
    <r>
      <rPr>
        <b/>
        <sz val="11"/>
        <color rgb="FFFF0000"/>
        <rFont val="Times New Roman"/>
        <family val="1"/>
      </rPr>
      <t xml:space="preserve"> ARRENDAMIENTOS DE BIENES MUEBLES </t>
    </r>
  </si>
  <si>
    <t>2)</t>
  </si>
  <si>
    <t xml:space="preserve">2)54110  </t>
  </si>
  <si>
    <r>
      <t>C</t>
    </r>
    <r>
      <rPr>
        <b/>
        <sz val="11"/>
        <rFont val="Times New Roman"/>
        <family val="1"/>
      </rPr>
      <t>OMBUSTIBLES Y LUBRICANTES</t>
    </r>
    <r>
      <rPr>
        <sz val="11"/>
        <rFont val="Times New Roman"/>
        <family val="1"/>
      </rPr>
      <t xml:space="preserve">(Se presupuesta este codigo para proy. Compra de repuestos,  lubricantes y accesorios  para mantenimiento del camion recolector  de desechos solidos y de maquinaria  de la alcaldia municipal(Se presupuesta  para el año 2018) </t>
    </r>
  </si>
  <si>
    <r>
      <rPr>
        <b/>
        <sz val="11"/>
        <rFont val="Times New Roman"/>
        <family val="1"/>
      </rPr>
      <t>HERRAMIENTAS, REPUESTOS Y ACCESORIOS</t>
    </r>
    <r>
      <rPr>
        <sz val="11"/>
        <rFont val="Times New Roman"/>
        <family val="1"/>
      </rPr>
      <t xml:space="preserve"> (Se presupuesta este codigo para proy. Compra de repuestos,  lubricantes y accesorios  para mantenimiento del camion recolector  de desechos solidos y de maquinaria  de la alcaldia municipal(Se presupuesta  para el año 2018) </t>
    </r>
  </si>
  <si>
    <t>2)54302</t>
  </si>
  <si>
    <r>
      <rPr>
        <b/>
        <sz val="11"/>
        <rFont val="Times New Roman"/>
        <family val="1"/>
      </rPr>
      <t xml:space="preserve">SERVICIOS GENERALES Y ARENDAMIENTOS DIVERSOS </t>
    </r>
    <r>
      <rPr>
        <sz val="11"/>
        <rFont val="Times New Roman"/>
        <family val="1"/>
      </rPr>
      <t xml:space="preserve">(Se presupuesta este codigo para proy. Compra de repuestos,  lubricantes y accesorios  para mantenimiento del camion recolector  de desechos solidos y de maquinaria  de la alcaldia municipal(Se presupuesta  para el año 2018) </t>
    </r>
  </si>
  <si>
    <r>
      <rPr>
        <b/>
        <sz val="11"/>
        <rFont val="Times New Roman"/>
        <family val="1"/>
      </rPr>
      <t xml:space="preserve">COMISIONES Y GASTOS BANCARIOS </t>
    </r>
    <r>
      <rPr>
        <sz val="11"/>
        <rFont val="Times New Roman"/>
        <family val="1"/>
      </rPr>
      <t>(Compra de cheq. Proy.MTTO Y REP. VEH. MPALES)</t>
    </r>
  </si>
  <si>
    <t>3)54399</t>
  </si>
  <si>
    <r>
      <rPr>
        <b/>
        <sz val="11"/>
        <rFont val="Times New Roman"/>
        <family val="1"/>
      </rPr>
      <t>RECOLECCION DE DESECHOS SOLIDOS , DEL MUNICIPIO (MIDES</t>
    </r>
    <r>
      <rPr>
        <sz val="11"/>
        <rFont val="Times New Roman"/>
        <family val="1"/>
      </rPr>
      <t>)  (se hace constar . Se presupuesta para el año 2018 según plan estrategico)</t>
    </r>
  </si>
  <si>
    <t>COMISIONES Y GASTOS BANCARIOS ( Cuq. Recoleccion de desechos solidos )</t>
  </si>
  <si>
    <r>
      <t>MINERALES NO METALICOS Y PRODUCTOS DERIVADOS(</t>
    </r>
    <r>
      <rPr>
        <b/>
        <sz val="11"/>
        <rFont val="Times New Roman"/>
        <family val="1"/>
      </rPr>
      <t xml:space="preserve">Proy.192 sector las Lajas C/ El Espino </t>
    </r>
    <r>
      <rPr>
        <sz val="11"/>
        <rFont val="Times New Roman"/>
        <family val="1"/>
      </rPr>
      <t xml:space="preserve"> </t>
    </r>
  </si>
  <si>
    <r>
      <t xml:space="preserve">VIALES  PROY. </t>
    </r>
    <r>
      <rPr>
        <sz val="11"/>
        <rFont val="Times New Roman"/>
        <family val="1"/>
      </rPr>
      <t>192 MTL DE ESTRUCTURA DE PAVIMENTADO RIGIDO, CORDON CUNETA Y OBRAS PARA LA EVACUACION DE AGUAS LLUVIAS EN CALLE QUE VA DESDE LA IGLESIA CATOLICA HACIA EL SECTOR LAS LAJAS , CANTON EL ESPINO,   SE TRAE UN SALDO  DE $139.35 QUE PASA PRESUPUESTARIAMENTE PARA AÑO 2018</t>
    </r>
  </si>
  <si>
    <r>
      <t>VIALES PROY.</t>
    </r>
    <r>
      <rPr>
        <sz val="11"/>
        <rFont val="Times New Roman"/>
        <family val="1"/>
      </rPr>
      <t>280 MTL DE PAVIMENTADO , RIGIDO BASE ESTRUCTURAL Y CORDON CUNETA  EN CALLE PRINCIPAL DEL SECTOR LA BOMBA  TRAMO II, CANTON EL ESPINO, SE TRAE UN SALDO  DE $2,740.56 QUE PASA PRESUPUESTARIAMENTE  PARA AÑO 2018)</t>
    </r>
  </si>
  <si>
    <r>
      <t>SALARIO DE JORNAL(</t>
    </r>
    <r>
      <rPr>
        <b/>
        <sz val="11"/>
        <rFont val="Times New Roman"/>
        <family val="1"/>
      </rPr>
      <t>280 Mtl  sect. La Bomba tramo II, C/El Espino)</t>
    </r>
  </si>
  <si>
    <r>
      <t>MINERALES NO METALICOS Y PRODUCTOS DERIVADOS(</t>
    </r>
    <r>
      <rPr>
        <b/>
        <sz val="11"/>
        <rFont val="Times New Roman"/>
        <family val="1"/>
      </rPr>
      <t>280 Mtl  sect. La Bomba tramo II, C/El Espino)</t>
    </r>
  </si>
  <si>
    <r>
      <t>MINERALES  METALICOS Y PRODUCTOS DERIVADOS(</t>
    </r>
    <r>
      <rPr>
        <b/>
        <sz val="11"/>
        <rFont val="Times New Roman"/>
        <family val="1"/>
      </rPr>
      <t>280 Mtl  sect. La Bomba tramo II, C/El Espino)</t>
    </r>
  </si>
  <si>
    <r>
      <t>SALARIO DE JORNAL</t>
    </r>
    <r>
      <rPr>
        <b/>
        <sz val="11"/>
        <rFont val="Times New Roman"/>
        <family val="1"/>
      </rPr>
      <t xml:space="preserve">(220 Mtl  Sect. El cerrito de  C /La Esperanza </t>
    </r>
  </si>
  <si>
    <r>
      <t>COMBUSTIBLE Y LUBRICANTES</t>
    </r>
    <r>
      <rPr>
        <b/>
        <sz val="11"/>
        <rFont val="Times New Roman"/>
        <family val="1"/>
      </rPr>
      <t xml:space="preserve">(220 Mtl  Sect. El cerrito de  C /La Esperanza </t>
    </r>
  </si>
  <si>
    <r>
      <t>MINERALES NO METALICOS Y PRODUCTOS DERIVADOS</t>
    </r>
    <r>
      <rPr>
        <b/>
        <sz val="11"/>
        <rFont val="Times New Roman"/>
        <family val="1"/>
      </rPr>
      <t xml:space="preserve">(220 Mtl  Sect. El cerrito de  C /La Esperanza </t>
    </r>
  </si>
  <si>
    <r>
      <t>MINERALES  METALICOS Y PRODUCTOS DERIVADOS</t>
    </r>
    <r>
      <rPr>
        <b/>
        <sz val="11"/>
        <rFont val="Times New Roman"/>
        <family val="1"/>
      </rPr>
      <t xml:space="preserve">(220 Mtl  Sect. El cerrito de  C /La Esperanza </t>
    </r>
  </si>
  <si>
    <r>
      <t>IMPRESIONES, PUBLICACIONES Y REPRODUCCIONES</t>
    </r>
    <r>
      <rPr>
        <b/>
        <sz val="11"/>
        <rFont val="Times New Roman"/>
        <family val="1"/>
      </rPr>
      <t xml:space="preserve">(220 Mtl  Sect. El cerrito de  C /La Esperanza </t>
    </r>
  </si>
  <si>
    <r>
      <t xml:space="preserve">SALARIO DE JORNAL </t>
    </r>
    <r>
      <rPr>
        <b/>
        <sz val="11"/>
        <rFont val="Times New Roman"/>
        <family val="1"/>
      </rPr>
      <t>(240 Mtl   Sect. Cancha las tres estrellas C/ La Esperanza)</t>
    </r>
  </si>
  <si>
    <r>
      <t>VIALES PROY.</t>
    </r>
    <r>
      <rPr>
        <sz val="11"/>
        <rFont val="Times New Roman"/>
        <family val="1"/>
      </rPr>
      <t>240 MTL DE PAVIMENTADO , RIGIDO Y CORDON CUNETA  CON OBRA DE MITIGACION  PARA  EVACUACION DE AGUAS LLUVIAS EN EL SECTOR  CANCHA  TRES ESTRELLAS DEL CANTON LA ESPERANZA, SE TRAE PRESUPUESTARIAMENTE  DEL 2017 Y PASA PARA AÑO 2018 DEL 75% FODES PALN ESTRATEGICO )´</t>
    </r>
    <r>
      <rPr>
        <b/>
        <sz val="11"/>
        <color rgb="FFFF0000"/>
        <rFont val="Times New Roman"/>
        <family val="1"/>
      </rPr>
      <t xml:space="preserve">Por $35,900 segun detalle de rubros </t>
    </r>
  </si>
  <si>
    <r>
      <t xml:space="preserve">COMBUSTIBLE Y LUBRICANTES </t>
    </r>
    <r>
      <rPr>
        <b/>
        <sz val="11"/>
        <rFont val="Times New Roman"/>
        <family val="1"/>
      </rPr>
      <t>(240 Mtl   Sect. Cancha las tres estrellas C/ La Esperanza)</t>
    </r>
  </si>
  <si>
    <r>
      <t xml:space="preserve">MINERALES NO METALICOS Y PRODUCTOS DERIVADOS  </t>
    </r>
    <r>
      <rPr>
        <b/>
        <sz val="11"/>
        <rFont val="Times New Roman"/>
        <family val="1"/>
      </rPr>
      <t>(240 Mtl   Sect. Cancha las tres estrellas C/ La Esperanza)</t>
    </r>
  </si>
  <si>
    <r>
      <t xml:space="preserve">MINERALES METALICOS Y PRODUCTOS DERIVADOS  </t>
    </r>
    <r>
      <rPr>
        <b/>
        <sz val="11"/>
        <rFont val="Times New Roman"/>
        <family val="1"/>
      </rPr>
      <t>(240 Mtl   Sect. Cancha las tres estrellas C/ La Esperanza)</t>
    </r>
  </si>
  <si>
    <r>
      <t xml:space="preserve">HERRAMIENTAS, REPUESTOS Y ACCESORIOS  </t>
    </r>
    <r>
      <rPr>
        <b/>
        <sz val="11"/>
        <rFont val="Times New Roman"/>
        <family val="1"/>
      </rPr>
      <t>(240 Mtl   Sect. Cancha las tres estrellas C/ La Esperanza)</t>
    </r>
  </si>
  <si>
    <r>
      <t xml:space="preserve">TRANSPORTES FLETES Y ALMACENAMIENTOS </t>
    </r>
    <r>
      <rPr>
        <b/>
        <sz val="11"/>
        <rFont val="Times New Roman"/>
        <family val="1"/>
      </rPr>
      <t>(240 Mtl   Sect. Cancha las tres estrellas C/ La Esperanza)</t>
    </r>
  </si>
  <si>
    <r>
      <t xml:space="preserve">IMPRESIONES, PUBLICACIONES Y REPRODUCCIONES </t>
    </r>
    <r>
      <rPr>
        <b/>
        <sz val="11"/>
        <rFont val="Times New Roman"/>
        <family val="1"/>
      </rPr>
      <t>(240 Mtl   Sect. Cancha las tres estrellas C/ La Esperanza)</t>
    </r>
  </si>
  <si>
    <r>
      <t xml:space="preserve">SERVICIOS GENERALES Y ARRENDAMIENTOS DIVERSOS </t>
    </r>
    <r>
      <rPr>
        <b/>
        <sz val="11"/>
        <rFont val="Times New Roman"/>
        <family val="1"/>
      </rPr>
      <t>(240 Mtl   Sect. Cancha las tres estrellas C/ La Esperanza)</t>
    </r>
  </si>
  <si>
    <r>
      <t>COMISIONES Y GASTOS BANCARIOS</t>
    </r>
    <r>
      <rPr>
        <b/>
        <sz val="11"/>
        <rFont val="Times New Roman"/>
        <family val="1"/>
      </rPr>
      <t>(240 Mtl   Sect. Cancha las tres estrellas C/ La Esperanza)</t>
    </r>
  </si>
  <si>
    <r>
      <t>VIALES PROY.160</t>
    </r>
    <r>
      <rPr>
        <sz val="11"/>
        <rFont val="Times New Roman"/>
        <family val="1"/>
      </rPr>
      <t xml:space="preserve"> MTL DE RECARPETEO PARA CAPA DE RODADURA , CORDON CUNETA RESANE CON OBRA DE  MITIGACION EN CALLE PRINCIPAL  DEL SECTOR EL PUENTE  CANTON SAN FRANCISCO CANDELARIA  SE TRAE  CON UN SALDO  DE $16,346.79  QUE PASA PRESUPUESTARIAMENTE  PARA ÑO 2018 DEL 75% FODES  PLAN ESTRATEGICO )</t>
    </r>
    <r>
      <rPr>
        <b/>
        <sz val="11"/>
        <color rgb="FFFF0000"/>
        <rFont val="Times New Roman"/>
        <family val="1"/>
      </rPr>
      <t xml:space="preserve"> </t>
    </r>
  </si>
  <si>
    <r>
      <rPr>
        <sz val="11"/>
        <rFont val="Times New Roman"/>
        <family val="1"/>
      </rPr>
      <t>SALARIO DE JORNAL</t>
    </r>
    <r>
      <rPr>
        <b/>
        <sz val="11"/>
        <rFont val="Times New Roman"/>
        <family val="1"/>
      </rPr>
      <t>(160 Mtl Sect. El Puente C/ San Francisco)</t>
    </r>
  </si>
  <si>
    <r>
      <rPr>
        <sz val="11"/>
        <rFont val="Times New Roman"/>
        <family val="1"/>
      </rPr>
      <t>COMBUSTIBLE Y LUBRICANTES</t>
    </r>
    <r>
      <rPr>
        <b/>
        <sz val="11"/>
        <rFont val="Times New Roman"/>
        <family val="1"/>
      </rPr>
      <t>(160 Mtl Sect. El Puente C/ San Francisco)</t>
    </r>
  </si>
  <si>
    <r>
      <rPr>
        <sz val="11"/>
        <rFont val="Times New Roman"/>
        <family val="1"/>
      </rPr>
      <t>MINERALES NO METALICOS Y PRODUCTOS DERIVADOS</t>
    </r>
    <r>
      <rPr>
        <b/>
        <sz val="11"/>
        <rFont val="Times New Roman"/>
        <family val="1"/>
      </rPr>
      <t>(160 Mtl Sect. El Puente C/ San Francisco)</t>
    </r>
  </si>
  <si>
    <r>
      <rPr>
        <sz val="11"/>
        <rFont val="Times New Roman"/>
        <family val="1"/>
      </rPr>
      <t>MINERALES  METALICOS Y PRODUCTOS DERIVADOS</t>
    </r>
    <r>
      <rPr>
        <b/>
        <sz val="11"/>
        <rFont val="Times New Roman"/>
        <family val="1"/>
      </rPr>
      <t>(160 Mtl Sect. El Puente C/ San Francisco)</t>
    </r>
  </si>
  <si>
    <r>
      <rPr>
        <sz val="11"/>
        <rFont val="Times New Roman"/>
        <family val="1"/>
      </rPr>
      <t>HERRAMIENTAS, REPUESTOS Y ACCESORIOS</t>
    </r>
    <r>
      <rPr>
        <b/>
        <sz val="11"/>
        <rFont val="Times New Roman"/>
        <family val="1"/>
      </rPr>
      <t>(160 Mtl Sect. El Puente C/ San Francisco)</t>
    </r>
  </si>
  <si>
    <r>
      <rPr>
        <sz val="11"/>
        <rFont val="Times New Roman"/>
        <family val="1"/>
      </rPr>
      <t>TRANSPORTES FLETES Y ALMACENAMIENTOS</t>
    </r>
    <r>
      <rPr>
        <b/>
        <sz val="11"/>
        <rFont val="Times New Roman"/>
        <family val="1"/>
      </rPr>
      <t>(160 Mtl Sect. El Puente C/ San Francisco)</t>
    </r>
  </si>
  <si>
    <r>
      <rPr>
        <sz val="11"/>
        <rFont val="Times New Roman"/>
        <family val="1"/>
      </rPr>
      <t>IMPRESIONES, PUBLICACIONES Y REPRODUCCIONES</t>
    </r>
    <r>
      <rPr>
        <b/>
        <sz val="11"/>
        <rFont val="Times New Roman"/>
        <family val="1"/>
      </rPr>
      <t>(160 Mtl Sect. El Puente C/ San Francisco)</t>
    </r>
  </si>
  <si>
    <r>
      <t>VIALES PROY.250</t>
    </r>
    <r>
      <rPr>
        <sz val="11"/>
        <rFont val="Times New Roman"/>
        <family val="1"/>
      </rPr>
      <t xml:space="preserve"> MTL  DE ESTRUCTURA  DE PAVIMENTADO RIGIDO Y CORDON CUNETA CON OBRA DE  MITIGACION EN CALLE PRINCIPAL  QUE VA  HACIA  EL PUNTO DE BUSES SECTOR LA FINCA,  CANTON EL  PARAISO ABAJO   SE TRAE  CON UN SALDO  DE $13,130.63  QUE PASA PRESUPUESTARIAMENTE  PARA ÑO 2018 DEL 75% FODES  PLAN ESTRATEGICO )</t>
    </r>
    <r>
      <rPr>
        <b/>
        <sz val="11"/>
        <color rgb="FFFF0000"/>
        <rFont val="Times New Roman"/>
        <family val="1"/>
      </rPr>
      <t xml:space="preserve"> </t>
    </r>
  </si>
  <si>
    <r>
      <t>S</t>
    </r>
    <r>
      <rPr>
        <sz val="11"/>
        <rFont val="Times New Roman"/>
        <family val="1"/>
      </rPr>
      <t xml:space="preserve">ALARIO DE JORNAL </t>
    </r>
    <r>
      <rPr>
        <b/>
        <sz val="11"/>
        <rFont val="Times New Roman"/>
        <family val="1"/>
      </rPr>
      <t>(250 Mtl Sect. Calle q va hacia el punto de buses sect. La finca C/El Paraiso Abajo)</t>
    </r>
  </si>
  <si>
    <r>
      <rPr>
        <sz val="11"/>
        <rFont val="Times New Roman"/>
        <family val="1"/>
      </rPr>
      <t xml:space="preserve">COMBUSTIBLE Y LUBRICANTES </t>
    </r>
    <r>
      <rPr>
        <b/>
        <sz val="11"/>
        <rFont val="Times New Roman"/>
        <family val="1"/>
      </rPr>
      <t>(250 Mtl Sect. Calle q va hacia el punto de buses sect. La finca C/El Paraiso Abajo)</t>
    </r>
  </si>
  <si>
    <r>
      <rPr>
        <sz val="11"/>
        <rFont val="Times New Roman"/>
        <family val="1"/>
      </rPr>
      <t xml:space="preserve">MINERALES NO METALICOS Y PRODUCTOS DERIVADOS </t>
    </r>
    <r>
      <rPr>
        <b/>
        <sz val="11"/>
        <rFont val="Times New Roman"/>
        <family val="1"/>
      </rPr>
      <t>(250 Mtl Sect. Calle q va hacia el punto de buses sect. La finca C/El Paraiso Abajo)</t>
    </r>
  </si>
  <si>
    <r>
      <rPr>
        <sz val="11"/>
        <rFont val="Times New Roman"/>
        <family val="1"/>
      </rPr>
      <t xml:space="preserve">MINERALES  METALICOS Y PRODUCTOS DERIVADOS </t>
    </r>
    <r>
      <rPr>
        <b/>
        <sz val="11"/>
        <rFont val="Times New Roman"/>
        <family val="1"/>
      </rPr>
      <t>(250 Mtl Sect. Calle q va hacia el punto de buses sect. La finca C/El Paraiso Abajo)</t>
    </r>
  </si>
  <si>
    <r>
      <rPr>
        <sz val="11"/>
        <rFont val="Times New Roman"/>
        <family val="1"/>
      </rPr>
      <t xml:space="preserve">HERRAMIENTAS, REPUESTOS Y ACCESORIOS </t>
    </r>
    <r>
      <rPr>
        <b/>
        <sz val="11"/>
        <rFont val="Times New Roman"/>
        <family val="1"/>
      </rPr>
      <t>(250 Mtl Sect. Calle q va hacia el punto de buses sect. La finca C/El Paraiso Abajo)</t>
    </r>
  </si>
  <si>
    <r>
      <rPr>
        <sz val="11"/>
        <rFont val="Times New Roman"/>
        <family val="1"/>
      </rPr>
      <t xml:space="preserve">TRANSPORTES FLETE Y ALMACENAMIENTOS </t>
    </r>
    <r>
      <rPr>
        <b/>
        <sz val="11"/>
        <rFont val="Times New Roman"/>
        <family val="1"/>
      </rPr>
      <t>(250 Mtl Sect. Calle q va hacia el punto de buses sect. La finca C/El Paraiso Abajo)</t>
    </r>
  </si>
  <si>
    <r>
      <rPr>
        <sz val="11"/>
        <rFont val="Times New Roman"/>
        <family val="1"/>
      </rPr>
      <t xml:space="preserve">IMPRESIONES PUBLICACIONES Y REPRODUCCIONES </t>
    </r>
    <r>
      <rPr>
        <b/>
        <sz val="11"/>
        <rFont val="Times New Roman"/>
        <family val="1"/>
      </rPr>
      <t>(250 Mtl Sect. Calle q va hacia el punto de buses sect. La finca C/El Paraiso Abajo)</t>
    </r>
  </si>
  <si>
    <r>
      <t xml:space="preserve">SALARIO DE JORNAL </t>
    </r>
    <r>
      <rPr>
        <b/>
        <sz val="11"/>
        <rFont val="Times New Roman"/>
        <family val="1"/>
      </rPr>
      <t>(250 Mtl calle princ. Que va a buenas vista sect.los benitez, canton buena vista )</t>
    </r>
  </si>
  <si>
    <r>
      <t xml:space="preserve">MINERALES NO METALICOS Y PRODUCTOS DERIVADOS </t>
    </r>
    <r>
      <rPr>
        <b/>
        <sz val="11"/>
        <rFont val="Times New Roman"/>
        <family val="1"/>
      </rPr>
      <t>(250 Mtl calle princ. Que va a buenas vista sect.los benitez, canton buena vista )</t>
    </r>
  </si>
  <si>
    <r>
      <t xml:space="preserve">COMBUSTIBLE Y LUBRICANTES </t>
    </r>
    <r>
      <rPr>
        <b/>
        <sz val="11"/>
        <rFont val="Times New Roman"/>
        <family val="1"/>
      </rPr>
      <t>(250 Mtl calle princ. Que va a buenas vista sect.los benitez, canton buena vista )</t>
    </r>
  </si>
  <si>
    <r>
      <t xml:space="preserve">MINERALES  METALICOS Y PRODUCTOS DERIVADOS </t>
    </r>
    <r>
      <rPr>
        <b/>
        <sz val="11"/>
        <rFont val="Times New Roman"/>
        <family val="1"/>
      </rPr>
      <t>(250 Mtl calle princ. Que va a buenas vista sect.los benitez, canton buena vista )</t>
    </r>
  </si>
  <si>
    <r>
      <t xml:space="preserve"> HERRAMIENTAS REPUESTOS Y ACCESORIOS  </t>
    </r>
    <r>
      <rPr>
        <b/>
        <sz val="11"/>
        <rFont val="Times New Roman"/>
        <family val="1"/>
      </rPr>
      <t>(250 Mtl calle princ. Que va a buenas vista sect.los benitez, canton buena vista )</t>
    </r>
  </si>
  <si>
    <r>
      <t xml:space="preserve">TRANSPORTES, FLETES Y ALMACENAMIENTOS </t>
    </r>
    <r>
      <rPr>
        <b/>
        <sz val="11"/>
        <rFont val="Times New Roman"/>
        <family val="1"/>
      </rPr>
      <t>(250 Mtl calle princ. Que va a buenas vista sect.los benitez, canton buena vista )</t>
    </r>
  </si>
  <si>
    <r>
      <t>IMPRESIONES, PUBLICACIONES Y REPRODUCCIONES</t>
    </r>
    <r>
      <rPr>
        <b/>
        <sz val="11"/>
        <rFont val="Times New Roman"/>
        <family val="1"/>
      </rPr>
      <t>(250 Mtl calle princ. Que va a buenas vista sect.los benitez, canton buena vista )</t>
    </r>
  </si>
  <si>
    <r>
      <t>VIALES PROY.</t>
    </r>
    <r>
      <rPr>
        <sz val="11"/>
        <rFont val="Times New Roman"/>
        <family val="1"/>
      </rPr>
      <t>240 MTL  DE RECARPETEO  PARA CAPA DE RODADURA  RESANE DE BASE EXISTENTE  CON OBRAS DE MITIGACION PARA TOFIAS EN CALLE "C"  DEL SECTOR LA TIENDA  ZONA II, CANTON BUENOS AIRES ,SE TRAE  CON UN SALDO  DE $6,418.36 QUE PASA PRESUPUESTARIAMENTE  PARA ÑO 2018 DEL 75% FODES  PLAN ESTRATEGICO )</t>
    </r>
    <r>
      <rPr>
        <b/>
        <sz val="11"/>
        <color rgb="FFFF0000"/>
        <rFont val="Times New Roman"/>
        <family val="1"/>
      </rPr>
      <t xml:space="preserve"> </t>
    </r>
  </si>
  <si>
    <r>
      <rPr>
        <sz val="11"/>
        <rFont val="Times New Roman"/>
        <family val="1"/>
      </rPr>
      <t>SALARIO DE JORNAL</t>
    </r>
    <r>
      <rPr>
        <b/>
        <sz val="11"/>
        <rFont val="Times New Roman"/>
        <family val="1"/>
      </rPr>
      <t xml:space="preserve"> (240 Sect. La tienda zona II, Canton Buenos Aires  </t>
    </r>
  </si>
  <si>
    <r>
      <rPr>
        <sz val="11"/>
        <rFont val="Times New Roman"/>
        <family val="1"/>
      </rPr>
      <t>COMBUSTIBLE Y LUBRICANTES</t>
    </r>
    <r>
      <rPr>
        <b/>
        <sz val="11"/>
        <rFont val="Times New Roman"/>
        <family val="1"/>
      </rPr>
      <t xml:space="preserve"> (240 Sect. La tienda zona II, Canton Buenos Aires  </t>
    </r>
  </si>
  <si>
    <r>
      <rPr>
        <sz val="11"/>
        <rFont val="Times New Roman"/>
        <family val="1"/>
      </rPr>
      <t>MINERALES NO METALICOS Y PRODUCTOS DERIVADOS</t>
    </r>
    <r>
      <rPr>
        <b/>
        <sz val="11"/>
        <rFont val="Times New Roman"/>
        <family val="1"/>
      </rPr>
      <t xml:space="preserve"> (240 Sect. La tienda zona II, Canton Buenos Aires  </t>
    </r>
  </si>
  <si>
    <r>
      <rPr>
        <sz val="11"/>
        <rFont val="Times New Roman"/>
        <family val="1"/>
      </rPr>
      <t>MINERALES METALICOS Y PRODUCTOS DERIVADOS</t>
    </r>
    <r>
      <rPr>
        <b/>
        <sz val="11"/>
        <rFont val="Times New Roman"/>
        <family val="1"/>
      </rPr>
      <t xml:space="preserve"> (240 Sect. La tienda zona II, Canton Buenos Aires  </t>
    </r>
  </si>
  <si>
    <r>
      <rPr>
        <sz val="11"/>
        <rFont val="Times New Roman"/>
        <family val="1"/>
      </rPr>
      <t>HERRAMIENTAS, REPUESTOS Y ACCESORIOS</t>
    </r>
    <r>
      <rPr>
        <b/>
        <sz val="11"/>
        <rFont val="Times New Roman"/>
        <family val="1"/>
      </rPr>
      <t xml:space="preserve"> (240 Sect. La tienda zona II, Canton Buenos Aires  </t>
    </r>
  </si>
  <si>
    <r>
      <rPr>
        <sz val="11"/>
        <rFont val="Times New Roman"/>
        <family val="1"/>
      </rPr>
      <t xml:space="preserve">TRANSPORTES FLETES Y ALMACENAMIENTOS </t>
    </r>
    <r>
      <rPr>
        <b/>
        <sz val="11"/>
        <rFont val="Times New Roman"/>
        <family val="1"/>
      </rPr>
      <t xml:space="preserve"> (240 Sect. La tienda zona II, Canton Buenos Aires  </t>
    </r>
  </si>
  <si>
    <r>
      <rPr>
        <sz val="11"/>
        <rFont val="Times New Roman"/>
        <family val="1"/>
      </rPr>
      <t xml:space="preserve">IMPRESIONES, PUBLICACIONES Y REPRODUCCIONES </t>
    </r>
    <r>
      <rPr>
        <b/>
        <sz val="11"/>
        <rFont val="Times New Roman"/>
        <family val="1"/>
      </rPr>
      <t xml:space="preserve"> (240 Sect. La tienda zona II, Canton Buenos Aires  </t>
    </r>
  </si>
  <si>
    <r>
      <t>VIALES PROY.170</t>
    </r>
    <r>
      <rPr>
        <sz val="11"/>
        <rFont val="Times New Roman"/>
        <family val="1"/>
      </rPr>
      <t xml:space="preserve"> MTL DE ESTRUCTURA DE PAVIMENTADO RIGIDO Y CORDON CUNETA  CON OBRAS DE MITIGACION , CALLE PRINCIPAL, CASERIO SAN DIEGO, CANTON EL RODEO  SE TRAE  CON UN SALDO  DE $13867.38 QUE PASA PRESUPUESTARIAMENTE  PARA AÑO 2018 DEL 75% FODES  PLAN ESTRATEGICO )</t>
    </r>
    <r>
      <rPr>
        <b/>
        <sz val="11"/>
        <color rgb="FFFF0000"/>
        <rFont val="Times New Roman"/>
        <family val="1"/>
      </rPr>
      <t xml:space="preserve"> </t>
    </r>
  </si>
  <si>
    <r>
      <rPr>
        <sz val="11"/>
        <rFont val="Times New Roman"/>
        <family val="1"/>
      </rPr>
      <t>SALARIO DE JORNA</t>
    </r>
    <r>
      <rPr>
        <b/>
        <sz val="11"/>
        <rFont val="Times New Roman"/>
        <family val="1"/>
      </rPr>
      <t>L (170 Mtl Caser. San diego , Canton El Rodeo)</t>
    </r>
  </si>
  <si>
    <r>
      <rPr>
        <sz val="11"/>
        <rFont val="Times New Roman"/>
        <family val="1"/>
      </rPr>
      <t>COMBUSTIBLE Y LUBRICANTES</t>
    </r>
    <r>
      <rPr>
        <b/>
        <sz val="11"/>
        <rFont val="Times New Roman"/>
        <family val="1"/>
      </rPr>
      <t xml:space="preserve"> (170 Mtl Caser. San diego , Canton El Rodeo)</t>
    </r>
  </si>
  <si>
    <r>
      <rPr>
        <sz val="11"/>
        <rFont val="Times New Roman"/>
        <family val="1"/>
      </rPr>
      <t>MINERALES NO METALICOS</t>
    </r>
    <r>
      <rPr>
        <b/>
        <sz val="11"/>
        <rFont val="Times New Roman"/>
        <family val="1"/>
      </rPr>
      <t xml:space="preserve"> (170 Mtl Caser. San diego , Canton El Rodeo)</t>
    </r>
  </si>
  <si>
    <r>
      <rPr>
        <sz val="11"/>
        <rFont val="Times New Roman"/>
        <family val="1"/>
      </rPr>
      <t xml:space="preserve">TRANSPORTES FLETES Y ALMACENAMIENTOS </t>
    </r>
    <r>
      <rPr>
        <b/>
        <sz val="11"/>
        <rFont val="Times New Roman"/>
        <family val="1"/>
      </rPr>
      <t xml:space="preserve"> (170 Mtl Caser. San diego , Canton El Rodeo)</t>
    </r>
  </si>
  <si>
    <r>
      <rPr>
        <sz val="11"/>
        <rFont val="Times New Roman"/>
        <family val="1"/>
      </rPr>
      <t xml:space="preserve">IMPRESIONES PUBLICACIONES Y REPRODUCCIONES </t>
    </r>
    <r>
      <rPr>
        <b/>
        <sz val="11"/>
        <rFont val="Times New Roman"/>
        <family val="1"/>
      </rPr>
      <t xml:space="preserve"> (170 Mtl Caser. San diego , Canton El Rodeo)</t>
    </r>
  </si>
  <si>
    <r>
      <t>VIALES PROY.155</t>
    </r>
    <r>
      <rPr>
        <sz val="11"/>
        <rFont val="Times New Roman"/>
        <family val="1"/>
      </rPr>
      <t xml:space="preserve"> MTL DE ESTRUCTURA DE PAVIMENTADO RIGIDO Y CORDON CUNETA  CON OBRAS DE MITIGACION , CALLE PRINCIPAL , DEL SECTOR EL AMATE, CASERIO LOS REYES , CANTON TECOLUCO   SE TRAE  CON UN SALDO  DE $8,097.16 QUE PASA PRESUPUESTARIAMENTE  PARA AÑO 2018 DEL 75% FODES  PLAN ESTRATEGICO )</t>
    </r>
    <r>
      <rPr>
        <b/>
        <sz val="11"/>
        <color rgb="FFFF0000"/>
        <rFont val="Times New Roman"/>
        <family val="1"/>
      </rPr>
      <t xml:space="preserve"> </t>
    </r>
  </si>
  <si>
    <r>
      <rPr>
        <sz val="11"/>
        <rFont val="Times New Roman"/>
        <family val="1"/>
      </rPr>
      <t>SALARIO DE JORNAL</t>
    </r>
    <r>
      <rPr>
        <b/>
        <sz val="11"/>
        <rFont val="Times New Roman"/>
        <family val="1"/>
      </rPr>
      <t xml:space="preserve">(155 Mtl Sect, El Amate  Cas. Los Reyes Canton Tecoluco </t>
    </r>
  </si>
  <si>
    <r>
      <rPr>
        <sz val="11"/>
        <rFont val="Times New Roman"/>
        <family val="1"/>
      </rPr>
      <t>COMBUSTIBLES Y LUBRICANTES</t>
    </r>
    <r>
      <rPr>
        <b/>
        <sz val="11"/>
        <rFont val="Times New Roman"/>
        <family val="1"/>
      </rPr>
      <t xml:space="preserve">(155 Mtl Sect, El Amate  Cas. Los Reyes Canton Tecoluco </t>
    </r>
  </si>
  <si>
    <r>
      <rPr>
        <sz val="11"/>
        <rFont val="Times New Roman"/>
        <family val="1"/>
      </rPr>
      <t xml:space="preserve">MINERALES NO METALICOS Y PRODUCTOS  DERIVADOS </t>
    </r>
    <r>
      <rPr>
        <b/>
        <sz val="11"/>
        <rFont val="Times New Roman"/>
        <family val="1"/>
      </rPr>
      <t xml:space="preserve">(155 Mtl Sect, El Amate  Cas. Los Reyes Canton Tecoluco </t>
    </r>
  </si>
  <si>
    <r>
      <rPr>
        <sz val="11"/>
        <rFont val="Times New Roman"/>
        <family val="1"/>
      </rPr>
      <t xml:space="preserve">TRANSPORTE FLETE Y ALMACENAMIENTO </t>
    </r>
    <r>
      <rPr>
        <b/>
        <sz val="11"/>
        <rFont val="Times New Roman"/>
        <family val="1"/>
      </rPr>
      <t xml:space="preserve">(155 Mtl Sect, El Amate  Cas. Los Reyes Canton Tecoluco </t>
    </r>
  </si>
  <si>
    <r>
      <rPr>
        <sz val="11"/>
        <rFont val="Times New Roman"/>
        <family val="1"/>
      </rPr>
      <t xml:space="preserve">IMPRESIONES, PUBLICACIONES Y REPRODUCCIONES </t>
    </r>
    <r>
      <rPr>
        <b/>
        <sz val="11"/>
        <rFont val="Times New Roman"/>
        <family val="1"/>
      </rPr>
      <t xml:space="preserve">(155 Mtl Sect, El Amate  Cas. Los Reyes Canton Tecoluco </t>
    </r>
  </si>
  <si>
    <r>
      <t xml:space="preserve">VIALES PROY. 230 </t>
    </r>
    <r>
      <rPr>
        <sz val="11"/>
        <rFont val="Times New Roman"/>
        <family val="1"/>
      </rPr>
      <t>MTL DE ESTRUCTURA DE PAVIMENTADO RIGIDO Y CORDON CUNETA  CON OBRAS DE MITIGACION , PARA LA EVACUACION DE LAS AGUAS LLUVIAS EN SECTOR LA ESCUELA, CANTON HUIZILTIPEQUE,   SE TRAE  CON UN SALDO  DE $27,195.87 QUE PASA PRESUPUESTARIAMENTE  PARA AÑO 2018 DEL 75% FODES  PLAN ESTRATEGICO )</t>
    </r>
    <r>
      <rPr>
        <b/>
        <sz val="11"/>
        <color rgb="FFFF0000"/>
        <rFont val="Times New Roman"/>
        <family val="1"/>
      </rPr>
      <t xml:space="preserve"> </t>
    </r>
  </si>
  <si>
    <r>
      <rPr>
        <sz val="11"/>
        <rFont val="Times New Roman"/>
        <family val="1"/>
      </rPr>
      <t>SALARIO DE JORN</t>
    </r>
    <r>
      <rPr>
        <b/>
        <sz val="11"/>
        <rFont val="Times New Roman"/>
        <family val="1"/>
      </rPr>
      <t>AL(230 Mtl.  Sect. La Escuela Canton Huiziltepeque )</t>
    </r>
  </si>
  <si>
    <r>
      <rPr>
        <sz val="11"/>
        <rFont val="Times New Roman"/>
        <family val="1"/>
      </rPr>
      <t>COMBUSTIBLE Y LUBRICANTES</t>
    </r>
    <r>
      <rPr>
        <b/>
        <sz val="11"/>
        <rFont val="Times New Roman"/>
        <family val="1"/>
      </rPr>
      <t>(230 Mtl.  Sect. La Escuela Canton Huiziltepeque )</t>
    </r>
  </si>
  <si>
    <r>
      <rPr>
        <sz val="11"/>
        <rFont val="Times New Roman"/>
        <family val="1"/>
      </rPr>
      <t>MINERALES NO METALICOS Y PRODUCTOS  DERIVADOS</t>
    </r>
    <r>
      <rPr>
        <b/>
        <sz val="11"/>
        <rFont val="Times New Roman"/>
        <family val="1"/>
      </rPr>
      <t>(230 Mtl.  Sect. La Escuela Canton Huiziltepeque )</t>
    </r>
  </si>
  <si>
    <r>
      <rPr>
        <sz val="11"/>
        <rFont val="Times New Roman"/>
        <family val="1"/>
      </rPr>
      <t>MINERALES  METALICOS Y PRODUCTOS  DERIVADOS</t>
    </r>
    <r>
      <rPr>
        <b/>
        <sz val="11"/>
        <rFont val="Times New Roman"/>
        <family val="1"/>
      </rPr>
      <t>(230 Mtl.  Sect. La Escuela Canton Huiziltepeque )</t>
    </r>
  </si>
  <si>
    <r>
      <rPr>
        <sz val="11"/>
        <rFont val="Times New Roman"/>
        <family val="1"/>
      </rPr>
      <t>HERRAMIENTAS, REPUESTOS Y LUBRICANTE</t>
    </r>
    <r>
      <rPr>
        <b/>
        <sz val="11"/>
        <rFont val="Times New Roman"/>
        <family val="1"/>
      </rPr>
      <t>S(230 Mtl.  Sect. La Escuela Canton Huiziltepeque )</t>
    </r>
  </si>
  <si>
    <r>
      <rPr>
        <sz val="11"/>
        <rFont val="Times New Roman"/>
        <family val="1"/>
      </rPr>
      <t xml:space="preserve">TRANSPORTES FLETES Y ALMACENAMIENTOS </t>
    </r>
    <r>
      <rPr>
        <b/>
        <sz val="11"/>
        <rFont val="Times New Roman"/>
        <family val="1"/>
      </rPr>
      <t>(230 Mtl.  Sect. La Escuela Canton Huiziltepeque )</t>
    </r>
  </si>
  <si>
    <r>
      <rPr>
        <sz val="11"/>
        <rFont val="Times New Roman"/>
        <family val="1"/>
      </rPr>
      <t xml:space="preserve">IMPRESIONES, PUBLICACIONES Y REPRODUCCIONES </t>
    </r>
    <r>
      <rPr>
        <b/>
        <sz val="11"/>
        <rFont val="Times New Roman"/>
        <family val="1"/>
      </rPr>
      <t>(230 Mtl.  Sect. La Escuela Canton Huiziltepeque )</t>
    </r>
  </si>
  <si>
    <r>
      <rPr>
        <sz val="11"/>
        <rFont val="Times New Roman"/>
        <family val="1"/>
      </rPr>
      <t xml:space="preserve">SERVICIOS GENERALES Y ARRENDAMIENTOS DIVERSOS </t>
    </r>
    <r>
      <rPr>
        <b/>
        <sz val="11"/>
        <rFont val="Times New Roman"/>
        <family val="1"/>
      </rPr>
      <t>(230 Mtl.  Sect. La Escuela Canton Huiziltepeque )</t>
    </r>
  </si>
  <si>
    <r>
      <t>VIALES PROY.</t>
    </r>
    <r>
      <rPr>
        <sz val="11"/>
        <rFont val="Times New Roman"/>
        <family val="1"/>
      </rPr>
      <t>CONCRETEADO DE CALLE DESDE RANCHO PERLA HASTA IGLESIA ADVENTISTA  300 ML, CANTON EL LIMON,   SE TRAE  CON UN SALDO  DE $20,000.00 QUE PASA PRESUPUESTARIAMENTE  PARA AÑO 2018 DEL 75% FODES  PLAN ESTRATEGICO )</t>
    </r>
    <r>
      <rPr>
        <b/>
        <sz val="11"/>
        <color rgb="FFFF0000"/>
        <rFont val="Times New Roman"/>
        <family val="1"/>
      </rPr>
      <t xml:space="preserve"> </t>
    </r>
  </si>
  <si>
    <r>
      <t>SALARIO DE JORNAL (</t>
    </r>
    <r>
      <rPr>
        <b/>
        <sz val="11"/>
        <rFont val="Times New Roman"/>
        <family val="1"/>
      </rPr>
      <t>Concreteado calle desde rancho perla hasta igl. Adventista 300 ml C/el limon )</t>
    </r>
  </si>
  <si>
    <r>
      <t>COMBUSTIBLES Y LUBRICANTES (</t>
    </r>
    <r>
      <rPr>
        <b/>
        <sz val="11"/>
        <rFont val="Times New Roman"/>
        <family val="1"/>
      </rPr>
      <t>Concreteado calle desde rancho perla hasta igl. Adventista 300 ml C/el limon )</t>
    </r>
  </si>
  <si>
    <r>
      <t>MINERALES NO METALICOS Y PRODUCTOS DERIVADOS  (</t>
    </r>
    <r>
      <rPr>
        <b/>
        <sz val="11"/>
        <rFont val="Times New Roman"/>
        <family val="1"/>
      </rPr>
      <t>Concreteado calle desde rancho perla hasta igl. Adventista 300 ml C/el limon )</t>
    </r>
  </si>
  <si>
    <r>
      <t>MINERALES METALICOS Y PRODUCTOS DERIVADOS (</t>
    </r>
    <r>
      <rPr>
        <b/>
        <sz val="11"/>
        <rFont val="Times New Roman"/>
        <family val="1"/>
      </rPr>
      <t>Concreteado calle desde rancho perla hasta igl. Adventista 300 ml C/el limon )</t>
    </r>
  </si>
  <si>
    <r>
      <t>TRANSPORTES, FLETES Y ALMACENAMIENTOS  (</t>
    </r>
    <r>
      <rPr>
        <b/>
        <sz val="11"/>
        <rFont val="Times New Roman"/>
        <family val="1"/>
      </rPr>
      <t>Concreteado calle desde rancho perla hasta igl. Adventista 300 ml C/el limon )</t>
    </r>
  </si>
  <si>
    <r>
      <t>IMPRESIONES, PUBLICACIONES Y REPRODUCCIONES(</t>
    </r>
    <r>
      <rPr>
        <b/>
        <sz val="11"/>
        <rFont val="Times New Roman"/>
        <family val="1"/>
      </rPr>
      <t>Concreteado calle desde rancho perla hasta igl. Adventista 300 ml C/el limon )</t>
    </r>
  </si>
  <si>
    <r>
      <t>SERVICIOS GENERALES Y ARRENDAMIENTOS DIVERSOS (</t>
    </r>
    <r>
      <rPr>
        <b/>
        <sz val="11"/>
        <rFont val="Times New Roman"/>
        <family val="1"/>
      </rPr>
      <t>Concreteado calle desde rancho perla hasta igl. Adventista 300 ml C/el limon )</t>
    </r>
  </si>
  <si>
    <r>
      <t>COMISIONES Y GASTOS BANCARIOS (</t>
    </r>
    <r>
      <rPr>
        <b/>
        <sz val="11"/>
        <rFont val="Times New Roman"/>
        <family val="1"/>
      </rPr>
      <t>Concreteado calle desde rancho perla hasta igl. Adventista 300 ml C/el limon )</t>
    </r>
  </si>
  <si>
    <r>
      <t>VIALES PROY.</t>
    </r>
    <r>
      <rPr>
        <sz val="11"/>
        <rFont val="Times New Roman"/>
        <family val="1"/>
      </rPr>
      <t>ESTRUCTURA DE PAVIMENTADO RIGIDO Y CORDON CUNETA CON OBRA DE MITIGACION, EN CALLE PRINCIPAL, HACIA CHACALCUYO , SECTOR CASTRO GONZALES , CANTON EL CARMEN,   SE TRAE  DEL 75% FODES  QUE PASA PRESUPUESTARIAMENTE  PARA AÑO 2018 DEL 75% FODES  PLAN ESTRATEGICO )</t>
    </r>
    <r>
      <rPr>
        <b/>
        <sz val="11"/>
        <color rgb="FFFF0000"/>
        <rFont val="Times New Roman"/>
        <family val="1"/>
      </rPr>
      <t xml:space="preserve"> Con $10,000.00</t>
    </r>
  </si>
  <si>
    <r>
      <t>SALARIO DE JORNAL (</t>
    </r>
    <r>
      <rPr>
        <b/>
        <sz val="11"/>
        <rFont val="Times New Roman"/>
        <family val="1"/>
      </rPr>
      <t>Estruc. En calle principal  hacia chacalcuyo, sect. Castro gonzales)</t>
    </r>
  </si>
  <si>
    <r>
      <t>COMBUSTIBLE Y LUBRICANTES(</t>
    </r>
    <r>
      <rPr>
        <b/>
        <sz val="11"/>
        <rFont val="Times New Roman"/>
        <family val="1"/>
      </rPr>
      <t>Estruc. En calle principal  hacia chacalcuyo, sect. Castro gonzales)</t>
    </r>
  </si>
  <si>
    <r>
      <t>MINERALES NO METALICOS Y PRODUCTOS DERIVADOS(</t>
    </r>
    <r>
      <rPr>
        <b/>
        <sz val="11"/>
        <rFont val="Times New Roman"/>
        <family val="1"/>
      </rPr>
      <t>Estruc. En calle principal  hacia chacalcuyo, sect. Castro gonzales)</t>
    </r>
  </si>
  <si>
    <r>
      <t>MINERALES METALICOS Y PRODUCTOS DERIVADOS (</t>
    </r>
    <r>
      <rPr>
        <b/>
        <sz val="11"/>
        <rFont val="Times New Roman"/>
        <family val="1"/>
      </rPr>
      <t>Estruc. En calle principal  hacia chacalcuyo, sect. Castro gonzales)</t>
    </r>
  </si>
  <si>
    <r>
      <t>IMPRESIONES, PUBLICACIONES Y REPRODUCCIONES (</t>
    </r>
    <r>
      <rPr>
        <b/>
        <sz val="11"/>
        <rFont val="Times New Roman"/>
        <family val="1"/>
      </rPr>
      <t>Estruc. En calle principal  hacia chacalcuyo, sect. Castro gonzales)</t>
    </r>
  </si>
  <si>
    <r>
      <t>SERVICIOS GENERALES Y ARRENDAMIENTOS DIVERSOS (</t>
    </r>
    <r>
      <rPr>
        <b/>
        <sz val="11"/>
        <rFont val="Times New Roman"/>
        <family val="1"/>
      </rPr>
      <t>Estruc. En calle principal  hacia chacalcuyo, sect. Castro gonzales)</t>
    </r>
  </si>
  <si>
    <r>
      <t>COMISIONES Y GASTOS BANCARIOS (</t>
    </r>
    <r>
      <rPr>
        <b/>
        <sz val="11"/>
        <rFont val="Times New Roman"/>
        <family val="1"/>
      </rPr>
      <t>Estruc. En calle principal  hacia chacalcuyo, sect. Castro gonzales)</t>
    </r>
  </si>
  <si>
    <r>
      <t xml:space="preserve">VIALES PROY. </t>
    </r>
    <r>
      <rPr>
        <sz val="11"/>
        <rFont val="Times New Roman"/>
        <family val="1"/>
      </rPr>
      <t>300 MTS ESTRUCTURA DE PAVIMENTADO RIGIDO Y CORDON CUNETA CON OBRA DE MITIGACION, PARA LA EVACUACION DE LAS AGUAS LLUVIAS EN SECTOR LAS PILAS CALLE AL CANTON BUENA VISTA ,CANTON EL CARMEN  SE TRAE  DEL 75%   PLAN ESTRATEGICO  Y PASA PRESUPUESTARIAMENTE  PARA EL AÑO 2018)</t>
    </r>
    <r>
      <rPr>
        <b/>
        <sz val="11"/>
        <color rgb="FFFF0000"/>
        <rFont val="Times New Roman"/>
        <family val="1"/>
      </rPr>
      <t xml:space="preserve"> Con $22,100.00 segun rubros</t>
    </r>
  </si>
  <si>
    <r>
      <t xml:space="preserve">SALARIO DE JORNAL </t>
    </r>
    <r>
      <rPr>
        <b/>
        <sz val="11"/>
        <rFont val="Times New Roman"/>
        <family val="1"/>
      </rPr>
      <t>(300 Mts Sect. Las Pilas Calle al C/Buena Vista, C/El Carmen.</t>
    </r>
  </si>
  <si>
    <r>
      <t>COMBUSTIBLE Y LUBRICANTES</t>
    </r>
    <r>
      <rPr>
        <b/>
        <sz val="11"/>
        <rFont val="Times New Roman"/>
        <family val="1"/>
      </rPr>
      <t>(300 Mts Sect. Las Pilas Calle al C/Buena Vista, C/El Carmen.</t>
    </r>
  </si>
  <si>
    <r>
      <t>MINERALES  METALICOS Y PRODUCTOS  DERIVADOS</t>
    </r>
    <r>
      <rPr>
        <b/>
        <sz val="11"/>
        <rFont val="Times New Roman"/>
        <family val="1"/>
      </rPr>
      <t>(300 Mts Sect. Las Pilas Calle al C/Buena Vista, C/El Carmen.</t>
    </r>
  </si>
  <si>
    <r>
      <t xml:space="preserve">MINERALES NO METALICOS Y PRODUCTOS DERIVADOS </t>
    </r>
    <r>
      <rPr>
        <b/>
        <sz val="11"/>
        <rFont val="Times New Roman"/>
        <family val="1"/>
      </rPr>
      <t>(300 Mts Sect. Las Pilas Calle al C/Buena Vista, C/El Carmen.</t>
    </r>
  </si>
  <si>
    <r>
      <t xml:space="preserve">HERRAMIENTAS REPUESTOS Y ACCESORIOS </t>
    </r>
    <r>
      <rPr>
        <b/>
        <sz val="11"/>
        <rFont val="Times New Roman"/>
        <family val="1"/>
      </rPr>
      <t>(300 Mts Sect. Las Pilas Calle al C/Buena Vista, C/El Carmen.</t>
    </r>
  </si>
  <si>
    <r>
      <t>IMPRESIONES, PUBLICACIONES Y REPRODUCCIONES</t>
    </r>
    <r>
      <rPr>
        <b/>
        <sz val="11"/>
        <rFont val="Times New Roman"/>
        <family val="1"/>
      </rPr>
      <t>(300 Mts Sect. Las Pilas Calle al C/Buena Vista, C/El Carmen.</t>
    </r>
  </si>
  <si>
    <r>
      <t>SERVICIOS GENERALES Y ARRENDAMIENTOS DIVERSOS</t>
    </r>
    <r>
      <rPr>
        <b/>
        <sz val="11"/>
        <rFont val="Times New Roman"/>
        <family val="1"/>
      </rPr>
      <t>(300 Mts Sect. Las Pilas Calle al C/Buena Vista, C/El Carmen.</t>
    </r>
  </si>
  <si>
    <r>
      <t xml:space="preserve">COMISIONES Y GASTOS BANCARIOS </t>
    </r>
    <r>
      <rPr>
        <b/>
        <sz val="11"/>
        <rFont val="Times New Roman"/>
        <family val="1"/>
      </rPr>
      <t>(300 Mts Sect. Las Pilas Calle al C/Buena Vista, C/El Carmen.</t>
    </r>
  </si>
  <si>
    <r>
      <t>SALARIO DE JORNAL</t>
    </r>
    <r>
      <rPr>
        <b/>
        <sz val="11"/>
        <rFont val="Times New Roman"/>
        <family val="1"/>
      </rPr>
      <t xml:space="preserve"> (Paviment. De calle princ de 700 mtl.)</t>
    </r>
  </si>
  <si>
    <r>
      <t>COMBUSTIBLE Y LUBRICANTES</t>
    </r>
    <r>
      <rPr>
        <b/>
        <sz val="11"/>
        <rFont val="Times New Roman"/>
        <family val="1"/>
      </rPr>
      <t xml:space="preserve"> (Paviment. De calle princ de 700 mtl.)</t>
    </r>
  </si>
  <si>
    <r>
      <rPr>
        <sz val="11"/>
        <rFont val="Times New Roman"/>
        <family val="1"/>
      </rPr>
      <t xml:space="preserve">MINERALES METALICOS Y PRODUCTOS DERIVADOS </t>
    </r>
    <r>
      <rPr>
        <b/>
        <sz val="11"/>
        <rFont val="Times New Roman"/>
        <family val="1"/>
      </rPr>
      <t>(Paviment. De calle princ de 700 mtl.)</t>
    </r>
  </si>
  <si>
    <r>
      <rPr>
        <sz val="11"/>
        <rFont val="Times New Roman"/>
        <family val="1"/>
      </rPr>
      <t>HERRAMIENTAS, REPUESTOS Y ACCESORIOS</t>
    </r>
    <r>
      <rPr>
        <b/>
        <sz val="11"/>
        <rFont val="Times New Roman"/>
        <family val="1"/>
      </rPr>
      <t>(Paviment. De calle princ de 700 mtl.)</t>
    </r>
  </si>
  <si>
    <r>
      <rPr>
        <sz val="11"/>
        <rFont val="Times New Roman"/>
        <family val="1"/>
      </rPr>
      <t xml:space="preserve">IMPRESIONES, PUBLICACIONESY REPRODUCCIONES </t>
    </r>
    <r>
      <rPr>
        <b/>
        <sz val="11"/>
        <rFont val="Times New Roman"/>
        <family val="1"/>
      </rPr>
      <t>(Paviment. De calle princ de 700 mtl.)</t>
    </r>
  </si>
  <si>
    <r>
      <t>SERVICIOS GENERALES Y ARRENDAMIENTOS DIVERSOS</t>
    </r>
    <r>
      <rPr>
        <b/>
        <sz val="11"/>
        <rFont val="Times New Roman"/>
        <family val="1"/>
      </rPr>
      <t xml:space="preserve"> (Paviment. De calle princ de 700 mtl.)</t>
    </r>
  </si>
  <si>
    <r>
      <rPr>
        <sz val="11"/>
        <rFont val="Times New Roman"/>
        <family val="1"/>
      </rPr>
      <t xml:space="preserve">COMISIONES Y GASTOS BANCARIOS </t>
    </r>
    <r>
      <rPr>
        <b/>
        <sz val="11"/>
        <rFont val="Times New Roman"/>
        <family val="1"/>
      </rPr>
      <t>(Paviment. De calle princ de 700 mtl.)</t>
    </r>
  </si>
  <si>
    <r>
      <rPr>
        <sz val="11"/>
        <rFont val="Times New Roman"/>
        <family val="1"/>
      </rPr>
      <t>MINERALES NO METALICOS Y PRODUCTOS DERIVADOS</t>
    </r>
    <r>
      <rPr>
        <b/>
        <sz val="11"/>
        <rFont val="Times New Roman"/>
        <family val="1"/>
      </rPr>
      <t>(Paviment. De calle princ de 700 mtl.)</t>
    </r>
  </si>
  <si>
    <r>
      <t>VIALES PROY.</t>
    </r>
    <r>
      <rPr>
        <sz val="11"/>
        <rFont val="Times New Roman"/>
        <family val="1"/>
      </rPr>
      <t>PAVIMENTACION TRAMO DE CALLE PRINCIPAL DE 700 MTL. . DESDE INICIO DE CUENTAS A 100 MT ARRIBA DE TANQUE DE AGUA, CANTON SAN AGUSTIN(DEL PLAN ESTRATEGICO. PARTIC. 2018-75%)</t>
    </r>
    <r>
      <rPr>
        <b/>
        <sz val="11"/>
        <color rgb="FFFF0000"/>
        <rFont val="Times New Roman"/>
        <family val="1"/>
      </rPr>
      <t>Con $25,000.00 según rubros</t>
    </r>
  </si>
  <si>
    <r>
      <t xml:space="preserve">SALARIO DE JORNAL </t>
    </r>
    <r>
      <rPr>
        <b/>
        <sz val="11"/>
        <rFont val="Times New Roman"/>
        <family val="1"/>
      </rPr>
      <t>(Calle princ. Desde el desvio de LaPaz  C/Tecomatepeque)</t>
    </r>
  </si>
  <si>
    <r>
      <t xml:space="preserve">COMBUSTIBLE Y LUBRICANTES </t>
    </r>
    <r>
      <rPr>
        <b/>
        <sz val="11"/>
        <rFont val="Times New Roman"/>
        <family val="1"/>
      </rPr>
      <t>(Calle princ. Desde el desvio de LaPaz  C/Tecomatepeque)</t>
    </r>
  </si>
  <si>
    <r>
      <rPr>
        <sz val="11"/>
        <rFont val="Times New Roman"/>
        <family val="1"/>
      </rPr>
      <t>MINERALES NO METALICOS Y PRODUCTOS DERIVADOS</t>
    </r>
    <r>
      <rPr>
        <b/>
        <sz val="11"/>
        <rFont val="Times New Roman"/>
        <family val="1"/>
      </rPr>
      <t>(Calle princ. Desde el desvio de LaPaz  C/Tecomatepeque)</t>
    </r>
  </si>
  <si>
    <r>
      <t xml:space="preserve">MINERALES METALICOS Y PRODUCTOS DERIVADOS </t>
    </r>
    <r>
      <rPr>
        <b/>
        <sz val="11"/>
        <rFont val="Times New Roman"/>
        <family val="1"/>
      </rPr>
      <t>(Calle princ. Desde el desvio de LaPaz  C/Tecomatepeque)</t>
    </r>
  </si>
  <si>
    <r>
      <t xml:space="preserve">HERRAMIENTAS, REPUESTOS Y ACCESORIOS </t>
    </r>
    <r>
      <rPr>
        <b/>
        <sz val="11"/>
        <rFont val="Times New Roman"/>
        <family val="1"/>
      </rPr>
      <t>(Calle princ. Desde el desvio de LaPaz  C/Tecomatepeque)</t>
    </r>
  </si>
  <si>
    <r>
      <rPr>
        <sz val="11"/>
        <rFont val="Times New Roman"/>
        <family val="1"/>
      </rPr>
      <t>IMPRESIONES, PUBLICACIONES, Y REPRODUCCIONES</t>
    </r>
    <r>
      <rPr>
        <b/>
        <sz val="11"/>
        <rFont val="Times New Roman"/>
        <family val="1"/>
      </rPr>
      <t>(Calle princ. Desde el desvio de LaPaz  C/Tecomatepeque)</t>
    </r>
  </si>
  <si>
    <r>
      <t xml:space="preserve">SERVICIOS GENERALES Y ARRENDAMIENTOS DIVERSOS </t>
    </r>
    <r>
      <rPr>
        <b/>
        <sz val="11"/>
        <rFont val="Times New Roman"/>
        <family val="1"/>
      </rPr>
      <t>(Calle princ. Desde el desvio de LaPaz  C/Tecomatepeque)</t>
    </r>
  </si>
  <si>
    <r>
      <t xml:space="preserve">COMISIONES Y GASTOS BANCARIOS </t>
    </r>
    <r>
      <rPr>
        <b/>
        <sz val="11"/>
        <rFont val="Times New Roman"/>
        <family val="1"/>
      </rPr>
      <t>(Calle princ. Desde el desvio de LaPaz  C/Tecomatepeque)</t>
    </r>
  </si>
  <si>
    <r>
      <t xml:space="preserve">VIALES PROY:  </t>
    </r>
    <r>
      <rPr>
        <sz val="11"/>
        <rFont val="Times New Roman"/>
        <family val="1"/>
      </rPr>
      <t>CALLE PRINCIPAL  DESDE EL DESVIO  DE LA PAZ HASTA EL DESVIO DEL ROTULO    (1-KM), CANTON TECOMATEPEQUE</t>
    </r>
    <r>
      <rPr>
        <b/>
        <sz val="11"/>
        <rFont val="Times New Roman"/>
        <family val="1"/>
      </rPr>
      <t xml:space="preserve"> </t>
    </r>
    <r>
      <rPr>
        <sz val="11"/>
        <rFont val="Times New Roman"/>
        <family val="1"/>
      </rPr>
      <t>(DEL PLAN ESTRATEGICO. PARTIC. 2018-75%)</t>
    </r>
    <r>
      <rPr>
        <b/>
        <sz val="11"/>
        <color rgb="FFFF0000"/>
        <rFont val="Times New Roman"/>
        <family val="1"/>
      </rPr>
      <t>Con $25,000.00 según rubros</t>
    </r>
  </si>
  <si>
    <r>
      <t>VIALES PROY:</t>
    </r>
    <r>
      <rPr>
        <sz val="11"/>
        <rFont val="Times New Roman"/>
        <family val="1"/>
      </rPr>
      <t xml:space="preserve">  PAVIMENTACION  DE CALLE CASERIO CASA SOLA  HACIA LOS RAYMUNDO , CANTON TECOMATEPEQUE DEL PLAN ESTRATEGICO. PARTIC. 2018-75%)</t>
    </r>
    <r>
      <rPr>
        <b/>
        <sz val="11"/>
        <color rgb="FFFF0000"/>
        <rFont val="Times New Roman"/>
        <family val="1"/>
      </rPr>
      <t>Con $10,000.00 según rubros</t>
    </r>
  </si>
  <si>
    <r>
      <t>SALARIO DE JORNAL</t>
    </r>
    <r>
      <rPr>
        <b/>
        <sz val="11"/>
        <rFont val="Times New Roman"/>
        <family val="1"/>
      </rPr>
      <t>(Pavim. De calle Cas. Casa Sola hacia Los Raymundo C/Tecomatepeque)</t>
    </r>
  </si>
  <si>
    <r>
      <rPr>
        <sz val="11"/>
        <rFont val="Times New Roman"/>
        <family val="1"/>
      </rPr>
      <t>COMBUSTIBLE Y LUBRICANTES</t>
    </r>
    <r>
      <rPr>
        <b/>
        <sz val="11"/>
        <rFont val="Times New Roman"/>
        <family val="1"/>
      </rPr>
      <t>(Pavim. De calle Cas. Casa Sola hacia Los Raymundo C/Tecomatepeque)</t>
    </r>
  </si>
  <si>
    <r>
      <rPr>
        <sz val="11"/>
        <rFont val="Times New Roman"/>
        <family val="1"/>
      </rPr>
      <t>MINERALES NO METALICOS Y PRODUCTOS DERIVADOS</t>
    </r>
    <r>
      <rPr>
        <b/>
        <sz val="11"/>
        <rFont val="Times New Roman"/>
        <family val="1"/>
      </rPr>
      <t>(Pavim. De calle Cas. Casa Sola hacia Los Raymundo C/Tecomatepeque)</t>
    </r>
  </si>
  <si>
    <r>
      <rPr>
        <sz val="11"/>
        <rFont val="Times New Roman"/>
        <family val="1"/>
      </rPr>
      <t>IMPRESIONES, PUBLICACIONES Y REPRODUCCIONES</t>
    </r>
    <r>
      <rPr>
        <b/>
        <sz val="11"/>
        <rFont val="Times New Roman"/>
        <family val="1"/>
      </rPr>
      <t>(Pavim. De calle Cas. Casa Sola hacia Los Raymundo C/Tecomatepeque)</t>
    </r>
  </si>
  <si>
    <r>
      <rPr>
        <sz val="11"/>
        <rFont val="Times New Roman"/>
        <family val="1"/>
      </rPr>
      <t>COMISIONES Y GASTOS BANCARIOS</t>
    </r>
    <r>
      <rPr>
        <b/>
        <sz val="11"/>
        <rFont val="Times New Roman"/>
        <family val="1"/>
      </rPr>
      <t>(Pavim. De calle Cas. Casa Sola hacia Los Raymundo C/Tecomatepeque)</t>
    </r>
  </si>
  <si>
    <r>
      <t>VIALES PROY:</t>
    </r>
    <r>
      <rPr>
        <sz val="11"/>
        <rFont val="Times New Roman"/>
        <family val="1"/>
      </rPr>
      <t xml:space="preserve"> PAVIMENTACION DE CALLE HACIA SAN FRANCISCO CANDELARIA, DESDE CRUZ CALLE INICIANDO DONDE DON SANTIAGO , 500 MTL, CANTON SAN FRANSCISCO(Hay una nota de translado para San francisco de asis abajo, bajo la coordinacion de ambas adescos,) (SE PRESUPUESTA DEL   75% FODES DEL PLAN ESTRATEGICO. )</t>
    </r>
    <r>
      <rPr>
        <b/>
        <sz val="11"/>
        <color rgb="FFFF0000"/>
        <rFont val="Times New Roman"/>
        <family val="1"/>
      </rPr>
      <t>Con $20,000.00 según rubros</t>
    </r>
  </si>
  <si>
    <r>
      <t xml:space="preserve">SALARIO DE JORNAL </t>
    </r>
    <r>
      <rPr>
        <b/>
        <sz val="11"/>
        <rFont val="Times New Roman"/>
        <family val="1"/>
      </rPr>
      <t>(Pavim. De calle hacia San Francisco Candelaria desde cruz inic. Desde Don Santiago, 500 Mtl.)</t>
    </r>
  </si>
  <si>
    <r>
      <t>COMBUSTIBLE Y LUBRICANTES</t>
    </r>
    <r>
      <rPr>
        <b/>
        <sz val="11"/>
        <rFont val="Times New Roman"/>
        <family val="1"/>
      </rPr>
      <t>(Pavim. De calle hacia San Francisco Candelaria desde cruz inic. Desde Don Santiago, 500 Mtl.)</t>
    </r>
  </si>
  <si>
    <r>
      <t>MINERALES NO METALICOS Y PRODUCTOS DERIVADOS</t>
    </r>
    <r>
      <rPr>
        <b/>
        <sz val="11"/>
        <rFont val="Times New Roman"/>
        <family val="1"/>
      </rPr>
      <t>(Pavim. De calle hacia San Francisco Candelaria desde cruz inic. Desde Don Santiago, 500 Mtl.)</t>
    </r>
  </si>
  <si>
    <r>
      <t>HERRAMIENTAS, REPUESTOS Y ACCESORIOS</t>
    </r>
    <r>
      <rPr>
        <b/>
        <sz val="11"/>
        <rFont val="Times New Roman"/>
        <family val="1"/>
      </rPr>
      <t>(Pavim. De calle hacia San Francisco Candelaria desde cruz inic. Desde Don Santiago, 500 Mtl.)</t>
    </r>
  </si>
  <si>
    <r>
      <t xml:space="preserve">IMPRESIONES, PUBLICACIONES Y REPRODUCCIONES </t>
    </r>
    <r>
      <rPr>
        <b/>
        <sz val="11"/>
        <rFont val="Times New Roman"/>
        <family val="1"/>
      </rPr>
      <t>(Pavim. De calle hacia San Francisco Candelaria desde cruz inic. Desde Don Santiago, 500 Mtl.)</t>
    </r>
  </si>
  <si>
    <r>
      <t>SERVICIOS GENERALES NO METALICOS Y PRODUCTOS DERIVADOS</t>
    </r>
    <r>
      <rPr>
        <b/>
        <sz val="11"/>
        <rFont val="Times New Roman"/>
        <family val="1"/>
      </rPr>
      <t>(Pavim. De calle hacia San Francisco Candelaria desde cruz inic. Desde Don Santiago, 500 Mtl.)</t>
    </r>
  </si>
  <si>
    <r>
      <rPr>
        <sz val="11"/>
        <rFont val="Times New Roman"/>
        <family val="1"/>
      </rPr>
      <t>COMISIONES Y GASTOS BANCARIOS</t>
    </r>
    <r>
      <rPr>
        <b/>
        <sz val="11"/>
        <rFont val="Times New Roman"/>
        <family val="1"/>
      </rPr>
      <t>(Pavim. De calle hacia San Francisco Candelaria desde cruz inic. Desde Don Santiago, 500 Mtl.)</t>
    </r>
  </si>
  <si>
    <r>
      <t>VIALES PROY:</t>
    </r>
    <r>
      <rPr>
        <sz val="11"/>
        <rFont val="Times New Roman"/>
        <family val="1"/>
      </rPr>
      <t xml:space="preserve"> CONCREADO DE CALLE DESDE RANCHO PERLA  HASTA IGLESIA ADVENTISTA 300  MTS,) ( DEL PLAN ESTRATEGICO PARTIC. AÑO 2018 75%)</t>
    </r>
    <r>
      <rPr>
        <b/>
        <sz val="11"/>
        <color rgb="FFFF0000"/>
        <rFont val="Times New Roman"/>
        <family val="1"/>
      </rPr>
      <t>Con $20,000.00 según rubros</t>
    </r>
  </si>
  <si>
    <r>
      <t>SALARIO DE JORNAL</t>
    </r>
    <r>
      <rPr>
        <b/>
        <sz val="11"/>
        <rFont val="Times New Roman"/>
        <family val="1"/>
      </rPr>
      <t xml:space="preserve"> (Concreteado de calle el rancho perla hasta igl. Adventista 300 mts)</t>
    </r>
  </si>
  <si>
    <r>
      <t>COMBUSTIBLE Y LUBRICANTES</t>
    </r>
    <r>
      <rPr>
        <b/>
        <sz val="11"/>
        <rFont val="Times New Roman"/>
        <family val="1"/>
      </rPr>
      <t xml:space="preserve"> (Concreteado de calle el rancho perla hasta igl. Adventista 300 mts)</t>
    </r>
  </si>
  <si>
    <r>
      <t>MINERALES NO METALICOS Y PRODUCTOS DERIVADOS</t>
    </r>
    <r>
      <rPr>
        <b/>
        <sz val="11"/>
        <rFont val="Times New Roman"/>
        <family val="1"/>
      </rPr>
      <t>(Concreteado de calle el rancho perla hasta igl. Adventista 300 mts)</t>
    </r>
  </si>
  <si>
    <r>
      <rPr>
        <sz val="11"/>
        <rFont val="Times New Roman"/>
        <family val="1"/>
      </rPr>
      <t>MINERALES METALICOS Y PRODUCTOS DERIVADOS</t>
    </r>
    <r>
      <rPr>
        <b/>
        <sz val="11"/>
        <rFont val="Times New Roman"/>
        <family val="1"/>
      </rPr>
      <t xml:space="preserve"> (Concreteado de calle el rancho perla hasta igl. Adventista 300 mts)</t>
    </r>
  </si>
  <si>
    <r>
      <t>HERRAMIENTAS, REPUESTOS Y ACCESORIOS</t>
    </r>
    <r>
      <rPr>
        <b/>
        <sz val="11"/>
        <rFont val="Times New Roman"/>
        <family val="1"/>
      </rPr>
      <t>(Concreteado de calle el rancho perla hasta igl. Adventista 300 mts)</t>
    </r>
  </si>
  <si>
    <r>
      <t>IMPRESIONES, PUBLICACIONES Y REPRODUCCIONES</t>
    </r>
    <r>
      <rPr>
        <b/>
        <sz val="11"/>
        <rFont val="Times New Roman"/>
        <family val="1"/>
      </rPr>
      <t>(Concreteado de calle el rancho perla hasta igl. Adventista 300 mts)</t>
    </r>
  </si>
  <si>
    <r>
      <rPr>
        <sz val="11"/>
        <rFont val="Times New Roman"/>
        <family val="1"/>
      </rPr>
      <t>SERVICIOS GENERALES Y ARRENDAMIENTOS DIVERSOS</t>
    </r>
    <r>
      <rPr>
        <b/>
        <sz val="11"/>
        <rFont val="Times New Roman"/>
        <family val="1"/>
      </rPr>
      <t>(Concreteado de calle el rancho perla hasta igl. Adventista 300 mts)</t>
    </r>
  </si>
  <si>
    <r>
      <rPr>
        <sz val="11"/>
        <rFont val="Times New Roman"/>
        <family val="1"/>
      </rPr>
      <t>COMISIONES Y GASTOS BANCARIOS</t>
    </r>
    <r>
      <rPr>
        <b/>
        <sz val="11"/>
        <rFont val="Times New Roman"/>
        <family val="1"/>
      </rPr>
      <t>(Concreteado de calle el rancho perla hasta igl. Adventista 300 mts)</t>
    </r>
  </si>
  <si>
    <r>
      <t>VIALES PROY:</t>
    </r>
    <r>
      <rPr>
        <sz val="11"/>
        <rFont val="Times New Roman"/>
        <family val="1"/>
      </rPr>
      <t xml:space="preserve"> FRAGUADO Y CONCRETEADO DE CALLE CASERIO KM24 LOS SANCHEZ , DESDE EL AMATE  HASTA LA  ENTRADA DE CASA DEL SEÑOR LEONEL SANCHEZ , 250 MTL, CANTON  EL CARMEN (  SE RESPUESTA  DEL 75% FODES DEL PLAN ESTRATEGICO )</t>
    </r>
    <r>
      <rPr>
        <b/>
        <sz val="11"/>
        <color rgb="FFFF0000"/>
        <rFont val="Times New Roman"/>
        <family val="1"/>
      </rPr>
      <t>Con $20,000.00 según rubros</t>
    </r>
  </si>
  <si>
    <r>
      <rPr>
        <sz val="11"/>
        <rFont val="Times New Roman"/>
        <family val="1"/>
      </rPr>
      <t xml:space="preserve">SALARIO DE JORNAL </t>
    </r>
    <r>
      <rPr>
        <b/>
        <sz val="11"/>
        <rFont val="Times New Roman"/>
        <family val="1"/>
      </rPr>
      <t xml:space="preserve">(Fraguado y concr. De calle Cas  km 24 Los Sanchez </t>
    </r>
  </si>
  <si>
    <r>
      <rPr>
        <sz val="11"/>
        <rFont val="Times New Roman"/>
        <family val="1"/>
      </rPr>
      <t xml:space="preserve">COMBUSTIBLE Y LUBRICANTES </t>
    </r>
    <r>
      <rPr>
        <b/>
        <sz val="11"/>
        <rFont val="Times New Roman"/>
        <family val="1"/>
      </rPr>
      <t xml:space="preserve">(Fraguado y concr. De calle Cas  km 24 Los Sanchez </t>
    </r>
  </si>
  <si>
    <r>
      <rPr>
        <sz val="11"/>
        <rFont val="Times New Roman"/>
        <family val="1"/>
      </rPr>
      <t xml:space="preserve">MINERALES NO METALICOS Y PRODUCTOS DERIVADOS </t>
    </r>
    <r>
      <rPr>
        <b/>
        <sz val="11"/>
        <rFont val="Times New Roman"/>
        <family val="1"/>
      </rPr>
      <t xml:space="preserve">(Fraguado y concr. De calle Cas  km 24 Los Sanchez </t>
    </r>
  </si>
  <si>
    <r>
      <rPr>
        <sz val="11"/>
        <rFont val="Times New Roman"/>
        <family val="1"/>
      </rPr>
      <t xml:space="preserve">HERRAMIENTAS, REPUESTOS Y ACCESORIOS </t>
    </r>
    <r>
      <rPr>
        <b/>
        <sz val="11"/>
        <rFont val="Times New Roman"/>
        <family val="1"/>
      </rPr>
      <t xml:space="preserve">(Fraguado y concr. De calle Cas  km 24 Los Sanchez </t>
    </r>
  </si>
  <si>
    <r>
      <rPr>
        <sz val="11"/>
        <rFont val="Times New Roman"/>
        <family val="1"/>
      </rPr>
      <t>IMPRESIONES, REPUESTOS Y ACCESORIOS</t>
    </r>
    <r>
      <rPr>
        <b/>
        <sz val="11"/>
        <rFont val="Times New Roman"/>
        <family val="1"/>
      </rPr>
      <t xml:space="preserve">(Fraguado y concr. De calle Cas  km 24 Los Sanchez </t>
    </r>
  </si>
  <si>
    <r>
      <rPr>
        <sz val="11"/>
        <rFont val="Times New Roman"/>
        <family val="1"/>
      </rPr>
      <t>SERVICIOS GENERALES Y ARRENDAMIENTOS DIVERSOS</t>
    </r>
    <r>
      <rPr>
        <b/>
        <sz val="11"/>
        <rFont val="Times New Roman"/>
        <family val="1"/>
      </rPr>
      <t xml:space="preserve">(Fraguado y concr. De calle Cas  km 24 Los Sanchez </t>
    </r>
  </si>
  <si>
    <r>
      <rPr>
        <sz val="11"/>
        <rFont val="Times New Roman"/>
        <family val="1"/>
      </rPr>
      <t xml:space="preserve">COMISIONES Y GASTOS BANCARIOS </t>
    </r>
    <r>
      <rPr>
        <b/>
        <sz val="11"/>
        <rFont val="Times New Roman"/>
        <family val="1"/>
      </rPr>
      <t xml:space="preserve">(Fraguado y concr. De calle Cas  km 24 Los Sanchez </t>
    </r>
  </si>
  <si>
    <r>
      <t>VIALES PROY:</t>
    </r>
    <r>
      <rPr>
        <sz val="11"/>
        <rFont val="Times New Roman"/>
        <family val="1"/>
      </rPr>
      <t xml:space="preserve"> REPARACION  DE CASA COMUNAL CON TECHO (DEL PLAN  ESTRATEGICO. PARTIC. AÑO 2018 75% SE HACE CONSTAR QUE PARA EL AÑO /18  SE PRESUPUESTA $35,000  Y DEL AÑO /17 SE TRAEN $10,000 S/PLAN ESTRATEGICO, POR LO QUE SUMA EL VALOR DE 45,000</t>
    </r>
  </si>
  <si>
    <r>
      <rPr>
        <sz val="11"/>
        <rFont val="Times New Roman"/>
        <family val="1"/>
      </rPr>
      <t xml:space="preserve">SALARIO DE JORNAL </t>
    </r>
    <r>
      <rPr>
        <b/>
        <sz val="11"/>
        <rFont val="Times New Roman"/>
        <family val="1"/>
      </rPr>
      <t>(Reparac. De casa comunal con techo )</t>
    </r>
  </si>
  <si>
    <r>
      <rPr>
        <sz val="11"/>
        <rFont val="Times New Roman"/>
        <family val="1"/>
      </rPr>
      <t xml:space="preserve">COMBUSTIBLES Y LUBRICANTES  </t>
    </r>
    <r>
      <rPr>
        <b/>
        <sz val="11"/>
        <rFont val="Times New Roman"/>
        <family val="1"/>
      </rPr>
      <t>(Reparac. De casa comunal con techo )</t>
    </r>
  </si>
  <si>
    <r>
      <rPr>
        <sz val="11"/>
        <rFont val="Times New Roman"/>
        <family val="1"/>
      </rPr>
      <t xml:space="preserve">MINERALES NO METALICOS Y PRODUCTOS DERIVADOS </t>
    </r>
    <r>
      <rPr>
        <b/>
        <sz val="11"/>
        <rFont val="Times New Roman"/>
        <family val="1"/>
      </rPr>
      <t>(Reparac. De casa comunal con techo )</t>
    </r>
  </si>
  <si>
    <r>
      <rPr>
        <sz val="11"/>
        <rFont val="Times New Roman"/>
        <family val="1"/>
      </rPr>
      <t xml:space="preserve">MINERALES METALICOS Y PRODUCTOS DERIVADOS </t>
    </r>
    <r>
      <rPr>
        <b/>
        <sz val="11"/>
        <rFont val="Times New Roman"/>
        <family val="1"/>
      </rPr>
      <t>(Reparac. De casa comunal con techo )</t>
    </r>
  </si>
  <si>
    <r>
      <rPr>
        <sz val="11"/>
        <rFont val="Times New Roman"/>
        <family val="1"/>
      </rPr>
      <t xml:space="preserve">HERRAMIENTAS , REPUESTOS Y LUBRICANTES </t>
    </r>
    <r>
      <rPr>
        <b/>
        <sz val="11"/>
        <rFont val="Times New Roman"/>
        <family val="1"/>
      </rPr>
      <t>(Reparac. De casa comunal con techo )</t>
    </r>
  </si>
  <si>
    <r>
      <t xml:space="preserve"> </t>
    </r>
    <r>
      <rPr>
        <sz val="11"/>
        <rFont val="Times New Roman"/>
        <family val="1"/>
      </rPr>
      <t>TRANSPORTES FLETES Y ALMACENAMIENTOS</t>
    </r>
    <r>
      <rPr>
        <b/>
        <sz val="11"/>
        <rFont val="Times New Roman"/>
        <family val="1"/>
      </rPr>
      <t xml:space="preserve"> (Reparac. De casa comunal con techo )</t>
    </r>
  </si>
  <si>
    <r>
      <rPr>
        <sz val="11"/>
        <rFont val="Times New Roman"/>
        <family val="1"/>
      </rPr>
      <t>IMPRESIONES, PUBLICACIONES Y REPRODUCCIONES</t>
    </r>
    <r>
      <rPr>
        <b/>
        <sz val="11"/>
        <rFont val="Times New Roman"/>
        <family val="1"/>
      </rPr>
      <t>(Reparac. De casa comunal con techo )</t>
    </r>
  </si>
  <si>
    <r>
      <rPr>
        <sz val="11"/>
        <rFont val="Times New Roman"/>
        <family val="1"/>
      </rPr>
      <t xml:space="preserve">SERVICIOS GENERALES Y ARRENDAMIENTOS DIVERSOS </t>
    </r>
    <r>
      <rPr>
        <b/>
        <sz val="11"/>
        <rFont val="Times New Roman"/>
        <family val="1"/>
      </rPr>
      <t>(Reparac. De casa comunal con techo )</t>
    </r>
  </si>
  <si>
    <r>
      <rPr>
        <sz val="11"/>
        <rFont val="Times New Roman"/>
        <family val="1"/>
      </rPr>
      <t>COMISIONES Y GASTOS BANCARIOS</t>
    </r>
    <r>
      <rPr>
        <b/>
        <sz val="11"/>
        <rFont val="Times New Roman"/>
        <family val="1"/>
      </rPr>
      <t>(Reparac. De casa comunal con techo )</t>
    </r>
  </si>
  <si>
    <r>
      <rPr>
        <sz val="11"/>
        <rFont val="Times New Roman"/>
        <family val="1"/>
      </rPr>
      <t xml:space="preserve">SALARIO DE JORNAL </t>
    </r>
    <r>
      <rPr>
        <b/>
        <sz val="11"/>
        <rFont val="Times New Roman"/>
        <family val="1"/>
      </rPr>
      <t>(Pav. De calle de acceso Cas. La Bolsa 40 Mtl. Canton La Loma.</t>
    </r>
  </si>
  <si>
    <r>
      <t xml:space="preserve">VIALES PROY: </t>
    </r>
    <r>
      <rPr>
        <sz val="11"/>
        <rFont val="Times New Roman"/>
        <family val="1"/>
      </rPr>
      <t>CONCRETEADO Y CUNETEADO DE CALLE  DE INTERSECCION DE PANAMERICANA  Y AUTOPISTA, SECTOR BALLESTERIOS KM 21, CANTON LA LOMA</t>
    </r>
    <r>
      <rPr>
        <b/>
        <sz val="11"/>
        <rFont val="Times New Roman"/>
        <family val="1"/>
      </rPr>
      <t xml:space="preserve"> </t>
    </r>
    <r>
      <rPr>
        <sz val="11"/>
        <rFont val="Times New Roman"/>
        <family val="1"/>
      </rPr>
      <t xml:space="preserve"> (SE PRESUPUESTA DEL PLAN ESTRATEGICO, 75% FODES, AÑO 2018) </t>
    </r>
    <r>
      <rPr>
        <b/>
        <sz val="11"/>
        <color rgb="FFFF0000"/>
        <rFont val="Times New Roman"/>
        <family val="1"/>
      </rPr>
      <t>Con $20,000.00 según rubros</t>
    </r>
  </si>
  <si>
    <r>
      <rPr>
        <sz val="11"/>
        <rFont val="Times New Roman"/>
        <family val="1"/>
      </rPr>
      <t xml:space="preserve">SALARIO DE JORNAL </t>
    </r>
    <r>
      <rPr>
        <b/>
        <sz val="11"/>
        <rFont val="Times New Roman"/>
        <family val="1"/>
      </rPr>
      <t>(Concret. Y cunet. De calle de inters, de panamericana y autopista Canton  La Loma)</t>
    </r>
  </si>
  <si>
    <r>
      <rPr>
        <sz val="11"/>
        <rFont val="Times New Roman"/>
        <family val="1"/>
      </rPr>
      <t>COMBUSTIBLE Y LUBRICANTES</t>
    </r>
    <r>
      <rPr>
        <b/>
        <sz val="11"/>
        <rFont val="Times New Roman"/>
        <family val="1"/>
      </rPr>
      <t>(Concret. Y cunet. De calle de inters, de panamericana y autopista Canton  La Loma)</t>
    </r>
  </si>
  <si>
    <r>
      <rPr>
        <sz val="11"/>
        <rFont val="Times New Roman"/>
        <family val="1"/>
      </rPr>
      <t xml:space="preserve">MINERALES NO METALICOS Y PRODUCTOS DERIVADOS </t>
    </r>
    <r>
      <rPr>
        <b/>
        <sz val="11"/>
        <rFont val="Times New Roman"/>
        <family val="1"/>
      </rPr>
      <t>(Concret. Y cunet. De calle de inters, de panamericana y autopista Canton  La Loma)</t>
    </r>
  </si>
  <si>
    <r>
      <rPr>
        <sz val="11"/>
        <rFont val="Times New Roman"/>
        <family val="1"/>
      </rPr>
      <t>HERRAMIENTAS, REPUESTOS Y ACCESORIOS</t>
    </r>
    <r>
      <rPr>
        <b/>
        <sz val="11"/>
        <rFont val="Times New Roman"/>
        <family val="1"/>
      </rPr>
      <t>(Concret. Y cunet. De calle de inters, de panamericana y autopista Canton  La Loma)</t>
    </r>
  </si>
  <si>
    <r>
      <rPr>
        <sz val="11"/>
        <rFont val="Times New Roman"/>
        <family val="1"/>
      </rPr>
      <t xml:space="preserve">IMPRESIONES, PUBLICACIONES Y REPRODUCCIONES </t>
    </r>
    <r>
      <rPr>
        <b/>
        <sz val="11"/>
        <rFont val="Times New Roman"/>
        <family val="1"/>
      </rPr>
      <t>(Concret. Y cunet. De calle de inters, de panamericana y autopista Canton  La Loma)</t>
    </r>
  </si>
  <si>
    <r>
      <rPr>
        <sz val="11"/>
        <rFont val="Times New Roman"/>
        <family val="1"/>
      </rPr>
      <t>SERVICIOS GENERALES Y ARRENDAMIENTOS DIVERSOS</t>
    </r>
    <r>
      <rPr>
        <b/>
        <sz val="11"/>
        <rFont val="Times New Roman"/>
        <family val="1"/>
      </rPr>
      <t>(Concret. Y cunet. De calle de inters, de panamericana y autopista Canton  La Loma)</t>
    </r>
  </si>
  <si>
    <r>
      <rPr>
        <sz val="11"/>
        <rFont val="Times New Roman"/>
        <family val="1"/>
      </rPr>
      <t>COMISIONES Y GASTOS BANCARIOS</t>
    </r>
    <r>
      <rPr>
        <b/>
        <sz val="11"/>
        <rFont val="Times New Roman"/>
        <family val="1"/>
      </rPr>
      <t>(Concret. Y cunet. De calle de inters, de panamericana y autopista Canton  La Loma)</t>
    </r>
  </si>
  <si>
    <r>
      <t xml:space="preserve">VIALES PROY: </t>
    </r>
    <r>
      <rPr>
        <sz val="11"/>
        <rFont val="Times New Roman"/>
        <family val="1"/>
      </rPr>
      <t xml:space="preserve">PAVIMENTACION DE CALLE DE ACCESO CASERIO LA BOLSA 40 MTL. CANTON LA LOMA (SE PRESUPUESTA DEL PLAN ESTRATEGICO, 75% FODES, AÑO 2018) </t>
    </r>
    <r>
      <rPr>
        <b/>
        <sz val="11"/>
        <color rgb="FFFF0000"/>
        <rFont val="Times New Roman"/>
        <family val="1"/>
      </rPr>
      <t>Con $6,000.00 según rubros</t>
    </r>
  </si>
  <si>
    <r>
      <rPr>
        <sz val="11"/>
        <rFont val="Times New Roman"/>
        <family val="1"/>
      </rPr>
      <t xml:space="preserve">COMBUSTIBLES Y LUBRICANTES </t>
    </r>
    <r>
      <rPr>
        <b/>
        <sz val="11"/>
        <rFont val="Times New Roman"/>
        <family val="1"/>
      </rPr>
      <t>(Pav. De calle de acceso Cas. La Bolsa 40 Mtl. Canton La Loma.</t>
    </r>
  </si>
  <si>
    <r>
      <rPr>
        <sz val="11"/>
        <rFont val="Times New Roman"/>
        <family val="1"/>
      </rPr>
      <t xml:space="preserve">MINERALES NO METALICOS Y PRODUCTOS DERIVADOS </t>
    </r>
    <r>
      <rPr>
        <b/>
        <sz val="11"/>
        <rFont val="Times New Roman"/>
        <family val="1"/>
      </rPr>
      <t>(Pav. De calle de acceso Cas. La Bolsa 40 Mtl. Canton La Loma.</t>
    </r>
  </si>
  <si>
    <r>
      <rPr>
        <sz val="11"/>
        <rFont val="Times New Roman"/>
        <family val="1"/>
      </rPr>
      <t xml:space="preserve">HERRAMIENTAS, REPUESTOS Y ACCESORIOS </t>
    </r>
    <r>
      <rPr>
        <b/>
        <sz val="11"/>
        <rFont val="Times New Roman"/>
        <family val="1"/>
      </rPr>
      <t>(Pav. De calle de acceso Cas. La Bolsa 40 Mtl. Canton La Loma.</t>
    </r>
  </si>
  <si>
    <r>
      <rPr>
        <sz val="11"/>
        <rFont val="Times New Roman"/>
        <family val="1"/>
      </rPr>
      <t xml:space="preserve">TRANSPORTES, FLETES Y ALMACENAMIENTOS </t>
    </r>
    <r>
      <rPr>
        <b/>
        <sz val="11"/>
        <rFont val="Times New Roman"/>
        <family val="1"/>
      </rPr>
      <t>(Pav. De calle de acceso Cas. La Bolsa 40 Mtl. Canton La Loma.</t>
    </r>
  </si>
  <si>
    <r>
      <rPr>
        <sz val="11"/>
        <rFont val="Times New Roman"/>
        <family val="1"/>
      </rPr>
      <t xml:space="preserve">IMPRESIONES, PUBLICACIONES Y REPRODUCCIONES </t>
    </r>
    <r>
      <rPr>
        <b/>
        <sz val="11"/>
        <rFont val="Times New Roman"/>
        <family val="1"/>
      </rPr>
      <t>(Pav. De calle de acceso Cas. La Bolsa 40 Mtl. Canton La Loma.</t>
    </r>
  </si>
  <si>
    <r>
      <rPr>
        <sz val="11"/>
        <rFont val="Times New Roman"/>
        <family val="1"/>
      </rPr>
      <t xml:space="preserve">SERVICIOS GENERALES Y ARRENDAMIENTOS DIVERSOS </t>
    </r>
    <r>
      <rPr>
        <b/>
        <sz val="11"/>
        <rFont val="Times New Roman"/>
        <family val="1"/>
      </rPr>
      <t>(Pav. De calle de acceso Cas. La Bolsa 40 Mtl. Canton La Loma.</t>
    </r>
  </si>
  <si>
    <r>
      <rPr>
        <sz val="11"/>
        <rFont val="Times New Roman"/>
        <family val="1"/>
      </rPr>
      <t xml:space="preserve">COMISIONES Y GASTOS BANCARIOS </t>
    </r>
    <r>
      <rPr>
        <b/>
        <sz val="11"/>
        <rFont val="Times New Roman"/>
        <family val="1"/>
      </rPr>
      <t>(Pav. De calle de acceso Cas. La Bolsa 40 Mtl. Canton La Loma.</t>
    </r>
  </si>
  <si>
    <r>
      <t xml:space="preserve">VIALES PROY: </t>
    </r>
    <r>
      <rPr>
        <sz val="11"/>
        <rFont val="Times New Roman"/>
        <family val="1"/>
      </rPr>
      <t xml:space="preserve">CONSTRUCCION CALLE LOTIFICACION  SAN CRISTOBAL DEL CANTON ISTAGUA (SE PRESUPUESTA DEL PLAN ESTRATEGICO, 75% FODES, AÑO 2018) </t>
    </r>
    <r>
      <rPr>
        <b/>
        <sz val="11"/>
        <color rgb="FFFF0000"/>
        <rFont val="Times New Roman"/>
        <family val="1"/>
      </rPr>
      <t>Con $15,000.00 según rubros</t>
    </r>
  </si>
  <si>
    <r>
      <t xml:space="preserve">SALARIO DE JORNAL </t>
    </r>
    <r>
      <rPr>
        <b/>
        <sz val="11"/>
        <rFont val="Times New Roman"/>
        <family val="1"/>
      </rPr>
      <t>(Const. De calle lotif.  San Cristobal del Canton Istagua.</t>
    </r>
  </si>
  <si>
    <r>
      <t>COMBUSTIBLE Y LUBRICANTES</t>
    </r>
    <r>
      <rPr>
        <b/>
        <sz val="11"/>
        <rFont val="Times New Roman"/>
        <family val="1"/>
      </rPr>
      <t>(Const. De calle lotif.  San Cristobal del Canton Istagua.</t>
    </r>
  </si>
  <si>
    <r>
      <t>MINERALES NO METALICOS Y PRODUCTOS DERIVADOS</t>
    </r>
    <r>
      <rPr>
        <b/>
        <sz val="11"/>
        <rFont val="Times New Roman"/>
        <family val="1"/>
      </rPr>
      <t>(Const. De calle lotif.  San Cristobal del Canton Istagua.</t>
    </r>
  </si>
  <si>
    <r>
      <t xml:space="preserve">HERRAMIENTAS, REPUESTOS Y ACCESORIOS </t>
    </r>
    <r>
      <rPr>
        <b/>
        <sz val="11"/>
        <rFont val="Times New Roman"/>
        <family val="1"/>
      </rPr>
      <t>(Const. De calle lotif.  San Cristobal del Canton Istagua.</t>
    </r>
  </si>
  <si>
    <r>
      <t xml:space="preserve">IMPRESIONES, PUBLICACIONES Y REPRODUCCIONES </t>
    </r>
    <r>
      <rPr>
        <b/>
        <sz val="11"/>
        <rFont val="Times New Roman"/>
        <family val="1"/>
      </rPr>
      <t>(Const. De calle lotif.  San Cristobal del Canton Istagua.</t>
    </r>
  </si>
  <si>
    <r>
      <t>SERVICIOS GENERALES Y ARRENDAMIENTOS DIVERSOS</t>
    </r>
    <r>
      <rPr>
        <b/>
        <sz val="11"/>
        <rFont val="Times New Roman"/>
        <family val="1"/>
      </rPr>
      <t>(Const. De calle lotif.  San Cristobal del Canton Istagua.</t>
    </r>
  </si>
  <si>
    <r>
      <t>COMISIONES Y GASTOS BANCARIOS</t>
    </r>
    <r>
      <rPr>
        <b/>
        <sz val="11"/>
        <rFont val="Times New Roman"/>
        <family val="1"/>
      </rPr>
      <t>(Const. De calle lotif.  San Cristobal del Canton Istagua.</t>
    </r>
  </si>
  <si>
    <r>
      <t xml:space="preserve">VIALES PROY: </t>
    </r>
    <r>
      <rPr>
        <sz val="11"/>
        <rFont val="Times New Roman"/>
        <family val="1"/>
      </rPr>
      <t xml:space="preserve">CONSTRUCCION CALLE PARELACION ISTAGUA HCIA IGLESIA DE LAS ASAMBLEAS DE DIOS 100 MTL. DEL CANTON ISTAGUA (SE PRESUPUESTA DEL PLAN ESTRATEGICO, 75% FODES, AÑO 2018) </t>
    </r>
    <r>
      <rPr>
        <b/>
        <sz val="11"/>
        <color rgb="FFFF0000"/>
        <rFont val="Times New Roman"/>
        <family val="1"/>
      </rPr>
      <t>Con $15,000.00 según rubros</t>
    </r>
  </si>
  <si>
    <r>
      <t xml:space="preserve">SALARIO DE JORNAL </t>
    </r>
    <r>
      <rPr>
        <b/>
        <sz val="11"/>
        <rFont val="Times New Roman"/>
        <family val="1"/>
      </rPr>
      <t>(Const. De calle parelacion istagua hacia la Igles. De las asambleas de dios C/Istagua.)</t>
    </r>
  </si>
  <si>
    <r>
      <t xml:space="preserve">COMBUSTIBLE Y LUBRICANTES </t>
    </r>
    <r>
      <rPr>
        <b/>
        <sz val="11"/>
        <rFont val="Times New Roman"/>
        <family val="1"/>
      </rPr>
      <t>(Const. De calle parelacion istagua hacia la Igles. De las asambleas de dios C/Istagua.)</t>
    </r>
  </si>
  <si>
    <r>
      <t xml:space="preserve">MINERALES NO METALICOS Y PRODUCTOS DERIVADOS </t>
    </r>
    <r>
      <rPr>
        <b/>
        <sz val="11"/>
        <rFont val="Times New Roman"/>
        <family val="1"/>
      </rPr>
      <t>(Const. De calle parelacion istagua hacia la Igles. De las asambleas de dios C/Istagua.)</t>
    </r>
  </si>
  <si>
    <r>
      <t xml:space="preserve">HERRAMIENTAS, REPUESTOS Y ACCESORIOS </t>
    </r>
    <r>
      <rPr>
        <b/>
        <sz val="11"/>
        <rFont val="Times New Roman"/>
        <family val="1"/>
      </rPr>
      <t>(Const. De calle parelacion istagua hacia la Igles. De las asambleas de dios C/Istagua.)</t>
    </r>
  </si>
  <si>
    <r>
      <t>IMPRESIONES, PUBLICACIONES Y REPRODUCCIONES</t>
    </r>
    <r>
      <rPr>
        <b/>
        <sz val="11"/>
        <rFont val="Times New Roman"/>
        <family val="1"/>
      </rPr>
      <t>(Const. De calle parelacion istagua hacia la Igles. De las asambleas de dios C/Istagua.)</t>
    </r>
  </si>
  <si>
    <r>
      <t xml:space="preserve">SERVICIOS GENERALES Y ARRENDAMIENTOS DIVERSOS </t>
    </r>
    <r>
      <rPr>
        <b/>
        <sz val="11"/>
        <rFont val="Times New Roman"/>
        <family val="1"/>
      </rPr>
      <t>(Const. De calle parelacion istagua hacia la Igles. De las asambleas de dios C/Istagua.)</t>
    </r>
  </si>
  <si>
    <r>
      <t xml:space="preserve">COMISIONES Y GASTOS BANCARIOS </t>
    </r>
    <r>
      <rPr>
        <b/>
        <sz val="11"/>
        <rFont val="Times New Roman"/>
        <family val="1"/>
      </rPr>
      <t>(Const. De calle parelacion istagua hacia la Igles. De las asambleas de dios C/Istagua.)</t>
    </r>
  </si>
  <si>
    <r>
      <t>VIALES PROY: F</t>
    </r>
    <r>
      <rPr>
        <sz val="11"/>
        <rFont val="Times New Roman"/>
        <family val="1"/>
      </rPr>
      <t>RAGUADO DE CALLE PRINCIPAL DEL DESVIO   DEL MANGO HACIA MIRAFLORES ZONA 3, 200 MT CANTON EL</t>
    </r>
    <r>
      <rPr>
        <b/>
        <sz val="11"/>
        <rFont val="Times New Roman"/>
        <family val="1"/>
      </rPr>
      <t xml:space="preserve"> </t>
    </r>
    <r>
      <rPr>
        <sz val="11"/>
        <rFont val="Times New Roman"/>
        <family val="1"/>
      </rPr>
      <t>PARAISO (SE PRESUPUESTA  DEL 75% FODES , AÑO 2018 DEL PLAN ESTRATEGICO)</t>
    </r>
    <r>
      <rPr>
        <b/>
        <sz val="11"/>
        <color rgb="FFFF0000"/>
        <rFont val="Times New Roman"/>
        <family val="1"/>
      </rPr>
      <t>Con $20,000.00 según rubros</t>
    </r>
  </si>
  <si>
    <r>
      <t>SALARIO DE JORNAL</t>
    </r>
    <r>
      <rPr>
        <b/>
        <sz val="11"/>
        <rFont val="Times New Roman"/>
        <family val="1"/>
      </rPr>
      <t xml:space="preserve"> (Fraguad. De calle princ. Del desvio del mango hacia miraflores zona 3, canton el paraiso)</t>
    </r>
  </si>
  <si>
    <r>
      <t xml:space="preserve">COMBUSTIBLES Y LUBRICANTES </t>
    </r>
    <r>
      <rPr>
        <b/>
        <sz val="11"/>
        <rFont val="Times New Roman"/>
        <family val="1"/>
      </rPr>
      <t xml:space="preserve"> (Fraguad. De calle princ. Del desvio del mango hacia miraflores zona 3, canton el paraiso)</t>
    </r>
  </si>
  <si>
    <r>
      <t>MINERALES NO METALICOS Y PRODUCTOS DERIVADOS</t>
    </r>
    <r>
      <rPr>
        <b/>
        <sz val="11"/>
        <rFont val="Times New Roman"/>
        <family val="1"/>
      </rPr>
      <t>(Fraguad. De calle princ. Del desvio del mango hacia miraflores zona 3, canton el paraiso)</t>
    </r>
  </si>
  <si>
    <r>
      <t>HERRAMIENTAS , REPUESTOS Y ACCESORIOS</t>
    </r>
    <r>
      <rPr>
        <b/>
        <sz val="11"/>
        <rFont val="Times New Roman"/>
        <family val="1"/>
      </rPr>
      <t>(Fraguad. De calle princ. Del desvio del mango hacia miraflores zona 3, canton el paraiso)</t>
    </r>
  </si>
  <si>
    <r>
      <t>IMPRESIONES, PUBLICACIONES Y REPRODUCCIONES</t>
    </r>
    <r>
      <rPr>
        <b/>
        <sz val="11"/>
        <rFont val="Times New Roman"/>
        <family val="1"/>
      </rPr>
      <t xml:space="preserve"> (Fraguad. De calle princ. Del desvio del mango hacia miraflores zona 3, canton el paraiso)</t>
    </r>
  </si>
  <si>
    <r>
      <t>SERVICIOS GENERALES Y ARRENDAMIENTOS DIVERSOS</t>
    </r>
    <r>
      <rPr>
        <b/>
        <sz val="11"/>
        <rFont val="Times New Roman"/>
        <family val="1"/>
      </rPr>
      <t xml:space="preserve"> (Fraguad. De calle princ. Del desvio del mango hacia miraflores zona 3, canton el paraiso)</t>
    </r>
  </si>
  <si>
    <r>
      <t>COMISIONES Y GASTOS BANCARIOS</t>
    </r>
    <r>
      <rPr>
        <b/>
        <sz val="11"/>
        <rFont val="Times New Roman"/>
        <family val="1"/>
      </rPr>
      <t xml:space="preserve"> (Fraguad. De calle princ. Del desvio del mango hacia miraflores zona 3, canton el paraiso)</t>
    </r>
  </si>
  <si>
    <r>
      <t xml:space="preserve">VIALES PROY: </t>
    </r>
    <r>
      <rPr>
        <sz val="11"/>
        <rFont val="Times New Roman"/>
        <family val="1"/>
      </rPr>
      <t>CONCRETEADO HIDRAHULICO SOBRE BASE DE LODOCRETO EN  CASERIO LOS GARCIA 120 MT DE LARGO DE 100 MT DE CALLE QUE VA PARA TECOLUCO ABAJO DEL CANTON TECOLUCO  (SE PRESUPUESTA  DEL 75% FODES , AÑO 2018 DEL PLAN ESTRATEGICO)</t>
    </r>
    <r>
      <rPr>
        <b/>
        <sz val="11"/>
        <color rgb="FFFF0000"/>
        <rFont val="Times New Roman"/>
        <family val="1"/>
      </rPr>
      <t>Con $20,000.00 según rubros</t>
    </r>
  </si>
  <si>
    <r>
      <t xml:space="preserve">SALARIO DE JORNAL </t>
    </r>
    <r>
      <rPr>
        <b/>
        <sz val="11"/>
        <rFont val="Times New Roman"/>
        <family val="1"/>
      </rPr>
      <t xml:space="preserve"> (Concrt. Hidrah. Sobre base  de lodocreto Cas Los Garcia  120 mt de largo  Canton Tecoluco )</t>
    </r>
  </si>
  <si>
    <r>
      <t xml:space="preserve">COMBUSTIBLE Y LUBRICANTES </t>
    </r>
    <r>
      <rPr>
        <b/>
        <sz val="11"/>
        <rFont val="Times New Roman"/>
        <family val="1"/>
      </rPr>
      <t xml:space="preserve"> (Concrt. Hidrah. Sobre base  de lodocreto Cas Los Garcia  120 mt de largo  Canton Tecoluco )</t>
    </r>
  </si>
  <si>
    <r>
      <rPr>
        <sz val="11"/>
        <rFont val="Times New Roman"/>
        <family val="1"/>
      </rPr>
      <t>MINERALES NO METALICOS  Y PRODUCTOS DERIVADOS (</t>
    </r>
    <r>
      <rPr>
        <b/>
        <sz val="11"/>
        <rFont val="Times New Roman"/>
        <family val="1"/>
      </rPr>
      <t>Concrt. Hidrah. Sobre base  de lodocreto Cas Los Garcia  120 mt de largo  Canton Tecoluco )</t>
    </r>
  </si>
  <si>
    <r>
      <t>HERRAMIENTAS, REPUESTOS Y ACCESORIOS</t>
    </r>
    <r>
      <rPr>
        <b/>
        <sz val="11"/>
        <rFont val="Times New Roman"/>
        <family val="1"/>
      </rPr>
      <t>(Concrt. Hidrah. Sobre base  de lodocreto Cas Los Garcia  120 mt de largo  Canton Tecoluco )</t>
    </r>
  </si>
  <si>
    <r>
      <t>IMPRESIONES, PUBLICACIONES Y REPRODUCCIONES</t>
    </r>
    <r>
      <rPr>
        <b/>
        <sz val="11"/>
        <rFont val="Times New Roman"/>
        <family val="1"/>
      </rPr>
      <t>(Concrt. Hidrah. Sobre base  de lodocreto Cas Los Garcia  120 mt de largo  Canton Tecoluco )</t>
    </r>
  </si>
  <si>
    <r>
      <t>SERVICIOS GENERALES Y ARRENDAMIENTOS DIVERSOS</t>
    </r>
    <r>
      <rPr>
        <b/>
        <sz val="11"/>
        <rFont val="Times New Roman"/>
        <family val="1"/>
      </rPr>
      <t>(Concrt. Hidrah. Sobre base  de lodocreto Cas Los Garcia  120 mt de largo  Canton Tecoluco )</t>
    </r>
  </si>
  <si>
    <r>
      <t>COMISIONES Y GASTOS BANCARIOS</t>
    </r>
    <r>
      <rPr>
        <b/>
        <sz val="11"/>
        <rFont val="Times New Roman"/>
        <family val="1"/>
      </rPr>
      <t xml:space="preserve"> (Concrt. Hidrah. Sobre base  de lodocreto Cas Los Garcia  120 mt de largo  Canton Tecoluco )</t>
    </r>
  </si>
  <si>
    <r>
      <t>VIALES PROY:</t>
    </r>
    <r>
      <rPr>
        <sz val="11"/>
        <rFont val="Times New Roman"/>
        <family val="1"/>
      </rPr>
      <t>CALLE EN PLATANAL  Y 2- CALLE LOS BELTRAN SECTOR LA CUNETA, DEL CANTON LA  CRUZ, (SE PRESUPUESTA  DEL 75% FODES , AÑO 2018 DEL PLAN ESTRATEGICO)</t>
    </r>
    <r>
      <rPr>
        <b/>
        <sz val="11"/>
        <color rgb="FFFF0000"/>
        <rFont val="Times New Roman"/>
        <family val="1"/>
      </rPr>
      <t>Con $20,000.00 según rubros</t>
    </r>
  </si>
  <si>
    <r>
      <t>VIALES PROY:</t>
    </r>
    <r>
      <rPr>
        <sz val="11"/>
        <rFont val="Times New Roman"/>
        <family val="1"/>
      </rPr>
      <t>CONCRETEADO DE 200 MT SOBRE CALLE PRINCIPAL SECTOR LA ERMITA  ZON 3, CANTON EL RODEO (SE PRESUPUESTA  DEL 75% FODES , AÑO 2018 DEL PLAN ESTRATEGICO)</t>
    </r>
    <r>
      <rPr>
        <b/>
        <sz val="11"/>
        <color rgb="FFFF0000"/>
        <rFont val="Times New Roman"/>
        <family val="1"/>
      </rPr>
      <t>Con $25,000.00 según rubros</t>
    </r>
  </si>
  <si>
    <t>SALARIO DE JORNAL (Concret. De 200 Mt sobr calle princ del sector la ermita C/El Rodeo)</t>
  </si>
  <si>
    <t>COMBUSTIBLE Y LUBRICANTES (Concret. De 200 Mt sobr calle princ del sector la ermita C/El Rodeo)</t>
  </si>
  <si>
    <t>MINERALES NO METALICOS Y PRODUCTOS DERIVADOS  (Concret. De 200 Mt sobr calle princ del sector la ermita C/El Rodeo)</t>
  </si>
  <si>
    <t>HERRAMIENTAS, REPUESTOS Y ACCESORIOS (Concret. De 200 Mt sobr calle princ del sector la ermita C/El Rodeo)</t>
  </si>
  <si>
    <t>IMPRESIONES, PUBLICACIONES Y ARRENDAMIENTOS DIVERSOS(Concret. De 200 Mt sobr calle princ del sector la ermita C/El Rodeo)</t>
  </si>
  <si>
    <t>SERVICIOS GENERALES Y  ARRENDAMIENTOS DIVERSOS (Concret. De 200 Mt sobr calle princ del sector la ermita C/El Rodeo)</t>
  </si>
  <si>
    <t>COMISIONES Y GASTOS BANCARIOS(Concret. De 200 Mt sobr calle princ del sector la ermita C/El Rodeo)</t>
  </si>
  <si>
    <r>
      <t xml:space="preserve">SALARIO DE JORNAL </t>
    </r>
    <r>
      <rPr>
        <b/>
        <sz val="11"/>
        <rFont val="Times New Roman"/>
        <family val="1"/>
      </rPr>
      <t>(Call. El platanal y  2 call. Los beltran  Sect. La Cuneta del C/La Cruz )</t>
    </r>
  </si>
  <si>
    <r>
      <t xml:space="preserve">COMBUTIBLE Y LUBRICANTES </t>
    </r>
    <r>
      <rPr>
        <b/>
        <sz val="11"/>
        <rFont val="Times New Roman"/>
        <family val="1"/>
      </rPr>
      <t>(Call. El platanal y  2 call. Los beltran  Sect. La Cuneta del C/La Cruz )</t>
    </r>
  </si>
  <si>
    <r>
      <t>MINERALES NO METALICOS Y PRODUCTOS DERIVADOS</t>
    </r>
    <r>
      <rPr>
        <b/>
        <sz val="11"/>
        <rFont val="Times New Roman"/>
        <family val="1"/>
      </rPr>
      <t>(Call. El platanal y  2 call. Los beltran  Sect. La Cuneta del C/La Cruz )</t>
    </r>
  </si>
  <si>
    <r>
      <t>HERRAMIENTAS, REPUESTOS Y ACCESORIOS</t>
    </r>
    <r>
      <rPr>
        <b/>
        <sz val="11"/>
        <rFont val="Times New Roman"/>
        <family val="1"/>
      </rPr>
      <t>(Call. El platanal y  2 call. Los beltran  Sect. La Cuneta del C/La Cruz )</t>
    </r>
  </si>
  <si>
    <r>
      <t xml:space="preserve">IMPRESIONES, PUBLICACIONES Y REPRODUCCIONES </t>
    </r>
    <r>
      <rPr>
        <b/>
        <sz val="11"/>
        <rFont val="Times New Roman"/>
        <family val="1"/>
      </rPr>
      <t>(Call. El platanal y  2 call. Los beltran  Sect. La Cuneta del C/La Cruz )</t>
    </r>
  </si>
  <si>
    <r>
      <t xml:space="preserve">SERVICIOS GENERALES Y ARRENDAMIENTOS DIVERSOS </t>
    </r>
    <r>
      <rPr>
        <b/>
        <sz val="11"/>
        <rFont val="Times New Roman"/>
        <family val="1"/>
      </rPr>
      <t>(Call. El platanal y  2 call. Los beltran  Sect. La Cuneta del C/La Cruz )</t>
    </r>
  </si>
  <si>
    <r>
      <t xml:space="preserve">COMISIONES Y GASTOS BANCARIOS </t>
    </r>
    <r>
      <rPr>
        <b/>
        <sz val="11"/>
        <rFont val="Times New Roman"/>
        <family val="1"/>
      </rPr>
      <t>(Call. El platanal y  2 call. Los beltran  Sect. La Cuneta del C/La Cruz )</t>
    </r>
  </si>
  <si>
    <r>
      <t xml:space="preserve">VIALES PROY: </t>
    </r>
    <r>
      <rPr>
        <sz val="11"/>
        <rFont val="Times New Roman"/>
        <family val="1"/>
      </rPr>
      <t>RECARPETEO  DE CALLE PRINCIPAL DE LA ZONA 1 DE CANTON BUENOS AIRES , INICIANDO POR LA LINEA FERREA HASTA CASERIO LOS HERNANDEZ, 200 MT (SE PRESUPUESTA  DEL 75% FODES , AÑO 2018 DEL PLAN ESTRATEGICO)</t>
    </r>
    <r>
      <rPr>
        <b/>
        <sz val="11"/>
        <color rgb="FFFF0000"/>
        <rFont val="Times New Roman"/>
        <family val="1"/>
      </rPr>
      <t>Con $20,000.00 según rubros</t>
    </r>
  </si>
  <si>
    <r>
      <t>SALARIO DE JORNAL</t>
    </r>
    <r>
      <rPr>
        <b/>
        <sz val="11"/>
        <rFont val="Times New Roman"/>
        <family val="1"/>
      </rPr>
      <t xml:space="preserve"> (Recarp. De call. Princ de la zona 1, Canton Buenos Aires  )</t>
    </r>
  </si>
  <si>
    <r>
      <t>COMBUSTIBLE Y LUBRICANTES</t>
    </r>
    <r>
      <rPr>
        <b/>
        <sz val="11"/>
        <rFont val="Times New Roman"/>
        <family val="1"/>
      </rPr>
      <t>(Recarp. De call. Princ de la zona 1, Canton Buenos Aires  )</t>
    </r>
  </si>
  <si>
    <r>
      <t>MINERALES NO METALICOS Y PRODUCTOS DERIVADOS</t>
    </r>
    <r>
      <rPr>
        <b/>
        <sz val="11"/>
        <rFont val="Times New Roman"/>
        <family val="1"/>
      </rPr>
      <t xml:space="preserve"> (Recarp. De call. Princ de la zona 1, Canton Buenos Aires  )</t>
    </r>
  </si>
  <si>
    <r>
      <t>HERRAMIENTAS, REPUESTOS Y ACCESORIOS</t>
    </r>
    <r>
      <rPr>
        <b/>
        <sz val="11"/>
        <rFont val="Times New Roman"/>
        <family val="1"/>
      </rPr>
      <t>(Recarp. De call. Princ de la zona 1, Canton Buenos Aires  )</t>
    </r>
  </si>
  <si>
    <r>
      <t>IMPRESIONES, PUBLICACIONES Y REPRODUCCIONES</t>
    </r>
    <r>
      <rPr>
        <b/>
        <sz val="11"/>
        <rFont val="Times New Roman"/>
        <family val="1"/>
      </rPr>
      <t>(Recarp. De call. Princ de la zona 1, Canton Buenos Aires  )</t>
    </r>
  </si>
  <si>
    <r>
      <t>SERVICIOS GENERALES Y PRODUCTOS DERIVADOS</t>
    </r>
    <r>
      <rPr>
        <b/>
        <sz val="11"/>
        <rFont val="Times New Roman"/>
        <family val="1"/>
      </rPr>
      <t xml:space="preserve"> (Recarp. De call. Princ de la zona 1, Canton Buenos Aires  )</t>
    </r>
  </si>
  <si>
    <r>
      <t>COMISIONES Y GASTOS BANCARIOS</t>
    </r>
    <r>
      <rPr>
        <b/>
        <sz val="11"/>
        <rFont val="Times New Roman"/>
        <family val="1"/>
      </rPr>
      <t>(Recarp. De call. Princ de la zona 1, Canton Buenos Aires  )</t>
    </r>
  </si>
  <si>
    <r>
      <t xml:space="preserve">SALARIO DE JORNAL </t>
    </r>
    <r>
      <rPr>
        <b/>
        <sz val="11"/>
        <rFont val="Times New Roman"/>
        <family val="1"/>
      </rPr>
      <t>(Concret.  125 mt de calle principal, del sect El Cerro C/Miraflores)</t>
    </r>
  </si>
  <si>
    <r>
      <t xml:space="preserve">COMBUSTIBLE Y LUBRICANTES </t>
    </r>
    <r>
      <rPr>
        <b/>
        <sz val="11"/>
        <rFont val="Times New Roman"/>
        <family val="1"/>
      </rPr>
      <t>(Concret.  125 mt de calle principal, del sect El Cerro C/Miraflores)</t>
    </r>
  </si>
  <si>
    <r>
      <rPr>
        <sz val="11"/>
        <rFont val="Times New Roman"/>
        <family val="1"/>
      </rPr>
      <t>MINERALES NO METALICOS Y PRODUCTOS DERIVADOS</t>
    </r>
    <r>
      <rPr>
        <b/>
        <sz val="11"/>
        <rFont val="Times New Roman"/>
        <family val="1"/>
      </rPr>
      <t>(Concret.  125 mt de calle principal, del sect El Cerro C/Miraflores)</t>
    </r>
  </si>
  <si>
    <r>
      <t xml:space="preserve">HERRAMIENTAS, REPUESTOS Y ACCESORIOS </t>
    </r>
    <r>
      <rPr>
        <b/>
        <sz val="11"/>
        <rFont val="Times New Roman"/>
        <family val="1"/>
      </rPr>
      <t>(Concret.  125 mt de calle principal, del sect El Cerro C/Miraflores)</t>
    </r>
  </si>
  <si>
    <r>
      <t xml:space="preserve"> IMPRESIONES, PUBLICACIONES Y REPRODUCCIONES</t>
    </r>
    <r>
      <rPr>
        <b/>
        <sz val="11"/>
        <rFont val="Times New Roman"/>
        <family val="1"/>
      </rPr>
      <t>(Concret.  125 mt de calle principal, del sect El Cerro C/Miraflores)</t>
    </r>
  </si>
  <si>
    <r>
      <t xml:space="preserve">SERVICIOS GENERALES Y ARRENDAMIENTOS DIVERSOS </t>
    </r>
    <r>
      <rPr>
        <b/>
        <sz val="11"/>
        <rFont val="Times New Roman"/>
        <family val="1"/>
      </rPr>
      <t>(Concret.  125 mt de calle principal, del sect El Cerro C/Miraflores)</t>
    </r>
  </si>
  <si>
    <r>
      <t xml:space="preserve">COMISIONES Y GASTOS BANCARIOS </t>
    </r>
    <r>
      <rPr>
        <b/>
        <sz val="11"/>
        <rFont val="Times New Roman"/>
        <family val="1"/>
      </rPr>
      <t>(Concret.  125 mt de calle principal, del sect El Cerro C/Miraflores)</t>
    </r>
  </si>
  <si>
    <r>
      <t xml:space="preserve">VIALES PROY: </t>
    </r>
    <r>
      <rPr>
        <sz val="11"/>
        <rFont val="Times New Roman"/>
        <family val="1"/>
      </rPr>
      <t>CONCRETEADO DE 125  MT DE CALLE PRINCIPAL, DEL SECTOR  EL CERRO, DEL CANTON MIRAFLORES  (SE PRESUPUESTA  DEL 75% FODES , AÑO 2018 DEL PLAN ESTRATEGICO)</t>
    </r>
    <r>
      <rPr>
        <b/>
        <sz val="11"/>
        <color rgb="FFFF0000"/>
        <rFont val="Times New Roman"/>
        <family val="1"/>
      </rPr>
      <t xml:space="preserve">Con $25,000.00 según rubros </t>
    </r>
    <r>
      <rPr>
        <b/>
        <sz val="11"/>
        <rFont val="Times New Roman"/>
        <family val="1"/>
      </rPr>
      <t>NOTA: este proyecto, se realizo, se  hara asamblea x cambio de proy)</t>
    </r>
  </si>
  <si>
    <r>
      <t xml:space="preserve">VIALES PROY: </t>
    </r>
    <r>
      <rPr>
        <sz val="11"/>
        <rFont val="Times New Roman"/>
        <family val="1"/>
      </rPr>
      <t>SECTOR LA ESCUELA , 100 MT SECTOR LA IGLESIA CENTROAMERICANA, CANTON LA ESPERANZA (SE PRESUPUESTA  DEL 75% FODES , AÑO 2018 DEL PLAN ESTRATEGICO)</t>
    </r>
    <r>
      <rPr>
        <b/>
        <sz val="11"/>
        <color rgb="FFFF0000"/>
        <rFont val="Times New Roman"/>
        <family val="1"/>
      </rPr>
      <t xml:space="preserve">Con $25,000.00 según rubros </t>
    </r>
    <r>
      <rPr>
        <b/>
        <sz val="11"/>
        <rFont val="Times New Roman"/>
        <family val="1"/>
      </rPr>
      <t>NOTA:Que no es factible el fondo se invertira en calle principal)</t>
    </r>
  </si>
  <si>
    <r>
      <t>SALARIO DE JORNAL(</t>
    </r>
    <r>
      <rPr>
        <b/>
        <sz val="11"/>
        <rFont val="Times New Roman"/>
        <family val="1"/>
      </rPr>
      <t>pavim. De 300 Mt con cem. Hidrau, en calle princ de canton buena vista</t>
    </r>
  </si>
  <si>
    <r>
      <t xml:space="preserve">VIALES PROY: </t>
    </r>
    <r>
      <rPr>
        <sz val="11"/>
        <rFont val="Times New Roman"/>
        <family val="1"/>
      </rPr>
      <t>PAVIMENTACION DE 300 MT CON CEMENTO HODRAHULICO EN LA CALLE PRINCIPAL POR LA CUESTA  DEL CANTON BUENA VISTA   (SE PRESUPUESTA  DEL 75% FODES , AÑO 2018 DEL PLAN ESTRATEGICO)</t>
    </r>
    <r>
      <rPr>
        <b/>
        <sz val="11"/>
        <color rgb="FFFF0000"/>
        <rFont val="Times New Roman"/>
        <family val="1"/>
      </rPr>
      <t xml:space="preserve">Con $10,000.00 según rubros </t>
    </r>
  </si>
  <si>
    <r>
      <t>COMBUSTIBLE Y LUBRICANTES(</t>
    </r>
    <r>
      <rPr>
        <b/>
        <sz val="11"/>
        <rFont val="Times New Roman"/>
        <family val="1"/>
      </rPr>
      <t>pavim. De 300 Mt con cem. Hidrau, en calle princ de canton buena vista</t>
    </r>
  </si>
  <si>
    <r>
      <t>MINERALES NO METALICOS Y PRODUCTOS DERIVADOS(</t>
    </r>
    <r>
      <rPr>
        <b/>
        <sz val="11"/>
        <rFont val="Times New Roman"/>
        <family val="1"/>
      </rPr>
      <t>pavim. De 300 Mt con cem. Hidrau, en calle princ de canton buena vista</t>
    </r>
  </si>
  <si>
    <r>
      <t>HERRAMIENTAS, REPUESTOS Y ACCESORIOS(</t>
    </r>
    <r>
      <rPr>
        <b/>
        <sz val="11"/>
        <rFont val="Times New Roman"/>
        <family val="1"/>
      </rPr>
      <t>pavim. De 300 Mt con cem. Hidrau, en calle princ de canton buena vista</t>
    </r>
  </si>
  <si>
    <r>
      <t>IMPRESIONES, PUBLICACIONES Y REPRODUCCIONES(</t>
    </r>
    <r>
      <rPr>
        <b/>
        <sz val="11"/>
        <rFont val="Times New Roman"/>
        <family val="1"/>
      </rPr>
      <t>pavim. De 300 Mt con cem. Hidrau, en calle princ de canton buena vista</t>
    </r>
  </si>
  <si>
    <r>
      <t>SERVICIOS GENERALES Y ARRENDAMIENTOS DIVERSOS(</t>
    </r>
    <r>
      <rPr>
        <b/>
        <sz val="11"/>
        <rFont val="Times New Roman"/>
        <family val="1"/>
      </rPr>
      <t>pavim. De 300 Mt con cem. Hidrau, en calle princ de canton buena vista</t>
    </r>
  </si>
  <si>
    <r>
      <t>COMISIONES Y GASTOS BANCARIOS(</t>
    </r>
    <r>
      <rPr>
        <b/>
        <sz val="11"/>
        <rFont val="Times New Roman"/>
        <family val="1"/>
      </rPr>
      <t>pavim. De 300 Mt con cem. Hidrau, en calle princ de canton buena vista</t>
    </r>
  </si>
  <si>
    <r>
      <t xml:space="preserve">SALARIO DE JORNAL </t>
    </r>
    <r>
      <rPr>
        <b/>
        <sz val="11"/>
        <rFont val="Times New Roman"/>
        <family val="1"/>
      </rPr>
      <t>(Sect. La Escuela 100 Mt sect La Igl. Canton /La Esperanza)</t>
    </r>
  </si>
  <si>
    <r>
      <t xml:space="preserve">COMBUSTIBLE Y LUBRICANTES </t>
    </r>
    <r>
      <rPr>
        <b/>
        <sz val="11"/>
        <rFont val="Times New Roman"/>
        <family val="1"/>
      </rPr>
      <t>(Sect. La Escuela 100 Mt sect La Igl. Canton /La Esperanza)</t>
    </r>
  </si>
  <si>
    <r>
      <t xml:space="preserve">MINERALES NO METALICOS Y PRODUCTOS DERIVADOS </t>
    </r>
    <r>
      <rPr>
        <b/>
        <sz val="11"/>
        <rFont val="Times New Roman"/>
        <family val="1"/>
      </rPr>
      <t>(Sect. La Escuela 100 Mt sect La Igl. Canton /La Esperanza)</t>
    </r>
  </si>
  <si>
    <r>
      <t xml:space="preserve">HERRAMIENTAS, REPUESTOS Y ACCESORIOS </t>
    </r>
    <r>
      <rPr>
        <b/>
        <sz val="11"/>
        <rFont val="Times New Roman"/>
        <family val="1"/>
      </rPr>
      <t>(Sect. La Escuela 100 Mt sect La Igl. Canton /La Esperanza)</t>
    </r>
  </si>
  <si>
    <r>
      <t xml:space="preserve">IMPRESIONES, PUBLICACIONES Y REPRODUCCIONES </t>
    </r>
    <r>
      <rPr>
        <b/>
        <sz val="11"/>
        <rFont val="Times New Roman"/>
        <family val="1"/>
      </rPr>
      <t>(Sect. La Escuela 100 Mt sect La Igl. Canton /La Esperanza)</t>
    </r>
  </si>
  <si>
    <r>
      <t xml:space="preserve"> SERVICIOS GENERALES Y ARRENDAMIENTOS DIVERSOS </t>
    </r>
    <r>
      <rPr>
        <b/>
        <sz val="11"/>
        <rFont val="Times New Roman"/>
        <family val="1"/>
      </rPr>
      <t>(Sect. La Escuela 100 Mt sect La Igl. Canton /La Esperanza)</t>
    </r>
  </si>
  <si>
    <r>
      <rPr>
        <sz val="11"/>
        <rFont val="Times New Roman"/>
        <family val="1"/>
      </rPr>
      <t>COMISIONES Y GASTOS BANCARIOS</t>
    </r>
    <r>
      <rPr>
        <b/>
        <sz val="11"/>
        <rFont val="Times New Roman"/>
        <family val="1"/>
      </rPr>
      <t>(Sect. La Escuela 100 Mt sect La Igl. Canton /La Esperanza)</t>
    </r>
  </si>
  <si>
    <t>34-</t>
  </si>
  <si>
    <t>35-</t>
  </si>
  <si>
    <r>
      <t>VIALES PROY:</t>
    </r>
    <r>
      <rPr>
        <sz val="11"/>
        <rFont val="Times New Roman"/>
        <family val="1"/>
      </rPr>
      <t>CONCRETEADO HIDRAHULICO SOBRE BASE  DE LODOCRETO  EN TRAMOS CALLES PRINCIPAL AL 5% DE 600 MT  EN CANTON HUZILTEPEQUE  (SE PRESUPUESTA  DEL 75% FODES , AÑO 2018 DEL PLAN ESTRATEGICO)</t>
    </r>
    <r>
      <rPr>
        <b/>
        <sz val="11"/>
        <color rgb="FFFF0000"/>
        <rFont val="Times New Roman"/>
        <family val="1"/>
      </rPr>
      <t xml:space="preserve">Con $25,000.00 según rubros </t>
    </r>
  </si>
  <si>
    <r>
      <t xml:space="preserve">VIALES PROY: </t>
    </r>
    <r>
      <rPr>
        <sz val="11"/>
        <rFont val="Times New Roman"/>
        <family val="1"/>
      </rPr>
      <t>PAVIMENTACION  DE CALLE PRINCIPAL , CASERIO PALO BLANCO 200 MTL. CANTON BUENA VISTA  (SE PRESUPUESTA  DEL 75% FODES , AÑO 2018 DEL PLAN ESTRATEGICO)</t>
    </r>
    <r>
      <rPr>
        <b/>
        <sz val="11"/>
        <color rgb="FFFF0000"/>
        <rFont val="Times New Roman"/>
        <family val="1"/>
      </rPr>
      <t xml:space="preserve">Con $25,000.00 según rubros </t>
    </r>
  </si>
  <si>
    <r>
      <t>SALARIO DE JORNAL</t>
    </r>
    <r>
      <rPr>
        <b/>
        <sz val="11"/>
        <rFont val="Times New Roman"/>
        <family val="1"/>
      </rPr>
      <t>(Concret. Hidraul. Sobre base  de lodoc. En tramos call. Princip al 5% de 600 mt en C/Huiziltepeque.</t>
    </r>
  </si>
  <si>
    <r>
      <t xml:space="preserve">SALARIO DE JORNAL </t>
    </r>
    <r>
      <rPr>
        <b/>
        <sz val="11"/>
        <rFont val="Times New Roman"/>
        <family val="1"/>
      </rPr>
      <t>(Pav. De calle principal Cas. Palo blanco C/Buena Vista</t>
    </r>
  </si>
  <si>
    <r>
      <rPr>
        <sz val="11"/>
        <rFont val="Times New Roman"/>
        <family val="1"/>
      </rPr>
      <t>COMBUSTIBLE Y LUBRICANTES</t>
    </r>
    <r>
      <rPr>
        <b/>
        <sz val="11"/>
        <rFont val="Times New Roman"/>
        <family val="1"/>
      </rPr>
      <t>(Concret. Hidraul. Sobre base  de lodoc. En tramos call. Princip al 5% de 600 mt en C/Huiziltepeque.</t>
    </r>
  </si>
  <si>
    <r>
      <rPr>
        <sz val="11"/>
        <rFont val="Times New Roman"/>
        <family val="1"/>
      </rPr>
      <t>MINERALES NO METALICOS Y PRODUCTOS DERIVADOS</t>
    </r>
    <r>
      <rPr>
        <b/>
        <sz val="11"/>
        <rFont val="Times New Roman"/>
        <family val="1"/>
      </rPr>
      <t>(Concret. Hidraul. Sobre base  de lodoc. En tramos call. Princip al 5% de 600 mt en C/Huiziltepeque.</t>
    </r>
  </si>
  <si>
    <r>
      <rPr>
        <sz val="11"/>
        <rFont val="Times New Roman"/>
        <family val="1"/>
      </rPr>
      <t>HERRAMIENTAS  REPUESTOS Y ACCESORIO</t>
    </r>
    <r>
      <rPr>
        <b/>
        <sz val="11"/>
        <rFont val="Times New Roman"/>
        <family val="1"/>
      </rPr>
      <t>S(Concret. Hidraul. Sobre base  de lodoc. En tramos call. Princip al 5% de 600 mt en C</t>
    </r>
  </si>
  <si>
    <r>
      <rPr>
        <sz val="11"/>
        <rFont val="Times New Roman"/>
        <family val="1"/>
      </rPr>
      <t>IMPRESIONES, PUBLICACIONES Y REPRODUCCIONES}</t>
    </r>
    <r>
      <rPr>
        <b/>
        <sz val="11"/>
        <rFont val="Times New Roman"/>
        <family val="1"/>
      </rPr>
      <t>(Concret. Hidraul. Sobre base  de lodoc. En tramos call. Princip al 5% de 600 mt en C/Huiziltepeque.</t>
    </r>
  </si>
  <si>
    <r>
      <t xml:space="preserve"> </t>
    </r>
    <r>
      <rPr>
        <sz val="11"/>
        <rFont val="Times New Roman"/>
        <family val="1"/>
      </rPr>
      <t>SERVICIOS GENERALES Y ARRENDAMIENTOS DIVERSOS</t>
    </r>
    <r>
      <rPr>
        <b/>
        <sz val="11"/>
        <rFont val="Times New Roman"/>
        <family val="1"/>
      </rPr>
      <t>(Concret. Hidraul. Sobre base  de lodoc. En tramos call. Princip al 5% de 600 mt en C/Huiziltepeque.</t>
    </r>
  </si>
  <si>
    <r>
      <rPr>
        <sz val="11"/>
        <rFont val="Times New Roman"/>
        <family val="1"/>
      </rPr>
      <t>COMISIONES Y GASTOS BANCARIOS</t>
    </r>
    <r>
      <rPr>
        <b/>
        <sz val="11"/>
        <rFont val="Times New Roman"/>
        <family val="1"/>
      </rPr>
      <t>(Concret. Hidraul. Sobre base  de lodoc. En tramos call. Princip al 5% de 600 mt en C/Huiziltepeque.</t>
    </r>
  </si>
  <si>
    <r>
      <rPr>
        <sz val="11"/>
        <rFont val="Times New Roman"/>
        <family val="1"/>
      </rPr>
      <t>SALARIO DE JORNAL</t>
    </r>
    <r>
      <rPr>
        <b/>
        <sz val="11"/>
        <rFont val="Times New Roman"/>
        <family val="1"/>
      </rPr>
      <t>(Pav. De calle principal Cas. Palo blanco C/Buena Vista</t>
    </r>
  </si>
  <si>
    <r>
      <t xml:space="preserve">COMBUSTIBLES Y LUBRICANTES </t>
    </r>
    <r>
      <rPr>
        <b/>
        <sz val="11"/>
        <rFont val="Times New Roman"/>
        <family val="1"/>
      </rPr>
      <t>(Pav. De calle principal Cas. Palo blanco C/Buena Vista</t>
    </r>
  </si>
  <si>
    <r>
      <rPr>
        <sz val="11"/>
        <rFont val="Times New Roman"/>
        <family val="1"/>
      </rPr>
      <t>HERRAMIENTAS, REPUESTOS Y ACCESORIOS</t>
    </r>
    <r>
      <rPr>
        <b/>
        <sz val="11"/>
        <rFont val="Times New Roman"/>
        <family val="1"/>
      </rPr>
      <t>(Pav. De calle principal Cas. Palo blanco C/Buena Vista</t>
    </r>
  </si>
  <si>
    <r>
      <t xml:space="preserve">IMPRESIONES, PUBLICACIONES Y REPRODUCCIONES </t>
    </r>
    <r>
      <rPr>
        <b/>
        <sz val="11"/>
        <rFont val="Times New Roman"/>
        <family val="1"/>
      </rPr>
      <t>(Pav. De calle principal Cas. Palo blanco C/Buena Vista</t>
    </r>
  </si>
  <si>
    <r>
      <t xml:space="preserve"> SERVICIOS GENERALES Y ARRENDAMIENTOS DIVERSOS</t>
    </r>
    <r>
      <rPr>
        <b/>
        <sz val="11"/>
        <rFont val="Times New Roman"/>
        <family val="1"/>
      </rPr>
      <t>(Pav. De calle principal Cas. Palo blanco C/Buena Vista</t>
    </r>
  </si>
  <si>
    <r>
      <t xml:space="preserve">COMISIONES Y GASTOS BANCARIOS </t>
    </r>
    <r>
      <rPr>
        <b/>
        <sz val="11"/>
        <rFont val="Times New Roman"/>
        <family val="1"/>
      </rPr>
      <t>(Pav. De calle principal Cas. Palo blanco C/Buena Vista</t>
    </r>
  </si>
  <si>
    <r>
      <t>VIALES PROY:</t>
    </r>
    <r>
      <rPr>
        <sz val="11"/>
        <rFont val="Times New Roman"/>
        <family val="1"/>
      </rPr>
      <t>CONCRETEADO  DE CALLE  DEL CEMENTERIO AL PARAISO  DEL CASCO URBANO A  (SE PRESUPUESTA  DEL 75% FODES , AÑO 2018 DEL PLAN ESTRATEGICO)</t>
    </r>
    <r>
      <rPr>
        <b/>
        <sz val="11"/>
        <color rgb="FFFF0000"/>
        <rFont val="Times New Roman"/>
        <family val="1"/>
      </rPr>
      <t xml:space="preserve">Con $5,000.00 según rubros </t>
    </r>
  </si>
  <si>
    <r>
      <t>SALARIO DE JORNAL</t>
    </r>
    <r>
      <rPr>
        <b/>
        <sz val="11"/>
        <rFont val="Times New Roman"/>
        <family val="1"/>
      </rPr>
      <t>(Concret. De calle de cemento al paraiso del casco urbano)</t>
    </r>
  </si>
  <si>
    <r>
      <rPr>
        <sz val="11"/>
        <rFont val="Times New Roman"/>
        <family val="1"/>
      </rPr>
      <t>COMBUSTIBLES Y LUBRICANTES</t>
    </r>
    <r>
      <rPr>
        <b/>
        <sz val="11"/>
        <rFont val="Times New Roman"/>
        <family val="1"/>
      </rPr>
      <t>(Concret. De calle de cemento al paraiso del casco urbano)</t>
    </r>
  </si>
  <si>
    <r>
      <rPr>
        <sz val="11"/>
        <rFont val="Times New Roman"/>
        <family val="1"/>
      </rPr>
      <t>MINERALES NO METALICOS Y PRODUCTOS DERIVADOS</t>
    </r>
    <r>
      <rPr>
        <b/>
        <sz val="11"/>
        <rFont val="Times New Roman"/>
        <family val="1"/>
      </rPr>
      <t>(Concret. De calle de cemento al paraiso del casco urbano)</t>
    </r>
  </si>
  <si>
    <r>
      <rPr>
        <sz val="11"/>
        <rFont val="Times New Roman"/>
        <family val="1"/>
      </rPr>
      <t>HERRAMIENTAS, REPUESTOS Y LUBRICANTES</t>
    </r>
    <r>
      <rPr>
        <b/>
        <sz val="11"/>
        <rFont val="Times New Roman"/>
        <family val="1"/>
      </rPr>
      <t>(Concret. De calle de cemento al paraiso del casco urbano)</t>
    </r>
  </si>
  <si>
    <r>
      <rPr>
        <sz val="11"/>
        <rFont val="Times New Roman"/>
        <family val="1"/>
      </rPr>
      <t>IMPRESIONES , PUBLICACIONES Y REPRODUCCIONES</t>
    </r>
    <r>
      <rPr>
        <b/>
        <sz val="11"/>
        <rFont val="Times New Roman"/>
        <family val="1"/>
      </rPr>
      <t>(Concret. De calle de cemento al paraiso del casco urbano)</t>
    </r>
  </si>
  <si>
    <r>
      <rPr>
        <sz val="11"/>
        <rFont val="Times New Roman"/>
        <family val="1"/>
      </rPr>
      <t>SERVICIOS GENERALES Y ARRENDAMIENTOS DIVERSOS</t>
    </r>
    <r>
      <rPr>
        <b/>
        <sz val="11"/>
        <rFont val="Times New Roman"/>
        <family val="1"/>
      </rPr>
      <t>(Concret. De calle de cemento al paraiso del casco urbano)</t>
    </r>
  </si>
  <si>
    <r>
      <rPr>
        <sz val="11"/>
        <rFont val="Times New Roman"/>
        <family val="1"/>
      </rPr>
      <t>COMISIONES  Y GASTOS BANCARIOS(</t>
    </r>
    <r>
      <rPr>
        <b/>
        <sz val="11"/>
        <rFont val="Times New Roman"/>
        <family val="1"/>
      </rPr>
      <t>Concret. De calle de cemento al paraiso del casco urbano)</t>
    </r>
  </si>
  <si>
    <r>
      <t xml:space="preserve">VIALES PROY: </t>
    </r>
    <r>
      <rPr>
        <sz val="11"/>
        <rFont val="Times New Roman"/>
        <family val="1"/>
      </rPr>
      <t>CONCRETEADO DE CALLE LA BARRANCA  DEL CASCO URBANO  (SE PRESUPUESTA  DEL 75% FODES , AÑO 2018 DEL PLAN ESTRATEGICO)</t>
    </r>
    <r>
      <rPr>
        <b/>
        <sz val="11"/>
        <color rgb="FFFF0000"/>
        <rFont val="Times New Roman"/>
        <family val="1"/>
      </rPr>
      <t xml:space="preserve">Con $20,000.00 según rubros </t>
    </r>
  </si>
  <si>
    <r>
      <rPr>
        <sz val="11"/>
        <rFont val="Times New Roman"/>
        <family val="1"/>
      </rPr>
      <t>SALARIO DE JORNA</t>
    </r>
    <r>
      <rPr>
        <b/>
        <sz val="11"/>
        <rFont val="Times New Roman"/>
        <family val="1"/>
      </rPr>
      <t>L(Concret. De calle la barranca del Casco Urbano)</t>
    </r>
  </si>
  <si>
    <r>
      <rPr>
        <sz val="11"/>
        <rFont val="Times New Roman"/>
        <family val="1"/>
      </rPr>
      <t>COMBUSTIBLE Y LUBRICANTES</t>
    </r>
    <r>
      <rPr>
        <b/>
        <sz val="11"/>
        <rFont val="Times New Roman"/>
        <family val="1"/>
      </rPr>
      <t>(Concret. De calle la barranca del Casco Urbano)</t>
    </r>
  </si>
  <si>
    <r>
      <rPr>
        <sz val="11"/>
        <rFont val="Times New Roman"/>
        <family val="1"/>
      </rPr>
      <t>MINERALES NO METALICOS Y PRODUCTOS DERIVADOS</t>
    </r>
    <r>
      <rPr>
        <b/>
        <sz val="11"/>
        <rFont val="Times New Roman"/>
        <family val="1"/>
      </rPr>
      <t>(Concret. De calle la barranca del Casco Urbano)</t>
    </r>
  </si>
  <si>
    <r>
      <rPr>
        <sz val="11"/>
        <rFont val="Times New Roman"/>
        <family val="1"/>
      </rPr>
      <t>HERRAMIENTAS, REPUESTOS Y ACCESORIOS</t>
    </r>
    <r>
      <rPr>
        <b/>
        <sz val="11"/>
        <rFont val="Times New Roman"/>
        <family val="1"/>
      </rPr>
      <t>(Concret. De calle la barranca del Casco Urbano)</t>
    </r>
  </si>
  <si>
    <r>
      <rPr>
        <sz val="11"/>
        <rFont val="Times New Roman"/>
        <family val="1"/>
      </rPr>
      <t>IMPRESIONES , PUBLICACIONES Y REPRODUCCIONES</t>
    </r>
    <r>
      <rPr>
        <b/>
        <sz val="11"/>
        <rFont val="Times New Roman"/>
        <family val="1"/>
      </rPr>
      <t>(Concret. De calle la barranca del Casco Urbano)</t>
    </r>
  </si>
  <si>
    <r>
      <rPr>
        <sz val="11"/>
        <rFont val="Times New Roman"/>
        <family val="1"/>
      </rPr>
      <t>SERVICIOS GENERALES Y ARRENDAMIENTOS DIVERSOS</t>
    </r>
    <r>
      <rPr>
        <b/>
        <sz val="11"/>
        <rFont val="Times New Roman"/>
        <family val="1"/>
      </rPr>
      <t>(Concret. De calle la barranca del Casco Urbano)</t>
    </r>
  </si>
  <si>
    <r>
      <rPr>
        <sz val="11"/>
        <rFont val="Times New Roman"/>
        <family val="1"/>
      </rPr>
      <t>COMISIONES Y GASTOS BANCARIOS</t>
    </r>
    <r>
      <rPr>
        <b/>
        <sz val="11"/>
        <rFont val="Times New Roman"/>
        <family val="1"/>
      </rPr>
      <t>(Concret. De calle la barranca del Casco Urbano)</t>
    </r>
  </si>
  <si>
    <t>36-</t>
  </si>
  <si>
    <t>37-</t>
  </si>
  <si>
    <r>
      <t xml:space="preserve">VIALES PROY: </t>
    </r>
    <r>
      <rPr>
        <sz val="11"/>
        <rFont val="Times New Roman"/>
        <family val="1"/>
      </rPr>
      <t>CONCRETEADO  DE CALLE  ENFRENTE  DE LA IGLESIA EVANGELICA , Bo. CONCEPCION, DEL CASCO URBANO (SE PRESUPUESTA  DEL 75% FODES , AÑO 2018 DEL PLAN ESTRATEGICO)</t>
    </r>
    <r>
      <rPr>
        <b/>
        <sz val="11"/>
        <color rgb="FFFF0000"/>
        <rFont val="Times New Roman"/>
        <family val="1"/>
      </rPr>
      <t xml:space="preserve">Con $20,000.00 según rubros </t>
    </r>
  </si>
  <si>
    <r>
      <rPr>
        <sz val="11"/>
        <rFont val="Times New Roman"/>
        <family val="1"/>
      </rPr>
      <t>SALARIO DE JORNAL</t>
    </r>
    <r>
      <rPr>
        <b/>
        <sz val="11"/>
        <rFont val="Times New Roman"/>
        <family val="1"/>
      </rPr>
      <t xml:space="preserve"> (Concret. De calle enfrente de la igl. Evangelica Bo.Concepcion)</t>
    </r>
  </si>
  <si>
    <r>
      <rPr>
        <sz val="11"/>
        <rFont val="Times New Roman"/>
        <family val="1"/>
      </rPr>
      <t>COMBUSTIBLE Y LUBRICANTES</t>
    </r>
    <r>
      <rPr>
        <b/>
        <sz val="11"/>
        <rFont val="Times New Roman"/>
        <family val="1"/>
      </rPr>
      <t xml:space="preserve"> (Concret. De calle enfrente de la igl. Evangelica Bo.Concepcion)</t>
    </r>
  </si>
  <si>
    <r>
      <rPr>
        <sz val="11"/>
        <rFont val="Times New Roman"/>
        <family val="1"/>
      </rPr>
      <t>HERRAMIENTAS, REPUESTOS Y ACCESORIOS</t>
    </r>
    <r>
      <rPr>
        <b/>
        <sz val="11"/>
        <rFont val="Times New Roman"/>
        <family val="1"/>
      </rPr>
      <t xml:space="preserve"> (Concret. De calle enfrente de la igl. Evangelica Bo.Concepcion)</t>
    </r>
  </si>
  <si>
    <r>
      <t xml:space="preserve"> </t>
    </r>
    <r>
      <rPr>
        <sz val="11"/>
        <rFont val="Times New Roman"/>
        <family val="1"/>
      </rPr>
      <t>IMPRESIONES, PUBLICACIONES Y REPRODUCCIONES</t>
    </r>
    <r>
      <rPr>
        <b/>
        <sz val="11"/>
        <rFont val="Times New Roman"/>
        <family val="1"/>
      </rPr>
      <t>(Concret. De calle enfrente de la igl. Evangelica Bo.Concepcion)</t>
    </r>
  </si>
  <si>
    <r>
      <rPr>
        <sz val="11"/>
        <rFont val="Times New Roman"/>
        <family val="1"/>
      </rPr>
      <t>SERVICIOS GENERALES Y ARRENDAMIENTOS DIVERSOS</t>
    </r>
    <r>
      <rPr>
        <b/>
        <sz val="11"/>
        <rFont val="Times New Roman"/>
        <family val="1"/>
      </rPr>
      <t xml:space="preserve"> (Concret. De calle enfrente de la igl. Evangelica Bo.Concepcion)</t>
    </r>
  </si>
  <si>
    <r>
      <rPr>
        <sz val="11"/>
        <rFont val="Times New Roman"/>
        <family val="1"/>
      </rPr>
      <t>COMISIONES Y GASTOS BANCARIOS</t>
    </r>
    <r>
      <rPr>
        <b/>
        <sz val="11"/>
        <rFont val="Times New Roman"/>
        <family val="1"/>
      </rPr>
      <t xml:space="preserve"> (Concret. De calle enfrente de la igl. Evangelica Bo.Concepcion)</t>
    </r>
  </si>
  <si>
    <r>
      <rPr>
        <sz val="11"/>
        <rFont val="Times New Roman"/>
        <family val="1"/>
      </rPr>
      <t>MINERALES NO METALICOS Y PRODUCTOS DERIVADOS</t>
    </r>
    <r>
      <rPr>
        <b/>
        <sz val="11"/>
        <rFont val="Times New Roman"/>
        <family val="1"/>
      </rPr>
      <t>(Concret. De calle enfrente de la igl. Evangelica Bo.Concepcion)</t>
    </r>
  </si>
  <si>
    <r>
      <t xml:space="preserve">VIALES PROY: REPARACION DE CALLES PRINCIPALES QUE CONDUCE DE HUIZILTIPEQUE  HACIA CANTON MIRAFLORES Y CTON EL ESPINO </t>
    </r>
    <r>
      <rPr>
        <sz val="11"/>
        <rFont val="Times New Roman"/>
        <family val="1"/>
      </rPr>
      <t>(SE PRESUPUESTA  DEL 75% FODES , AÑO 2018 DEL PLAN ESTRATEGICO)</t>
    </r>
    <r>
      <rPr>
        <b/>
        <sz val="11"/>
        <color rgb="FFFF0000"/>
        <rFont val="Times New Roman"/>
        <family val="1"/>
      </rPr>
      <t xml:space="preserve">Con $35,000.00 según rubros </t>
    </r>
  </si>
  <si>
    <r>
      <rPr>
        <sz val="11"/>
        <rFont val="Times New Roman"/>
        <family val="1"/>
      </rPr>
      <t>SALARIO DE JORNAL</t>
    </r>
    <r>
      <rPr>
        <b/>
        <sz val="11"/>
        <rFont val="Times New Roman"/>
        <family val="1"/>
      </rPr>
      <t xml:space="preserve"> (Reparac. De calles princip. Que conduce de Huiziltepeque hacia Canton Miraflores y cton el espino)</t>
    </r>
  </si>
  <si>
    <r>
      <rPr>
        <sz val="11"/>
        <rFont val="Times New Roman"/>
        <family val="1"/>
      </rPr>
      <t>MINERALES NO METALICOS Y PRODUCTOS DERIVADOS</t>
    </r>
    <r>
      <rPr>
        <b/>
        <sz val="11"/>
        <rFont val="Times New Roman"/>
        <family val="1"/>
      </rPr>
      <t>(Reparac. De calles princip. Que conduce de Huiziltepeque hacia Canton Miraflores y cton el espino)</t>
    </r>
  </si>
  <si>
    <r>
      <rPr>
        <sz val="11"/>
        <rFont val="Times New Roman"/>
        <family val="1"/>
      </rPr>
      <t>HERRAMIENTAS, REPUESTOS Y LUBRICANTES</t>
    </r>
    <r>
      <rPr>
        <b/>
        <sz val="11"/>
        <rFont val="Times New Roman"/>
        <family val="1"/>
      </rPr>
      <t>(Reparac. De calles princip. Que conduce de Huiziltepeque hacia Canton Miraflores y cton el espino)</t>
    </r>
  </si>
  <si>
    <r>
      <rPr>
        <sz val="11"/>
        <rFont val="Times New Roman"/>
        <family val="1"/>
      </rPr>
      <t>IMPRESIONES , PUBLICACIONES Y REPRODUCCIONES</t>
    </r>
    <r>
      <rPr>
        <b/>
        <sz val="11"/>
        <rFont val="Times New Roman"/>
        <family val="1"/>
      </rPr>
      <t>(Reparac. De calles princip. Que conduce de Huiziltepeque hacia Canton Miraflores y cton el espino)</t>
    </r>
  </si>
  <si>
    <r>
      <rPr>
        <sz val="11"/>
        <rFont val="Times New Roman"/>
        <family val="1"/>
      </rPr>
      <t>SERVICIOS GENERALES Y ARRENDAMIENTOS DIVERSOS</t>
    </r>
    <r>
      <rPr>
        <b/>
        <sz val="11"/>
        <rFont val="Times New Roman"/>
        <family val="1"/>
      </rPr>
      <t>(Reparac. De calles princip. Que conduce de Huiziltepeque hacia Canton Miraflores y cton el espino)</t>
    </r>
  </si>
  <si>
    <r>
      <t xml:space="preserve"> </t>
    </r>
    <r>
      <rPr>
        <sz val="11"/>
        <rFont val="Times New Roman"/>
        <family val="1"/>
      </rPr>
      <t>COMISIONES Y GASTOS BANCARIOS</t>
    </r>
    <r>
      <rPr>
        <b/>
        <sz val="11"/>
        <rFont val="Times New Roman"/>
        <family val="1"/>
      </rPr>
      <t>(Reparac. De calles princip. Que conduce de Huiziltepeque hacia Canton Miraflores y cton el espino)</t>
    </r>
  </si>
  <si>
    <r>
      <rPr>
        <sz val="11"/>
        <rFont val="Times New Roman"/>
        <family val="1"/>
      </rPr>
      <t>TRANSPORTES FLETES Y ALMACENAMIENTOS</t>
    </r>
    <r>
      <rPr>
        <b/>
        <sz val="11"/>
        <rFont val="Times New Roman"/>
        <family val="1"/>
      </rPr>
      <t xml:space="preserve"> (Reparac. De calles princip. Que conduce de Huiziltepeque hacia Canton Miraflores y cton el espino)</t>
    </r>
  </si>
  <si>
    <r>
      <t xml:space="preserve">VIALES PROY:  </t>
    </r>
    <r>
      <rPr>
        <sz val="11"/>
        <rFont val="Times New Roman"/>
        <family val="1"/>
      </rPr>
      <t xml:space="preserve"> OBRAS DE SANEAMIENTOS  AMBIENTAL Y GESTION  DE  RIESGOS  EN EL MUNICIPIO  (SE PRESUPUESTA  DEL 75% FODES , AÑO 2018 DEL PLAN ESTRATEGICO)</t>
    </r>
    <r>
      <rPr>
        <b/>
        <sz val="11"/>
        <color rgb="FFFF0000"/>
        <rFont val="Times New Roman"/>
        <family val="1"/>
      </rPr>
      <t xml:space="preserve">Con $35,000.00 según rubros </t>
    </r>
  </si>
  <si>
    <r>
      <rPr>
        <sz val="11"/>
        <rFont val="Times New Roman"/>
        <family val="1"/>
      </rPr>
      <t>COMBUSTIBLE Y LUBRICANTES</t>
    </r>
    <r>
      <rPr>
        <b/>
        <sz val="11"/>
        <rFont val="Times New Roman"/>
        <family val="1"/>
      </rPr>
      <t xml:space="preserve"> (Obras de sasnamiento ambiental y gestion de riesgos )</t>
    </r>
  </si>
  <si>
    <r>
      <rPr>
        <sz val="11"/>
        <rFont val="Times New Roman"/>
        <family val="1"/>
      </rPr>
      <t>BIENES DE USO Y CONSUMO DIVERSO</t>
    </r>
    <r>
      <rPr>
        <b/>
        <sz val="11"/>
        <rFont val="Times New Roman"/>
        <family val="1"/>
      </rPr>
      <t>S(Obras de saniamiento ambiental y gestion de riesgos )</t>
    </r>
  </si>
  <si>
    <r>
      <rPr>
        <sz val="11"/>
        <rFont val="Times New Roman"/>
        <family val="1"/>
      </rPr>
      <t>HERRAMIENTAS REPUESTOS Y ACCESORIOS</t>
    </r>
    <r>
      <rPr>
        <b/>
        <sz val="11"/>
        <rFont val="Times New Roman"/>
        <family val="1"/>
      </rPr>
      <t xml:space="preserve"> (Obras de saniamiento ambiental y gestion de riesgos )</t>
    </r>
  </si>
  <si>
    <r>
      <rPr>
        <sz val="11"/>
        <rFont val="Times New Roman"/>
        <family val="1"/>
      </rPr>
      <t>SALARIO DE JORNAL</t>
    </r>
    <r>
      <rPr>
        <b/>
        <sz val="11"/>
        <rFont val="Times New Roman"/>
        <family val="1"/>
      </rPr>
      <t xml:space="preserve"> (Obras de saniamiento ambiental y gestion de riesgos )</t>
    </r>
  </si>
  <si>
    <r>
      <rPr>
        <sz val="11"/>
        <rFont val="Times New Roman"/>
        <family val="1"/>
      </rPr>
      <t>MINERALES  METALICOS Y PRODUCTOS DERIVADOS</t>
    </r>
    <r>
      <rPr>
        <b/>
        <sz val="11"/>
        <rFont val="Times New Roman"/>
        <family val="1"/>
      </rPr>
      <t>(Obras de saniamiento ambiental y gestion de riesgos )</t>
    </r>
  </si>
  <si>
    <r>
      <rPr>
        <sz val="11"/>
        <rFont val="Times New Roman"/>
        <family val="1"/>
      </rPr>
      <t xml:space="preserve">IMPRESIONES , PUBLICACIONES Y REPRODUCCIONES </t>
    </r>
    <r>
      <rPr>
        <b/>
        <sz val="11"/>
        <rFont val="Times New Roman"/>
        <family val="1"/>
      </rPr>
      <t>(Obras de saniamiento ambiental y gestion de riesgos )</t>
    </r>
  </si>
  <si>
    <r>
      <rPr>
        <sz val="11"/>
        <rFont val="Times New Roman"/>
        <family val="1"/>
      </rPr>
      <t>SERVICIOS GENERALES Y ARRENDAMIENTOS DIVERSOS</t>
    </r>
    <r>
      <rPr>
        <b/>
        <sz val="11"/>
        <rFont val="Times New Roman"/>
        <family val="1"/>
      </rPr>
      <t>(Obras de saniamiento ambiental y gestion de riesgos )</t>
    </r>
  </si>
  <si>
    <r>
      <rPr>
        <sz val="11"/>
        <rFont val="Times New Roman"/>
        <family val="1"/>
      </rPr>
      <t>COMISIONES Y GASTOS BANCARIOS(</t>
    </r>
    <r>
      <rPr>
        <b/>
        <sz val="11"/>
        <rFont val="Times New Roman"/>
        <family val="1"/>
      </rPr>
      <t>Obras de saniamiento ambiental y gestion de riesgos )</t>
    </r>
  </si>
  <si>
    <r>
      <rPr>
        <sz val="11"/>
        <rFont val="Times New Roman"/>
        <family val="1"/>
      </rPr>
      <t>MINERALES  NO METALICOS Y PRODUCTOS DERIVADOS</t>
    </r>
    <r>
      <rPr>
        <b/>
        <sz val="11"/>
        <rFont val="Times New Roman"/>
        <family val="1"/>
      </rPr>
      <t xml:space="preserve"> (Obras de saniamiento ambiental y gestion de riesgos )</t>
    </r>
  </si>
  <si>
    <r>
      <rPr>
        <sz val="11"/>
        <rFont val="Times New Roman"/>
        <family val="1"/>
      </rPr>
      <t>REMUNERACIONES DIVERSAS</t>
    </r>
    <r>
      <rPr>
        <b/>
        <sz val="11"/>
        <rFont val="Times New Roman"/>
        <family val="1"/>
      </rPr>
      <t xml:space="preserve"> (Obras de saniamiento ambiental y gestion de riesgos )</t>
    </r>
  </si>
  <si>
    <t>40-</t>
  </si>
  <si>
    <r>
      <t xml:space="preserve">VIALES PROY:  </t>
    </r>
    <r>
      <rPr>
        <sz val="11"/>
        <rFont val="Times New Roman"/>
        <family val="1"/>
      </rPr>
      <t xml:space="preserve"> CREACION DE OBRAS DE PREVENCION DE  DESASTRES Y ACCIONES PARA LA DECLARACION  DE  EMERGENCIAS (SE PRESUPUESTA  DEL 75% FODES , AÑO 2018 DEL PLAN ESTRATEGICO)</t>
    </r>
    <r>
      <rPr>
        <b/>
        <sz val="11"/>
        <color rgb="FFFF0000"/>
        <rFont val="Times New Roman"/>
        <family val="1"/>
      </rPr>
      <t xml:space="preserve">Con $5,000.00 según rubros </t>
    </r>
  </si>
  <si>
    <r>
      <rPr>
        <sz val="11"/>
        <rFont val="Times New Roman"/>
        <family val="1"/>
      </rPr>
      <t>REMUNERACIONES DIVERSAS</t>
    </r>
    <r>
      <rPr>
        <b/>
        <sz val="11"/>
        <rFont val="Times New Roman"/>
        <family val="1"/>
      </rPr>
      <t xml:space="preserve"> (Creacion de obras de prev. De desastres  y acciones para la decla. De emergencias)</t>
    </r>
  </si>
  <si>
    <r>
      <rPr>
        <sz val="11"/>
        <rFont val="Times New Roman"/>
        <family val="1"/>
      </rPr>
      <t>MINERALES NO METALICOS Y PRODUCTOS DERIVADOS</t>
    </r>
    <r>
      <rPr>
        <b/>
        <sz val="11"/>
        <rFont val="Times New Roman"/>
        <family val="1"/>
      </rPr>
      <t>(Creacion de obras de prev. De desastres  y acciones para la decla. De emergencias)</t>
    </r>
  </si>
  <si>
    <r>
      <rPr>
        <sz val="11"/>
        <rFont val="Times New Roman"/>
        <family val="1"/>
      </rPr>
      <t>HERRAMIENTAS, REPUESTOS Y ACCESORIOS</t>
    </r>
    <r>
      <rPr>
        <b/>
        <sz val="11"/>
        <rFont val="Times New Roman"/>
        <family val="1"/>
      </rPr>
      <t>(Creacion de obras de prev. De desastres  y acciones para la decla. De emergencias)</t>
    </r>
  </si>
  <si>
    <r>
      <rPr>
        <sz val="11"/>
        <rFont val="Times New Roman"/>
        <family val="1"/>
      </rPr>
      <t>IMPRESIONES, PUBLICACIONES Y REPRODUCCIONES</t>
    </r>
    <r>
      <rPr>
        <b/>
        <sz val="11"/>
        <rFont val="Times New Roman"/>
        <family val="1"/>
      </rPr>
      <t>(Creacion de obras de prev. De desastres  y acciones para la decla. De emergencias)</t>
    </r>
  </si>
  <si>
    <r>
      <rPr>
        <sz val="11"/>
        <rFont val="Times New Roman"/>
        <family val="1"/>
      </rPr>
      <t>SERVICIOS GENERALES Y ARRENDAMIENTOS DIVERSOS</t>
    </r>
    <r>
      <rPr>
        <b/>
        <sz val="11"/>
        <rFont val="Times New Roman"/>
        <family val="1"/>
      </rPr>
      <t>(Creacion de obras de prev. De desastres  y acciones para la decla. De emergencias)</t>
    </r>
  </si>
  <si>
    <r>
      <rPr>
        <sz val="11"/>
        <rFont val="Times New Roman"/>
        <family val="1"/>
      </rPr>
      <t>COMISIONES Y GASTOS BANCARIOS</t>
    </r>
    <r>
      <rPr>
        <b/>
        <sz val="11"/>
        <rFont val="Times New Roman"/>
        <family val="1"/>
      </rPr>
      <t>(Creacion de obras de prev. De desastres  y acciones para la decla. De emergencias)</t>
    </r>
  </si>
  <si>
    <t>42-</t>
  </si>
  <si>
    <r>
      <t xml:space="preserve">VIALES PROY: </t>
    </r>
    <r>
      <rPr>
        <sz val="11"/>
        <rFont val="Times New Roman"/>
        <family val="1"/>
      </rPr>
      <t>REALIZAR CAMPAÑAS  DE PREVENCION DE RIESGOS</t>
    </r>
    <r>
      <rPr>
        <b/>
        <sz val="11"/>
        <rFont val="Times New Roman"/>
        <family val="1"/>
      </rPr>
      <t xml:space="preserve"> </t>
    </r>
    <r>
      <rPr>
        <sz val="11"/>
        <rFont val="Times New Roman"/>
        <family val="1"/>
      </rPr>
      <t>(SE PRESUPUESTA  DEL 75% FODES , AÑO 2018 DEL PLAN ESTRATEGICO)</t>
    </r>
    <r>
      <rPr>
        <b/>
        <sz val="11"/>
        <color rgb="FFFF0000"/>
        <rFont val="Times New Roman"/>
        <family val="1"/>
      </rPr>
      <t xml:space="preserve">Con $5,000.00 según rubros </t>
    </r>
  </si>
  <si>
    <r>
      <t>REMUNERACIONES  DIVERSAS</t>
    </r>
    <r>
      <rPr>
        <b/>
        <sz val="11"/>
        <rFont val="Times New Roman"/>
        <family val="1"/>
      </rPr>
      <t>(Realizar campañas e prevencion de riesgos )</t>
    </r>
  </si>
  <si>
    <r>
      <t>COMBUSTIBLE Y LUBRICANTES</t>
    </r>
    <r>
      <rPr>
        <b/>
        <sz val="11"/>
        <rFont val="Times New Roman"/>
        <family val="1"/>
      </rPr>
      <t>(Realizar campañas e prevencion de riesgos )</t>
    </r>
  </si>
  <si>
    <r>
      <rPr>
        <sz val="11"/>
        <rFont val="Times New Roman"/>
        <family val="1"/>
      </rPr>
      <t>MINERALES NO METALICOS Y PRODUCTOS DERIVADOS</t>
    </r>
    <r>
      <rPr>
        <b/>
        <sz val="11"/>
        <rFont val="Times New Roman"/>
        <family val="1"/>
      </rPr>
      <t>(Realizar campañas e prevencion de riesgos )</t>
    </r>
  </si>
  <si>
    <r>
      <rPr>
        <sz val="11"/>
        <rFont val="Times New Roman"/>
        <family val="1"/>
      </rPr>
      <t>HERRAMIENTAS REPUESTOS Y ACCESORIOS</t>
    </r>
    <r>
      <rPr>
        <b/>
        <sz val="11"/>
        <rFont val="Times New Roman"/>
        <family val="1"/>
      </rPr>
      <t>(Realizar campañas e prevencion de riesgos )</t>
    </r>
  </si>
  <si>
    <r>
      <rPr>
        <sz val="11"/>
        <rFont val="Times New Roman"/>
        <family val="1"/>
      </rPr>
      <t>BIENES DE USO Y CONSUMO DIVERSOS</t>
    </r>
    <r>
      <rPr>
        <b/>
        <sz val="11"/>
        <rFont val="Times New Roman"/>
        <family val="1"/>
      </rPr>
      <t>(Realizar campañas e prevencion de riesgos )</t>
    </r>
  </si>
  <si>
    <r>
      <rPr>
        <sz val="11"/>
        <rFont val="Times New Roman"/>
        <family val="1"/>
      </rPr>
      <t>IMPRESIONES PUBLICACIONES Y REPRODUCCIONES</t>
    </r>
    <r>
      <rPr>
        <b/>
        <sz val="11"/>
        <rFont val="Times New Roman"/>
        <family val="1"/>
      </rPr>
      <t>(Realizar campañas e prevencion de riesgos )</t>
    </r>
  </si>
  <si>
    <r>
      <rPr>
        <sz val="11"/>
        <rFont val="Times New Roman"/>
        <family val="1"/>
      </rPr>
      <t>SERVICIOS GENERALES Y ARRENDAMIENTOS DIVERSOS</t>
    </r>
    <r>
      <rPr>
        <b/>
        <sz val="11"/>
        <rFont val="Times New Roman"/>
        <family val="1"/>
      </rPr>
      <t>(Realizar campañas e prevencion de riesgos )</t>
    </r>
  </si>
  <si>
    <r>
      <rPr>
        <sz val="11"/>
        <rFont val="Times New Roman"/>
        <family val="1"/>
      </rPr>
      <t>COMISIONES Y GASTOS BANCARIOS</t>
    </r>
    <r>
      <rPr>
        <b/>
        <sz val="11"/>
        <rFont val="Times New Roman"/>
        <family val="1"/>
      </rPr>
      <t>(Realizar campañas e prevencion de riesgos )</t>
    </r>
  </si>
  <si>
    <r>
      <rPr>
        <sz val="11"/>
        <rFont val="Times New Roman"/>
        <family val="1"/>
      </rPr>
      <t>HERRAMIENTAS, REPUESTOS Y ACCESORIOS</t>
    </r>
    <r>
      <rPr>
        <b/>
        <sz val="11"/>
        <rFont val="Times New Roman"/>
        <family val="1"/>
      </rPr>
      <t>(Mejoramiento de capt. De bomb en C/ el limon, miraflores y huiziltepeque)</t>
    </r>
  </si>
  <si>
    <r>
      <rPr>
        <sz val="11"/>
        <rFont val="Times New Roman"/>
        <family val="1"/>
      </rPr>
      <t>IMPRESIONES, PUBLICACIONES Y REPRODUCCIONES</t>
    </r>
    <r>
      <rPr>
        <b/>
        <sz val="11"/>
        <rFont val="Times New Roman"/>
        <family val="1"/>
      </rPr>
      <t>(Mejoramiento de capt. De bomb en C/ el limon, miraflores y huiziltepeque)</t>
    </r>
  </si>
  <si>
    <r>
      <rPr>
        <sz val="11"/>
        <rFont val="Times New Roman"/>
        <family val="1"/>
      </rPr>
      <t>A ORGANISMOS SIN FINES DE LUCRO</t>
    </r>
    <r>
      <rPr>
        <b/>
        <sz val="11"/>
        <rFont val="Times New Roman"/>
        <family val="1"/>
      </rPr>
      <t xml:space="preserve"> (Mejoramiento de capt. De bomb en C/ el limon, miraflores y huiziltepeque)</t>
    </r>
  </si>
  <si>
    <r>
      <rPr>
        <sz val="11"/>
        <rFont val="Times New Roman"/>
        <family val="1"/>
      </rPr>
      <t>COMISIONES Y GASTOS BANCARIOS</t>
    </r>
    <r>
      <rPr>
        <b/>
        <sz val="11"/>
        <rFont val="Times New Roman"/>
        <family val="1"/>
      </rPr>
      <t>(Mejoramiento de capt. De bomb en C/ el limon, miraflores y huiziltepeque)</t>
    </r>
  </si>
  <si>
    <t>56201-</t>
  </si>
  <si>
    <r>
      <t>Transferencias corrientes al sector publico</t>
    </r>
    <r>
      <rPr>
        <sz val="11"/>
        <rFont val="Times New Roman"/>
        <family val="1"/>
      </rPr>
      <t xml:space="preserve"> (Incluye la cuota  del prestamo del Bo. Hipotecario de dic-17  asi mismo $41,000.00 que se habia presupuestado en el rubro  de amortizacion al prestamo hipotecario, y en vista que el mes de febrero , se terminara de cancelar, se deja presupuestada en este rubro (</t>
    </r>
    <r>
      <rPr>
        <b/>
        <sz val="11"/>
        <rFont val="Times New Roman"/>
        <family val="1"/>
      </rPr>
      <t>SE PRESUPUESTA . AUMENT. A LA ASIG. 75% FODES AÑO 2018 POR $11,676.11</t>
    </r>
  </si>
  <si>
    <t>1-71304</t>
  </si>
  <si>
    <r>
      <t xml:space="preserve">DE EMPRESAS PUBLICAS FINANCIERAS </t>
    </r>
    <r>
      <rPr>
        <sz val="11"/>
        <rFont val="Times New Roman"/>
        <family val="1"/>
      </rPr>
      <t xml:space="preserve">(CAPITAL X REFINANCIAMIENTO  CON EL BANCO HIPOTECARIO  DE EL SALVADOR  DE MARZO DE 2014) </t>
    </r>
  </si>
  <si>
    <t>1-55302</t>
  </si>
  <si>
    <r>
      <t>DE EMPRESAS PUBLICAS FINANCIERAS (</t>
    </r>
    <r>
      <rPr>
        <sz val="11"/>
        <rFont val="Times New Roman"/>
        <family val="1"/>
      </rPr>
      <t>POR INTERESES GENERADOS DE REFINANCIAMIENTO  CON EL BANCO HIPOTECARIO  DEL MES DE MARZO /14)</t>
    </r>
  </si>
  <si>
    <t>1-55304</t>
  </si>
  <si>
    <t>FISDL/DDP/PES//TAT  DEL PROYECTO DE INCLUSION PRODUCTIVA , HACIENDO CONSTAR QUE LA CTA,  DE AHORRO  No. 8114102  TIENE UN SALDO A DIC/17 DE $21,413.68 INCLUYE LOS INTERESES GENERADOSA DIC/17  , y la cta cte de TES. MPAL- DDP/PES/AT-FISDL POR $483.60. se desc. renta  dic por $485.00 (diferencia  lo tranlado fdos prop), queda saldo  de la cuenta  de ahorro  por $21,413.68 que pasa al presupuesto mpal 2018</t>
  </si>
  <si>
    <t>BIENES DE USO Y CONSUMO DIVERSOS</t>
  </si>
  <si>
    <t>GASTOS DIVERSOS</t>
  </si>
  <si>
    <r>
      <t>REMUNERACIONES  DIVERSAS</t>
    </r>
    <r>
      <rPr>
        <sz val="11"/>
        <rFont val="Times New Roman"/>
        <family val="1"/>
      </rPr>
      <t>(salar.por servicios tecnicos y asistencia  al programa  de emprendimiento solidario)</t>
    </r>
  </si>
  <si>
    <t>FISDL/CAPRESS DEL PROY. CONSTRUCCION  DE ESTRUCTURA PARA SALON DE  USOS MULTIPLES CON CANCHA PARA DISCIPLINAS DE FUTBOL SALA, BALONCESTO Y VELEIBOL EN EL SECTOR LA BASCULA, CANTON LA LOMA</t>
  </si>
  <si>
    <r>
      <t>REMUNERACIONES DIVERSAS</t>
    </r>
    <r>
      <rPr>
        <b/>
        <sz val="11"/>
        <rFont val="Times New Roman"/>
        <family val="1"/>
      </rPr>
      <t>(Const, de  estruct. Con cancha de usos multiples C/La Loma</t>
    </r>
  </si>
  <si>
    <r>
      <t>COMBUSTIBLES Y LUBRICANTES</t>
    </r>
    <r>
      <rPr>
        <b/>
        <sz val="11"/>
        <rFont val="Times New Roman"/>
        <family val="1"/>
      </rPr>
      <t>(Const, de  estruct. Con cancha de usos multiples C/La Loma</t>
    </r>
  </si>
  <si>
    <r>
      <rPr>
        <sz val="11"/>
        <rFont val="Times New Roman"/>
        <family val="1"/>
      </rPr>
      <t>MINERALES NO METALICOS Y PRODUCTOS DERIVADOS</t>
    </r>
    <r>
      <rPr>
        <b/>
        <sz val="11"/>
        <rFont val="Times New Roman"/>
        <family val="1"/>
      </rPr>
      <t>(Const, de  estruct. Con cancha de usos multiples C/La Loma</t>
    </r>
  </si>
  <si>
    <r>
      <rPr>
        <sz val="11"/>
        <rFont val="Times New Roman"/>
        <family val="1"/>
      </rPr>
      <t>MINERALES METALICOS Y PRODUCTOS DERIVADOS</t>
    </r>
    <r>
      <rPr>
        <b/>
        <sz val="11"/>
        <rFont val="Times New Roman"/>
        <family val="1"/>
      </rPr>
      <t>(Const, de  estruct. Con cancha de usos multiples C/La Loma</t>
    </r>
  </si>
  <si>
    <r>
      <rPr>
        <sz val="11"/>
        <rFont val="Times New Roman"/>
        <family val="1"/>
      </rPr>
      <t>HERRAMIENTAS, REPUESTOS Y LUBRICANTES</t>
    </r>
    <r>
      <rPr>
        <b/>
        <sz val="11"/>
        <rFont val="Times New Roman"/>
        <family val="1"/>
      </rPr>
      <t>(Const, de  estruct. Con cancha de usos multiples C/La Loma</t>
    </r>
  </si>
  <si>
    <r>
      <rPr>
        <sz val="11"/>
        <rFont val="Times New Roman"/>
        <family val="1"/>
      </rPr>
      <t>TRANSPORTES , FLETES Y ALMACENAMIENTOS</t>
    </r>
    <r>
      <rPr>
        <b/>
        <sz val="11"/>
        <rFont val="Times New Roman"/>
        <family val="1"/>
      </rPr>
      <t>(Const, de  estruct. Con cancha de usos multiples C/La Loma</t>
    </r>
  </si>
  <si>
    <r>
      <rPr>
        <sz val="11"/>
        <rFont val="Times New Roman"/>
        <family val="1"/>
      </rPr>
      <t>IMPRESIONES, PUBLICACIONES Y REPRODUCCIONES</t>
    </r>
    <r>
      <rPr>
        <b/>
        <sz val="11"/>
        <rFont val="Times New Roman"/>
        <family val="1"/>
      </rPr>
      <t>(Const, de  estruct. Con cancha de usos multiples C/La Loma</t>
    </r>
  </si>
  <si>
    <r>
      <rPr>
        <sz val="11"/>
        <rFont val="Times New Roman"/>
        <family val="1"/>
      </rPr>
      <t>SERVICIOS GENERALES Y ARRENDAMIENTOS DIVERSOS</t>
    </r>
    <r>
      <rPr>
        <b/>
        <sz val="11"/>
        <rFont val="Times New Roman"/>
        <family val="1"/>
      </rPr>
      <t>(Const, de  estruct. Con cancha de usos multiples C/La Loma</t>
    </r>
  </si>
  <si>
    <r>
      <rPr>
        <sz val="11"/>
        <rFont val="Times New Roman"/>
        <family val="1"/>
      </rPr>
      <t>COMISIONES Y GASTOS BANCARIOS</t>
    </r>
    <r>
      <rPr>
        <b/>
        <sz val="11"/>
        <rFont val="Times New Roman"/>
        <family val="1"/>
      </rPr>
      <t>(Const, de  estruct. Con cancha de usos multiples C/La Loma</t>
    </r>
  </si>
  <si>
    <r>
      <rPr>
        <sz val="11"/>
        <rFont val="Times New Roman"/>
        <family val="1"/>
      </rPr>
      <t>SALARIO POR JORNAL</t>
    </r>
    <r>
      <rPr>
        <b/>
        <sz val="11"/>
        <rFont val="Times New Roman"/>
        <family val="1"/>
      </rPr>
      <t>(Const. De cancha regalamentaria  e sect la cruz C/Istagua</t>
    </r>
  </si>
  <si>
    <r>
      <rPr>
        <sz val="11"/>
        <rFont val="Times New Roman"/>
        <family val="1"/>
      </rPr>
      <t>COMBUSTIBLES Y LUBRICANTES</t>
    </r>
    <r>
      <rPr>
        <b/>
        <sz val="11"/>
        <rFont val="Times New Roman"/>
        <family val="1"/>
      </rPr>
      <t>(Const. De cancha regalamentaria  e sect la cruz C/Istagua</t>
    </r>
  </si>
  <si>
    <r>
      <rPr>
        <sz val="11"/>
        <rFont val="Times New Roman"/>
        <family val="1"/>
      </rPr>
      <t>REMUNERACIONES DIVERSAS</t>
    </r>
    <r>
      <rPr>
        <b/>
        <sz val="11"/>
        <rFont val="Times New Roman"/>
        <family val="1"/>
      </rPr>
      <t>(Const. De cancha regalamentaria  e sect la cruz C/Istagua</t>
    </r>
  </si>
  <si>
    <r>
      <rPr>
        <sz val="11"/>
        <rFont val="Times New Roman"/>
        <family val="1"/>
      </rPr>
      <t>MINERALES NO METALICOS Y PRODUCTOS DERIVADOS</t>
    </r>
    <r>
      <rPr>
        <b/>
        <sz val="11"/>
        <rFont val="Times New Roman"/>
        <family val="1"/>
      </rPr>
      <t>(Const. De cancha regalamentaria  e sect la cruz C/Istagua</t>
    </r>
  </si>
  <si>
    <r>
      <rPr>
        <sz val="11"/>
        <rFont val="Times New Roman"/>
        <family val="1"/>
      </rPr>
      <t>MINERALES  METALICOS Y PRODUCTOS DERIVADOS</t>
    </r>
    <r>
      <rPr>
        <b/>
        <sz val="11"/>
        <rFont val="Times New Roman"/>
        <family val="1"/>
      </rPr>
      <t>(Const. De cancha regalamentaria  e sect la cruz C/Istagua</t>
    </r>
  </si>
  <si>
    <r>
      <rPr>
        <sz val="11"/>
        <rFont val="Times New Roman"/>
        <family val="1"/>
      </rPr>
      <t>HERRAMIENTAS, REPUESTOS Y ACCESORIOS</t>
    </r>
    <r>
      <rPr>
        <b/>
        <sz val="11"/>
        <rFont val="Times New Roman"/>
        <family val="1"/>
      </rPr>
      <t>(Const. De cancha regalamentaria  e sect la cruz C/Istagua</t>
    </r>
  </si>
  <si>
    <r>
      <rPr>
        <sz val="11"/>
        <rFont val="Times New Roman"/>
        <family val="1"/>
      </rPr>
      <t>TRANSPORTES, FLETES Y ALMACENAMIENTOS</t>
    </r>
    <r>
      <rPr>
        <b/>
        <sz val="11"/>
        <rFont val="Times New Roman"/>
        <family val="1"/>
      </rPr>
      <t xml:space="preserve"> (Const. De cancha regalamentaria  e sect la cruz C/Istagua</t>
    </r>
  </si>
  <si>
    <r>
      <rPr>
        <sz val="11"/>
        <rFont val="Times New Roman"/>
        <family val="1"/>
      </rPr>
      <t>IMPRESIONES, PUBLICACIONES Y REPRODUCCIONES</t>
    </r>
    <r>
      <rPr>
        <b/>
        <sz val="11"/>
        <rFont val="Times New Roman"/>
        <family val="1"/>
      </rPr>
      <t>(Const. De cancha regalamentaria  e sect la cruz C/Istagua</t>
    </r>
  </si>
  <si>
    <r>
      <rPr>
        <sz val="11"/>
        <rFont val="Times New Roman"/>
        <family val="1"/>
      </rPr>
      <t>SERVICIOS GENERALES Y ARRENDAMIENTOS DIVERSOS</t>
    </r>
    <r>
      <rPr>
        <b/>
        <sz val="11"/>
        <rFont val="Times New Roman"/>
        <family val="1"/>
      </rPr>
      <t>(Const. De cancha regalamentaria  e sect la cruz C/Istagua</t>
    </r>
  </si>
  <si>
    <r>
      <rPr>
        <sz val="11"/>
        <rFont val="Times New Roman"/>
        <family val="1"/>
      </rPr>
      <t>COMISIONES Y GASTOS BANCARIOS</t>
    </r>
    <r>
      <rPr>
        <b/>
        <sz val="11"/>
        <rFont val="Times New Roman"/>
        <family val="1"/>
      </rPr>
      <t>(Const. De cancha regalamentaria  e sect la cruz C/Istagua</t>
    </r>
  </si>
  <si>
    <r>
      <rPr>
        <sz val="11"/>
        <rFont val="Times New Roman"/>
        <family val="1"/>
      </rPr>
      <t>SALARIO POR JORNAL</t>
    </r>
    <r>
      <rPr>
        <b/>
        <sz val="11"/>
        <rFont val="Times New Roman"/>
        <family val="1"/>
      </rPr>
      <t>(Const, de  estruct. Con cancha de usos multiples C/La Loma</t>
    </r>
  </si>
  <si>
    <r>
      <rPr>
        <sz val="11"/>
        <rFont val="Times New Roman"/>
        <family val="1"/>
      </rPr>
      <t>SALARIO DE JORNAL</t>
    </r>
    <r>
      <rPr>
        <b/>
        <sz val="11"/>
        <rFont val="Times New Roman"/>
        <family val="1"/>
      </rPr>
      <t>(Const. De estructura  para salon de usos multiples con cancha de disciplinas C/La Esperanza</t>
    </r>
  </si>
  <si>
    <r>
      <rPr>
        <sz val="11"/>
        <rFont val="Times New Roman"/>
        <family val="1"/>
      </rPr>
      <t>REMUNERACIONES DIVERSAS</t>
    </r>
    <r>
      <rPr>
        <b/>
        <sz val="11"/>
        <rFont val="Times New Roman"/>
        <family val="1"/>
      </rPr>
      <t>(Const. De estructura  para salon de usos multiples con cancha de disciplinas C/La Esperanza</t>
    </r>
  </si>
  <si>
    <r>
      <rPr>
        <sz val="11"/>
        <rFont val="Times New Roman"/>
        <family val="1"/>
      </rPr>
      <t>COMBUSTIBLES Y LUBRICANTES(</t>
    </r>
    <r>
      <rPr>
        <b/>
        <sz val="11"/>
        <rFont val="Times New Roman"/>
        <family val="1"/>
      </rPr>
      <t>Const. De estructura  para salon de usos multiples con cancha de disciplinas C/La Esperanza</t>
    </r>
  </si>
  <si>
    <r>
      <rPr>
        <sz val="11"/>
        <rFont val="Times New Roman"/>
        <family val="1"/>
      </rPr>
      <t>MINERALES NO METALICOS Y PRODUCTOS DERIVADOS</t>
    </r>
    <r>
      <rPr>
        <b/>
        <sz val="11"/>
        <rFont val="Times New Roman"/>
        <family val="1"/>
      </rPr>
      <t>(Const. De estructura  para salon de usos multiples con cancha de disciplinas C/La Esperanza</t>
    </r>
  </si>
  <si>
    <r>
      <rPr>
        <sz val="11"/>
        <rFont val="Times New Roman"/>
        <family val="1"/>
      </rPr>
      <t>MINERALES  METALICOS Y PRODUCTOS DERIVADOS</t>
    </r>
    <r>
      <rPr>
        <b/>
        <sz val="11"/>
        <rFont val="Times New Roman"/>
        <family val="1"/>
      </rPr>
      <t>(Const. De estructura  para salon de usos multiples con cancha de disciplinas C/La Esperanza</t>
    </r>
  </si>
  <si>
    <r>
      <rPr>
        <sz val="11"/>
        <rFont val="Times New Roman"/>
        <family val="1"/>
      </rPr>
      <t>HERRAMIENTAS, REPUESTOS Y ACCESSORIOS</t>
    </r>
    <r>
      <rPr>
        <b/>
        <sz val="11"/>
        <rFont val="Times New Roman"/>
        <family val="1"/>
      </rPr>
      <t>(Const. De estructura  para salon de usos multiples con cancha de disciplinas C/La Esperanza</t>
    </r>
  </si>
  <si>
    <r>
      <rPr>
        <sz val="11"/>
        <rFont val="Times New Roman"/>
        <family val="1"/>
      </rPr>
      <t>TRANSPORTES FLETES Y ALMACENAMIENTOS</t>
    </r>
    <r>
      <rPr>
        <b/>
        <sz val="11"/>
        <rFont val="Times New Roman"/>
        <family val="1"/>
      </rPr>
      <t>(Const. De estructura  para salon de usos multiples con cancha de disciplinas C/La Esperanza</t>
    </r>
  </si>
  <si>
    <r>
      <rPr>
        <sz val="11"/>
        <rFont val="Times New Roman"/>
        <family val="1"/>
      </rPr>
      <t>IMPRESIONES, PUBLICACIONES Y REPRODUCCIONES</t>
    </r>
    <r>
      <rPr>
        <b/>
        <sz val="11"/>
        <rFont val="Times New Roman"/>
        <family val="1"/>
      </rPr>
      <t>(Const. De estructura  para salon de usos multiples con cancha de disciplinas C/La Esperanza</t>
    </r>
  </si>
  <si>
    <r>
      <rPr>
        <sz val="11"/>
        <rFont val="Times New Roman"/>
        <family val="1"/>
      </rPr>
      <t>SERVICIOS GENERALES Y ARRENDAMIENTOS DIVERSOS</t>
    </r>
    <r>
      <rPr>
        <b/>
        <sz val="11"/>
        <rFont val="Times New Roman"/>
        <family val="1"/>
      </rPr>
      <t>(Const. De estructura  para salon de usos multiples con cancha de disciplinas C/La Esperanza</t>
    </r>
  </si>
  <si>
    <r>
      <t xml:space="preserve">DE PRODUCCION  DE BIENES Y SERVICIOS  PROY:   </t>
    </r>
    <r>
      <rPr>
        <sz val="11"/>
        <rFont val="Times New Roman"/>
        <family val="1"/>
      </rPr>
      <t>MEJORAMIENTO DE CAPTACIONES DE BOMBEO  EN LOS CANTONES  EL LIMON,  MIRAFLORES, HUIZILTEPEQUE</t>
    </r>
    <r>
      <rPr>
        <b/>
        <sz val="11"/>
        <rFont val="Times New Roman"/>
        <family val="1"/>
      </rPr>
      <t xml:space="preserve"> </t>
    </r>
    <r>
      <rPr>
        <sz val="11"/>
        <rFont val="Times New Roman"/>
        <family val="1"/>
      </rPr>
      <t>(SE PRESUPUESTA  DEL 75% FODES , AÑO 2018 DEL PLAN ESTRATEGICO)</t>
    </r>
    <r>
      <rPr>
        <b/>
        <sz val="11"/>
        <color rgb="FFFF0000"/>
        <rFont val="Times New Roman"/>
        <family val="1"/>
      </rPr>
      <t xml:space="preserve">Con $25,000.00 según rubros </t>
    </r>
  </si>
  <si>
    <t>DE PRODUCCION  DE BIENES Y SERVICIOS  PROY:   MEJORAMIENTO DE CAPTACIONES DE BOMBEO  EN LOS CANTONES  EL LIMON,  MIRAFLORES, HUIZILTEPEQUE</t>
  </si>
  <si>
    <r>
      <t>VIALES PROY.</t>
    </r>
    <r>
      <rPr>
        <sz val="11"/>
        <rFont val="Times New Roman"/>
        <family val="1"/>
      </rPr>
      <t>220 MTL DE PAVIMENTADO , RIGIDO Y CORDON CUNETA  CON OBRA DE MITIGACION  PARA  EVACUACION DE AGUAS LLUVIAS EN EL SECTOR EL CERRITO DE CANTON LA ESPERANZA, SE TRAE UN SALDO  DE</t>
    </r>
    <r>
      <rPr>
        <b/>
        <sz val="11"/>
        <rFont val="Times New Roman"/>
        <family val="1"/>
      </rPr>
      <t xml:space="preserve"> $990.07</t>
    </r>
    <r>
      <rPr>
        <sz val="11"/>
        <rFont val="Times New Roman"/>
        <family val="1"/>
      </rPr>
      <t xml:space="preserve"> QUE PASA PRESUPUESTARIAMENTE  PARA AÑO 2018)</t>
    </r>
  </si>
  <si>
    <r>
      <t>VIALES PROY.250</t>
    </r>
    <r>
      <rPr>
        <sz val="11"/>
        <rFont val="Times New Roman"/>
        <family val="1"/>
      </rPr>
      <t xml:space="preserve"> MTL  DE RECARPETEO  PARA CAPA DE RODADURA  RESANE DE BASE EXISTENTE  CON OBRAS DE MITIGACION PARA TOFIAS EN CALLE PRINCIPAL A BUENA VISTA , SECTOR LOS BENITEZ , CANTON BUENA VISTA,  TRAE  CON UN SALDO  </t>
    </r>
    <r>
      <rPr>
        <b/>
        <sz val="11"/>
        <rFont val="Times New Roman"/>
        <family val="1"/>
      </rPr>
      <t xml:space="preserve">DE $19,995.87 </t>
    </r>
    <r>
      <rPr>
        <sz val="11"/>
        <rFont val="Times New Roman"/>
        <family val="1"/>
      </rPr>
      <t xml:space="preserve"> QUE PASA PRESUPUESTARIAMENTE  PARA ÑO 2018 DEL 75% FODES  PLAN ESTRATEGICO )</t>
    </r>
    <r>
      <rPr>
        <b/>
        <sz val="11"/>
        <color rgb="FFFF0000"/>
        <rFont val="Times New Roman"/>
        <family val="1"/>
      </rPr>
      <t xml:space="preserve"> </t>
    </r>
  </si>
  <si>
    <r>
      <rPr>
        <sz val="11"/>
        <rFont val="Times New Roman"/>
        <family val="1"/>
      </rPr>
      <t xml:space="preserve">COMBUSTIBLE Y LUBRICANTES </t>
    </r>
    <r>
      <rPr>
        <b/>
        <sz val="11"/>
        <rFont val="Times New Roman"/>
        <family val="1"/>
      </rPr>
      <t>(Reparac. De calles princip. Que conduce de Huiziltepeque hacia Canton Miraflores y cton el espino)</t>
    </r>
  </si>
  <si>
    <t>1)55603</t>
  </si>
  <si>
    <r>
      <rPr>
        <b/>
        <sz val="11"/>
        <rFont val="Times New Roman"/>
        <family val="1"/>
      </rPr>
      <t xml:space="preserve">MTTO DE CALLES(Se hace constar que se ha proyectado para </t>
    </r>
    <r>
      <rPr>
        <sz val="11"/>
        <rFont val="Times New Roman"/>
        <family val="1"/>
      </rPr>
      <t xml:space="preserve">el año 2018, según plan estrategico/18 del 75% FODES la cantidad de $75000, </t>
    </r>
    <r>
      <rPr>
        <b/>
        <sz val="11"/>
        <rFont val="Times New Roman"/>
        <family val="1"/>
      </rPr>
      <t>lo que se ejecutara,  por administracion  y se presupuesta en varios rubros, asi:</t>
    </r>
    <r>
      <rPr>
        <b/>
        <sz val="11"/>
        <color rgb="FFFF0000"/>
        <rFont val="Times New Roman"/>
        <family val="1"/>
      </rPr>
      <t xml:space="preserve"> COMISIONES Y GASTOS BANCARIOS</t>
    </r>
  </si>
  <si>
    <r>
      <rPr>
        <sz val="11"/>
        <rFont val="Times New Roman"/>
        <family val="1"/>
      </rPr>
      <t>COMISIONES Y GASTOS BANCARIOS</t>
    </r>
    <r>
      <rPr>
        <b/>
        <sz val="11"/>
        <rFont val="Times New Roman"/>
        <family val="1"/>
      </rPr>
      <t>(Const. De estructura  para salon de usos multiples con cancha de disciplinas C/La Esperanza (NOTA.: según presupuesto viene con $5.01 pero se dejan los $5.00 por efectos de cuadratura)</t>
    </r>
  </si>
  <si>
    <t>FISDL/CAPRESS DEL PROY. CONSTRUCCION  DE ESTRUCTURA PARA SALON DE  USOS MULTIPLES CON CANCHA PARA DISCIPLINAS DE FUTBOL SALA, BALONCESTO Y VELEIBOL EN EL SECTOR  DE LA UNIDAD DE SALUD , C/ La Esperanza.(NOTA: según presupuesto viene con $5.01 pero se dejan los $5.00 por efectos de cuadratura)</t>
  </si>
  <si>
    <t>FISDL/CAPRESS DEL PROY. CONSTRUCCION  DE CANCHA REGLAMENTARIA  DE 90 MTS X 45 MTS PARA FUTBOL INCLUYENDO LOS SERVICIOS BASICOS  DE FUNCIONAMIENTO EN EL SECTOR LA CRUZ, CANTON ISTAGUA.NOTA: según presupuesto viene con $5.01 pero se dejan los $5.00 por efectos de cuadratura)</t>
  </si>
  <si>
    <r>
      <t>COMISIONES Y GASTOS BANCARIOS(</t>
    </r>
    <r>
      <rPr>
        <b/>
        <sz val="11"/>
        <rFont val="Times New Roman"/>
        <family val="1"/>
      </rPr>
      <t>280 Mtl  sect. La Bomba tramo II, C/El Espino)</t>
    </r>
  </si>
  <si>
    <t>TOTAL UNIDAD PRESUPUESTARIA 0401 01 75%</t>
  </si>
  <si>
    <t>MONTO EJECUTADO  AL  
31/01/2018</t>
  </si>
  <si>
    <t>SALDO DISPONIBLE AL 31/01/2018</t>
  </si>
  <si>
    <r>
      <t>DE  INSTITUCIONES DESCENTRALIZADAS NO EMPRESARIALES (</t>
    </r>
    <r>
      <rPr>
        <sz val="11"/>
        <rFont val="Times New Roman"/>
        <family val="1"/>
      </rPr>
      <t>COMISION DEL ISDEM  POR SER EL GARANTE  DEL 2 PRESTAMO O REFINANCIAMIENTO  CON EL BANCO  HIPOTECARIO  DE EL SALVADOR  DE MARZO /14</t>
    </r>
  </si>
  <si>
    <t>GASTOS 28/02/18</t>
  </si>
  <si>
    <t>SALDOS DISPONIBLES  28/02/18</t>
  </si>
  <si>
    <r>
      <t>VIALES PROY.250</t>
    </r>
    <r>
      <rPr>
        <sz val="11"/>
        <rFont val="Times New Roman"/>
        <family val="1"/>
      </rPr>
      <t xml:space="preserve"> MTL  DE ESTRUCTURA  DE PAVIMENTADO RIGIDO Y CORDON CUNETA CON OBRA DE  MITIGACION EN CALLE PRINCIPAL  QUE VA  HACIA  EL PUNTO DE BUSES SECTOR LA FINCA,  CANTON EL  PARAISO ABAJO   SE TRAE  CON UN SALDO  DE $13,130.63  QUE PASA PRESUPUESTARIAMENTE  PARA AÑO 2018 DEL 75% FODES  PLAN ESTRATEGICO )</t>
    </r>
    <r>
      <rPr>
        <b/>
        <sz val="11"/>
        <color rgb="FFFF0000"/>
        <rFont val="Times New Roman"/>
        <family val="1"/>
      </rPr>
      <t xml:space="preserve"> </t>
    </r>
  </si>
  <si>
    <r>
      <t>VIALES PROY.160</t>
    </r>
    <r>
      <rPr>
        <sz val="11"/>
        <rFont val="Times New Roman"/>
        <family val="1"/>
      </rPr>
      <t xml:space="preserve"> MTL DE RECARPETEO PARA CAPA DE RODADURA , CORDON CUNETA RESANE CON OBRA DE  MITIGACION EN CALLE PRINCIPAL  DEL SECTOR EL PUENTE  CANTON SAN FRANCISCO CANDELARIA  SE TRAE  CON UN SALDO  DE $16,346.79  QUE PASA PRESUPUESTARIAMENTE  PARA AÑO 2018 DEL 75% FODES  PLAN ESTRATEGICO )</t>
    </r>
    <r>
      <rPr>
        <b/>
        <sz val="11"/>
        <color rgb="FFFF0000"/>
        <rFont val="Times New Roman"/>
        <family val="1"/>
      </rPr>
      <t xml:space="preserve"> </t>
    </r>
  </si>
  <si>
    <r>
      <t>VIALES PROY.250</t>
    </r>
    <r>
      <rPr>
        <sz val="11"/>
        <rFont val="Times New Roman"/>
        <family val="1"/>
      </rPr>
      <t xml:space="preserve"> MTL  DE RECARPETEO  PARA CAPA DE RODADURA  RESANE DE BASE EXISTENTE  CON OBRAS DE MITIGACION PARA TOFIAS EN CALLE PRINCIPAL A BUENA VISTA , SECTOR LOS BENITEZ , CANTON BUENA VISTA,  TRAE  CON UN SALDO  </t>
    </r>
    <r>
      <rPr>
        <b/>
        <sz val="11"/>
        <rFont val="Times New Roman"/>
        <family val="1"/>
      </rPr>
      <t xml:space="preserve">DE $19,995.87 </t>
    </r>
    <r>
      <rPr>
        <sz val="11"/>
        <rFont val="Times New Roman"/>
        <family val="1"/>
      </rPr>
      <t xml:space="preserve"> QUE PASA PRESUPUESTARIAMENTE  PARA AÑO 2018 DEL 75% FODES  PLAN ESTRATEGICO )</t>
    </r>
    <r>
      <rPr>
        <b/>
        <sz val="11"/>
        <color rgb="FFFF0000"/>
        <rFont val="Times New Roman"/>
        <family val="1"/>
      </rPr>
      <t xml:space="preserve"> </t>
    </r>
  </si>
  <si>
    <r>
      <t>VIALES PROY.</t>
    </r>
    <r>
      <rPr>
        <sz val="11"/>
        <rFont val="Times New Roman"/>
        <family val="1"/>
      </rPr>
      <t>240 MTL  DE RECARPETEO  PARA CAPA DE RODADURA  RESANE DE BASE EXISTENTE  CON OBRAS DE MITIGACION PARA TOFIAS EN CALLE "C"  DEL SECTOR LA TIENDA  ZONA II, CANTON BUENOS AIRES ,SE TRAE  CON UN SALDO  DE $6,418.36 QUE PASA PRESUPUESTARIAMENTE  PARA AÑO 2018 DEL 75% FODES  PLAN ESTRATEGICO )</t>
    </r>
    <r>
      <rPr>
        <b/>
        <sz val="11"/>
        <color rgb="FFFF0000"/>
        <rFont val="Times New Roman"/>
        <family val="1"/>
      </rPr>
      <t xml:space="preserve"> </t>
    </r>
  </si>
  <si>
    <r>
      <t>SALARIO DE  JORNAL (Mejoramiento de capt. De bomb en C/ el limon, miraflores y huiziltepeque)</t>
    </r>
    <r>
      <rPr>
        <b/>
        <sz val="11"/>
        <color rgb="FFFF0000"/>
        <rFont val="Times New Roman"/>
        <family val="1"/>
      </rPr>
      <t xml:space="preserve">Según acuerdo municipal  de febrero/18 se reprograma  (Aumento disminucion y creacion) esta partida entre rubros del mismo proyecto . SE CREA esta partida y se le disminuye el rubro 61607-1  </t>
    </r>
  </si>
  <si>
    <r>
      <t>A ORGANISMOS SIN FINES DE LUCRO (</t>
    </r>
    <r>
      <rPr>
        <b/>
        <sz val="11"/>
        <rFont val="Times New Roman"/>
        <family val="1"/>
      </rPr>
      <t>celebrac.artist.cult.ctones del municipio.</t>
    </r>
  </si>
  <si>
    <r>
      <rPr>
        <b/>
        <sz val="11"/>
        <rFont val="Times New Roman"/>
        <family val="1"/>
      </rPr>
      <t xml:space="preserve">PROYECTOS SOCIALES e INSTITUCIONALES:  </t>
    </r>
    <r>
      <rPr>
        <sz val="11"/>
        <rFont val="Times New Roman"/>
        <family val="1"/>
      </rPr>
      <t xml:space="preserve"> HECHURA DE RAMPAS , MARCACION  DE PARADAS DE BUSES, TUMULOS Y BASUREROS  EN EL CASCO URBANO DEL MUNICIPIO  </t>
    </r>
    <r>
      <rPr>
        <b/>
        <sz val="8"/>
        <color rgb="FFFF0000"/>
        <rFont val="Times New Roman"/>
        <family val="1"/>
      </rPr>
      <t>(Se presupuesta  del 75% , para año 2018) por $8,820.00 según detalles de rubros</t>
    </r>
  </si>
  <si>
    <t>3)54699</t>
  </si>
  <si>
    <t xml:space="preserve">TOTAL UNIDAD ´PRESUPUESTARIA 0401 DONACIONES </t>
  </si>
  <si>
    <r>
      <rPr>
        <b/>
        <sz val="11"/>
        <rFont val="Times New Roman"/>
        <family val="1"/>
      </rPr>
      <t>Revitalizacion Urbano Arquitectonico del parque El campanario de esta ciudad</t>
    </r>
    <r>
      <rPr>
        <b/>
        <sz val="11"/>
        <color rgb="FFFF0000"/>
        <rFont val="Times New Roman"/>
        <family val="1"/>
      </rPr>
      <t xml:space="preserve"> (DONACION /ENEPASA- ALBA PETROLEO)</t>
    </r>
  </si>
  <si>
    <t xml:space="preserve">01 FISDL </t>
  </si>
  <si>
    <t xml:space="preserve">04-DONAC./ENEPASA </t>
  </si>
  <si>
    <t>NOTA: POR INGRESO  (DONACION) ENEPASA (ALBA  PETROLEO) SE AUMENTA PRESUPUESTO  POR $9,000.00</t>
  </si>
  <si>
    <t>DONACIONES/ENEPASA</t>
  </si>
  <si>
    <t>100-200-700878-0</t>
  </si>
  <si>
    <t>04-DONACIONES</t>
  </si>
  <si>
    <t>FISDL/PES/CAPRES</t>
  </si>
  <si>
    <t>MONTO EJECUTADO  AL  
28/02/2018</t>
  </si>
  <si>
    <t>SALDO DISPONIBLE AL 28/02/2018</t>
  </si>
  <si>
    <t>FEBRERO  2018</t>
  </si>
  <si>
    <t>FEBRERO 2018</t>
  </si>
  <si>
    <t>MARZO  2018</t>
  </si>
  <si>
    <t>GASTOS 31/03/18</t>
  </si>
  <si>
    <t>SALDOS DISPONIBLES  31/03/18</t>
  </si>
  <si>
    <t>MONTO EJECUTADO  AL  
31/03/2018</t>
  </si>
  <si>
    <t>SALDO DISPONIBLE AL 31/03/2018</t>
  </si>
  <si>
    <r>
      <t>MINERALES NO METALICOS Y PRODUCTOS DERIVADOS (</t>
    </r>
    <r>
      <rPr>
        <b/>
        <sz val="9"/>
        <rFont val="Calibri"/>
        <family val="2"/>
        <scheme val="minor"/>
      </rPr>
      <t xml:space="preserve">CANCHA CANTON LA ESPERANZA)( </t>
    </r>
    <r>
      <rPr>
        <b/>
        <sz val="9"/>
        <color rgb="FFFF0000"/>
        <rFont val="Calibri"/>
        <family val="2"/>
        <scheme val="minor"/>
      </rPr>
      <t>por Reprogramacion de marzo/18 se  CREA LA PDA CON)</t>
    </r>
  </si>
  <si>
    <t>2)54111-</t>
  </si>
  <si>
    <t>10)54104</t>
  </si>
  <si>
    <r>
      <t xml:space="preserve">SERVICIOS GENERALES Y ARRENDAMIENTOS DIVERSOS ( de </t>
    </r>
    <r>
      <rPr>
        <b/>
        <sz val="9"/>
        <rFont val="Times New Roman"/>
        <family val="1"/>
      </rPr>
      <t>escuelas de take wond)</t>
    </r>
  </si>
  <si>
    <r>
      <t xml:space="preserve">PRODUCTOS TEXTILES Y VESTUARIOS </t>
    </r>
    <r>
      <rPr>
        <b/>
        <sz val="9"/>
        <rFont val="Times New Roman"/>
        <family val="1"/>
      </rPr>
      <t>(escuelas de take wond)</t>
    </r>
    <r>
      <rPr>
        <b/>
        <sz val="9"/>
        <color rgb="FFFF0000"/>
        <rFont val="Times New Roman"/>
        <family val="1"/>
      </rPr>
      <t>Se crea esta pda en el mes de marz/18 con $1,000.00</t>
    </r>
  </si>
  <si>
    <r>
      <t xml:space="preserve">LLANTAS Y NEUMATICOS  </t>
    </r>
    <r>
      <rPr>
        <b/>
        <sz val="11"/>
        <rFont val="Times New Roman"/>
        <family val="1"/>
      </rPr>
      <t>COMPRA DE COMBUSTIBLES Y LUBRICANTES</t>
    </r>
  </si>
  <si>
    <t>100-200-700867-4</t>
  </si>
  <si>
    <r>
      <rPr>
        <sz val="11"/>
        <rFont val="Times New Roman"/>
        <family val="1"/>
      </rPr>
      <t>SALARIO DE JORNAL</t>
    </r>
    <r>
      <rPr>
        <b/>
        <sz val="11"/>
        <rFont val="Times New Roman"/>
        <family val="1"/>
      </rPr>
      <t xml:space="preserve"> (Obras de saneamiento ambiental y gestion de riesgos )</t>
    </r>
  </si>
  <si>
    <r>
      <rPr>
        <sz val="11"/>
        <rFont val="Times New Roman"/>
        <family val="1"/>
      </rPr>
      <t>REMUNERACIONES DIVERSAS</t>
    </r>
    <r>
      <rPr>
        <b/>
        <sz val="11"/>
        <rFont val="Times New Roman"/>
        <family val="1"/>
      </rPr>
      <t xml:space="preserve"> (Obras de saneamiento ambiental y gestion de riesgos )</t>
    </r>
  </si>
  <si>
    <r>
      <rPr>
        <sz val="11"/>
        <rFont val="Times New Roman"/>
        <family val="1"/>
      </rPr>
      <t>COMBUSTIBLE Y LUBRICANTES</t>
    </r>
    <r>
      <rPr>
        <b/>
        <sz val="11"/>
        <rFont val="Times New Roman"/>
        <family val="1"/>
      </rPr>
      <t xml:space="preserve"> (Obras de saneamiento ambiental y gestion de riesgos )</t>
    </r>
  </si>
  <si>
    <r>
      <rPr>
        <sz val="11"/>
        <rFont val="Times New Roman"/>
        <family val="1"/>
      </rPr>
      <t>MINERALES  NO METALICOS Y PRODUCTOS DERIVADOS</t>
    </r>
    <r>
      <rPr>
        <b/>
        <sz val="11"/>
        <rFont val="Times New Roman"/>
        <family val="1"/>
      </rPr>
      <t xml:space="preserve"> (Obras de saneamiento ambiental y gestion de riesgos )</t>
    </r>
  </si>
  <si>
    <r>
      <rPr>
        <sz val="11"/>
        <rFont val="Times New Roman"/>
        <family val="1"/>
      </rPr>
      <t>BIENES DE USO Y CONSUMO DIVERSO</t>
    </r>
    <r>
      <rPr>
        <b/>
        <sz val="11"/>
        <rFont val="Times New Roman"/>
        <family val="1"/>
      </rPr>
      <t>S(Obras de saneamiento ambiental y gestion de riesgos )</t>
    </r>
  </si>
  <si>
    <r>
      <rPr>
        <sz val="11"/>
        <rFont val="Times New Roman"/>
        <family val="1"/>
      </rPr>
      <t xml:space="preserve">IMPRESIONES , PUBLICACIONES Y REPRODUCCIONES </t>
    </r>
    <r>
      <rPr>
        <b/>
        <sz val="11"/>
        <rFont val="Times New Roman"/>
        <family val="1"/>
      </rPr>
      <t>(Obras de saneamiento ambiental y gestion de riesgos )</t>
    </r>
  </si>
  <si>
    <r>
      <rPr>
        <sz val="11"/>
        <rFont val="Times New Roman"/>
        <family val="1"/>
      </rPr>
      <t>HERRAMIENTAS REPUESTOS Y ACCESORIOS</t>
    </r>
    <r>
      <rPr>
        <b/>
        <sz val="11"/>
        <rFont val="Times New Roman"/>
        <family val="1"/>
      </rPr>
      <t xml:space="preserve"> (Obras de saneamiento ambiental y gestion de riesgos )</t>
    </r>
  </si>
  <si>
    <r>
      <rPr>
        <sz val="11"/>
        <rFont val="Times New Roman"/>
        <family val="1"/>
      </rPr>
      <t>MINERALES  METALICOS Y PRODUCTOS DERIVADOS</t>
    </r>
    <r>
      <rPr>
        <b/>
        <sz val="11"/>
        <rFont val="Times New Roman"/>
        <family val="1"/>
      </rPr>
      <t>(Obras de saneamiento ambiental y gestion de riesgos )</t>
    </r>
  </si>
  <si>
    <r>
      <rPr>
        <sz val="11"/>
        <rFont val="Times New Roman"/>
        <family val="1"/>
      </rPr>
      <t>SERVICIOS GENERALES Y ARRENDAMIENTOS DIVERSOS</t>
    </r>
    <r>
      <rPr>
        <b/>
        <sz val="11"/>
        <rFont val="Times New Roman"/>
        <family val="1"/>
      </rPr>
      <t>(Obras de saneamiento ambiental y gestion de riesgos )</t>
    </r>
  </si>
  <si>
    <r>
      <rPr>
        <sz val="11"/>
        <rFont val="Times New Roman"/>
        <family val="1"/>
      </rPr>
      <t>ARRENDAMIENTOS DE BIENES MUEBLES</t>
    </r>
    <r>
      <rPr>
        <b/>
        <sz val="11"/>
        <rFont val="Times New Roman"/>
        <family val="1"/>
      </rPr>
      <t>(Const. De estructura  para salon de usos multiples con cancha de disciplinas C/La Esperanza (</t>
    </r>
    <r>
      <rPr>
        <b/>
        <sz val="11"/>
        <color rgb="FFFF0000"/>
        <rFont val="Times New Roman"/>
        <family val="1"/>
      </rPr>
      <t xml:space="preserve"> SE CREA ESTA PDA EN MARZO/18)</t>
    </r>
  </si>
  <si>
    <t>01 FISDL/CAPRES</t>
  </si>
  <si>
    <t>01 FISDL/PES</t>
  </si>
  <si>
    <r>
      <t xml:space="preserve">PROYECTOS </t>
    </r>
    <r>
      <rPr>
        <sz val="11"/>
        <rFont val="Times New Roman"/>
        <family val="1"/>
      </rPr>
      <t xml:space="preserve">CONTRAPARTIDAS PARA EJECUCION DE PROYECTOS  2018 FODES 75% </t>
    </r>
    <r>
      <rPr>
        <b/>
        <sz val="8"/>
        <color rgb="FFFF0000"/>
        <rFont val="Times New Roman"/>
        <family val="1"/>
      </rPr>
      <t xml:space="preserve">(Se presupuesta  del 75% , para año 2018)por $36,180.00 según detalles de rubros </t>
    </r>
  </si>
  <si>
    <r>
      <t xml:space="preserve">A EMPRESAS PRIVADAS NO FINANCIERAS   </t>
    </r>
    <r>
      <rPr>
        <sz val="9"/>
        <color rgb="FFFF0000"/>
        <rFont val="Times New Roman"/>
        <family val="1"/>
      </rPr>
      <t>( Contribucion a ENEPASA) Y  APORT.- CUOTA DE ASOMUC( MUNICIPALIDADES)</t>
    </r>
  </si>
  <si>
    <t xml:space="preserve">TRANSFERENCIAS CORRIENTES AL SECTOR PUBLICO </t>
  </si>
  <si>
    <r>
      <t xml:space="preserve">TERRENOS. </t>
    </r>
    <r>
      <rPr>
        <sz val="11"/>
        <rFont val="Times New Roman"/>
        <family val="1"/>
      </rPr>
      <t>Compra de terreno para cancha en   cantón  El Paraiso, según establecido en Ac.mpal</t>
    </r>
    <r>
      <rPr>
        <b/>
        <sz val="11"/>
        <rFont val="Times New Roman"/>
        <family val="1"/>
      </rPr>
      <t xml:space="preserve"> </t>
    </r>
    <r>
      <rPr>
        <b/>
        <sz val="8"/>
        <color rgb="FFFF0000"/>
        <rFont val="Times New Roman"/>
        <family val="1"/>
      </rPr>
      <t>(Se trae presupuestado del 75%fodes para año 2018)</t>
    </r>
  </si>
  <si>
    <r>
      <t xml:space="preserve">SALARIO POR JORNAL </t>
    </r>
    <r>
      <rPr>
        <b/>
        <sz val="9"/>
        <rFont val="Times New Roman"/>
        <family val="1"/>
      </rPr>
      <t>(CANCHA  CANTON LA ESPERANZA)</t>
    </r>
    <r>
      <rPr>
        <b/>
        <sz val="9"/>
        <color rgb="FFFF0000"/>
        <rFont val="Times New Roman"/>
        <family val="1"/>
      </rPr>
      <t>(por reprogramac.de marzo/18 se CREA LA PDA) CON …..$8,000,( los $98.70 q se traia se  esecifican esta cta)</t>
    </r>
  </si>
  <si>
    <t>NOTA: POR INGRESO  (DONACION) ENEPASA (ALBA  PETROLEO) SE AUMENTA PRESUPUESTO  POR $9,000.00 para parque campanario y $4,500.00 contribucion a Fdos propios</t>
  </si>
  <si>
    <t>donac.alba petrol.f.prop</t>
  </si>
  <si>
    <t>donac.alba petrol.parque</t>
  </si>
  <si>
    <t>ABRIL  2018</t>
  </si>
  <si>
    <t>GASTOS 30/04/18</t>
  </si>
  <si>
    <t>SALDOS DISPONIBLES  30/04/18</t>
  </si>
  <si>
    <t>100-200-700846-1</t>
  </si>
  <si>
    <t>1)54111-</t>
  </si>
  <si>
    <r>
      <t xml:space="preserve">COMISIONES Y GASTOS BANCARIOS  </t>
    </r>
    <r>
      <rPr>
        <b/>
        <sz val="9"/>
        <rFont val="Times New Roman"/>
        <family val="1"/>
      </rPr>
      <t xml:space="preserve">(PARA CANCHA CANTON LA ESPERANZA)  </t>
    </r>
    <r>
      <rPr>
        <b/>
        <sz val="9"/>
        <color rgb="FFFF0000"/>
        <rFont val="Times New Roman"/>
        <family val="1"/>
      </rPr>
      <t>X REPROGRAMAC. DE ABRIL/18 SE CREA RUBRO</t>
    </r>
  </si>
  <si>
    <t>100-200-700847-0</t>
  </si>
  <si>
    <t>2)51999</t>
  </si>
  <si>
    <r>
      <t xml:space="preserve">REMUNERACIONES DIVERSAS </t>
    </r>
    <r>
      <rPr>
        <b/>
        <sz val="9"/>
        <rFont val="Times New Roman"/>
        <family val="1"/>
      </rPr>
      <t>(CANCHA  CANTON LA LOMA)</t>
    </r>
    <r>
      <rPr>
        <sz val="9"/>
        <color rgb="FFFF0000"/>
        <rFont val="Times New Roman"/>
        <family val="1"/>
      </rPr>
      <t>, POR REPROGRAMAC. DE ABRIL/18, SE CREA ESTE RUBRO, POR AC. MPAL Y DISMINUYE SIEMPRE DE LA MISMA CTA)</t>
    </r>
  </si>
  <si>
    <t>2)54201</t>
  </si>
  <si>
    <r>
      <t xml:space="preserve">SERVICIO DE ENERGIA ELECTRICA(PARA </t>
    </r>
    <r>
      <rPr>
        <b/>
        <sz val="9"/>
        <rFont val="Times New Roman"/>
        <family val="1"/>
      </rPr>
      <t xml:space="preserve">CANCHA  CANTON LA LOMA) </t>
    </r>
    <r>
      <rPr>
        <b/>
        <sz val="9"/>
        <color rgb="FFFF0000"/>
        <rFont val="Times New Roman"/>
        <family val="1"/>
      </rPr>
      <t>POR REPROGRAMACION DE ABRIL/18 ENTRE RUBRO  SE CREA ESTA PARTIDA  CON</t>
    </r>
  </si>
  <si>
    <t>100-200-700848-8</t>
  </si>
  <si>
    <r>
      <t xml:space="preserve">MANTENIMIENTO Y REPARACION DE BIENES MUEBLES </t>
    </r>
    <r>
      <rPr>
        <b/>
        <sz val="9"/>
        <rFont val="Times New Roman"/>
        <family val="1"/>
      </rPr>
      <t>(Apoyo para centros escolares)</t>
    </r>
  </si>
  <si>
    <r>
      <t xml:space="preserve">ARRENDAMIENTOS DE BIENES MUEBLES </t>
    </r>
    <r>
      <rPr>
        <b/>
        <sz val="11"/>
        <rFont val="Times New Roman"/>
        <family val="1"/>
      </rPr>
      <t xml:space="preserve">(240 Mtl   Sect. Cancha las tres estrellas C/ La Esperanza) </t>
    </r>
    <r>
      <rPr>
        <b/>
        <sz val="11"/>
        <color rgb="FFFF0000"/>
        <rFont val="Times New Roman"/>
        <family val="1"/>
      </rPr>
      <t>SE CREA ESTA PARTIDA POR REPROGRAMACION DE ABRIL ENTRE RUBROS DE FONDO</t>
    </r>
  </si>
  <si>
    <t>100-200-700855-0</t>
  </si>
  <si>
    <t>100-200-700887-9</t>
  </si>
  <si>
    <t>SEGUNDO DESEMBOLSO DE ALBAPETROLEO POR $9000.00 POR LO QUE AUMENTA EL PRESUPUESTO DE INGRESOS Y EGRESOS EN ABRIL 2018</t>
  </si>
  <si>
    <r>
      <t>REMUNERACIONES DIVERSOS (</t>
    </r>
    <r>
      <rPr>
        <b/>
        <sz val="9"/>
        <rFont val="Times New Roman"/>
        <family val="1"/>
      </rPr>
      <t xml:space="preserve">mtto y ampliac.alumbrado publico) </t>
    </r>
    <r>
      <rPr>
        <b/>
        <sz val="9"/>
        <color rgb="FFFF0000"/>
        <rFont val="Times New Roman"/>
        <family val="1"/>
      </rPr>
      <t>POR REPROGRAMACION ENTRE RUBROS SE CREA ESTA PARTIDA EN ABRIL 2018</t>
    </r>
  </si>
  <si>
    <t>100-200-700876-3</t>
  </si>
  <si>
    <t>100-200-700879-8</t>
  </si>
  <si>
    <r>
      <t xml:space="preserve">IMPRESIONES, PUBLICACIONES Y REPRODUCIONES  </t>
    </r>
    <r>
      <rPr>
        <sz val="11"/>
        <color rgb="FFFF0000"/>
        <rFont val="Times New Roman"/>
        <family val="1"/>
      </rPr>
      <t>(PDA se crea en abril/18 del 25% fodes)</t>
    </r>
  </si>
  <si>
    <r>
      <t>S</t>
    </r>
    <r>
      <rPr>
        <b/>
        <sz val="11"/>
        <rFont val="Times New Roman"/>
        <family val="1"/>
      </rPr>
      <t>ERVICIOS DE CAPACITACIO</t>
    </r>
    <r>
      <rPr>
        <sz val="11"/>
        <rFont val="Times New Roman"/>
        <family val="1"/>
      </rPr>
      <t xml:space="preserve">N( empleados mpales, </t>
    </r>
    <r>
      <rPr>
        <sz val="11"/>
        <color rgb="FFFF0000"/>
        <rFont val="Times New Roman"/>
        <family val="1"/>
      </rPr>
      <t>POR REPROGRAMACION DE ABRIL/18 SE CREA ESTA PARTIDA CON)</t>
    </r>
  </si>
  <si>
    <t>100-200-700849-6</t>
  </si>
  <si>
    <t>100-200-700889-5</t>
  </si>
  <si>
    <t>100-200-700893-3</t>
  </si>
  <si>
    <t>100-200-700888-7</t>
  </si>
  <si>
    <t>100-200-700884-4</t>
  </si>
  <si>
    <t>100-200-700892-5</t>
  </si>
  <si>
    <t>100-200700883-6</t>
  </si>
  <si>
    <t>100-200-700881-0</t>
  </si>
  <si>
    <t>100-200-700880-1</t>
  </si>
  <si>
    <t>100-200-700894-1</t>
  </si>
  <si>
    <t>100-200-700877-1</t>
  </si>
  <si>
    <r>
      <t>ARRENDAMIENTOS DE BIENES MUEBLES (</t>
    </r>
    <r>
      <rPr>
        <b/>
        <sz val="9"/>
        <rFont val="Calibri"/>
        <family val="2"/>
        <scheme val="minor"/>
      </rPr>
      <t xml:space="preserve">CANCHA CANTON LA ESPERANZA)( </t>
    </r>
    <r>
      <rPr>
        <b/>
        <sz val="9"/>
        <color rgb="FFFF0000"/>
        <rFont val="Calibri"/>
        <family val="2"/>
        <scheme val="minor"/>
      </rPr>
      <t>por Reprogramacion de ABRIL/18 se  CREA LA PDA CON)</t>
    </r>
  </si>
  <si>
    <r>
      <rPr>
        <b/>
        <sz val="11"/>
        <rFont val="Times New Roman"/>
        <family val="1"/>
      </rPr>
      <t>Revitalizacion Urbano Arquitectonico del parque El campanario de esta ciudad</t>
    </r>
    <r>
      <rPr>
        <b/>
        <sz val="11"/>
        <color rgb="FFFF0000"/>
        <rFont val="Times New Roman"/>
        <family val="1"/>
      </rPr>
      <t xml:space="preserve"> (CONTRAPARTIDA 75%FODES)</t>
    </r>
  </si>
  <si>
    <t>75%FODES</t>
  </si>
  <si>
    <t>100-200-700896-8</t>
  </si>
  <si>
    <t>100-200-700886-0</t>
  </si>
  <si>
    <t>100-200-700-882-8</t>
  </si>
  <si>
    <t xml:space="preserve">04-DONAC./ ENEPASA </t>
  </si>
  <si>
    <t>75%FODES(contrapar)</t>
  </si>
  <si>
    <t>MONTO EJECUTADO  AL  
30/04/2018</t>
  </si>
  <si>
    <t>CONTRAPARTIDA 75%FODES PROY.PARQUE CAMPANAR</t>
  </si>
  <si>
    <t>SUELDOS ( SALARIOS ADEUDADOS DE MAYO A AGOST-17, SR. JUAN CARLOS FLORES RUANO SEGÚN CONVENIO ESTABLECIDO, SE CREA ESTA PARTIDA EN ABRIL/18 )</t>
  </si>
  <si>
    <t>MAYO  2018</t>
  </si>
  <si>
    <t>GASTOS 31/05/18</t>
  </si>
  <si>
    <t>SALDOS DISPONIBLES  31/05/18</t>
  </si>
  <si>
    <t>FISDL/DDP/PES//TAT  DEL PROYECTO DE INCLUSION PRODUCTIVA , HACIENDO CONSTAR QUE LA CTA,  DE AHORRO  No. 8114102  TIENE UN SALDO A DIC/17 DE $21,413.68 INCLUYE LOS INTERESES GENERADOSA DIC/17  , y la cta cte de TES. MPAL- DDP/PES/AT-FISDL POR $483.60. se desc. renta  dic por $485.00 (diferencia  lo traslado fdos prop), queda saldo  de la cuenta  de ahorro  por $21,413.68 que pasa al presupuesto mpal 2018</t>
  </si>
  <si>
    <t>MONTO EJECUTADO  AL  
31/05/2018</t>
  </si>
  <si>
    <t>SALDO DISPONIBLE AL 31/05/2018</t>
  </si>
  <si>
    <t>SALDO DISPONIBLE AL 30/04/2018</t>
  </si>
  <si>
    <r>
      <rPr>
        <b/>
        <sz val="11"/>
        <rFont val="Times New Roman"/>
        <family val="1"/>
      </rPr>
      <t xml:space="preserve">PROYECTOS SOCIALES e INSTITUCIONALES:  </t>
    </r>
    <r>
      <rPr>
        <sz val="11"/>
        <rFont val="Times New Roman"/>
        <family val="1"/>
      </rPr>
      <t xml:space="preserve"> CONSTRUCCION DE MURO  PARA PROTECCION CALLE DE LA LOTIFICACION  SAN PEDRO DE CANTON BUENOS AIRES  Y PROTECCION  DE CANCHA DE FUTBOL SALA DEL SECTOR  EL GUAYABO, CANTON LA LOMA ,  </t>
    </r>
    <r>
      <rPr>
        <b/>
        <sz val="8"/>
        <color rgb="FFFF0000"/>
        <rFont val="Times New Roman"/>
        <family val="1"/>
      </rPr>
      <t>(Se presupuesta  del 75% , para año 2018) por $12,000.00 según detalles de rubros</t>
    </r>
  </si>
  <si>
    <r>
      <t>BENEFICIOS ADICIONALES</t>
    </r>
    <r>
      <rPr>
        <b/>
        <sz val="11"/>
        <color rgb="FFFF0000"/>
        <rFont val="Times New Roman"/>
        <family val="1"/>
      </rPr>
      <t>( SE CREA PDA EN MAY/18)</t>
    </r>
  </si>
  <si>
    <r>
      <t>Por Prestación de Servicios en el País (</t>
    </r>
    <r>
      <rPr>
        <sz val="11"/>
        <color rgb="FFFF0000"/>
        <rFont val="Arial"/>
        <family val="2"/>
      </rPr>
      <t>se crea esta pda en may/18)</t>
    </r>
  </si>
  <si>
    <r>
      <t>Servicios Juridicos (</t>
    </r>
    <r>
      <rPr>
        <sz val="12"/>
        <color rgb="FFFF0000"/>
        <rFont val="Arial"/>
        <family val="2"/>
      </rPr>
      <t>se crea esta pda en may/18)</t>
    </r>
  </si>
  <si>
    <r>
      <t>PROYECTOS: Celebracion dia de la madre, en casco urbano y cantones del municipio</t>
    </r>
    <r>
      <rPr>
        <sz val="11"/>
        <rFont val="Times New Roman"/>
        <family val="1"/>
      </rPr>
      <t xml:space="preserve">  2018 FODES 75% </t>
    </r>
    <r>
      <rPr>
        <b/>
        <sz val="8"/>
        <color rgb="FFFF0000"/>
        <rFont val="Times New Roman"/>
        <family val="1"/>
      </rPr>
      <t xml:space="preserve">(Según Reprogramacion de MAYO/18, se CREA ESTA PDA , según detalles de rubros </t>
    </r>
  </si>
  <si>
    <r>
      <t>ATENCIONES OFICIALES(</t>
    </r>
    <r>
      <rPr>
        <sz val="11"/>
        <color rgb="FFFF0000"/>
        <rFont val="Times New Roman"/>
        <family val="1"/>
      </rPr>
      <t xml:space="preserve"> dia de la madre se crea en may/18)</t>
    </r>
  </si>
  <si>
    <r>
      <t>COMISIONES Y  GASTOS BANCARIOS ( ce</t>
    </r>
    <r>
      <rPr>
        <sz val="11"/>
        <color rgb="FFFF0000"/>
        <rFont val="Times New Roman"/>
        <family val="1"/>
      </rPr>
      <t>lebracion del dia de la madre/18 se crea esta partida )</t>
    </r>
  </si>
  <si>
    <t>61699-2</t>
  </si>
  <si>
    <t>43-</t>
  </si>
  <si>
    <r>
      <rPr>
        <b/>
        <sz val="11"/>
        <rFont val="Times New Roman"/>
        <family val="1"/>
      </rPr>
      <t xml:space="preserve">MANTENIMIENTO Y REPARACION DE VEHICULOS </t>
    </r>
    <r>
      <rPr>
        <sz val="11"/>
        <rFont val="Times New Roman"/>
        <family val="1"/>
      </rPr>
      <t xml:space="preserve">(Se presupuesta este codigo para proy. Compra de repuestos,  lubricantes y accesorios  para mantenimiento del camion recolector  de desechos solidos y de maquinaria  de la alcaldia municipal(Se presupuesta  para el año 2018) </t>
    </r>
  </si>
  <si>
    <r>
      <t>HECHURA DE PASARELA  Y ARCO DE ENTRADA , desvio del Canton La Loma (</t>
    </r>
    <r>
      <rPr>
        <b/>
        <sz val="10"/>
        <color rgb="FFFF0000"/>
        <rFont val="Arial"/>
        <family val="2"/>
      </rPr>
      <t xml:space="preserve"> SE CREA ESTA PDA EN  MAYO/18 DEL 75%FODES)</t>
    </r>
  </si>
  <si>
    <t>100-200-700846-1 a partir de mayo-18 se aperturo nva Cta  Bancaria :100-200-700913-1</t>
  </si>
  <si>
    <t>100-200-700913-1</t>
  </si>
  <si>
    <t>100-200-700847-0 a partir de may-18,se aperturo nueva cta Bancaria No,100-200-700914-0</t>
  </si>
  <si>
    <t>100-200-700914-0</t>
  </si>
  <si>
    <r>
      <t xml:space="preserve">100-200-700848-8, a partir de mayo-18 </t>
    </r>
    <r>
      <rPr>
        <b/>
        <sz val="9"/>
        <rFont val="Times New Roman"/>
        <family val="1"/>
      </rPr>
      <t>se aperturo nva cuenta bancaria No.100-200-700915-8</t>
    </r>
  </si>
  <si>
    <t>100-200-700915-8</t>
  </si>
  <si>
    <t>100-200-700884-4, a partir de may/18 se apertura nva cuenta bancar.No. 100-200-700924-7</t>
  </si>
  <si>
    <t>100-200-700924-7</t>
  </si>
  <si>
    <t>100-200-700878-0, apartir de may/18 se  apertura nva cta bancaria No. 100-200-700920-4</t>
  </si>
  <si>
    <t>100-200-700855-0, se aperturo cta  nva bancaria en may/18 No. 100-200-700916-6</t>
  </si>
  <si>
    <t>100-200-700869-0, en mayo/18 se aperturo nva cuenta bancaria No.100-200-700918-2</t>
  </si>
  <si>
    <t>100-200-700918-2</t>
  </si>
  <si>
    <t>100-200-700887-9, a partir de may/18 se aperturo nva cuenta  bancaria No. 100-200-700925-5</t>
  </si>
  <si>
    <t>100-200-700925-5</t>
  </si>
  <si>
    <r>
      <t>SUELDOS ( S</t>
    </r>
    <r>
      <rPr>
        <sz val="9"/>
        <color rgb="FF002060"/>
        <rFont val="Arial Narrow"/>
        <family val="2"/>
      </rPr>
      <t>ALARIOS ADEUDADOS DE MAYO A AGOST-17, SR. JUAN CARLOS FLORES RUANO SEGÚN CONVENIO ESTABLECIDO, SE CREA ESTA PARTIDA EN ABRIL/18 )</t>
    </r>
  </si>
  <si>
    <t>100-200-700879-8, en may/18 se aperturo nva cta bancaria No.100-200-700921-2</t>
  </si>
  <si>
    <t>100-200-700876-3, a partir de may/18 se aperturo nva cta bancaria No.100-200-700919-0</t>
  </si>
  <si>
    <t>100-200-700893-3, en mayo/18 se aperturo nva cta  bancaria No.100-200-700927-1</t>
  </si>
  <si>
    <t>100-200-700880-1, en mayo/18 se aperturo nva cta bancaria No.100-200-700922-0</t>
  </si>
  <si>
    <t>100-200-700894-1, en mayo/18 se aperturo nva cta bancaria No.100-200-700928-0</t>
  </si>
  <si>
    <r>
      <rPr>
        <b/>
        <sz val="10"/>
        <rFont val="Arial"/>
        <family val="2"/>
      </rPr>
      <t>PRODUCTOS  QUIMICOS (PROGRAMA  DE INCENTIVACION  Y FOMENTO  DE ACTIVIDADES  AGRICOLAS  EN EL  MUNICIPIO 2018(</t>
    </r>
    <r>
      <rPr>
        <b/>
        <sz val="10"/>
        <color rgb="FFFF0000"/>
        <rFont val="Arial"/>
        <family val="2"/>
      </rPr>
      <t xml:space="preserve">SE CREA EN MAYO/18 ESTA CUENTA  PARA EJECUCION DE PROYECTO DEL 75% FODES </t>
    </r>
  </si>
  <si>
    <t>1)54118</t>
  </si>
  <si>
    <r>
      <rPr>
        <b/>
        <sz val="11"/>
        <rFont val="Times New Roman"/>
        <family val="1"/>
      </rPr>
      <t xml:space="preserve">MTTO DE CALLES(Se hace constar que se ha proyectado para </t>
    </r>
    <r>
      <rPr>
        <sz val="11"/>
        <rFont val="Times New Roman"/>
        <family val="1"/>
      </rPr>
      <t xml:space="preserve">el año 2018, según plan estrategico/18 del 75% FODES la cantidad de $75000, </t>
    </r>
    <r>
      <rPr>
        <b/>
        <sz val="11"/>
        <rFont val="Times New Roman"/>
        <family val="1"/>
      </rPr>
      <t>lo que se ejecutara,  por administracion  y se presupuesta en varios rubros, asi:</t>
    </r>
    <r>
      <rPr>
        <b/>
        <sz val="11"/>
        <color rgb="FFFF0000"/>
        <rFont val="Times New Roman"/>
        <family val="1"/>
      </rPr>
      <t xml:space="preserve"> HERRAMIENTAS,REPUESTOS Y ACCESORIOS ( SE CREA ESTA PARTIDA  EN MAYO/18)</t>
    </r>
  </si>
  <si>
    <t>JUNIO  2018</t>
  </si>
  <si>
    <t>GASTOS 30/06/18</t>
  </si>
  <si>
    <t>SALDOS DISPONIBLES  30/06/18</t>
  </si>
  <si>
    <t xml:space="preserve"> a partir de jun/18 se apertura nva cuenta bancar.No. 100-200-700939-5</t>
  </si>
  <si>
    <r>
      <t xml:space="preserve">SUELDOS EVENTUALES  </t>
    </r>
    <r>
      <rPr>
        <sz val="8"/>
        <color rgb="FFFF0000"/>
        <rFont val="Times New Roman"/>
        <family val="1"/>
      </rPr>
      <t>( Por servicios de Auditoria Interna y  Gerencia Financ)</t>
    </r>
  </si>
  <si>
    <t>se hace constar que  esta cta es la misma q viene de abril-18 cta hipot.capres No.210298246</t>
  </si>
  <si>
    <r>
      <t>ATENCIONES OFICIALES(</t>
    </r>
    <r>
      <rPr>
        <sz val="11"/>
        <color rgb="FFFF0000"/>
        <rFont val="Times New Roman"/>
        <family val="1"/>
      </rPr>
      <t xml:space="preserve"> dia de la madre se crea en may/18) nota: </t>
    </r>
    <r>
      <rPr>
        <sz val="11"/>
        <rFont val="Times New Roman"/>
        <family val="1"/>
      </rPr>
      <t>se contabiliza en jun-18 por haberse echo trasl.de fdos de cta cte proy a la cta ahorro 75%</t>
    </r>
  </si>
  <si>
    <t>cta cte No. 00210298238 del HIPOTECARIO</t>
  </si>
  <si>
    <t>cta cte No. 00210298220 del HIPOTECARIO</t>
  </si>
  <si>
    <t>MONTO EJECUTADO  AL  
30/06/2018</t>
  </si>
  <si>
    <t>SALDO DISPONIBLE AL 30/06/2018</t>
  </si>
  <si>
    <t xml:space="preserve"> </t>
  </si>
  <si>
    <r>
      <t xml:space="preserve">PRESTAMO INTERNO      </t>
    </r>
    <r>
      <rPr>
        <b/>
        <sz val="11"/>
        <color rgb="FF216BFF"/>
        <rFont val="BrowalliaUPC"/>
        <family val="2"/>
      </rPr>
      <t>(Bco. Hipotecario)</t>
    </r>
  </si>
  <si>
    <r>
      <t xml:space="preserve">PRESTAMO INTERNO  </t>
    </r>
    <r>
      <rPr>
        <b/>
        <sz val="11"/>
        <color rgb="FF216BFF"/>
        <rFont val="BrowalliaUPC"/>
        <family val="2"/>
      </rPr>
      <t>(Bco. Hipotecario)</t>
    </r>
  </si>
  <si>
    <t>JULIO  2018</t>
  </si>
  <si>
    <t>SALDOS DISPONIBLES  31/07/18</t>
  </si>
  <si>
    <t>GASTOS 31/07/18</t>
  </si>
  <si>
    <r>
      <rPr>
        <b/>
        <sz val="11"/>
        <rFont val="Times New Roman"/>
        <family val="1"/>
      </rPr>
      <t xml:space="preserve">PROYECTOS SOCIALES e INSTITUCIONALES:  </t>
    </r>
    <r>
      <rPr>
        <sz val="11"/>
        <rFont val="Times New Roman"/>
        <family val="1"/>
      </rPr>
      <t>CELEBRACIONES  FIESTAS PATRONALES Y CULTURALE</t>
    </r>
    <r>
      <rPr>
        <b/>
        <sz val="11"/>
        <rFont val="Times New Roman"/>
        <family val="1"/>
      </rPr>
      <t xml:space="preserve">S  EN </t>
    </r>
    <r>
      <rPr>
        <sz val="11"/>
        <rFont val="Times New Roman"/>
        <family val="1"/>
      </rPr>
      <t>HONOR A SAN PEDRO APOSTOL EN  ESTE MUNICIPIO</t>
    </r>
    <r>
      <rPr>
        <b/>
        <sz val="8"/>
        <color rgb="FFFF0000"/>
        <rFont val="Times New Roman"/>
        <family val="1"/>
      </rPr>
      <t>(Se  presupusta para año 2018, del 75% fodes- junio )  por  $ 45,000.00,segun detalle de rubros:</t>
    </r>
  </si>
  <si>
    <r>
      <t xml:space="preserve">TRANSFERENCIAS CORRIENTES AL SECTOR PRIVADO </t>
    </r>
    <r>
      <rPr>
        <sz val="9"/>
        <color rgb="FFFF0000"/>
        <rFont val="Times New Roman"/>
        <family val="1"/>
      </rPr>
      <t>( Cobro comision  CAESS, por cobro de recibos de tasas mpales. Según contrato de Prestacion de Servicios, de fecha  Sept/10)</t>
    </r>
  </si>
  <si>
    <t>1)54118-</t>
  </si>
  <si>
    <r>
      <t>HERRAMIENTAS,REPUESTOS Y ACCESORIOS (</t>
    </r>
    <r>
      <rPr>
        <b/>
        <sz val="9"/>
        <rFont val="Calibri"/>
        <family val="2"/>
        <scheme val="minor"/>
      </rPr>
      <t xml:space="preserve">CANCHA CANTON LA ESPERANZA)( </t>
    </r>
    <r>
      <rPr>
        <b/>
        <sz val="9"/>
        <color rgb="FFFF0000"/>
        <rFont val="Calibri"/>
        <family val="2"/>
        <scheme val="minor"/>
      </rPr>
      <t>por Reprogramacion de JULIO/18 se  CREA LA PDA CON)</t>
    </r>
  </si>
  <si>
    <r>
      <t xml:space="preserve">BIENES DE USO Y CONSUMO DIVERSOS (PARA </t>
    </r>
    <r>
      <rPr>
        <b/>
        <sz val="9"/>
        <rFont val="Times New Roman"/>
        <family val="1"/>
      </rPr>
      <t xml:space="preserve">CANCHA  CANTON LA LOMA) </t>
    </r>
    <r>
      <rPr>
        <b/>
        <sz val="9"/>
        <color rgb="FFFF0000"/>
        <rFont val="Times New Roman"/>
        <family val="1"/>
      </rPr>
      <t>POR REPROGRAMACION DE JULIO/18 ENTRE RUBROS  SE CREA ESTA PARTIDA  CON</t>
    </r>
  </si>
  <si>
    <t>100-200700883-6 a partir de mayo por nva admon , se aperturo la cta 100-200-700934-4</t>
  </si>
  <si>
    <t>100-200-700934-4</t>
  </si>
  <si>
    <t>2)54199</t>
  </si>
  <si>
    <t>100-200-700892-5, por nva admon,partir de mayo/18 se aperturo nva cta banc.No.100-200-700943-3</t>
  </si>
  <si>
    <t>100-200-700943-3</t>
  </si>
  <si>
    <r>
      <t>ARRENDAMIENTO DE BIENES  MUEBLES(</t>
    </r>
    <r>
      <rPr>
        <b/>
        <sz val="11"/>
        <rFont val="Times New Roman"/>
        <family val="1"/>
      </rPr>
      <t>mtto y reparac.de bienes muebles) (</t>
    </r>
    <r>
      <rPr>
        <b/>
        <sz val="11"/>
        <color rgb="FFFF0000"/>
        <rFont val="Times New Roman"/>
        <family val="1"/>
      </rPr>
      <t xml:space="preserve"> SE CREA ESTA PDA EN JULIO/18)</t>
    </r>
  </si>
  <si>
    <t>falt.todavia  1814.20 sobregirado</t>
  </si>
  <si>
    <t>PRODUCTOS  QUIMICOS (PROGRAMA  DE INCENTIVACION  Y FOMENTO  DE ACTIVIDADES  AGRICOLAS, en el municipio)</t>
  </si>
  <si>
    <r>
      <rPr>
        <b/>
        <sz val="10"/>
        <rFont val="Arial"/>
        <family val="2"/>
      </rPr>
      <t>43-</t>
    </r>
    <r>
      <rPr>
        <sz val="10"/>
        <rFont val="Arial"/>
        <family val="2"/>
      </rPr>
      <t>61699-2</t>
    </r>
  </si>
  <si>
    <r>
      <rPr>
        <b/>
        <sz val="11"/>
        <color theme="1"/>
        <rFont val="Calibri"/>
        <family val="2"/>
        <scheme val="minor"/>
      </rPr>
      <t>44-</t>
    </r>
    <r>
      <rPr>
        <sz val="11"/>
        <color theme="1"/>
        <rFont val="Calibri"/>
        <family val="2"/>
        <scheme val="minor"/>
      </rPr>
      <t>54107</t>
    </r>
  </si>
  <si>
    <t>45-</t>
  </si>
  <si>
    <r>
      <rPr>
        <sz val="11"/>
        <rFont val="Times New Roman"/>
        <family val="1"/>
      </rPr>
      <t xml:space="preserve">SALARIO DE JORNAL </t>
    </r>
    <r>
      <rPr>
        <b/>
        <sz val="11"/>
        <rFont val="Times New Roman"/>
        <family val="1"/>
      </rPr>
      <t>(Ampliac.de infraest.de inst.de la alcald.mpal para adecuacion en areas administ.)</t>
    </r>
  </si>
  <si>
    <r>
      <rPr>
        <sz val="11"/>
        <rFont val="Times New Roman"/>
        <family val="1"/>
      </rPr>
      <t>MINERALES  METALICOS Y PRODUCTOS DERIVADOS</t>
    </r>
    <r>
      <rPr>
        <b/>
        <sz val="11"/>
        <rFont val="Times New Roman"/>
        <family val="1"/>
      </rPr>
      <t>(Ampliac.de infraest-de instalac.de la alcaldia mpal para adecuacion en areas administ)</t>
    </r>
  </si>
  <si>
    <r>
      <rPr>
        <sz val="11"/>
        <rFont val="Times New Roman"/>
        <family val="1"/>
      </rPr>
      <t>MINERALES NO METALICOS Y PRODUCTOS DERIVADOS</t>
    </r>
    <r>
      <rPr>
        <b/>
        <sz val="11"/>
        <rFont val="Times New Roman"/>
        <family val="1"/>
      </rPr>
      <t>(Ampliac.de infraest.de instalac.de la Alcaldia mpal para adecuacion en areas administ)</t>
    </r>
  </si>
  <si>
    <r>
      <rPr>
        <sz val="11"/>
        <rFont val="Times New Roman"/>
        <family val="1"/>
      </rPr>
      <t xml:space="preserve">HERRAMIENTAS,REPUESTOS Y ACCESORIOS </t>
    </r>
    <r>
      <rPr>
        <b/>
        <sz val="11"/>
        <rFont val="Times New Roman"/>
        <family val="1"/>
      </rPr>
      <t>(Ampliac.de infraest-de instalac.de la alcaldia mpal para adecuacion en areas administ)</t>
    </r>
  </si>
  <si>
    <r>
      <rPr>
        <sz val="11"/>
        <rFont val="Times New Roman"/>
        <family val="1"/>
      </rPr>
      <t xml:space="preserve">COMISIONES Y GASTOS  BANCARIOS </t>
    </r>
    <r>
      <rPr>
        <b/>
        <sz val="11"/>
        <rFont val="Times New Roman"/>
        <family val="1"/>
      </rPr>
      <t>(Ampliac.de infraest.de inst.de la alcald.mpal para adecuacion en areas administ.)</t>
    </r>
  </si>
  <si>
    <t>NVA ADMON, EN JULIO/18 SE APERT.CTA BANC.No. 100-200-700945-0</t>
  </si>
  <si>
    <t>100-200-700945-0</t>
  </si>
  <si>
    <t>cta Nva apartir de Mayo/18  No,100-200-700932-8</t>
  </si>
  <si>
    <t>1)54107</t>
  </si>
  <si>
    <r>
      <rPr>
        <b/>
        <sz val="11"/>
        <rFont val="Times New Roman"/>
        <family val="1"/>
      </rPr>
      <t xml:space="preserve">MTTO DE CALLES(Se hace constar que se ha proyectado para </t>
    </r>
    <r>
      <rPr>
        <sz val="11"/>
        <rFont val="Times New Roman"/>
        <family val="1"/>
      </rPr>
      <t xml:space="preserve">el año 2018, según plan estrategico/18 del 75% FODES la cantidad de $75000, </t>
    </r>
    <r>
      <rPr>
        <b/>
        <sz val="11"/>
        <rFont val="Times New Roman"/>
        <family val="1"/>
      </rPr>
      <t>lo que se ejecutara,  por administracion  y se presupuesta en varios rubros, asi:</t>
    </r>
    <r>
      <rPr>
        <b/>
        <sz val="11"/>
        <color rgb="FFFF0000"/>
        <rFont val="Times New Roman"/>
        <family val="1"/>
      </rPr>
      <t xml:space="preserve"> PRODUCTOS QUIMICOS (SE CREA ESTA PDA EN JULIO/18)</t>
    </r>
  </si>
  <si>
    <t>100-200-700932-8</t>
  </si>
  <si>
    <t>1)54199</t>
  </si>
  <si>
    <r>
      <rPr>
        <b/>
        <sz val="11"/>
        <rFont val="Times New Roman"/>
        <family val="1"/>
      </rPr>
      <t xml:space="preserve">MTTO DE CALLES(Se hace constar que se ha proyectado para </t>
    </r>
    <r>
      <rPr>
        <sz val="11"/>
        <rFont val="Times New Roman"/>
        <family val="1"/>
      </rPr>
      <t xml:space="preserve">el año 2018, según plan estrategico/18 del 75% FODES la cantidad de $75000, </t>
    </r>
    <r>
      <rPr>
        <b/>
        <sz val="11"/>
        <rFont val="Times New Roman"/>
        <family val="1"/>
      </rPr>
      <t>lo que se ejecutara,  por administracion  y se presupuesta en varios rubros, asi:</t>
    </r>
    <r>
      <rPr>
        <b/>
        <sz val="11"/>
        <color rgb="FFFF0000"/>
        <rFont val="Times New Roman"/>
        <family val="1"/>
      </rPr>
      <t xml:space="preserve"> BIENES DE USO Y CONSUMO DIVERSOS( SE CREA ESTA PARTIDA  EN JULIO/18)</t>
    </r>
  </si>
  <si>
    <t>CTA DE MAYO No. 100-200-700930-1</t>
  </si>
  <si>
    <r>
      <rPr>
        <b/>
        <sz val="11"/>
        <rFont val="Times New Roman"/>
        <family val="1"/>
      </rPr>
      <t>LLANTAS Y NEUMATICOS</t>
    </r>
    <r>
      <rPr>
        <sz val="11"/>
        <rFont val="Times New Roman"/>
        <family val="1"/>
      </rPr>
      <t xml:space="preserve"> ( de compra de Repuestos, lubricantes,llantas, accesorios, herramientas, mtto y rep. De vehiculos mpales)</t>
    </r>
  </si>
  <si>
    <t>100-200-700886-0 a partir de mayo/18 nva admon apert.cta 100-200700930-1</t>
  </si>
  <si>
    <r>
      <t>BENEFICIOS ADICIONALES</t>
    </r>
    <r>
      <rPr>
        <b/>
        <sz val="11"/>
        <color rgb="FFFF0000"/>
        <rFont val="Times New Roman"/>
        <family val="1"/>
      </rPr>
      <t>( SE CREA PDA EN MAY/18)dia empleado mpal)</t>
    </r>
  </si>
  <si>
    <r>
      <t xml:space="preserve">BENEFICIOS ADICIONALES </t>
    </r>
    <r>
      <rPr>
        <b/>
        <sz val="11"/>
        <color rgb="FFFF0000"/>
        <rFont val="Times New Roman"/>
        <family val="1"/>
      </rPr>
      <t>( dia empleado mpal)</t>
    </r>
  </si>
  <si>
    <r>
      <t>PROYECTOS INSTITUCIONAL: AMPLIACION  DE INFRAESTRUCTURA DE INSTALACIONES DE LA ALCALDIA MPAL DE SAN PEDRO PERULAPAN, PARA ADECUACION  EN AREAS  ADMINISTRATIVAS.  FODES/ISDEM</t>
    </r>
    <r>
      <rPr>
        <b/>
        <sz val="8"/>
        <color rgb="FFFF0000"/>
        <rFont val="Times New Roman"/>
        <family val="1"/>
      </rPr>
      <t>( SE CREA ESTA PARTIDA EN EL MES DE JULIO/18 POR  $ 17,737.91 según detalles de rubros )</t>
    </r>
  </si>
  <si>
    <r>
      <t>PROYECTOS SOCIALES,</t>
    </r>
    <r>
      <rPr>
        <sz val="11"/>
        <rFont val="Times New Roman"/>
        <family val="1"/>
      </rPr>
      <t xml:space="preserve">CERCADO DE CANCHA PERIMETRAL Y CONSTRUCCION DE MURO EN EL CANTON MIRAFLORES </t>
    </r>
    <r>
      <rPr>
        <b/>
        <sz val="8"/>
        <color rgb="FFFF0000"/>
        <rFont val="Times New Roman"/>
        <family val="1"/>
      </rPr>
      <t xml:space="preserve">(Se presupuesta  del 75% , para año 2018)por $15,000.00 según detalles de rubros </t>
    </r>
  </si>
  <si>
    <r>
      <t>BENEFICIOS ADICIONALES( Bonificacion empleados mpales) s</t>
    </r>
    <r>
      <rPr>
        <sz val="11"/>
        <color rgb="FFFF0000"/>
        <rFont val="Times New Roman"/>
        <family val="1"/>
      </rPr>
      <t>e crea pda en julio/18</t>
    </r>
  </si>
  <si>
    <r>
      <t xml:space="preserve">SUELDOS EVENTUALES  </t>
    </r>
    <r>
      <rPr>
        <sz val="8"/>
        <color rgb="FFFF0000"/>
        <rFont val="Times New Roman"/>
        <family val="1"/>
      </rPr>
      <t>( Por servicios de Audit.int Ger.Financ.y enc.juridic-)</t>
    </r>
  </si>
  <si>
    <t>MONTO EJECUTADO  AL  
31/07/2018</t>
  </si>
  <si>
    <t>SALDO DISPONIBLE AL 31/07/2018</t>
  </si>
  <si>
    <r>
      <t>VIALES PROY:</t>
    </r>
    <r>
      <rPr>
        <sz val="11"/>
        <rFont val="Times New Roman"/>
        <family val="1"/>
      </rPr>
      <t xml:space="preserve"> REPARACION  DE CASA COMUNAL CON TECHO (DEL PLAN  ESTRATEGICO. PARTIC. AÑO 2018 75% SE HACE CONSTAR QUE PARA EL AÑO /18  SE PRESUPUESTA $35,000  Y DEL AÑO /17 SE TRAEN $10,000 S/PLAN ESTRATEGICO, POR LO QUE SUMA EL VALOR DE $45,000.00</t>
    </r>
  </si>
  <si>
    <t>AGOSTO  2018</t>
  </si>
  <si>
    <t>GASTOS 31/08/18</t>
  </si>
  <si>
    <t>SALDOS DISPONIBLES  31/08/18</t>
  </si>
  <si>
    <r>
      <rPr>
        <b/>
        <sz val="11"/>
        <rFont val="Times New Roman"/>
        <family val="1"/>
      </rPr>
      <t>LLANTAS Y NEUMATICOS</t>
    </r>
    <r>
      <rPr>
        <sz val="11"/>
        <rFont val="Times New Roman"/>
        <family val="1"/>
      </rPr>
      <t xml:space="preserve"> ( </t>
    </r>
    <r>
      <rPr>
        <sz val="11"/>
        <color rgb="FF0070C0"/>
        <rFont val="Times New Roman"/>
        <family val="1"/>
      </rPr>
      <t>de compra de Repuestos, lubricantes,llantas, accesorios, herramientas, mtto y rep. De vehiculos mpales)</t>
    </r>
  </si>
  <si>
    <t>2 75%.</t>
  </si>
  <si>
    <t>3)54599</t>
  </si>
  <si>
    <r>
      <t>MOBILIARIO Y EQUIPO DE OFICINA</t>
    </r>
    <r>
      <rPr>
        <b/>
        <sz val="11"/>
        <color rgb="FFFF0000"/>
        <rFont val="Times New Roman"/>
        <family val="1"/>
      </rPr>
      <t>(por reprogramacion de AGOSTO/18 se crea partida)</t>
    </r>
  </si>
  <si>
    <r>
      <t>CONSULTORIAS ESTUDIOS E INVESTIGACIONES DIVERSAS (</t>
    </r>
    <r>
      <rPr>
        <b/>
        <sz val="9"/>
        <rFont val="Calibri"/>
        <family val="2"/>
        <scheme val="minor"/>
      </rPr>
      <t xml:space="preserve">CANCHA CANTON LA ESPERANZA)( </t>
    </r>
    <r>
      <rPr>
        <b/>
        <sz val="9"/>
        <color rgb="FFFF0000"/>
        <rFont val="Calibri"/>
        <family val="2"/>
        <scheme val="minor"/>
      </rPr>
      <t>por Reprogramacion de AGOSTO/18 se  CREA LA PDA CON $400.00)</t>
    </r>
  </si>
  <si>
    <r>
      <t xml:space="preserve">CONSULTORIAS ESTUDIOS E INVESTIGACIONES </t>
    </r>
    <r>
      <rPr>
        <b/>
        <sz val="9"/>
        <color rgb="FFFF0000"/>
        <rFont val="Times New Roman"/>
        <family val="1"/>
      </rPr>
      <t>(Por reprogramacion en AGOSTO/18 se crea partida con $400.00</t>
    </r>
    <r>
      <rPr>
        <sz val="9"/>
        <rFont val="Times New Roman"/>
        <family val="1"/>
      </rPr>
      <t xml:space="preserve">  </t>
    </r>
    <r>
      <rPr>
        <b/>
        <sz val="9"/>
        <rFont val="Times New Roman"/>
        <family val="1"/>
      </rPr>
      <t>(PARA CANCHA CANTON ISTAGUA)</t>
    </r>
  </si>
  <si>
    <r>
      <t>HECHURA DE PASARELA  Y ARCO DE ENTRADA , desvio del Canton La Loma (</t>
    </r>
    <r>
      <rPr>
        <b/>
        <sz val="10"/>
        <color rgb="FFFF0000"/>
        <rFont val="Arial"/>
        <family val="2"/>
      </rPr>
      <t xml:space="preserve"> SE CREA ESTA PDA EN  MAYO/18 DEL 75%FODES) NOTA: segun apertura de cta. quedo con el nombre de CONSTRUCCION DE ARCO DE BIENVENIDA EN CALLE AL ACCESO PRINCIPAL DEL MUNICIPIO DE SAN PEDRO PERULAPAN</t>
    </r>
  </si>
  <si>
    <r>
      <t xml:space="preserve">PROYECTOS Y PROGRAMAS DE INVERSION DIVERSOS </t>
    </r>
    <r>
      <rPr>
        <sz val="11"/>
        <color rgb="FFFF0000"/>
        <rFont val="Times New Roman"/>
        <family val="1"/>
      </rPr>
      <t xml:space="preserve">(pago por elaboracion de carpeta del proyecto CONSTRUCCION DE ARCO DE BIENVENIDA EN CALLE DE ACCESO PRINCIPAL DEL MUNICIPIO SPP ) Por reprogramacion en el mes de AGOSTO/18 se crea esta partida con…………………………............................................................  </t>
    </r>
  </si>
  <si>
    <r>
      <t xml:space="preserve">PRODUCTOS QUIMICOS (Ampliac.de infraest.de inst.de la alcald.mpal para adecuacion en areas administ.) </t>
    </r>
    <r>
      <rPr>
        <sz val="11"/>
        <color rgb="FFFF0000"/>
        <rFont val="Times New Roman"/>
        <family val="1"/>
      </rPr>
      <t>P</t>
    </r>
    <r>
      <rPr>
        <b/>
        <sz val="11"/>
        <color rgb="FFFF0000"/>
        <rFont val="Times New Roman"/>
        <family val="1"/>
      </rPr>
      <t xml:space="preserve">or reprogramacion en AGOSTO/18 se crea esta partida </t>
    </r>
    <r>
      <rPr>
        <sz val="11"/>
        <color rgb="FFFF0000"/>
        <rFont val="Times New Roman"/>
        <family val="1"/>
      </rPr>
      <t>con………………………………………</t>
    </r>
  </si>
  <si>
    <t xml:space="preserve">ARRENDAMIENTO DE BIENES MUEBLES (obras de saneamiento ambiental y gestion de riesgos) POR REPROGRAMACION SE CREA PARTIDA EN AGOSTO/18) CON </t>
  </si>
  <si>
    <t>46-</t>
  </si>
  <si>
    <r>
      <t xml:space="preserve">PROYECTOS INSTITUCIONAL: CONSTRUCCION DE BAÑOS PARA PARTICULARES QUE HACEN USO DE LA CANCHA  MUNICIPAL DEL CASCO URBANO DE SAN PEDRO PERULAPAN, </t>
    </r>
    <r>
      <rPr>
        <b/>
        <sz val="8"/>
        <color rgb="FFFF0000"/>
        <rFont val="Times New Roman"/>
        <family val="1"/>
      </rPr>
      <t>( SE CREA ESTA PARTIDA EN EL MES DE AGOSTO/18 POR  $ 8,515.17 según detalles de rubros )</t>
    </r>
  </si>
  <si>
    <r>
      <rPr>
        <sz val="11"/>
        <rFont val="Times New Roman"/>
        <family val="1"/>
      </rPr>
      <t xml:space="preserve">SALARIO DE JORNAL </t>
    </r>
    <r>
      <rPr>
        <b/>
        <sz val="11"/>
        <rFont val="Times New Roman"/>
        <family val="1"/>
      </rPr>
      <t>(Const. De baños para particulares de la cancha mpal )</t>
    </r>
  </si>
  <si>
    <r>
      <rPr>
        <sz val="11"/>
        <rFont val="Times New Roman"/>
        <family val="1"/>
      </rPr>
      <t>MINERALES NO METALICOS Y PRODUCTOS DERIVADOS</t>
    </r>
    <r>
      <rPr>
        <b/>
        <sz val="11"/>
        <rFont val="Times New Roman"/>
        <family val="1"/>
      </rPr>
      <t>(Const.de baños para particulares de la cancha mpal)</t>
    </r>
  </si>
  <si>
    <r>
      <rPr>
        <sz val="11"/>
        <rFont val="Times New Roman"/>
        <family val="1"/>
      </rPr>
      <t>MINERALES  METALICOS Y PRODUCTOS DERIVADOS</t>
    </r>
    <r>
      <rPr>
        <b/>
        <sz val="11"/>
        <rFont val="Times New Roman"/>
        <family val="1"/>
      </rPr>
      <t>(Const. De baños para particulares de la cancha mpal)</t>
    </r>
  </si>
  <si>
    <r>
      <rPr>
        <sz val="11"/>
        <rFont val="Times New Roman"/>
        <family val="1"/>
      </rPr>
      <t xml:space="preserve">HERRAMIENTAS,REPUESTOS Y ACCESORIOS </t>
    </r>
    <r>
      <rPr>
        <b/>
        <sz val="11"/>
        <rFont val="Times New Roman"/>
        <family val="1"/>
      </rPr>
      <t>(Const. De baños para particulares de la cancha mpal)</t>
    </r>
  </si>
  <si>
    <r>
      <rPr>
        <sz val="11"/>
        <rFont val="Times New Roman"/>
        <family val="1"/>
      </rPr>
      <t xml:space="preserve">COMISIONES Y GASTOS  BANCARIOS </t>
    </r>
    <r>
      <rPr>
        <b/>
        <sz val="11"/>
        <rFont val="Times New Roman"/>
        <family val="1"/>
      </rPr>
      <t>(Const.de baños para particulares de la cancha mpal)</t>
    </r>
  </si>
  <si>
    <t>AGOSTO 2018</t>
  </si>
  <si>
    <r>
      <rPr>
        <b/>
        <sz val="11"/>
        <rFont val="Times New Roman"/>
        <family val="1"/>
      </rPr>
      <t>PROYECTOS SOCIALES e INSTITUCIONALES</t>
    </r>
    <r>
      <rPr>
        <sz val="11"/>
        <rFont val="Times New Roman"/>
        <family val="1"/>
      </rPr>
      <t xml:space="preserve">: PROY. </t>
    </r>
    <r>
      <rPr>
        <b/>
        <sz val="11"/>
        <rFont val="Times New Roman"/>
        <family val="1"/>
      </rPr>
      <t xml:space="preserve">PROGRAMA MUNICIPAL DE BECAS </t>
    </r>
    <r>
      <rPr>
        <sz val="11"/>
        <rFont val="Times New Roman"/>
        <family val="1"/>
      </rPr>
      <t>PARA ESTUDIANTES  UNIVERSITARIOS Y BACHILLERES DE ESCASOS RECURSOS ECONOMICOS,DEL</t>
    </r>
    <r>
      <rPr>
        <b/>
        <sz val="11"/>
        <rFont val="Times New Roman"/>
        <family val="1"/>
      </rPr>
      <t xml:space="preserve">  MUNICIPIO.</t>
    </r>
    <r>
      <rPr>
        <sz val="11"/>
        <rFont val="Times New Roman"/>
        <family val="1"/>
      </rPr>
      <t xml:space="preserve">  </t>
    </r>
    <r>
      <rPr>
        <b/>
        <sz val="8"/>
        <color rgb="FFFF0000"/>
        <rFont val="Times New Roman"/>
        <family val="1"/>
      </rPr>
      <t>(Se  presupusta para año 2018, del 75% fodes, POR $ 60,600.00 (Se hace constar que son 60 becas de univers. por $80.00 c/u  hace un total de $4,800 x10 meses =$48,000.00 y 15-becas bachilleres de $ 50.00 c/u x 10 meses =7,500, haciendo un total de $55,500 + $11,100 x gtos diversos)segun detalle de rubros:</t>
    </r>
  </si>
  <si>
    <t>MONTO EJECUTADO  AL  
31/082018</t>
  </si>
  <si>
    <t>SALDO DISPONIBLE AL 31/08/2018</t>
  </si>
  <si>
    <r>
      <rPr>
        <b/>
        <sz val="11"/>
        <rFont val="Times New Roman"/>
        <family val="1"/>
      </rPr>
      <t>PROYECTOS SOCIALES e INSTITUCIONALES</t>
    </r>
    <r>
      <rPr>
        <sz val="11"/>
        <rFont val="Times New Roman"/>
        <family val="1"/>
      </rPr>
      <t xml:space="preserve">: PROY. ESCUELAS DE TAE KWOND PARA JOVENES PARA PREVENIR LA DELINCUENCIA Y LA VIOLENCIA  DEL </t>
    </r>
    <r>
      <rPr>
        <b/>
        <sz val="11"/>
        <rFont val="Times New Roman"/>
        <family val="1"/>
      </rPr>
      <t xml:space="preserve">  MUNICIPIO.</t>
    </r>
    <r>
      <rPr>
        <b/>
        <sz val="8"/>
        <color rgb="FFFF0000"/>
        <rFont val="Times New Roman"/>
        <family val="1"/>
      </rPr>
      <t>(Se  presupusta para año 2018, del 75% fodes, del Plan Estrategico) por $ 8,000.00,segun detalle de rubros:</t>
    </r>
  </si>
  <si>
    <r>
      <t xml:space="preserve">ATENCIONES OFICIALES( </t>
    </r>
    <r>
      <rPr>
        <b/>
        <sz val="11"/>
        <rFont val="Times New Roman"/>
        <family val="1"/>
      </rPr>
      <t>celebrac.artistic.cult.ctones del municipio)</t>
    </r>
    <r>
      <rPr>
        <b/>
        <sz val="11"/>
        <color rgb="FFFF0000"/>
        <rFont val="Times New Roman"/>
        <family val="1"/>
      </rPr>
      <t>NOTA: SE DESCARGA EN AGOST. EL PAGO QUE SE TRAI PROVIS.JUNIO-18 POR CONTRIB.FTAS CTON B.AIRES  Z.2 POR $150.00</t>
    </r>
  </si>
  <si>
    <t>SEPTIEMBRE  2018</t>
  </si>
  <si>
    <t>GASTOS 30/SEPT/18</t>
  </si>
  <si>
    <t>SALDOS DISPONIBLES  30/SEPT/18</t>
  </si>
  <si>
    <r>
      <t>CONSULTORIAS ESTUDIOS E INVESTIGACIONES DIVERSAS (</t>
    </r>
    <r>
      <rPr>
        <b/>
        <sz val="9"/>
        <rFont val="Calibri"/>
        <family val="2"/>
        <scheme val="minor"/>
      </rPr>
      <t xml:space="preserve">CANCHA CANTON LA LOMA)( </t>
    </r>
    <r>
      <rPr>
        <b/>
        <sz val="9"/>
        <color rgb="FFFF0000"/>
        <rFont val="Calibri"/>
        <family val="2"/>
        <scheme val="minor"/>
      </rPr>
      <t>por Reprogramacion de SEPTIEMBRE/18 SE  CREA LA PDA CON $400.00)</t>
    </r>
  </si>
  <si>
    <r>
      <rPr>
        <sz val="9"/>
        <rFont val="Times New Roman"/>
        <family val="1"/>
      </rPr>
      <t xml:space="preserve">PRODUCTOS QUIMICOS </t>
    </r>
    <r>
      <rPr>
        <b/>
        <sz val="9"/>
        <rFont val="Times New Roman"/>
        <family val="1"/>
      </rPr>
      <t>(CANCHA  CANTON ISTAGUA)</t>
    </r>
    <r>
      <rPr>
        <b/>
        <sz val="9"/>
        <color rgb="FFFF0000"/>
        <rFont val="Times New Roman"/>
        <family val="1"/>
      </rPr>
      <t>POR REPROGRAMACION DEL MES DE SEPTIEMBRE/2018 SE CREA ESTA PDA CON $ 200.00</t>
    </r>
  </si>
  <si>
    <t>2)54599</t>
  </si>
  <si>
    <t>3-)54107</t>
  </si>
  <si>
    <r>
      <t>TRANSPORTES.FLETE Y ALMACENAMIENTOS (conmem.del Gral Francisco Morazan) (</t>
    </r>
    <r>
      <rPr>
        <b/>
        <sz val="11"/>
        <color rgb="FFFF0000"/>
        <rFont val="Times New Roman"/>
        <family val="1"/>
      </rPr>
      <t>POR REPROGRAMAC.DE SEPT/18 SE CREA ESTA PDA)</t>
    </r>
  </si>
  <si>
    <r>
      <t xml:space="preserve">PRODUCTOS QUIMICOS </t>
    </r>
    <r>
      <rPr>
        <b/>
        <sz val="11"/>
        <rFont val="Times New Roman"/>
        <family val="1"/>
      </rPr>
      <t>(mtto y reparac, de bienes muebles)</t>
    </r>
    <r>
      <rPr>
        <b/>
        <sz val="11"/>
        <color rgb="FFFF0000"/>
        <rFont val="Times New Roman"/>
        <family val="1"/>
      </rPr>
      <t>POR REPROGRAMAC.DE SEPT/18 SE  CREA ESTA PDA)</t>
    </r>
  </si>
  <si>
    <r>
      <rPr>
        <sz val="11"/>
        <rFont val="Times New Roman"/>
        <family val="1"/>
      </rPr>
      <t xml:space="preserve">PRODUCTOS QUIMICOS </t>
    </r>
    <r>
      <rPr>
        <b/>
        <sz val="11"/>
        <rFont val="Times New Roman"/>
        <family val="1"/>
      </rPr>
      <t xml:space="preserve">(Obras de Saneamniento ambient y gestion de riesgos) </t>
    </r>
    <r>
      <rPr>
        <b/>
        <sz val="11"/>
        <color rgb="FFFF0000"/>
        <rFont val="Times New Roman"/>
        <family val="1"/>
      </rPr>
      <t>POR REPROGRAMACION DE SEPT/18 SE CREA ESTA PARTIDA  CON ..</t>
    </r>
  </si>
  <si>
    <r>
      <rPr>
        <b/>
        <sz val="10"/>
        <rFont val="Arial"/>
        <family val="2"/>
      </rPr>
      <t>43-</t>
    </r>
    <r>
      <rPr>
        <sz val="10"/>
        <color rgb="FFFF0000"/>
        <rFont val="Arial"/>
        <family val="2"/>
      </rPr>
      <t>61699</t>
    </r>
    <r>
      <rPr>
        <sz val="10"/>
        <rFont val="Arial"/>
        <family val="2"/>
      </rPr>
      <t>-2</t>
    </r>
  </si>
  <si>
    <t>SALDOS DISPONIBLES  31/OCT/18</t>
  </si>
  <si>
    <t>OCTUBRE 2018</t>
  </si>
  <si>
    <t>1)54199-</t>
  </si>
  <si>
    <r>
      <t>BIENES DE USO Y CONSUMO DIVERSOS  (</t>
    </r>
    <r>
      <rPr>
        <b/>
        <sz val="9"/>
        <rFont val="Calibri"/>
        <family val="2"/>
        <scheme val="minor"/>
      </rPr>
      <t xml:space="preserve">CANCHA CANTON LA ESPERANZA)( </t>
    </r>
    <r>
      <rPr>
        <b/>
        <sz val="9"/>
        <color rgb="FFFF0000"/>
        <rFont val="Calibri"/>
        <family val="2"/>
        <scheme val="minor"/>
      </rPr>
      <t>por Reprogramacion de OCTUBRE/18 se  CREA LA PDA CON)</t>
    </r>
  </si>
  <si>
    <r>
      <t>ATENCIONES OFICIALES (fortalec. Comuniciones)</t>
    </r>
    <r>
      <rPr>
        <b/>
        <sz val="11"/>
        <color rgb="FFFF0000"/>
        <rFont val="Times New Roman"/>
        <family val="1"/>
      </rPr>
      <t xml:space="preserve"> (por reprogramacion de OCTUBRE/18 se crea partida con….)</t>
    </r>
  </si>
  <si>
    <r>
      <t xml:space="preserve">MOBILIARIO (mtto. Y reparac. De bienes muebles </t>
    </r>
    <r>
      <rPr>
        <b/>
        <sz val="11"/>
        <color rgb="FFFF0000"/>
        <rFont val="Times New Roman"/>
        <family val="1"/>
      </rPr>
      <t>(SE CREA ESTA PDA. EN OCTUBRE/18)</t>
    </r>
  </si>
  <si>
    <r>
      <rPr>
        <sz val="11"/>
        <rFont val="Times New Roman"/>
        <family val="1"/>
      </rPr>
      <t xml:space="preserve">REUMERACIONES DIVERSAS </t>
    </r>
    <r>
      <rPr>
        <b/>
        <sz val="11"/>
        <rFont val="Times New Roman"/>
        <family val="1"/>
      </rPr>
      <t xml:space="preserve">(Ampliac. De infraestr.de inst. de la alcald.mpal para adeacion en areas administ.) </t>
    </r>
    <r>
      <rPr>
        <b/>
        <sz val="11"/>
        <color rgb="FFFF0000"/>
        <rFont val="Times New Roman"/>
        <family val="1"/>
      </rPr>
      <t>POR REPROGRAMACION SE CREA ESTA PDA. EN OCTUBRE/18 CON…)</t>
    </r>
  </si>
  <si>
    <t>VIALES</t>
  </si>
  <si>
    <t>GASTOS 31/OCT/18</t>
  </si>
  <si>
    <r>
      <t xml:space="preserve">HERRAMIENTAS, REPUESTOS Y ACCESORIOS (obras de mitigacion) </t>
    </r>
    <r>
      <rPr>
        <sz val="11"/>
        <color rgb="FFFF0000"/>
        <rFont val="Times New Roman"/>
        <family val="1"/>
      </rPr>
      <t>(POR REPROGRAMACION SE CREA PDA EN OCTUBRE/18 CON…</t>
    </r>
    <r>
      <rPr>
        <sz val="11"/>
        <rFont val="Times New Roman"/>
        <family val="1"/>
      </rPr>
      <t>)</t>
    </r>
  </si>
  <si>
    <t>1-61601</t>
  </si>
  <si>
    <t>INFRAESTRUTURAS</t>
  </si>
  <si>
    <t xml:space="preserve">VIALES </t>
  </si>
  <si>
    <r>
      <t>200 mt.</t>
    </r>
    <r>
      <rPr>
        <sz val="11"/>
        <rFont val="Times New Roman"/>
        <family val="1"/>
      </rPr>
      <t>DE ESTRUCTURA DE PAVIMENTO RIGIDO Y CORDON CUNETA EN SECTOR  SUBURBIOS DEL BARRIO  CONCEPCION, CALLE PRINCIPAL AL CEMENTERIO DE ESTE MUNICIPIO</t>
    </r>
    <r>
      <rPr>
        <b/>
        <sz val="11"/>
        <rFont val="Times New Roman"/>
        <family val="1"/>
      </rPr>
      <t>. ( S</t>
    </r>
    <r>
      <rPr>
        <b/>
        <sz val="11"/>
        <color rgb="FFFF0000"/>
        <rFont val="Times New Roman"/>
        <family val="1"/>
      </rPr>
      <t>EGÚN REPROGRAMACION AL PRESUPUESTO SE CREA ESTA PARTIDA CON$ 47,211.45)</t>
    </r>
  </si>
  <si>
    <t>ACTIVO  FIJO</t>
  </si>
  <si>
    <t>NOVIEMBRE 2018</t>
  </si>
  <si>
    <t>GASTOS 30/NOV/18</t>
  </si>
  <si>
    <t>SALDOS DISPONIBLES  30/NOV/18</t>
  </si>
  <si>
    <r>
      <t>COMBUSTIBLE Y LUBRICANTE (</t>
    </r>
    <r>
      <rPr>
        <b/>
        <sz val="9"/>
        <rFont val="Calibri"/>
        <family val="2"/>
        <scheme val="minor"/>
      </rPr>
      <t xml:space="preserve">CANCHA CANTON LA ESPERANZA)( </t>
    </r>
    <r>
      <rPr>
        <b/>
        <sz val="9"/>
        <color rgb="FFFF0000"/>
        <rFont val="Calibri"/>
        <family val="2"/>
        <scheme val="minor"/>
      </rPr>
      <t>por Reprogramacion de NOV/18 se  CREA LA PDA CON)</t>
    </r>
  </si>
  <si>
    <t>3-51999</t>
  </si>
  <si>
    <r>
      <t>REMUNERACIONES DIVERSAS  CANCHA CANTON ISTAGUA</t>
    </r>
    <r>
      <rPr>
        <sz val="9"/>
        <color rgb="FFFF0000"/>
        <rFont val="Times New Roman"/>
        <family val="1"/>
      </rPr>
      <t xml:space="preserve"> POR REPROGRAMACION SE CREA ESTA PARTIDA EN NOV/18</t>
    </r>
  </si>
  <si>
    <t>3-61603</t>
  </si>
  <si>
    <t>3)54199</t>
  </si>
  <si>
    <r>
      <t xml:space="preserve">BIENES DE USO Y CONSUMO DIVERSOS (PARA CANCHA  CANTON ISTAGUA)  </t>
    </r>
    <r>
      <rPr>
        <sz val="9"/>
        <color rgb="FFFF0000"/>
        <rFont val="Times New Roman"/>
        <family val="1"/>
      </rPr>
      <t>POR REPROGRAMACION DE NOV/18 ENTRE  SE CREA ESTA PARTIDA  CON</t>
    </r>
  </si>
  <si>
    <r>
      <t xml:space="preserve">COMBUSTIBLE Y LUBRICANTES </t>
    </r>
    <r>
      <rPr>
        <sz val="11"/>
        <color rgb="FFFF0000"/>
        <rFont val="Times New Roman"/>
        <family val="1"/>
      </rPr>
      <t>(Por reprogramacion se crea partida  en Nov/18)</t>
    </r>
  </si>
  <si>
    <r>
      <t>COMBUSTIBLE Y LUBRICANTES</t>
    </r>
    <r>
      <rPr>
        <sz val="11"/>
        <color rgb="FFFF0000"/>
        <rFont val="Times New Roman"/>
        <family val="1"/>
      </rPr>
      <t xml:space="preserve"> (Por reprogramacion se crea partida  en Nov/18</t>
    </r>
    <r>
      <rPr>
        <sz val="11"/>
        <rFont val="Times New Roman"/>
        <family val="1"/>
      </rPr>
      <t>)</t>
    </r>
  </si>
  <si>
    <r>
      <t xml:space="preserve">MATERIALES ELECTRICOS </t>
    </r>
    <r>
      <rPr>
        <b/>
        <sz val="11"/>
        <color rgb="FFFF0000"/>
        <rFont val="Times New Roman"/>
        <family val="1"/>
      </rPr>
      <t>(Por reprogramacion se crea partida en Nov/18</t>
    </r>
  </si>
  <si>
    <t>1)51999</t>
  </si>
  <si>
    <r>
      <t>REMUNERACIONES DIVERSAS (</t>
    </r>
    <r>
      <rPr>
        <b/>
        <sz val="9"/>
        <rFont val="Calibri"/>
        <family val="2"/>
        <scheme val="minor"/>
      </rPr>
      <t xml:space="preserve">CANCHA CANTON LA ESPERANZA)( </t>
    </r>
    <r>
      <rPr>
        <b/>
        <sz val="9"/>
        <color rgb="FFFF0000"/>
        <rFont val="Calibri"/>
        <family val="2"/>
        <scheme val="minor"/>
      </rPr>
      <t>por Reprogramacion de NOV/18 se  CREA LA PDA CON)</t>
    </r>
  </si>
  <si>
    <r>
      <t xml:space="preserve"> DE EDUCACI0N Y RECREACION </t>
    </r>
    <r>
      <rPr>
        <sz val="10"/>
        <color rgb="FFFF0000"/>
        <rFont val="Times New Roman"/>
        <family val="1"/>
      </rPr>
      <t>Por reprogramacion se crea partida en Nov/1</t>
    </r>
    <r>
      <rPr>
        <sz val="9"/>
        <color rgb="FFFF0000"/>
        <rFont val="Times New Roman"/>
        <family val="1"/>
      </rPr>
      <t>8</t>
    </r>
  </si>
  <si>
    <r>
      <t>BIENES DE USO Y CONSUMO DIVERSOS</t>
    </r>
    <r>
      <rPr>
        <b/>
        <sz val="11"/>
        <color rgb="FFFF0000"/>
        <rFont val="Times New Roman"/>
        <family val="1"/>
      </rPr>
      <t xml:space="preserve"> (Por reprogramacion se crea partida en Nov/18)</t>
    </r>
  </si>
  <si>
    <t>HERRAMIENTAS, REPUESTOS Y ACCESORIOS (Const. Cancha reglamentaria e sector la cruz C/Istagua</t>
  </si>
  <si>
    <r>
      <rPr>
        <sz val="11"/>
        <rFont val="Times New Roman"/>
        <family val="1"/>
      </rPr>
      <t>OBRAS DE SANEAMIENTOS  AMBIENTAL Y GESTION  DE  RIESGOS  EN EL MUNICIPIO  (SE PRESUPUESTA  DEL 75% FODES , AÑO 2018 DEL PLAN ESTRATEGICO)</t>
    </r>
    <r>
      <rPr>
        <b/>
        <sz val="11"/>
        <color rgb="FFFF0000"/>
        <rFont val="Times New Roman"/>
        <family val="1"/>
      </rPr>
      <t xml:space="preserve">Con $35,000.00 según rubros </t>
    </r>
  </si>
  <si>
    <r>
      <rPr>
        <sz val="11"/>
        <rFont val="Times New Roman"/>
        <family val="1"/>
      </rPr>
      <t>SALARIO DE JORNAL</t>
    </r>
    <r>
      <rPr>
        <b/>
        <sz val="11"/>
        <rFont val="Times New Roman"/>
        <family val="1"/>
      </rPr>
      <t xml:space="preserve"> (Rehabilitac. De calles y caminos de la red secund.por daños de la tormeta michael)</t>
    </r>
  </si>
  <si>
    <r>
      <rPr>
        <sz val="11"/>
        <rFont val="Times New Roman"/>
        <family val="1"/>
      </rPr>
      <t>REHABILITACION DE CALLES  Y CAMINOS  DE LA RED  SECUNDARIA Y TERCIARIA  MUNICIAPL A CAUSA  DE LOS DAÑOS OCASIONADOS POR EL FENEMOMENO METEREOLOGICO MICHAEL</t>
    </r>
    <r>
      <rPr>
        <b/>
        <sz val="11"/>
        <rFont val="Times New Roman"/>
        <family val="1"/>
      </rPr>
      <t xml:space="preserve"> </t>
    </r>
    <r>
      <rPr>
        <b/>
        <sz val="11"/>
        <color rgb="FFFF0000"/>
        <rFont val="Times New Roman"/>
        <family val="1"/>
      </rPr>
      <t>(POR REPROGRAMACION  DE NOV/18, SE  CREA ESTA PARTIDA, POR $60,000.00 Y DISTRIBUYE ASI,</t>
    </r>
  </si>
  <si>
    <r>
      <rPr>
        <sz val="11"/>
        <rFont val="Times New Roman"/>
        <family val="1"/>
      </rPr>
      <t xml:space="preserve">COMBUSTIBLE Y LUBRICANTES </t>
    </r>
    <r>
      <rPr>
        <b/>
        <sz val="11"/>
        <rFont val="Times New Roman"/>
        <family val="1"/>
      </rPr>
      <t>(Rehabilitac.de calle y caminos de la red, secund.por daños de la tormenta michael)</t>
    </r>
  </si>
  <si>
    <r>
      <rPr>
        <sz val="11"/>
        <rFont val="Times New Roman"/>
        <family val="1"/>
      </rPr>
      <t xml:space="preserve">MINERALES METALICOS Y PRODUCTOS DERIVADOS </t>
    </r>
    <r>
      <rPr>
        <b/>
        <sz val="11"/>
        <rFont val="Times New Roman"/>
        <family val="1"/>
      </rPr>
      <t>(Rehabilitac.de calle y caminos de la red secundar.por daños  de la tormeta michael)</t>
    </r>
  </si>
  <si>
    <r>
      <rPr>
        <sz val="11"/>
        <rFont val="Times New Roman"/>
        <family val="1"/>
      </rPr>
      <t>MINERALES NO METALICOS Y PRODUCTOS DERIVADOS</t>
    </r>
    <r>
      <rPr>
        <b/>
        <sz val="11"/>
        <rFont val="Times New Roman"/>
        <family val="1"/>
      </rPr>
      <t>(Rehabilitac.de calle y caminos de la red secunda.por daños de la tormenta michael)</t>
    </r>
  </si>
  <si>
    <r>
      <rPr>
        <sz val="11"/>
        <rFont val="Times New Roman"/>
        <family val="1"/>
      </rPr>
      <t>ARRENDAMIENTOS  DE BIENES  MUEBLES</t>
    </r>
    <r>
      <rPr>
        <b/>
        <sz val="11"/>
        <rFont val="Times New Roman"/>
        <family val="1"/>
      </rPr>
      <t>(Rehabilitac.de calles y caminos de la red secunda.por daños de la tormenta michael)</t>
    </r>
  </si>
  <si>
    <r>
      <t xml:space="preserve">BIENES DE USO Y CONSUMO DIVERSOS </t>
    </r>
    <r>
      <rPr>
        <b/>
        <sz val="11"/>
        <color rgb="FFFF0000"/>
        <rFont val="Times New Roman"/>
        <family val="1"/>
      </rPr>
      <t>(por reprogramac.se crea esta partida -no/18 convivencia ciudadana)</t>
    </r>
  </si>
  <si>
    <r>
      <t xml:space="preserve">ATENCIONES  OFICIALES </t>
    </r>
    <r>
      <rPr>
        <b/>
        <sz val="11"/>
        <color rgb="FFFF0000"/>
        <rFont val="Times New Roman"/>
        <family val="1"/>
      </rPr>
      <t>(por reprogramac.se crea esta partida -no/18 convivencia ciudadana)</t>
    </r>
  </si>
  <si>
    <r>
      <t xml:space="preserve">ARRENDAMIENTOS DE BIENES  MEUBLES </t>
    </r>
    <r>
      <rPr>
        <b/>
        <sz val="11"/>
        <color rgb="FFFF0000"/>
        <rFont val="Times New Roman"/>
        <family val="1"/>
      </rPr>
      <t>(por reprogramac.se crea esta partida -no/18 convivencia ciudadana)</t>
    </r>
  </si>
  <si>
    <r>
      <t>CONTRIBUCIONES A ORGANISMOS  SIN FINES DE LUCRO</t>
    </r>
    <r>
      <rPr>
        <b/>
        <sz val="11"/>
        <color rgb="FFFF0000"/>
        <rFont val="Times New Roman"/>
        <family val="1"/>
      </rPr>
      <t>(por reprogramac.se crea esta partida -no/18 convivencia ciudadana)</t>
    </r>
  </si>
  <si>
    <r>
      <t>COMISIONES Y GASTOS BANCARIOS</t>
    </r>
    <r>
      <rPr>
        <b/>
        <sz val="11"/>
        <color rgb="FFFF0000"/>
        <rFont val="Times New Roman"/>
        <family val="1"/>
      </rPr>
      <t>(por reprogramac.se crea esta partida -no/18 convivencia ciudadana)</t>
    </r>
  </si>
  <si>
    <r>
      <t xml:space="preserve">PROYECTOS INSTITUCIONAL: PROGRAMA  DE FOMENTO A LA CONVIVENCIA CIUDADANA Y FORTALECIMIENTO DE ACTIVIDADES CULTURALES Y FESTIVIDADES CON ENFASIS EN LA  PREINVERSION DE LA VIOLENCIA EN EL  MUNICIPIO, </t>
    </r>
    <r>
      <rPr>
        <b/>
        <sz val="8"/>
        <color rgb="FFFF0000"/>
        <rFont val="Times New Roman"/>
        <family val="1"/>
      </rPr>
      <t>( SE CREA ESTA PARTIDA(ENTREGA JUGUETES)EN EL MES DE NOV18 POR  $ 45,000.00 según detalles de rubros )</t>
    </r>
  </si>
  <si>
    <t>SEPTIEMBRE 2018</t>
  </si>
  <si>
    <t>SALDO DISPONIBLE AL 30/09/2018</t>
  </si>
  <si>
    <t>MONTO EJECUTADO  AL  
30/09/2018</t>
  </si>
  <si>
    <t>MONTO EJECUTADO  AL  
31/10/2018</t>
  </si>
  <si>
    <t>SALDO DISPONIBLE AL 31/10/2018</t>
  </si>
  <si>
    <t>MONTO EJECUTADO  AL  
30/11/2018</t>
  </si>
  <si>
    <t>SALDO DISPONIBLE AL 30/11/2018</t>
  </si>
  <si>
    <t>DICIEMBRE 2018</t>
  </si>
  <si>
    <t>GASTOS 30/DIC/18</t>
  </si>
  <si>
    <t>SALDOS DISPONIBLES  30/DIC/18</t>
  </si>
  <si>
    <r>
      <t>MOBILIARIO Y EQUIPO DE OFICINA(p</t>
    </r>
    <r>
      <rPr>
        <b/>
        <sz val="11"/>
        <color rgb="FFFF0000"/>
        <rFont val="Times New Roman"/>
        <family val="1"/>
      </rPr>
      <t>or reprogramacion de  DICIEMBRE/18 se crea partida, EN EL PROY.)</t>
    </r>
    <r>
      <rPr>
        <b/>
        <sz val="11"/>
        <rFont val="Times New Roman"/>
        <family val="1"/>
      </rPr>
      <t>(Ampliac.de infraest.de inst.de la alcaldia mpal para adeacuacion en areas administ)</t>
    </r>
  </si>
  <si>
    <r>
      <t xml:space="preserve">TRANSPORTE,FLETE Y ALMACENAMIENTOS </t>
    </r>
    <r>
      <rPr>
        <b/>
        <sz val="11"/>
        <color rgb="FFFF0000"/>
        <rFont val="Times New Roman"/>
        <family val="1"/>
      </rPr>
      <t>(por reprogramac.se crea esta partida -DIC/18 convivencia ciudadana)</t>
    </r>
  </si>
  <si>
    <r>
      <t xml:space="preserve">BIENES DE USO Y CONSUMO DIVERSOS </t>
    </r>
    <r>
      <rPr>
        <b/>
        <sz val="11"/>
        <color rgb="FFFF0000"/>
        <rFont val="Times New Roman"/>
        <family val="1"/>
      </rPr>
      <t>(por reprogramac.se crea esta partida -nov/18 convivencia ciudadana)</t>
    </r>
  </si>
  <si>
    <r>
      <t xml:space="preserve">ATENCIONES  OFICIALES </t>
    </r>
    <r>
      <rPr>
        <b/>
        <sz val="11"/>
        <color rgb="FFFF0000"/>
        <rFont val="Times New Roman"/>
        <family val="1"/>
      </rPr>
      <t>(por reprogramac.se crea esta partida -nov/18 convivencia ciudadana)</t>
    </r>
  </si>
  <si>
    <r>
      <t>COMISIONES Y GASTOS BANCARIOS</t>
    </r>
    <r>
      <rPr>
        <b/>
        <sz val="11"/>
        <color rgb="FFFF0000"/>
        <rFont val="Times New Roman"/>
        <family val="1"/>
      </rPr>
      <t>(por reprogramac.se crea esta partida -nov/18 convivencia ciudadana)</t>
    </r>
  </si>
  <si>
    <r>
      <t>CONTRIBUCIONES A ORGANISMOS  SIN FINES DE LUCRO</t>
    </r>
    <r>
      <rPr>
        <b/>
        <sz val="11"/>
        <color rgb="FFFF0000"/>
        <rFont val="Times New Roman"/>
        <family val="1"/>
      </rPr>
      <t>(por reprogramac.se crea esta partida -nov/18 convivencia ciudadana)</t>
    </r>
  </si>
  <si>
    <r>
      <t xml:space="preserve"> </t>
    </r>
    <r>
      <rPr>
        <sz val="11"/>
        <rFont val="Times New Roman"/>
        <family val="1"/>
      </rPr>
      <t>COMISIONES Y GASTOS BANCARIOS</t>
    </r>
    <r>
      <rPr>
        <b/>
        <sz val="11"/>
        <rFont val="Times New Roman"/>
        <family val="1"/>
      </rPr>
      <t>(Rehabilitac.de calles y caminos de la red secund.por daños de la tormenta michael-</t>
    </r>
    <r>
      <rPr>
        <b/>
        <sz val="11"/>
        <color rgb="FFFF0000"/>
        <rFont val="Times New Roman"/>
        <family val="1"/>
      </rPr>
      <t>POR REPROGRAMACION SE CREA ESTA PARTIDA EN DIC-18</t>
    </r>
    <r>
      <rPr>
        <b/>
        <sz val="11"/>
        <rFont val="Times New Roman"/>
        <family val="1"/>
      </rPr>
      <t>)</t>
    </r>
  </si>
  <si>
    <r>
      <t xml:space="preserve">SERVICIOS GENERALES Y ARRENDAMIENTOS DIVERSOS  </t>
    </r>
    <r>
      <rPr>
        <b/>
        <sz val="11"/>
        <color rgb="FFFF0000"/>
        <rFont val="Times New Roman"/>
        <family val="1"/>
      </rPr>
      <t>(por reprogramac.se crea esta partida -DIC/18 convivencia ciudadana)</t>
    </r>
  </si>
  <si>
    <r>
      <t xml:space="preserve">ARRENDAMIENTOS DE BIENES  MUEBLES </t>
    </r>
    <r>
      <rPr>
        <b/>
        <sz val="11"/>
        <color rgb="FFFF0000"/>
        <rFont val="Times New Roman"/>
        <family val="1"/>
      </rPr>
      <t>(por reprogramac.se crea esta partida -nov/18 convivencia ciudadana)</t>
    </r>
  </si>
  <si>
    <t>MONTO EJECUTADO  AL  
30/12/2018</t>
  </si>
  <si>
    <r>
      <t>ARRENDAMIENTOS DE BIENES MUEBLES(Const. De cancha regalamentaria  e sect la cruz C/Istagua)</t>
    </r>
    <r>
      <rPr>
        <b/>
        <sz val="11"/>
        <color rgb="FFFF0000"/>
        <rFont val="Times New Roman"/>
        <family val="1"/>
      </rPr>
      <t>(SE CREA ESTA PDA EN SEPT-18)</t>
    </r>
  </si>
  <si>
    <r>
      <t xml:space="preserve">MANTENIMIENTO Y REPARACION DE VEHICULOS ( </t>
    </r>
    <r>
      <rPr>
        <b/>
        <sz val="11"/>
        <color rgb="FF00B050"/>
        <rFont val="Times New Roman"/>
        <family val="1"/>
      </rPr>
      <t>SE CREA ESTA PARTIDA EN NOV-18) DEL PROY. Mtto y Rep. De Bienes muebles) por error inv. Tes.cancelo de esta cta, y ya no realizo  traslado de fdos)</t>
    </r>
  </si>
  <si>
    <r>
      <t>DICIEMBRE 2018 (</t>
    </r>
    <r>
      <rPr>
        <b/>
        <i/>
        <sz val="24"/>
        <color rgb="FFFF0000"/>
        <rFont val="Elephant"/>
        <family val="1"/>
      </rPr>
      <t>MES 13 GASTOS PROVISIONADOS-PARA CANCELAR EN AÑO 2019)</t>
    </r>
  </si>
  <si>
    <t>TOTALES  GENERALES  A DICIEMBRE-18</t>
  </si>
  <si>
    <t>por cheq.p/proy.</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</si>
</sst>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quot;$&quot;* #,##0.00_-;_-&quot;$&quot;* &quot;-&quot;??_-;_-@_-"/>
    <numFmt numFmtId="164" formatCode="&quot;$&quot;#,##0.00_);[Red]\(&quot;$&quot;#,##0.00\)"/>
    <numFmt numFmtId="165" formatCode="_(&quot;$&quot;* #,##0.00_);_(&quot;$&quot;* \(#,##0.00\);_(&quot;$&quot;* &quot;-&quot;??_);_(@_)"/>
    <numFmt numFmtId="166" formatCode="_-* #,##0.00\ &quot;€&quot;_-;\-* #,##0.00\ &quot;€&quot;_-;_-* &quot;-&quot;??\ &quot;€&quot;_-;_-@_-"/>
    <numFmt numFmtId="167" formatCode="_-* #,##0.00\ _€_-;\-* #,##0.00\ _€_-;_-* &quot;-&quot;??\ _€_-;_-@_-"/>
    <numFmt numFmtId="168" formatCode="_-[$$-440A]* #,##0.00_ ;_-[$$-440A]* \-#,##0.00\ ;_-[$$-440A]* &quot;-&quot;??_ ;_-@_ "/>
    <numFmt numFmtId="169" formatCode="_([$$-440A]* #,##0.00_);_([$$-440A]* \(#,##0.00\);_([$$-440A]* &quot;-&quot;??_);_(@_)"/>
  </numFmts>
  <fonts count="104">
    <font>
      <sz val="11"/>
      <color theme="1"/>
      <name val="Calibri"/>
      <family val="2"/>
      <scheme val="minor"/>
    </font>
    <font>
      <sz val="11"/>
      <color theme="1"/>
      <name val="Calibri"/>
      <family val="2"/>
      <scheme val="minor"/>
    </font>
    <font>
      <sz val="11"/>
      <name val="Times New Roman"/>
      <family val="1"/>
    </font>
    <font>
      <b/>
      <sz val="8"/>
      <color rgb="FFFF0000"/>
      <name val="Times New Roman"/>
      <family val="1"/>
    </font>
    <font>
      <sz val="8"/>
      <color rgb="FFFF0000"/>
      <name val="Times New Roman"/>
      <family val="1"/>
    </font>
    <font>
      <sz val="8"/>
      <name val="Times New Roman"/>
      <family val="1"/>
    </font>
    <font>
      <b/>
      <sz val="10"/>
      <name val="Times New Roman"/>
      <family val="1"/>
    </font>
    <font>
      <b/>
      <sz val="8"/>
      <color rgb="FF002060"/>
      <name val="Footlight MT Light"/>
      <family val="1"/>
    </font>
    <font>
      <b/>
      <sz val="11"/>
      <color rgb="FF002060"/>
      <name val="Times New Roman"/>
      <family val="1"/>
    </font>
    <font>
      <b/>
      <sz val="11"/>
      <name val="Times New Roman"/>
      <family val="1"/>
    </font>
    <font>
      <b/>
      <sz val="11"/>
      <color rgb="FFFF0000"/>
      <name val="Times New Roman"/>
      <family val="1"/>
    </font>
    <font>
      <b/>
      <sz val="8"/>
      <name val="Times New Roman"/>
      <family val="1"/>
    </font>
    <font>
      <b/>
      <sz val="9"/>
      <name val="Times New Roman"/>
      <family val="1"/>
    </font>
    <font>
      <sz val="11"/>
      <color rgb="FFFF0000"/>
      <name val="Times New Roman"/>
      <family val="1"/>
    </font>
    <font>
      <b/>
      <sz val="9"/>
      <color rgb="FFFF0000"/>
      <name val="Times New Roman"/>
      <family val="1"/>
    </font>
    <font>
      <b/>
      <i/>
      <sz val="14"/>
      <name val="Freestyle Script"/>
      <family val="4"/>
    </font>
    <font>
      <b/>
      <i/>
      <sz val="8"/>
      <name val="Freestyle Script"/>
      <family val="4"/>
    </font>
    <font>
      <sz val="9"/>
      <name val="Times New Roman"/>
      <family val="1"/>
    </font>
    <font>
      <sz val="9"/>
      <color rgb="FFFF0000"/>
      <name val="Times New Roman"/>
      <family val="1"/>
    </font>
    <font>
      <i/>
      <sz val="9"/>
      <name val="Times New Roman"/>
      <family val="1"/>
    </font>
    <font>
      <i/>
      <sz val="9"/>
      <color rgb="FFFF0000"/>
      <name val="Times New Roman"/>
      <family val="1"/>
    </font>
    <font>
      <sz val="7"/>
      <color rgb="FF002060"/>
      <name val="Times New Roman"/>
      <family val="1"/>
    </font>
    <font>
      <b/>
      <sz val="9"/>
      <color rgb="FF002060"/>
      <name val="Arial Narrow"/>
      <family val="2"/>
    </font>
    <font>
      <b/>
      <sz val="8"/>
      <color theme="8" tint="-0.249977111117893"/>
      <name val="Times New Roman"/>
      <family val="1"/>
    </font>
    <font>
      <i/>
      <sz val="11"/>
      <name val="Times New Roman"/>
      <family val="1"/>
    </font>
    <font>
      <i/>
      <sz val="8"/>
      <color rgb="FFFF0000"/>
      <name val="Times New Roman"/>
      <family val="1"/>
    </font>
    <font>
      <sz val="11"/>
      <name val="Calibri"/>
      <family val="2"/>
      <scheme val="minor"/>
    </font>
    <font>
      <sz val="8"/>
      <name val="Footlight MT Light"/>
      <family val="1"/>
    </font>
    <font>
      <b/>
      <sz val="8"/>
      <color rgb="FF0070C0"/>
      <name val="Times New Roman"/>
      <family val="1"/>
    </font>
    <font>
      <b/>
      <i/>
      <sz val="18"/>
      <color rgb="FF002060"/>
      <name val="Footlight MT Light"/>
      <family val="1"/>
    </font>
    <font>
      <b/>
      <sz val="11"/>
      <color rgb="FF3F2DC3"/>
      <name val="Times New Roman"/>
      <family val="1"/>
    </font>
    <font>
      <b/>
      <i/>
      <sz val="28"/>
      <color theme="8" tint="-0.249977111117893"/>
      <name val="Elephant"/>
      <family val="1"/>
    </font>
    <font>
      <sz val="9"/>
      <name val="Arial"/>
      <family val="2"/>
    </font>
    <font>
      <sz val="10"/>
      <name val="Arial"/>
      <family val="2"/>
    </font>
    <font>
      <sz val="8"/>
      <name val="Arial"/>
      <family val="2"/>
    </font>
    <font>
      <b/>
      <sz val="8"/>
      <name val="Arial"/>
      <family val="2"/>
    </font>
    <font>
      <b/>
      <sz val="9"/>
      <name val="Arial"/>
      <family val="2"/>
    </font>
    <font>
      <b/>
      <i/>
      <sz val="11"/>
      <color theme="1"/>
      <name val="Calibri"/>
      <family val="2"/>
      <scheme val="minor"/>
    </font>
    <font>
      <b/>
      <sz val="20"/>
      <name val="BrowalliaUPC"/>
      <family val="2"/>
    </font>
    <font>
      <b/>
      <sz val="20"/>
      <color rgb="FFFF0000"/>
      <name val="BrowalliaUPC"/>
      <family val="2"/>
    </font>
    <font>
      <b/>
      <sz val="12"/>
      <color rgb="FF216BFF"/>
      <name val="Arial Narrow"/>
      <family val="2"/>
    </font>
    <font>
      <b/>
      <sz val="14"/>
      <color rgb="FF216BFF"/>
      <name val="BrowalliaUPC"/>
      <family val="2"/>
    </font>
    <font>
      <b/>
      <sz val="16"/>
      <color rgb="FF216BFF"/>
      <name val="Arial Narrow"/>
      <family val="2"/>
    </font>
    <font>
      <b/>
      <sz val="18"/>
      <color rgb="FF216BFF"/>
      <name val="Arial Narrow"/>
      <family val="2"/>
    </font>
    <font>
      <b/>
      <sz val="12"/>
      <color rgb="FF216BFF"/>
      <name val="Century Gothic"/>
      <family val="2"/>
    </font>
    <font>
      <b/>
      <sz val="14"/>
      <color rgb="FF216BFF"/>
      <name val="Century Gothic"/>
      <family val="2"/>
    </font>
    <font>
      <b/>
      <i/>
      <sz val="12"/>
      <name val="Century Gothic"/>
      <family val="2"/>
    </font>
    <font>
      <b/>
      <i/>
      <sz val="12"/>
      <color rgb="FFFF0000"/>
      <name val="Century Gothic"/>
      <family val="2"/>
    </font>
    <font>
      <b/>
      <sz val="11"/>
      <color rgb="FFFF0000"/>
      <name val="Calibri"/>
      <family val="2"/>
      <scheme val="minor"/>
    </font>
    <font>
      <b/>
      <sz val="11"/>
      <color rgb="FF7030A0"/>
      <name val="Times New Roman"/>
      <family val="1"/>
    </font>
    <font>
      <b/>
      <sz val="11"/>
      <color rgb="FF0070C0"/>
      <name val="Times New Roman"/>
      <family val="1"/>
    </font>
    <font>
      <b/>
      <sz val="9"/>
      <color rgb="FFFF0000"/>
      <name val="Footlight MT Light"/>
      <family val="1"/>
    </font>
    <font>
      <b/>
      <sz val="10"/>
      <color rgb="FFFF0000"/>
      <name val="Times New Roman"/>
      <family val="1"/>
    </font>
    <font>
      <sz val="11"/>
      <name val="Footlight MT Light"/>
      <family val="1"/>
    </font>
    <font>
      <b/>
      <sz val="8"/>
      <name val="Footlight MT Light"/>
      <family val="1"/>
    </font>
    <font>
      <sz val="11"/>
      <name val="Century Schoolbook"/>
      <family val="1"/>
    </font>
    <font>
      <b/>
      <sz val="11"/>
      <color theme="4" tint="-0.249977111117893"/>
      <name val="Times New Roman"/>
      <family val="1"/>
    </font>
    <font>
      <b/>
      <sz val="11"/>
      <color theme="8" tint="-0.249977111117893"/>
      <name val="Times New Roman"/>
      <family val="1"/>
    </font>
    <font>
      <b/>
      <sz val="11"/>
      <color rgb="FF413ACE"/>
      <name val="Times New Roman"/>
      <family val="1"/>
    </font>
    <font>
      <sz val="11"/>
      <color rgb="FFFF0000"/>
      <name val="Calibri"/>
      <family val="2"/>
      <scheme val="minor"/>
    </font>
    <font>
      <b/>
      <sz val="10"/>
      <color rgb="FF002060"/>
      <name val="Times New Roman"/>
      <family val="1"/>
    </font>
    <font>
      <b/>
      <sz val="10"/>
      <color rgb="FF216BFF"/>
      <name val="Arial Narrow"/>
      <family val="2"/>
    </font>
    <font>
      <b/>
      <sz val="9"/>
      <color rgb="FFFF0000"/>
      <name val="Calibri"/>
      <family val="2"/>
      <scheme val="minor"/>
    </font>
    <font>
      <b/>
      <sz val="9"/>
      <name val="Calibri"/>
      <family val="2"/>
      <scheme val="minor"/>
    </font>
    <font>
      <sz val="9"/>
      <name val="Calibri"/>
      <family val="2"/>
      <scheme val="minor"/>
    </font>
    <font>
      <b/>
      <sz val="8"/>
      <color rgb="FF002060"/>
      <name val="Times New Roman"/>
      <family val="1"/>
    </font>
    <font>
      <b/>
      <sz val="12"/>
      <color rgb="FFFF0000"/>
      <name val="Calibri"/>
      <family val="2"/>
      <scheme val="minor"/>
    </font>
    <font>
      <b/>
      <sz val="11"/>
      <color rgb="FFFF0000"/>
      <name val="Footlight MT Light"/>
      <family val="1"/>
    </font>
    <font>
      <b/>
      <sz val="10"/>
      <color rgb="FF00B050"/>
      <name val="Footlight MT Light"/>
      <family val="1"/>
    </font>
    <font>
      <b/>
      <sz val="8"/>
      <color rgb="FF0070C0"/>
      <name val="Footlight MT Light"/>
      <family val="1"/>
    </font>
    <font>
      <b/>
      <sz val="11"/>
      <color rgb="FF0070C0"/>
      <name val="Calibri"/>
      <family val="2"/>
      <scheme val="minor"/>
    </font>
    <font>
      <b/>
      <sz val="9"/>
      <color rgb="FF002060"/>
      <name val="Times New Roman"/>
      <family val="1"/>
    </font>
    <font>
      <b/>
      <sz val="8"/>
      <color rgb="FF002060"/>
      <name val="Arial Narrow"/>
      <family val="2"/>
    </font>
    <font>
      <b/>
      <sz val="9"/>
      <color rgb="FFFF0000"/>
      <name val="Arial Narrow"/>
      <family val="2"/>
    </font>
    <font>
      <sz val="11"/>
      <name val="Arial"/>
      <family val="2"/>
    </font>
    <font>
      <sz val="11"/>
      <color rgb="FFFF0000"/>
      <name val="Arial"/>
      <family val="2"/>
    </font>
    <font>
      <sz val="12"/>
      <name val="Arial"/>
      <family val="2"/>
    </font>
    <font>
      <sz val="12"/>
      <color rgb="FFFF0000"/>
      <name val="Arial"/>
      <family val="2"/>
    </font>
    <font>
      <b/>
      <sz val="10"/>
      <name val="Arial"/>
      <family val="2"/>
    </font>
    <font>
      <b/>
      <sz val="10"/>
      <color rgb="FFFF0000"/>
      <name val="Arial"/>
      <family val="2"/>
    </font>
    <font>
      <b/>
      <sz val="8"/>
      <color rgb="FFFF0000"/>
      <name val="Footlight MT Light"/>
      <family val="1"/>
    </font>
    <font>
      <b/>
      <sz val="11"/>
      <color rgb="FF00B050"/>
      <name val="Times New Roman"/>
      <family val="1"/>
    </font>
    <font>
      <b/>
      <sz val="9"/>
      <color rgb="FF0070C0"/>
      <name val="Arial Narrow"/>
      <family val="2"/>
    </font>
    <font>
      <sz val="9"/>
      <color rgb="FF002060"/>
      <name val="Arial Narrow"/>
      <family val="2"/>
    </font>
    <font>
      <b/>
      <sz val="16"/>
      <color rgb="FFFF0000"/>
      <name val="BrowalliaUPC"/>
      <family val="2"/>
    </font>
    <font>
      <b/>
      <sz val="18"/>
      <name val="BrowalliaUPC"/>
      <family val="2"/>
    </font>
    <font>
      <b/>
      <sz val="18"/>
      <color rgb="FFFF0000"/>
      <name val="BrowalliaUPC"/>
      <family val="2"/>
    </font>
    <font>
      <b/>
      <sz val="20"/>
      <color rgb="FF00B050"/>
      <name val="BrowalliaUPC"/>
      <family val="2"/>
    </font>
    <font>
      <b/>
      <sz val="18"/>
      <color rgb="FF00B050"/>
      <name val="BrowalliaUPC"/>
      <family val="2"/>
    </font>
    <font>
      <b/>
      <sz val="11"/>
      <color rgb="FF216BFF"/>
      <name val="Arial Narrow"/>
      <family val="2"/>
    </font>
    <font>
      <b/>
      <sz val="11"/>
      <color rgb="FF216BFF"/>
      <name val="BrowalliaUPC"/>
      <family val="2"/>
    </font>
    <font>
      <b/>
      <sz val="11"/>
      <color theme="1"/>
      <name val="Calibri"/>
      <family val="2"/>
      <scheme val="minor"/>
    </font>
    <font>
      <b/>
      <sz val="12"/>
      <color rgb="FFFF0000"/>
      <name val="Times New Roman"/>
      <family val="1"/>
    </font>
    <font>
      <sz val="11"/>
      <color rgb="FF0070C0"/>
      <name val="Times New Roman"/>
      <family val="1"/>
    </font>
    <font>
      <b/>
      <sz val="11"/>
      <color rgb="FFFF0000"/>
      <name val="Arial"/>
      <family val="2"/>
    </font>
    <font>
      <sz val="10"/>
      <color rgb="FFFF0000"/>
      <name val="Arial"/>
      <family val="2"/>
    </font>
    <font>
      <b/>
      <sz val="11"/>
      <color theme="1"/>
      <name val="Times New Roman"/>
      <family val="1"/>
    </font>
    <font>
      <b/>
      <sz val="11"/>
      <color rgb="FF2B35F5"/>
      <name val="Times New Roman"/>
      <family val="1"/>
    </font>
    <font>
      <b/>
      <sz val="12"/>
      <color rgb="FF2B35F5"/>
      <name val="Times New Roman"/>
      <family val="1"/>
    </font>
    <font>
      <b/>
      <sz val="10"/>
      <color rgb="FF002060"/>
      <name val="Arial Narrow"/>
      <family val="2"/>
    </font>
    <font>
      <sz val="10"/>
      <color rgb="FFFF0000"/>
      <name val="Times New Roman"/>
      <family val="1"/>
    </font>
    <font>
      <b/>
      <sz val="14"/>
      <color rgb="FFFF0000"/>
      <name val="BrowalliaUPC"/>
      <family val="2"/>
    </font>
    <font>
      <b/>
      <i/>
      <sz val="24"/>
      <color theme="8" tint="-0.249977111117893"/>
      <name val="Elephant"/>
      <family val="1"/>
    </font>
    <font>
      <b/>
      <i/>
      <sz val="24"/>
      <color rgb="FFFF0000"/>
      <name val="Elephant"/>
      <family val="1"/>
    </font>
  </fonts>
  <fills count="23">
    <fill>
      <patternFill patternType="none"/>
    </fill>
    <fill>
      <patternFill patternType="gray125"/>
    </fill>
    <fill>
      <patternFill patternType="solid">
        <fgColor theme="0"/>
        <bgColor indexed="64"/>
      </patternFill>
    </fill>
    <fill>
      <patternFill patternType="solid">
        <fgColor theme="0"/>
        <bgColor auto="1"/>
      </patternFill>
    </fill>
    <fill>
      <patternFill patternType="solid">
        <fgColor indexed="9"/>
        <bgColor indexed="64"/>
      </patternFill>
    </fill>
    <fill>
      <gradientFill degree="45">
        <stop position="0">
          <color theme="0"/>
        </stop>
        <stop position="1">
          <color theme="8"/>
        </stop>
      </gradientFill>
    </fill>
    <fill>
      <gradientFill degree="90">
        <stop position="0">
          <color theme="0"/>
        </stop>
        <stop position="1">
          <color theme="0" tint="-0.25098422193060094"/>
        </stop>
      </gradientFill>
    </fill>
    <fill>
      <gradientFill>
        <stop position="0">
          <color theme="4" tint="0.40000610370189521"/>
        </stop>
        <stop position="1">
          <color theme="0"/>
        </stop>
      </gradientFill>
    </fill>
    <fill>
      <patternFill patternType="solid">
        <fgColor rgb="FFFFFF00"/>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rgb="FFFFEEBD"/>
        <bgColor indexed="64"/>
      </patternFill>
    </fill>
    <fill>
      <patternFill patternType="solid">
        <fgColor rgb="FF92D05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00"/>
        <bgColor auto="1"/>
      </patternFill>
    </fill>
    <fill>
      <patternFill patternType="solid">
        <fgColor theme="9" tint="0.79998168889431442"/>
        <bgColor indexed="64"/>
      </patternFill>
    </fill>
    <fill>
      <patternFill patternType="solid">
        <fgColor theme="2"/>
        <bgColor indexed="64"/>
      </patternFill>
    </fill>
    <fill>
      <patternFill patternType="solid">
        <fgColor rgb="FF00B0F0"/>
        <bgColor indexed="64"/>
      </patternFill>
    </fill>
    <fill>
      <patternFill patternType="solid">
        <fgColor theme="4" tint="0.59999389629810485"/>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theme="1"/>
      </left>
      <right style="thin">
        <color indexed="64"/>
      </right>
      <top/>
      <bottom style="thin">
        <color theme="1"/>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thin">
        <color indexed="64"/>
      </bottom>
      <diagonal/>
    </border>
  </borders>
  <cellStyleXfs count="3">
    <xf numFmtId="0" fontId="0" fillId="0" borderId="0"/>
    <xf numFmtId="166" fontId="1" fillId="0" borderId="0" applyFont="0" applyFill="0" applyBorder="0" applyAlignment="0" applyProtection="0"/>
    <xf numFmtId="165" fontId="1" fillId="0" borderId="0" applyFont="0" applyFill="0" applyBorder="0" applyAlignment="0" applyProtection="0"/>
  </cellStyleXfs>
  <cellXfs count="471">
    <xf numFmtId="0" fontId="0" fillId="0" borderId="0" xfId="0"/>
    <xf numFmtId="0" fontId="2" fillId="0" borderId="1" xfId="0" applyFont="1" applyFill="1" applyBorder="1" applyAlignment="1">
      <alignment horizontal="right" vertical="center"/>
    </xf>
    <xf numFmtId="0" fontId="2" fillId="0" borderId="1" xfId="0" applyFont="1" applyBorder="1" applyAlignment="1">
      <alignment vertical="center"/>
    </xf>
    <xf numFmtId="49" fontId="2" fillId="0" borderId="1" xfId="0" applyNumberFormat="1" applyFont="1" applyBorder="1" applyAlignment="1">
      <alignment horizontal="center" vertical="center"/>
    </xf>
    <xf numFmtId="0" fontId="2" fillId="0" borderId="1" xfId="0" applyFont="1" applyBorder="1" applyAlignment="1">
      <alignment horizontal="right" vertical="center"/>
    </xf>
    <xf numFmtId="0" fontId="2" fillId="0" borderId="1" xfId="0" applyFont="1" applyBorder="1" applyAlignment="1">
      <alignment horizontal="justify" vertical="center" wrapText="1"/>
    </xf>
    <xf numFmtId="0" fontId="6" fillId="0" borderId="1" xfId="0" applyFont="1" applyBorder="1" applyAlignment="1">
      <alignment horizontal="center" vertical="center"/>
    </xf>
    <xf numFmtId="0" fontId="2" fillId="0" borderId="1" xfId="0" applyFont="1" applyBorder="1" applyAlignment="1">
      <alignment vertical="center" wrapText="1"/>
    </xf>
    <xf numFmtId="0" fontId="11" fillId="0" borderId="1" xfId="0" applyFont="1" applyBorder="1" applyAlignment="1">
      <alignment horizontal="center" vertical="center"/>
    </xf>
    <xf numFmtId="0" fontId="12" fillId="0" borderId="1" xfId="0" applyFont="1" applyBorder="1" applyAlignment="1">
      <alignment horizontal="center" vertical="center" wrapText="1"/>
    </xf>
    <xf numFmtId="0" fontId="9" fillId="0" borderId="1" xfId="0" applyFont="1" applyBorder="1" applyAlignment="1">
      <alignment horizontal="center" vertical="center" wrapText="1"/>
    </xf>
    <xf numFmtId="0" fontId="2" fillId="2" borderId="1" xfId="0" applyFont="1" applyFill="1" applyBorder="1" applyAlignment="1">
      <alignment horizontal="right" vertical="center"/>
    </xf>
    <xf numFmtId="0" fontId="11" fillId="0" borderId="1" xfId="0" applyFont="1" applyBorder="1" applyAlignment="1">
      <alignment horizontal="center" vertical="center" wrapText="1"/>
    </xf>
    <xf numFmtId="0" fontId="12" fillId="2" borderId="1" xfId="0" applyFont="1" applyFill="1" applyBorder="1" applyAlignment="1">
      <alignment horizontal="center" vertical="center" wrapText="1"/>
    </xf>
    <xf numFmtId="49" fontId="2" fillId="2" borderId="1" xfId="0" applyNumberFormat="1" applyFont="1" applyFill="1" applyBorder="1" applyAlignment="1">
      <alignment horizontal="center" vertical="center"/>
    </xf>
    <xf numFmtId="0" fontId="15" fillId="2" borderId="0" xfId="0" applyFont="1" applyFill="1" applyAlignment="1">
      <alignment horizontal="left"/>
    </xf>
    <xf numFmtId="0" fontId="16" fillId="2" borderId="0" xfId="0" applyFont="1" applyFill="1" applyAlignment="1"/>
    <xf numFmtId="168" fontId="9" fillId="2" borderId="1" xfId="1" applyNumberFormat="1" applyFont="1" applyFill="1" applyBorder="1" applyAlignment="1">
      <alignment vertical="center"/>
    </xf>
    <xf numFmtId="168" fontId="10" fillId="2" borderId="1" xfId="1" applyNumberFormat="1" applyFont="1" applyFill="1" applyBorder="1" applyAlignment="1">
      <alignment vertical="center"/>
    </xf>
    <xf numFmtId="166" fontId="13" fillId="2" borderId="1" xfId="1" applyFont="1" applyFill="1" applyBorder="1" applyAlignment="1">
      <alignment vertical="center"/>
    </xf>
    <xf numFmtId="166" fontId="10" fillId="2" borderId="1" xfId="1" applyFont="1" applyFill="1" applyBorder="1" applyAlignment="1">
      <alignment vertical="center"/>
    </xf>
    <xf numFmtId="165" fontId="10" fillId="2" borderId="1" xfId="1" applyNumberFormat="1" applyFont="1" applyFill="1" applyBorder="1" applyAlignment="1">
      <alignment vertical="center"/>
    </xf>
    <xf numFmtId="44" fontId="10" fillId="2" borderId="1" xfId="1" applyNumberFormat="1" applyFont="1" applyFill="1" applyBorder="1" applyAlignment="1">
      <alignment vertical="center"/>
    </xf>
    <xf numFmtId="169" fontId="10" fillId="2" borderId="1" xfId="1" applyNumberFormat="1" applyFont="1" applyFill="1" applyBorder="1" applyAlignment="1">
      <alignment vertical="center"/>
    </xf>
    <xf numFmtId="44" fontId="10" fillId="2" borderId="1" xfId="0" applyNumberFormat="1" applyFont="1" applyFill="1" applyBorder="1" applyAlignment="1">
      <alignment vertical="center"/>
    </xf>
    <xf numFmtId="0" fontId="2" fillId="0" borderId="1" xfId="0" applyFont="1" applyBorder="1" applyAlignment="1">
      <alignment horizontal="left" vertical="center"/>
    </xf>
    <xf numFmtId="168" fontId="9" fillId="0" borderId="1" xfId="1" applyNumberFormat="1" applyFont="1" applyBorder="1" applyAlignment="1">
      <alignment vertical="center"/>
    </xf>
    <xf numFmtId="166" fontId="10" fillId="4" borderId="1" xfId="1" applyFont="1" applyFill="1" applyBorder="1" applyAlignment="1">
      <alignment vertical="center"/>
    </xf>
    <xf numFmtId="165" fontId="10" fillId="4" borderId="1" xfId="1" applyNumberFormat="1" applyFont="1" applyFill="1" applyBorder="1" applyAlignment="1">
      <alignment vertical="center"/>
    </xf>
    <xf numFmtId="168" fontId="10" fillId="4" borderId="1" xfId="1" applyNumberFormat="1" applyFont="1" applyFill="1" applyBorder="1" applyAlignment="1">
      <alignment vertical="center"/>
    </xf>
    <xf numFmtId="44" fontId="10" fillId="4" borderId="1" xfId="1" applyNumberFormat="1" applyFont="1" applyFill="1" applyBorder="1" applyAlignment="1">
      <alignment vertical="center"/>
    </xf>
    <xf numFmtId="44" fontId="10" fillId="0" borderId="1" xfId="1" applyNumberFormat="1" applyFont="1" applyFill="1" applyBorder="1" applyAlignment="1">
      <alignment vertical="center"/>
    </xf>
    <xf numFmtId="166" fontId="13" fillId="4" borderId="1" xfId="1" applyFont="1" applyFill="1" applyBorder="1" applyAlignment="1">
      <alignment vertical="center"/>
    </xf>
    <xf numFmtId="168" fontId="10" fillId="0" borderId="1" xfId="1" applyNumberFormat="1" applyFont="1" applyBorder="1" applyAlignment="1">
      <alignment vertical="center"/>
    </xf>
    <xf numFmtId="166" fontId="10" fillId="0" borderId="1" xfId="1" applyFont="1" applyFill="1" applyBorder="1" applyAlignment="1">
      <alignment vertical="center"/>
    </xf>
    <xf numFmtId="168" fontId="10" fillId="0" borderId="1" xfId="1" applyNumberFormat="1" applyFont="1" applyFill="1" applyBorder="1" applyAlignment="1">
      <alignment vertical="center"/>
    </xf>
    <xf numFmtId="0" fontId="7" fillId="3" borderId="1" xfId="0" applyFont="1" applyFill="1" applyBorder="1" applyAlignment="1">
      <alignment horizontal="center" vertical="center" wrapText="1"/>
    </xf>
    <xf numFmtId="168" fontId="8" fillId="3"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168" fontId="8" fillId="5" borderId="1" xfId="0" applyNumberFormat="1" applyFont="1" applyFill="1" applyBorder="1" applyAlignment="1">
      <alignment horizontal="center" vertical="center" wrapText="1"/>
    </xf>
    <xf numFmtId="0" fontId="22" fillId="5" borderId="1" xfId="0" applyFont="1" applyFill="1" applyBorder="1" applyAlignment="1">
      <alignment horizontal="center" vertical="center" wrapText="1"/>
    </xf>
    <xf numFmtId="168" fontId="22" fillId="5" borderId="1" xfId="0" applyNumberFormat="1" applyFont="1" applyFill="1" applyBorder="1" applyAlignment="1">
      <alignment horizontal="center" vertical="center" wrapText="1"/>
    </xf>
    <xf numFmtId="168" fontId="9" fillId="3" borderId="1" xfId="0" applyNumberFormat="1" applyFont="1" applyFill="1" applyBorder="1" applyAlignment="1">
      <alignment horizontal="center" vertical="center" wrapText="1"/>
    </xf>
    <xf numFmtId="0" fontId="26" fillId="0" borderId="1" xfId="0" applyFont="1" applyBorder="1"/>
    <xf numFmtId="168" fontId="2" fillId="3" borderId="1" xfId="0" applyNumberFormat="1" applyFont="1" applyFill="1" applyBorder="1" applyAlignment="1">
      <alignment horizontal="center" vertical="center" wrapText="1"/>
    </xf>
    <xf numFmtId="0" fontId="27" fillId="3" borderId="1" xfId="0" applyFont="1" applyFill="1" applyBorder="1" applyAlignment="1">
      <alignment horizontal="center" vertical="center" wrapText="1"/>
    </xf>
    <xf numFmtId="0" fontId="0" fillId="0" borderId="1" xfId="0" applyBorder="1"/>
    <xf numFmtId="0" fontId="8" fillId="6" borderId="1" xfId="0" applyFont="1" applyFill="1" applyBorder="1" applyAlignment="1">
      <alignment horizontal="center" vertical="center" wrapText="1"/>
    </xf>
    <xf numFmtId="168" fontId="8" fillId="6" borderId="1" xfId="0" applyNumberFormat="1" applyFont="1" applyFill="1" applyBorder="1" applyAlignment="1">
      <alignment horizontal="center" vertical="center" wrapText="1"/>
    </xf>
    <xf numFmtId="168" fontId="9" fillId="2" borderId="1" xfId="0" applyNumberFormat="1" applyFont="1" applyFill="1" applyBorder="1" applyAlignment="1">
      <alignment horizontal="center" vertical="center" wrapText="1"/>
    </xf>
    <xf numFmtId="168" fontId="30" fillId="2" borderId="1" xfId="0" applyNumberFormat="1" applyFont="1" applyFill="1" applyBorder="1" applyAlignment="1">
      <alignment horizontal="center" vertical="center" wrapText="1"/>
    </xf>
    <xf numFmtId="0" fontId="26" fillId="2" borderId="1" xfId="0" applyFont="1" applyFill="1" applyBorder="1"/>
    <xf numFmtId="0" fontId="9" fillId="2" borderId="1" xfId="0" applyFont="1" applyFill="1" applyBorder="1" applyAlignment="1">
      <alignment horizontal="justify" vertical="center" wrapText="1"/>
    </xf>
    <xf numFmtId="0" fontId="2" fillId="2" borderId="1" xfId="0" applyFont="1" applyFill="1" applyBorder="1" applyAlignment="1">
      <alignment horizontal="justify" vertical="center" wrapText="1"/>
    </xf>
    <xf numFmtId="0" fontId="6" fillId="2" borderId="1" xfId="0" applyFont="1" applyFill="1" applyBorder="1" applyAlignment="1">
      <alignment horizontal="center" vertical="center"/>
    </xf>
    <xf numFmtId="0" fontId="0" fillId="2" borderId="1" xfId="0" applyFill="1" applyBorder="1"/>
    <xf numFmtId="0" fontId="2" fillId="2" borderId="1" xfId="0" applyFont="1" applyFill="1" applyBorder="1" applyAlignment="1">
      <alignment vertical="center" wrapText="1"/>
    </xf>
    <xf numFmtId="0" fontId="5" fillId="2" borderId="1" xfId="0" applyFont="1" applyFill="1" applyBorder="1" applyAlignment="1">
      <alignment horizontal="center" vertical="center" wrapText="1"/>
    </xf>
    <xf numFmtId="0" fontId="2" fillId="2" borderId="1" xfId="0" applyFont="1" applyFill="1" applyBorder="1" applyAlignment="1">
      <alignment horizontal="justify" vertical="center"/>
    </xf>
    <xf numFmtId="0" fontId="9"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168" fontId="8" fillId="2"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168" fontId="2" fillId="2" borderId="1" xfId="0" applyNumberFormat="1" applyFont="1" applyFill="1" applyBorder="1" applyAlignment="1">
      <alignment horizontal="center" vertical="center" wrapText="1"/>
    </xf>
    <xf numFmtId="0" fontId="27" fillId="2" borderId="1" xfId="0" applyFont="1" applyFill="1" applyBorder="1" applyAlignment="1">
      <alignment horizontal="center" vertical="center" wrapText="1"/>
    </xf>
    <xf numFmtId="0" fontId="2" fillId="2" borderId="1" xfId="0" applyFont="1" applyFill="1" applyBorder="1" applyAlignment="1">
      <alignment horizontal="right" vertical="center" wrapText="1"/>
    </xf>
    <xf numFmtId="0" fontId="6" fillId="2" borderId="1" xfId="0" applyFont="1" applyFill="1" applyBorder="1" applyAlignment="1">
      <alignment horizontal="left" vertical="center"/>
    </xf>
    <xf numFmtId="0" fontId="2" fillId="2" borderId="1" xfId="0" applyFont="1" applyFill="1" applyBorder="1" applyAlignment="1">
      <alignment vertical="center"/>
    </xf>
    <xf numFmtId="0" fontId="31" fillId="2" borderId="0" xfId="0" applyFont="1" applyFill="1" applyAlignment="1">
      <alignment horizontal="center"/>
    </xf>
    <xf numFmtId="0" fontId="2" fillId="2" borderId="1" xfId="0" applyFont="1" applyFill="1" applyBorder="1" applyAlignment="1">
      <alignment horizontal="justify" vertical="top" wrapText="1"/>
    </xf>
    <xf numFmtId="0" fontId="31" fillId="2" borderId="0" xfId="0" applyFont="1" applyFill="1" applyAlignment="1">
      <alignment horizontal="center"/>
    </xf>
    <xf numFmtId="0" fontId="26" fillId="0" borderId="0" xfId="0" applyFont="1"/>
    <xf numFmtId="14" fontId="32" fillId="0" borderId="0" xfId="0" applyNumberFormat="1" applyFont="1" applyFill="1" applyBorder="1"/>
    <xf numFmtId="0" fontId="33" fillId="0" borderId="0" xfId="0" applyFont="1" applyFill="1" applyBorder="1"/>
    <xf numFmtId="14" fontId="34" fillId="0" borderId="0" xfId="0" applyNumberFormat="1" applyFont="1" applyFill="1" applyBorder="1" applyAlignment="1">
      <alignment horizontal="center"/>
    </xf>
    <xf numFmtId="167" fontId="32" fillId="0" borderId="0" xfId="0" applyNumberFormat="1" applyFont="1" applyFill="1" applyBorder="1" applyAlignment="1"/>
    <xf numFmtId="0" fontId="32" fillId="0" borderId="0" xfId="0" applyFont="1" applyFill="1" applyBorder="1" applyAlignment="1">
      <alignment vertical="center" wrapText="1"/>
    </xf>
    <xf numFmtId="0" fontId="33" fillId="0" borderId="0" xfId="0" applyFont="1"/>
    <xf numFmtId="14" fontId="35" fillId="0" borderId="0" xfId="0" applyNumberFormat="1" applyFont="1" applyFill="1" applyBorder="1" applyAlignment="1">
      <alignment horizontal="center"/>
    </xf>
    <xf numFmtId="0" fontId="32" fillId="0" borderId="0" xfId="0" applyFont="1" applyFill="1" applyBorder="1" applyAlignment="1">
      <alignment wrapText="1"/>
    </xf>
    <xf numFmtId="44" fontId="36" fillId="0" borderId="8" xfId="0" applyNumberFormat="1" applyFont="1" applyFill="1" applyBorder="1" applyAlignment="1">
      <alignment wrapText="1"/>
    </xf>
    <xf numFmtId="0" fontId="0" fillId="0" borderId="0" xfId="0" applyAlignment="1">
      <alignment vertical="center" wrapText="1"/>
    </xf>
    <xf numFmtId="0" fontId="37" fillId="0" borderId="0" xfId="0" applyFont="1" applyAlignment="1">
      <alignment vertical="center"/>
    </xf>
    <xf numFmtId="0" fontId="0" fillId="0" borderId="0" xfId="0" applyAlignment="1">
      <alignment vertical="center"/>
    </xf>
    <xf numFmtId="168" fontId="38" fillId="0" borderId="4" xfId="0" applyNumberFormat="1" applyFont="1" applyBorder="1" applyAlignment="1">
      <alignment vertical="center"/>
    </xf>
    <xf numFmtId="168" fontId="39" fillId="0" borderId="4" xfId="1" applyNumberFormat="1" applyFont="1" applyBorder="1" applyAlignment="1">
      <alignment vertical="center"/>
    </xf>
    <xf numFmtId="168" fontId="39" fillId="0" borderId="4" xfId="0" applyNumberFormat="1" applyFont="1" applyBorder="1" applyAlignment="1">
      <alignment vertical="center"/>
    </xf>
    <xf numFmtId="168" fontId="38" fillId="0" borderId="5" xfId="0" applyNumberFormat="1" applyFont="1" applyBorder="1" applyAlignment="1">
      <alignment vertical="center"/>
    </xf>
    <xf numFmtId="168" fontId="39" fillId="0" borderId="5" xfId="1" applyNumberFormat="1" applyFont="1" applyBorder="1" applyAlignment="1">
      <alignment vertical="center"/>
    </xf>
    <xf numFmtId="168" fontId="38" fillId="0" borderId="5" xfId="1" applyNumberFormat="1" applyFont="1" applyBorder="1" applyAlignment="1">
      <alignment vertical="center"/>
    </xf>
    <xf numFmtId="168" fontId="38" fillId="0" borderId="6" xfId="1" applyNumberFormat="1" applyFont="1" applyBorder="1" applyAlignment="1">
      <alignment vertical="center"/>
    </xf>
    <xf numFmtId="168" fontId="39" fillId="0" borderId="6" xfId="1" applyNumberFormat="1" applyFont="1" applyBorder="1" applyAlignment="1">
      <alignment vertical="center"/>
    </xf>
    <xf numFmtId="168" fontId="38" fillId="0" borderId="7" xfId="0" applyNumberFormat="1" applyFont="1" applyBorder="1" applyAlignment="1">
      <alignment vertical="center"/>
    </xf>
    <xf numFmtId="0" fontId="31" fillId="2" borderId="0" xfId="0" applyFont="1" applyFill="1" applyAlignment="1">
      <alignment horizontal="center"/>
    </xf>
    <xf numFmtId="168" fontId="9" fillId="5" borderId="1" xfId="0" applyNumberFormat="1" applyFont="1" applyFill="1" applyBorder="1" applyAlignment="1">
      <alignment horizontal="center" vertical="center" wrapText="1"/>
    </xf>
    <xf numFmtId="168" fontId="38" fillId="0" borderId="9" xfId="1" applyNumberFormat="1" applyFont="1" applyBorder="1" applyAlignment="1">
      <alignment vertical="center"/>
    </xf>
    <xf numFmtId="168" fontId="39" fillId="0" borderId="9" xfId="1" applyNumberFormat="1" applyFont="1" applyBorder="1" applyAlignment="1">
      <alignment vertical="center"/>
    </xf>
    <xf numFmtId="168" fontId="38" fillId="0" borderId="9" xfId="0" applyNumberFormat="1" applyFont="1" applyBorder="1" applyAlignment="1">
      <alignment vertical="center"/>
    </xf>
    <xf numFmtId="49" fontId="8" fillId="5" borderId="1" xfId="0" applyNumberFormat="1" applyFont="1" applyFill="1" applyBorder="1" applyAlignment="1">
      <alignment horizontal="center" vertical="center" wrapText="1"/>
    </xf>
    <xf numFmtId="168" fontId="40" fillId="7" borderId="1" xfId="0" applyNumberFormat="1" applyFont="1" applyFill="1" applyBorder="1" applyAlignment="1">
      <alignment horizontal="center" vertical="center" wrapText="1"/>
    </xf>
    <xf numFmtId="168" fontId="42" fillId="7" borderId="1" xfId="0" applyNumberFormat="1" applyFont="1" applyFill="1" applyBorder="1" applyAlignment="1">
      <alignment horizontal="center" vertical="center" wrapText="1"/>
    </xf>
    <xf numFmtId="168" fontId="42" fillId="7" borderId="9" xfId="0" applyNumberFormat="1" applyFont="1" applyFill="1" applyBorder="1" applyAlignment="1">
      <alignment horizontal="center" vertical="center" wrapText="1"/>
    </xf>
    <xf numFmtId="168" fontId="40" fillId="7" borderId="9" xfId="0" applyNumberFormat="1" applyFont="1" applyFill="1" applyBorder="1" applyAlignment="1">
      <alignment horizontal="center" vertical="center" wrapText="1"/>
    </xf>
    <xf numFmtId="168" fontId="40" fillId="7" borderId="2" xfId="0" applyNumberFormat="1" applyFont="1" applyFill="1" applyBorder="1" applyAlignment="1">
      <alignment horizontal="center" vertical="center" wrapText="1"/>
    </xf>
    <xf numFmtId="168" fontId="40" fillId="7" borderId="3" xfId="0" applyNumberFormat="1" applyFont="1" applyFill="1" applyBorder="1" applyAlignment="1">
      <alignment horizontal="center" vertical="center" wrapText="1"/>
    </xf>
    <xf numFmtId="0" fontId="31" fillId="2" borderId="0" xfId="0" applyFont="1" applyFill="1" applyAlignment="1">
      <alignment horizontal="center"/>
    </xf>
    <xf numFmtId="168" fontId="10" fillId="5" borderId="1" xfId="0" applyNumberFormat="1" applyFont="1" applyFill="1" applyBorder="1" applyAlignment="1">
      <alignment horizontal="center" vertical="center" wrapText="1"/>
    </xf>
    <xf numFmtId="168" fontId="10" fillId="2" borderId="1" xfId="0" applyNumberFormat="1" applyFont="1" applyFill="1" applyBorder="1" applyAlignment="1">
      <alignment horizontal="center" vertical="center" wrapText="1"/>
    </xf>
    <xf numFmtId="168" fontId="38" fillId="0" borderId="10" xfId="0" applyNumberFormat="1" applyFont="1" applyBorder="1" applyAlignment="1">
      <alignment vertical="center"/>
    </xf>
    <xf numFmtId="168" fontId="40" fillId="7" borderId="11" xfId="0" applyNumberFormat="1" applyFont="1" applyFill="1" applyBorder="1" applyAlignment="1">
      <alignment horizontal="center" vertical="center" wrapText="1"/>
    </xf>
    <xf numFmtId="168" fontId="43" fillId="7" borderId="11" xfId="0" applyNumberFormat="1" applyFont="1" applyFill="1" applyBorder="1" applyAlignment="1">
      <alignment horizontal="center" vertical="center" wrapText="1"/>
    </xf>
    <xf numFmtId="168" fontId="44" fillId="7" borderId="3" xfId="0" applyNumberFormat="1" applyFont="1" applyFill="1" applyBorder="1" applyAlignment="1">
      <alignment horizontal="center" vertical="center" wrapText="1"/>
    </xf>
    <xf numFmtId="168" fontId="45" fillId="7" borderId="3" xfId="0" applyNumberFormat="1" applyFont="1" applyFill="1" applyBorder="1" applyAlignment="1">
      <alignment horizontal="center" vertical="center" wrapText="1"/>
    </xf>
    <xf numFmtId="168" fontId="46" fillId="0" borderId="4" xfId="0" applyNumberFormat="1" applyFont="1" applyBorder="1" applyAlignment="1">
      <alignment vertical="center"/>
    </xf>
    <xf numFmtId="168" fontId="47" fillId="0" borderId="4" xfId="1" applyNumberFormat="1" applyFont="1" applyBorder="1" applyAlignment="1">
      <alignment vertical="center"/>
    </xf>
    <xf numFmtId="168" fontId="47" fillId="0" borderId="4" xfId="0" applyNumberFormat="1" applyFont="1" applyBorder="1" applyAlignment="1">
      <alignment vertical="center"/>
    </xf>
    <xf numFmtId="168" fontId="46" fillId="0" borderId="5" xfId="0" applyNumberFormat="1" applyFont="1" applyBorder="1" applyAlignment="1">
      <alignment vertical="center"/>
    </xf>
    <xf numFmtId="168" fontId="47" fillId="0" borderId="5" xfId="1" applyNumberFormat="1" applyFont="1" applyBorder="1" applyAlignment="1">
      <alignment vertical="center"/>
    </xf>
    <xf numFmtId="168" fontId="46" fillId="0" borderId="5" xfId="1" applyNumberFormat="1" applyFont="1" applyBorder="1" applyAlignment="1">
      <alignment vertical="center"/>
    </xf>
    <xf numFmtId="168" fontId="46" fillId="0" borderId="6" xfId="1" applyNumberFormat="1" applyFont="1" applyBorder="1" applyAlignment="1">
      <alignment vertical="center"/>
    </xf>
    <xf numFmtId="168" fontId="47" fillId="0" borderId="6" xfId="1" applyNumberFormat="1" applyFont="1" applyBorder="1" applyAlignment="1">
      <alignment vertical="center"/>
    </xf>
    <xf numFmtId="168" fontId="46" fillId="0" borderId="7" xfId="0" applyNumberFormat="1" applyFont="1" applyBorder="1" applyAlignment="1">
      <alignment vertical="center"/>
    </xf>
    <xf numFmtId="168" fontId="46" fillId="0" borderId="9" xfId="1" applyNumberFormat="1" applyFont="1" applyBorder="1" applyAlignment="1">
      <alignment vertical="center"/>
    </xf>
    <xf numFmtId="168" fontId="47" fillId="0" borderId="9" xfId="1" applyNumberFormat="1" applyFont="1" applyBorder="1" applyAlignment="1">
      <alignment vertical="center"/>
    </xf>
    <xf numFmtId="168" fontId="46" fillId="0" borderId="9" xfId="0" applyNumberFormat="1" applyFont="1" applyBorder="1" applyAlignment="1">
      <alignment vertical="center"/>
    </xf>
    <xf numFmtId="168" fontId="10" fillId="3" borderId="1" xfId="0" applyNumberFormat="1" applyFont="1" applyFill="1" applyBorder="1" applyAlignment="1">
      <alignment horizontal="center" vertical="center" wrapText="1"/>
    </xf>
    <xf numFmtId="165" fontId="48" fillId="2" borderId="1" xfId="2" applyFont="1" applyFill="1" applyBorder="1" applyAlignment="1">
      <alignment vertical="center"/>
    </xf>
    <xf numFmtId="165" fontId="10" fillId="2" borderId="1" xfId="2" applyFont="1" applyFill="1" applyBorder="1" applyAlignment="1">
      <alignment horizontal="right" vertical="center"/>
    </xf>
    <xf numFmtId="165" fontId="10" fillId="2" borderId="1" xfId="2" applyFont="1" applyFill="1" applyBorder="1" applyAlignment="1">
      <alignment horizontal="justify" vertical="center" wrapText="1"/>
    </xf>
    <xf numFmtId="168" fontId="0" fillId="0" borderId="0" xfId="0" applyNumberFormat="1"/>
    <xf numFmtId="168" fontId="38" fillId="0" borderId="1" xfId="0" applyNumberFormat="1" applyFont="1" applyBorder="1" applyAlignment="1">
      <alignment vertical="center"/>
    </xf>
    <xf numFmtId="168" fontId="39" fillId="0" borderId="1" xfId="1" applyNumberFormat="1" applyFont="1" applyBorder="1" applyAlignment="1">
      <alignment vertical="center"/>
    </xf>
    <xf numFmtId="168" fontId="38" fillId="0" borderId="1" xfId="1" applyNumberFormat="1" applyFont="1" applyBorder="1" applyAlignment="1">
      <alignment vertical="center"/>
    </xf>
    <xf numFmtId="168" fontId="9" fillId="0" borderId="1" xfId="1" applyNumberFormat="1" applyFont="1" applyFill="1" applyBorder="1" applyAlignment="1">
      <alignment vertical="center"/>
    </xf>
    <xf numFmtId="168" fontId="10" fillId="0" borderId="1" xfId="0" applyNumberFormat="1" applyFont="1" applyFill="1" applyBorder="1" applyAlignment="1">
      <alignment horizontal="center" vertical="center" wrapText="1"/>
    </xf>
    <xf numFmtId="0" fontId="26" fillId="0" borderId="1" xfId="0" applyFont="1" applyFill="1" applyBorder="1"/>
    <xf numFmtId="165" fontId="48" fillId="2" borderId="1" xfId="2" applyFont="1" applyFill="1" applyBorder="1" applyAlignment="1">
      <alignment horizontal="center" vertical="center"/>
    </xf>
    <xf numFmtId="168" fontId="49" fillId="2" borderId="1" xfId="1" applyNumberFormat="1" applyFont="1" applyFill="1" applyBorder="1" applyAlignment="1">
      <alignment vertical="center"/>
    </xf>
    <xf numFmtId="0" fontId="8" fillId="0" borderId="1" xfId="0" applyFont="1" applyFill="1" applyBorder="1" applyAlignment="1">
      <alignment horizontal="center" vertical="center" wrapText="1"/>
    </xf>
    <xf numFmtId="168" fontId="8" fillId="0" borderId="1" xfId="0" applyNumberFormat="1" applyFont="1" applyFill="1" applyBorder="1" applyAlignment="1">
      <alignment horizontal="center" vertical="center" wrapText="1"/>
    </xf>
    <xf numFmtId="0" fontId="9" fillId="2" borderId="1" xfId="0" applyFont="1" applyFill="1" applyBorder="1" applyAlignment="1">
      <alignment horizontal="right" vertical="center"/>
    </xf>
    <xf numFmtId="165" fontId="48" fillId="2" borderId="1" xfId="2" applyFont="1" applyFill="1" applyBorder="1"/>
    <xf numFmtId="165" fontId="48" fillId="0" borderId="1" xfId="2" applyFont="1" applyFill="1" applyBorder="1" applyAlignment="1">
      <alignment horizontal="center" vertical="center"/>
    </xf>
    <xf numFmtId="0" fontId="9" fillId="2" borderId="1" xfId="0" applyFont="1" applyFill="1" applyBorder="1" applyAlignment="1">
      <alignment horizontal="center" vertical="center"/>
    </xf>
    <xf numFmtId="0" fontId="17" fillId="2" borderId="1" xfId="0" applyFont="1" applyFill="1" applyBorder="1" applyAlignment="1">
      <alignment horizontal="justify" vertical="center" wrapText="1"/>
    </xf>
    <xf numFmtId="0" fontId="12" fillId="2" borderId="1" xfId="0" applyFont="1" applyFill="1" applyBorder="1" applyAlignment="1">
      <alignment horizontal="justify" vertical="center" wrapText="1"/>
    </xf>
    <xf numFmtId="0" fontId="17" fillId="2" borderId="1" xfId="0" applyFont="1" applyFill="1" applyBorder="1" applyAlignment="1">
      <alignment horizontal="right" vertical="center"/>
    </xf>
    <xf numFmtId="0" fontId="2" fillId="2" borderId="1" xfId="0" applyFont="1" applyFill="1" applyBorder="1" applyAlignment="1">
      <alignment horizontal="center" vertical="center"/>
    </xf>
    <xf numFmtId="0" fontId="2" fillId="2" borderId="1" xfId="0" applyFont="1" applyFill="1" applyBorder="1" applyAlignment="1">
      <alignment horizontal="justify" wrapText="1"/>
    </xf>
    <xf numFmtId="0" fontId="9" fillId="0" borderId="1" xfId="0" applyFont="1" applyBorder="1" applyAlignment="1">
      <alignment horizontal="justify" vertical="center" wrapText="1"/>
    </xf>
    <xf numFmtId="0" fontId="9" fillId="2" borderId="1" xfId="0" applyFont="1" applyFill="1" applyBorder="1" applyAlignment="1">
      <alignment horizontal="justify" vertical="top" wrapText="1"/>
    </xf>
    <xf numFmtId="0" fontId="2" fillId="2" borderId="9" xfId="0" applyFont="1" applyFill="1" applyBorder="1" applyAlignment="1">
      <alignment horizontal="right" vertical="center"/>
    </xf>
    <xf numFmtId="0" fontId="9" fillId="2" borderId="9" xfId="0" applyFont="1" applyFill="1" applyBorder="1" applyAlignment="1">
      <alignment horizontal="justify" vertical="top" wrapText="1"/>
    </xf>
    <xf numFmtId="0" fontId="11" fillId="0" borderId="9" xfId="0" applyFont="1" applyBorder="1" applyAlignment="1">
      <alignment horizontal="center" vertical="center" wrapText="1"/>
    </xf>
    <xf numFmtId="49" fontId="2" fillId="0" borderId="9" xfId="0" applyNumberFormat="1" applyFont="1" applyBorder="1" applyAlignment="1">
      <alignment horizontal="center" vertical="center"/>
    </xf>
    <xf numFmtId="168" fontId="9" fillId="3" borderId="9" xfId="0" applyNumberFormat="1" applyFont="1" applyFill="1" applyBorder="1" applyAlignment="1">
      <alignment horizontal="center" vertical="center" wrapText="1"/>
    </xf>
    <xf numFmtId="168" fontId="30" fillId="2" borderId="9" xfId="0" applyNumberFormat="1" applyFont="1" applyFill="1" applyBorder="1" applyAlignment="1">
      <alignment horizontal="center" vertical="center" wrapText="1"/>
    </xf>
    <xf numFmtId="168" fontId="9" fillId="2" borderId="9" xfId="1" applyNumberFormat="1" applyFont="1" applyFill="1" applyBorder="1" applyAlignment="1">
      <alignment vertical="center"/>
    </xf>
    <xf numFmtId="0" fontId="26" fillId="0" borderId="9" xfId="0" applyFont="1" applyBorder="1"/>
    <xf numFmtId="0" fontId="7" fillId="5" borderId="12" xfId="0" applyFont="1" applyFill="1" applyBorder="1" applyAlignment="1">
      <alignment horizontal="center" vertical="center" wrapText="1"/>
    </xf>
    <xf numFmtId="0" fontId="8" fillId="5" borderId="12" xfId="0" applyFont="1" applyFill="1" applyBorder="1" applyAlignment="1">
      <alignment horizontal="center" vertical="center" wrapText="1"/>
    </xf>
    <xf numFmtId="168" fontId="8" fillId="5" borderId="12" xfId="0" applyNumberFormat="1" applyFont="1" applyFill="1" applyBorder="1" applyAlignment="1">
      <alignment horizontal="center" vertical="center" wrapText="1"/>
    </xf>
    <xf numFmtId="168" fontId="9" fillId="5" borderId="12" xfId="0" applyNumberFormat="1" applyFont="1" applyFill="1" applyBorder="1" applyAlignment="1">
      <alignment horizontal="center" vertical="center" wrapText="1"/>
    </xf>
    <xf numFmtId="0" fontId="2" fillId="2" borderId="9" xfId="0" applyFont="1" applyFill="1" applyBorder="1" applyAlignment="1">
      <alignment horizontal="justify" vertical="top" wrapText="1"/>
    </xf>
    <xf numFmtId="0" fontId="0" fillId="0" borderId="13" xfId="0" applyBorder="1"/>
    <xf numFmtId="0" fontId="0" fillId="0" borderId="14" xfId="0" applyBorder="1"/>
    <xf numFmtId="0" fontId="0" fillId="0" borderId="0" xfId="0" applyBorder="1"/>
    <xf numFmtId="0" fontId="9" fillId="2"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168" fontId="9" fillId="0" borderId="1" xfId="0" applyNumberFormat="1" applyFont="1" applyFill="1" applyBorder="1" applyAlignment="1">
      <alignment horizontal="center" vertical="center" wrapText="1"/>
    </xf>
    <xf numFmtId="0" fontId="0" fillId="0" borderId="0" xfId="0" applyFill="1"/>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left" wrapText="1"/>
    </xf>
    <xf numFmtId="0" fontId="53" fillId="0" borderId="1" xfId="0" applyFont="1" applyFill="1" applyBorder="1" applyAlignment="1">
      <alignment horizontal="center" vertical="center" wrapText="1"/>
    </xf>
    <xf numFmtId="0" fontId="54"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6" fillId="0" borderId="0" xfId="0" applyFont="1" applyFill="1"/>
    <xf numFmtId="0" fontId="2" fillId="0" borderId="1" xfId="0" applyFont="1" applyFill="1" applyBorder="1" applyAlignment="1">
      <alignment horizontal="justify" vertical="center" wrapText="1"/>
    </xf>
    <xf numFmtId="0" fontId="17" fillId="0" borderId="1" xfId="0" applyFont="1" applyFill="1" applyBorder="1" applyAlignment="1">
      <alignment horizontal="center" vertical="center" wrapText="1"/>
    </xf>
    <xf numFmtId="168" fontId="2" fillId="0" borderId="1" xfId="0" applyNumberFormat="1" applyFont="1" applyFill="1" applyBorder="1" applyAlignment="1">
      <alignment horizontal="center" vertical="center" wrapText="1"/>
    </xf>
    <xf numFmtId="0" fontId="55" fillId="0" borderId="1" xfId="0" applyFont="1" applyFill="1" applyBorder="1" applyAlignment="1">
      <alignment horizontal="center" vertical="center" wrapText="1"/>
    </xf>
    <xf numFmtId="0" fontId="0" fillId="9" borderId="0" xfId="0" applyFill="1"/>
    <xf numFmtId="0" fontId="53" fillId="0" borderId="12" xfId="0" applyFont="1" applyFill="1" applyBorder="1" applyAlignment="1">
      <alignment horizontal="center" vertical="center" wrapText="1"/>
    </xf>
    <xf numFmtId="0" fontId="9" fillId="0" borderId="12" xfId="0" applyFont="1" applyFill="1" applyBorder="1" applyAlignment="1">
      <alignment horizontal="left" wrapText="1"/>
    </xf>
    <xf numFmtId="0" fontId="8" fillId="0" borderId="12" xfId="0" applyFont="1" applyFill="1" applyBorder="1" applyAlignment="1">
      <alignment horizontal="center" vertical="center" wrapText="1"/>
    </xf>
    <xf numFmtId="49" fontId="2" fillId="2" borderId="12" xfId="0" applyNumberFormat="1" applyFont="1" applyFill="1" applyBorder="1" applyAlignment="1">
      <alignment horizontal="center" vertical="center"/>
    </xf>
    <xf numFmtId="168" fontId="9" fillId="0" borderId="12" xfId="0" applyNumberFormat="1" applyFont="1" applyFill="1" applyBorder="1" applyAlignment="1">
      <alignment horizontal="center" vertical="center" wrapText="1"/>
    </xf>
    <xf numFmtId="168" fontId="9" fillId="2" borderId="12" xfId="1" applyNumberFormat="1" applyFont="1" applyFill="1" applyBorder="1" applyAlignment="1">
      <alignment vertical="center"/>
    </xf>
    <xf numFmtId="168" fontId="8" fillId="0" borderId="12" xfId="0" applyNumberFormat="1" applyFont="1" applyFill="1" applyBorder="1" applyAlignment="1">
      <alignment horizontal="center" vertical="center" wrapText="1"/>
    </xf>
    <xf numFmtId="0" fontId="53" fillId="0" borderId="15" xfId="0" applyFont="1" applyFill="1" applyBorder="1" applyAlignment="1">
      <alignment horizontal="center" vertical="center" wrapText="1"/>
    </xf>
    <xf numFmtId="0" fontId="9" fillId="0" borderId="15" xfId="0" applyFont="1" applyFill="1" applyBorder="1" applyAlignment="1">
      <alignment horizontal="left" wrapText="1"/>
    </xf>
    <xf numFmtId="0" fontId="8" fillId="0" borderId="15" xfId="0" applyFont="1" applyFill="1" applyBorder="1" applyAlignment="1">
      <alignment horizontal="center" vertical="center" wrapText="1"/>
    </xf>
    <xf numFmtId="49" fontId="2" fillId="2" borderId="15" xfId="0" applyNumberFormat="1" applyFont="1" applyFill="1" applyBorder="1" applyAlignment="1">
      <alignment horizontal="center" vertical="center"/>
    </xf>
    <xf numFmtId="168" fontId="9" fillId="0" borderId="15" xfId="0" applyNumberFormat="1" applyFont="1" applyFill="1" applyBorder="1" applyAlignment="1">
      <alignment horizontal="center" vertical="center" wrapText="1"/>
    </xf>
    <xf numFmtId="168" fontId="9" fillId="2" borderId="15" xfId="1" applyNumberFormat="1" applyFont="1" applyFill="1" applyBorder="1" applyAlignment="1">
      <alignment vertical="center"/>
    </xf>
    <xf numFmtId="168" fontId="8" fillId="0" borderId="15" xfId="0" applyNumberFormat="1" applyFont="1" applyFill="1" applyBorder="1" applyAlignment="1">
      <alignment horizontal="center" vertical="center" wrapText="1"/>
    </xf>
    <xf numFmtId="0" fontId="0" fillId="0" borderId="16" xfId="0" applyFill="1" applyBorder="1"/>
    <xf numFmtId="0" fontId="0" fillId="0" borderId="0" xfId="0" applyFill="1" applyBorder="1"/>
    <xf numFmtId="0" fontId="31" fillId="2" borderId="0" xfId="0" applyFont="1" applyFill="1" applyAlignment="1">
      <alignment horizontal="center"/>
    </xf>
    <xf numFmtId="168" fontId="42" fillId="0" borderId="1" xfId="0" applyNumberFormat="1" applyFont="1" applyFill="1" applyBorder="1" applyAlignment="1">
      <alignment horizontal="center" vertical="center" wrapText="1"/>
    </xf>
    <xf numFmtId="168" fontId="40" fillId="0" borderId="1" xfId="0" applyNumberFormat="1" applyFont="1" applyFill="1" applyBorder="1" applyAlignment="1">
      <alignment horizontal="center" vertical="center" wrapText="1"/>
    </xf>
    <xf numFmtId="168" fontId="46" fillId="0" borderId="5" xfId="1" applyNumberFormat="1" applyFont="1" applyFill="1" applyBorder="1" applyAlignment="1">
      <alignment vertical="center"/>
    </xf>
    <xf numFmtId="168" fontId="47" fillId="0" borderId="5" xfId="1" applyNumberFormat="1" applyFont="1" applyFill="1" applyBorder="1" applyAlignment="1">
      <alignment vertical="center"/>
    </xf>
    <xf numFmtId="168" fontId="46" fillId="0" borderId="4" xfId="0" applyNumberFormat="1" applyFont="1" applyFill="1" applyBorder="1" applyAlignment="1">
      <alignment vertical="center"/>
    </xf>
    <xf numFmtId="168" fontId="46" fillId="0" borderId="6" xfId="1" applyNumberFormat="1" applyFont="1" applyFill="1" applyBorder="1" applyAlignment="1">
      <alignment vertical="center"/>
    </xf>
    <xf numFmtId="0" fontId="9" fillId="2" borderId="1" xfId="1" applyNumberFormat="1" applyFont="1" applyFill="1" applyBorder="1" applyAlignment="1">
      <alignment vertical="center"/>
    </xf>
    <xf numFmtId="168" fontId="9" fillId="10" borderId="1" xfId="1" applyNumberFormat="1" applyFont="1" applyFill="1" applyBorder="1" applyAlignment="1">
      <alignment vertical="center"/>
    </xf>
    <xf numFmtId="169" fontId="48" fillId="0" borderId="1" xfId="0" applyNumberFormat="1" applyFont="1" applyFill="1" applyBorder="1" applyAlignment="1">
      <alignment vertical="center"/>
    </xf>
    <xf numFmtId="168" fontId="56" fillId="0" borderId="1" xfId="0" applyNumberFormat="1" applyFont="1" applyFill="1" applyBorder="1" applyAlignment="1">
      <alignment horizontal="center" vertical="center" wrapText="1"/>
    </xf>
    <xf numFmtId="168" fontId="57" fillId="2" borderId="1" xfId="0" applyNumberFormat="1" applyFont="1" applyFill="1" applyBorder="1" applyAlignment="1">
      <alignment horizontal="center" vertical="center" wrapText="1"/>
    </xf>
    <xf numFmtId="168" fontId="58" fillId="2" borderId="1" xfId="0" applyNumberFormat="1" applyFont="1" applyFill="1" applyBorder="1" applyAlignment="1">
      <alignment horizontal="center" vertical="center" wrapText="1"/>
    </xf>
    <xf numFmtId="0" fontId="0" fillId="2" borderId="0" xfId="0" applyFill="1"/>
    <xf numFmtId="0" fontId="2" fillId="2" borderId="12" xfId="0" applyFont="1" applyFill="1" applyBorder="1" applyAlignment="1">
      <alignment horizontal="right" vertical="center"/>
    </xf>
    <xf numFmtId="0" fontId="2" fillId="2" borderId="12" xfId="0" applyFont="1" applyFill="1" applyBorder="1" applyAlignment="1">
      <alignment horizontal="justify" vertical="center" wrapText="1"/>
    </xf>
    <xf numFmtId="0" fontId="12" fillId="2" borderId="12" xfId="0" applyFont="1" applyFill="1" applyBorder="1" applyAlignment="1">
      <alignment horizontal="center" vertical="center" wrapText="1"/>
    </xf>
    <xf numFmtId="168" fontId="9" fillId="2" borderId="12" xfId="0" applyNumberFormat="1" applyFont="1" applyFill="1" applyBorder="1" applyAlignment="1">
      <alignment horizontal="center" vertical="center" wrapText="1"/>
    </xf>
    <xf numFmtId="168" fontId="30" fillId="2" borderId="12" xfId="0" applyNumberFormat="1" applyFont="1" applyFill="1" applyBorder="1" applyAlignment="1">
      <alignment horizontal="center" vertical="center" wrapText="1"/>
    </xf>
    <xf numFmtId="0" fontId="0" fillId="2" borderId="12" xfId="0" applyFill="1" applyBorder="1"/>
    <xf numFmtId="0" fontId="0" fillId="0" borderId="17" xfId="0" applyBorder="1"/>
    <xf numFmtId="0" fontId="2" fillId="10" borderId="12" xfId="0" applyFont="1" applyFill="1" applyBorder="1" applyAlignment="1">
      <alignment horizontal="right" vertical="center"/>
    </xf>
    <xf numFmtId="0" fontId="2" fillId="10" borderId="12" xfId="0" applyFont="1" applyFill="1" applyBorder="1" applyAlignment="1">
      <alignment horizontal="justify" vertical="center" wrapText="1"/>
    </xf>
    <xf numFmtId="0" fontId="12" fillId="10" borderId="12" xfId="0" applyFont="1" applyFill="1" applyBorder="1" applyAlignment="1">
      <alignment horizontal="center" vertical="center" wrapText="1"/>
    </xf>
    <xf numFmtId="49" fontId="2" fillId="10" borderId="12" xfId="0" applyNumberFormat="1" applyFont="1" applyFill="1" applyBorder="1" applyAlignment="1">
      <alignment horizontal="center" vertical="center"/>
    </xf>
    <xf numFmtId="168" fontId="9" fillId="10" borderId="12" xfId="0" applyNumberFormat="1" applyFont="1" applyFill="1" applyBorder="1" applyAlignment="1">
      <alignment horizontal="center" vertical="center" wrapText="1"/>
    </xf>
    <xf numFmtId="168" fontId="30" fillId="10" borderId="12" xfId="0" applyNumberFormat="1" applyFont="1" applyFill="1" applyBorder="1" applyAlignment="1">
      <alignment horizontal="center" vertical="center" wrapText="1"/>
    </xf>
    <xf numFmtId="168" fontId="9" fillId="10" borderId="12" xfId="1" applyNumberFormat="1" applyFont="1" applyFill="1" applyBorder="1" applyAlignment="1">
      <alignment vertical="center"/>
    </xf>
    <xf numFmtId="0" fontId="0" fillId="10" borderId="12" xfId="0" applyFill="1" applyBorder="1"/>
    <xf numFmtId="0" fontId="0" fillId="10" borderId="0" xfId="0" applyFill="1" applyBorder="1"/>
    <xf numFmtId="49" fontId="8" fillId="2" borderId="1" xfId="0" applyNumberFormat="1" applyFont="1" applyFill="1" applyBorder="1" applyAlignment="1">
      <alignment horizontal="center" vertical="center" wrapText="1"/>
    </xf>
    <xf numFmtId="168" fontId="10" fillId="6" borderId="1" xfId="0" applyNumberFormat="1" applyFont="1" applyFill="1" applyBorder="1" applyAlignment="1">
      <alignment horizontal="center" vertical="center" wrapText="1"/>
    </xf>
    <xf numFmtId="0" fontId="48" fillId="0" borderId="0" xfId="0" applyFont="1"/>
    <xf numFmtId="168" fontId="40" fillId="7" borderId="18" xfId="0" applyNumberFormat="1" applyFont="1" applyFill="1" applyBorder="1" applyAlignment="1">
      <alignment horizontal="center" vertical="center" wrapText="1"/>
    </xf>
    <xf numFmtId="168" fontId="40" fillId="7" borderId="19" xfId="0" applyNumberFormat="1" applyFont="1" applyFill="1" applyBorder="1" applyAlignment="1">
      <alignment horizontal="center" vertical="center" wrapText="1"/>
    </xf>
    <xf numFmtId="168" fontId="43" fillId="7" borderId="19" xfId="0" applyNumberFormat="1" applyFont="1" applyFill="1" applyBorder="1" applyAlignment="1">
      <alignment horizontal="center" vertical="center" wrapText="1"/>
    </xf>
    <xf numFmtId="49" fontId="42" fillId="7" borderId="1" xfId="0" applyNumberFormat="1" applyFont="1" applyFill="1" applyBorder="1" applyAlignment="1">
      <alignment horizontal="center" vertical="center" wrapText="1"/>
    </xf>
    <xf numFmtId="169" fontId="48" fillId="2" borderId="1" xfId="0" applyNumberFormat="1" applyFont="1" applyFill="1" applyBorder="1"/>
    <xf numFmtId="165" fontId="59" fillId="2" borderId="1" xfId="2" applyFont="1" applyFill="1" applyBorder="1"/>
    <xf numFmtId="165" fontId="59" fillId="2" borderId="1" xfId="2" applyFont="1" applyFill="1" applyBorder="1" applyAlignment="1">
      <alignment horizontal="center" vertical="center"/>
    </xf>
    <xf numFmtId="0" fontId="9" fillId="0" borderId="1" xfId="0" applyFont="1" applyFill="1" applyBorder="1" applyAlignment="1">
      <alignment horizontal="right" vertical="center"/>
    </xf>
    <xf numFmtId="0" fontId="9" fillId="0" borderId="1" xfId="0" applyFont="1" applyFill="1" applyBorder="1" applyAlignment="1">
      <alignment horizontal="justify" vertical="justify" wrapText="1"/>
    </xf>
    <xf numFmtId="0" fontId="60" fillId="5" borderId="1" xfId="0" applyFont="1" applyFill="1" applyBorder="1" applyAlignment="1">
      <alignment horizontal="center" vertical="center" wrapText="1"/>
    </xf>
    <xf numFmtId="169" fontId="59" fillId="0" borderId="0" xfId="0" applyNumberFormat="1" applyFont="1"/>
    <xf numFmtId="168" fontId="50" fillId="0" borderId="1" xfId="0" applyNumberFormat="1" applyFont="1" applyFill="1" applyBorder="1" applyAlignment="1">
      <alignment horizontal="center" vertical="center" wrapText="1"/>
    </xf>
    <xf numFmtId="168" fontId="50" fillId="0" borderId="12" xfId="0" applyNumberFormat="1" applyFont="1" applyFill="1" applyBorder="1" applyAlignment="1">
      <alignment horizontal="center" vertical="center" wrapText="1"/>
    </xf>
    <xf numFmtId="168" fontId="50" fillId="0" borderId="15" xfId="0" applyNumberFormat="1" applyFont="1" applyFill="1" applyBorder="1" applyAlignment="1">
      <alignment horizontal="center" vertical="center" wrapText="1"/>
    </xf>
    <xf numFmtId="168" fontId="61" fillId="7" borderId="1" xfId="0" applyNumberFormat="1" applyFont="1" applyFill="1" applyBorder="1" applyAlignment="1">
      <alignment horizontal="center" vertical="center" wrapText="1"/>
    </xf>
    <xf numFmtId="169" fontId="9" fillId="2" borderId="1" xfId="1" applyNumberFormat="1" applyFont="1" applyFill="1" applyBorder="1" applyAlignment="1">
      <alignment vertical="center"/>
    </xf>
    <xf numFmtId="0" fontId="31" fillId="2" borderId="0" xfId="0" applyFont="1" applyFill="1" applyAlignment="1">
      <alignment horizontal="center"/>
    </xf>
    <xf numFmtId="0" fontId="64" fillId="2" borderId="1" xfId="0" applyFont="1" applyFill="1" applyBorder="1" applyAlignment="1">
      <alignment horizontal="justify" vertical="center" wrapText="1"/>
    </xf>
    <xf numFmtId="169" fontId="10" fillId="2" borderId="1" xfId="0" applyNumberFormat="1" applyFont="1" applyFill="1" applyBorder="1" applyAlignment="1">
      <alignment horizontal="justify" vertical="center" wrapText="1"/>
    </xf>
    <xf numFmtId="169" fontId="10" fillId="2" borderId="1" xfId="0" applyNumberFormat="1" applyFont="1" applyFill="1" applyBorder="1" applyAlignment="1">
      <alignment horizontal="right" vertical="center"/>
    </xf>
    <xf numFmtId="169" fontId="48" fillId="2" borderId="1" xfId="2" applyNumberFormat="1" applyFont="1" applyFill="1" applyBorder="1"/>
    <xf numFmtId="0" fontId="6"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60" fillId="0" borderId="1" xfId="0" applyFont="1" applyFill="1" applyBorder="1" applyAlignment="1">
      <alignment horizontal="center" vertical="center" wrapText="1"/>
    </xf>
    <xf numFmtId="0" fontId="65" fillId="0" borderId="1" xfId="0" applyFont="1" applyFill="1" applyBorder="1" applyAlignment="1">
      <alignment horizontal="center" vertical="center" wrapText="1"/>
    </xf>
    <xf numFmtId="165" fontId="66" fillId="8" borderId="1" xfId="2" applyFont="1" applyFill="1" applyBorder="1" applyAlignment="1">
      <alignment horizontal="center" vertical="center"/>
    </xf>
    <xf numFmtId="165" fontId="10" fillId="11" borderId="1" xfId="1" applyNumberFormat="1" applyFont="1" applyFill="1" applyBorder="1" applyAlignment="1">
      <alignment vertical="center"/>
    </xf>
    <xf numFmtId="169" fontId="67" fillId="3" borderId="1" xfId="0" applyNumberFormat="1" applyFont="1" applyFill="1" applyBorder="1" applyAlignment="1">
      <alignment horizontal="center" vertical="center" wrapText="1"/>
    </xf>
    <xf numFmtId="165" fontId="68" fillId="2" borderId="1" xfId="2" applyFont="1" applyFill="1" applyBorder="1" applyAlignment="1">
      <alignment horizontal="center" vertical="center" wrapText="1"/>
    </xf>
    <xf numFmtId="169" fontId="48" fillId="0" borderId="0" xfId="0" applyNumberFormat="1" applyFont="1"/>
    <xf numFmtId="164" fontId="0" fillId="0" borderId="0" xfId="0" applyNumberFormat="1" applyAlignment="1">
      <alignment vertical="center" wrapText="1"/>
    </xf>
    <xf numFmtId="165" fontId="0" fillId="0" borderId="0" xfId="2" applyFont="1"/>
    <xf numFmtId="0" fontId="31" fillId="2" borderId="0" xfId="0" applyFont="1" applyFill="1" applyAlignment="1">
      <alignment horizontal="center"/>
    </xf>
    <xf numFmtId="165" fontId="66" fillId="2" borderId="1" xfId="2" applyFont="1" applyFill="1" applyBorder="1" applyAlignment="1">
      <alignment horizontal="center" vertical="center"/>
    </xf>
    <xf numFmtId="168" fontId="10" fillId="2" borderId="15" xfId="0" applyNumberFormat="1" applyFont="1" applyFill="1" applyBorder="1" applyAlignment="1">
      <alignment horizontal="center" vertical="center" wrapText="1"/>
    </xf>
    <xf numFmtId="168" fontId="10" fillId="2" borderId="12" xfId="0" applyNumberFormat="1" applyFont="1" applyFill="1" applyBorder="1" applyAlignment="1">
      <alignment horizontal="center" vertical="center" wrapText="1"/>
    </xf>
    <xf numFmtId="169" fontId="10" fillId="2" borderId="1" xfId="0" applyNumberFormat="1" applyFont="1" applyFill="1" applyBorder="1" applyAlignment="1">
      <alignment horizontal="center" vertical="center" wrapText="1"/>
    </xf>
    <xf numFmtId="169" fontId="10" fillId="3"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xf>
    <xf numFmtId="0" fontId="13" fillId="2" borderId="1" xfId="0" applyFont="1" applyFill="1" applyBorder="1" applyAlignment="1">
      <alignment horizontal="right" vertical="center"/>
    </xf>
    <xf numFmtId="0" fontId="59" fillId="0" borderId="0" xfId="0" applyFont="1"/>
    <xf numFmtId="169" fontId="0" fillId="0" borderId="0" xfId="0" applyNumberFormat="1"/>
    <xf numFmtId="168" fontId="13" fillId="3" borderId="1" xfId="0" applyNumberFormat="1" applyFont="1" applyFill="1" applyBorder="1" applyAlignment="1">
      <alignment horizontal="center" vertical="center" wrapText="1"/>
    </xf>
    <xf numFmtId="168" fontId="30" fillId="0" borderId="1" xfId="0" applyNumberFormat="1" applyFont="1" applyFill="1" applyBorder="1" applyAlignment="1">
      <alignment horizontal="center" vertical="center" wrapText="1"/>
    </xf>
    <xf numFmtId="169" fontId="10" fillId="4" borderId="1" xfId="1" applyNumberFormat="1" applyFont="1" applyFill="1" applyBorder="1" applyAlignment="1">
      <alignment vertical="center"/>
    </xf>
    <xf numFmtId="169" fontId="48" fillId="0" borderId="1" xfId="0" applyNumberFormat="1" applyFont="1" applyBorder="1"/>
    <xf numFmtId="169" fontId="51" fillId="3" borderId="1" xfId="0" applyNumberFormat="1" applyFont="1" applyFill="1" applyBorder="1" applyAlignment="1">
      <alignment horizontal="center" vertical="center" wrapText="1"/>
    </xf>
    <xf numFmtId="169" fontId="52" fillId="3" borderId="1" xfId="0" applyNumberFormat="1" applyFont="1" applyFill="1" applyBorder="1" applyAlignment="1">
      <alignment horizontal="center" vertical="center" wrapText="1"/>
    </xf>
    <xf numFmtId="169" fontId="52" fillId="2" borderId="1"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165" fontId="28" fillId="3" borderId="1" xfId="2" applyFont="1" applyFill="1" applyBorder="1" applyAlignment="1">
      <alignment horizontal="center" vertical="center" wrapText="1"/>
    </xf>
    <xf numFmtId="165" fontId="69" fillId="2" borderId="1" xfId="2" applyFont="1" applyFill="1" applyBorder="1" applyAlignment="1">
      <alignment horizontal="center" vertical="center" wrapText="1"/>
    </xf>
    <xf numFmtId="165" fontId="70" fillId="0" borderId="1" xfId="2" applyFont="1" applyBorder="1"/>
    <xf numFmtId="0" fontId="11" fillId="2" borderId="1" xfId="0" applyFont="1" applyFill="1" applyBorder="1" applyAlignment="1">
      <alignment horizontal="justify" vertical="center"/>
    </xf>
    <xf numFmtId="49" fontId="71" fillId="2" borderId="1" xfId="0" applyNumberFormat="1" applyFont="1" applyFill="1" applyBorder="1" applyAlignment="1">
      <alignment horizontal="center" vertical="center" wrapText="1"/>
    </xf>
    <xf numFmtId="168" fontId="8" fillId="5" borderId="20" xfId="0" applyNumberFormat="1" applyFont="1" applyFill="1" applyBorder="1" applyAlignment="1">
      <alignment horizontal="center" vertical="center" wrapText="1"/>
    </xf>
    <xf numFmtId="0" fontId="2" fillId="0" borderId="9" xfId="0" applyFont="1" applyBorder="1" applyAlignment="1">
      <alignment horizontal="right" vertical="center"/>
    </xf>
    <xf numFmtId="0" fontId="2" fillId="0" borderId="9" xfId="0" applyFont="1" applyBorder="1" applyAlignment="1">
      <alignment vertical="center"/>
    </xf>
    <xf numFmtId="168" fontId="9" fillId="0" borderId="9" xfId="1" applyNumberFormat="1" applyFont="1" applyBorder="1" applyAlignment="1">
      <alignment vertical="center"/>
    </xf>
    <xf numFmtId="166" fontId="10" fillId="4" borderId="9" xfId="1" applyFont="1" applyFill="1" applyBorder="1" applyAlignment="1">
      <alignment vertical="center"/>
    </xf>
    <xf numFmtId="44" fontId="10" fillId="2" borderId="9" xfId="1" applyNumberFormat="1" applyFont="1" applyFill="1" applyBorder="1" applyAlignment="1">
      <alignment vertical="center"/>
    </xf>
    <xf numFmtId="0" fontId="2" fillId="0" borderId="12" xfId="0" applyFont="1" applyBorder="1" applyAlignment="1">
      <alignment horizontal="right" vertical="center"/>
    </xf>
    <xf numFmtId="0" fontId="2" fillId="0" borderId="12" xfId="0" applyFont="1" applyBorder="1" applyAlignment="1">
      <alignment vertical="center"/>
    </xf>
    <xf numFmtId="49" fontId="2" fillId="0" borderId="12" xfId="0" applyNumberFormat="1" applyFont="1" applyBorder="1" applyAlignment="1">
      <alignment horizontal="center" vertical="center"/>
    </xf>
    <xf numFmtId="168" fontId="9" fillId="0" borderId="12" xfId="1" applyNumberFormat="1" applyFont="1" applyBorder="1" applyAlignment="1">
      <alignment vertical="center"/>
    </xf>
    <xf numFmtId="166" fontId="10" fillId="4" borderId="12" xfId="1" applyFont="1" applyFill="1" applyBorder="1" applyAlignment="1">
      <alignment vertical="center"/>
    </xf>
    <xf numFmtId="165" fontId="10" fillId="4" borderId="12" xfId="1" applyNumberFormat="1" applyFont="1" applyFill="1" applyBorder="1" applyAlignment="1">
      <alignment vertical="center"/>
    </xf>
    <xf numFmtId="165" fontId="10" fillId="2" borderId="1" xfId="2" applyFont="1" applyFill="1" applyBorder="1"/>
    <xf numFmtId="165" fontId="10" fillId="2" borderId="1" xfId="2" applyFont="1" applyFill="1" applyBorder="1" applyAlignment="1">
      <alignment horizontal="center" vertical="center"/>
    </xf>
    <xf numFmtId="165" fontId="52" fillId="2" borderId="1" xfId="2" applyFont="1" applyFill="1" applyBorder="1" applyAlignment="1">
      <alignment horizontal="center" vertical="center" wrapText="1"/>
    </xf>
    <xf numFmtId="168" fontId="72" fillId="5" borderId="1" xfId="0" applyNumberFormat="1" applyFont="1" applyFill="1" applyBorder="1" applyAlignment="1">
      <alignment horizontal="center" vertical="center" wrapText="1"/>
    </xf>
    <xf numFmtId="0" fontId="22" fillId="0" borderId="1" xfId="0" applyFont="1" applyFill="1" applyBorder="1" applyAlignment="1">
      <alignment horizontal="center" vertical="center" wrapText="1"/>
    </xf>
    <xf numFmtId="168" fontId="22" fillId="0" borderId="1" xfId="0" applyNumberFormat="1" applyFont="1" applyFill="1" applyBorder="1" applyAlignment="1">
      <alignment horizontal="center" vertical="center" wrapText="1"/>
    </xf>
    <xf numFmtId="0" fontId="22" fillId="0" borderId="1" xfId="0" applyFont="1" applyFill="1" applyBorder="1" applyAlignment="1">
      <alignment horizontal="left" vertical="top" wrapText="1"/>
    </xf>
    <xf numFmtId="168" fontId="73" fillId="0" borderId="1" xfId="0" applyNumberFormat="1" applyFont="1" applyFill="1" applyBorder="1" applyAlignment="1">
      <alignment horizontal="center" vertical="center" wrapText="1"/>
    </xf>
    <xf numFmtId="0" fontId="22" fillId="0" borderId="1" xfId="0" applyFont="1" applyFill="1" applyBorder="1" applyAlignment="1">
      <alignment horizontal="right" vertical="center" wrapText="1"/>
    </xf>
    <xf numFmtId="168" fontId="49" fillId="2" borderId="1" xfId="0" applyNumberFormat="1" applyFont="1" applyFill="1" applyBorder="1" applyAlignment="1">
      <alignment horizontal="center" vertical="center" wrapText="1"/>
    </xf>
    <xf numFmtId="0" fontId="31" fillId="2" borderId="0" xfId="0" applyFont="1" applyFill="1" applyAlignment="1">
      <alignment horizontal="center"/>
    </xf>
    <xf numFmtId="0" fontId="74" fillId="0" borderId="13" xfId="0" applyFont="1" applyBorder="1" applyAlignment="1">
      <alignment wrapText="1"/>
    </xf>
    <xf numFmtId="0" fontId="74" fillId="0" borderId="14" xfId="0" applyFont="1" applyBorder="1" applyAlignment="1">
      <alignment wrapText="1"/>
    </xf>
    <xf numFmtId="0" fontId="33" fillId="0" borderId="14" xfId="0" applyFont="1" applyBorder="1" applyAlignment="1">
      <alignment wrapText="1"/>
    </xf>
    <xf numFmtId="0" fontId="76" fillId="0" borderId="13" xfId="0" applyFont="1" applyBorder="1" applyAlignment="1">
      <alignment wrapText="1"/>
    </xf>
    <xf numFmtId="169" fontId="10" fillId="0" borderId="1" xfId="1" applyNumberFormat="1" applyFont="1" applyFill="1" applyBorder="1" applyAlignment="1">
      <alignment vertical="center"/>
    </xf>
    <xf numFmtId="165" fontId="48" fillId="0" borderId="1" xfId="2" applyFont="1" applyBorder="1"/>
    <xf numFmtId="0" fontId="33" fillId="0" borderId="1" xfId="0" applyFont="1" applyFill="1" applyBorder="1" applyAlignment="1">
      <alignment horizontal="right" vertical="center"/>
    </xf>
    <xf numFmtId="0" fontId="78" fillId="0" borderId="1" xfId="0" applyFont="1" applyBorder="1" applyAlignment="1">
      <alignment vertical="center" wrapText="1"/>
    </xf>
    <xf numFmtId="0" fontId="79" fillId="0" borderId="14" xfId="0" applyFont="1" applyFill="1" applyBorder="1" applyAlignment="1">
      <alignment vertical="center" wrapText="1"/>
    </xf>
    <xf numFmtId="165" fontId="10" fillId="2" borderId="1" xfId="2" applyFont="1" applyFill="1" applyBorder="1" applyAlignment="1">
      <alignment horizontal="center" vertical="center" wrapText="1"/>
    </xf>
    <xf numFmtId="165" fontId="33" fillId="0" borderId="1" xfId="2" applyFont="1" applyFill="1" applyBorder="1" applyAlignment="1"/>
    <xf numFmtId="165" fontId="10" fillId="0" borderId="1" xfId="2" applyFont="1" applyFill="1" applyBorder="1" applyAlignment="1"/>
    <xf numFmtId="0" fontId="80" fillId="3" borderId="1" xfId="0" applyFont="1" applyFill="1" applyBorder="1" applyAlignment="1">
      <alignment horizontal="center" vertical="center" wrapText="1"/>
    </xf>
    <xf numFmtId="165" fontId="10" fillId="3" borderId="1" xfId="2" applyFont="1" applyFill="1" applyBorder="1" applyAlignment="1">
      <alignment horizontal="center" vertical="center" wrapText="1"/>
    </xf>
    <xf numFmtId="165" fontId="13" fillId="0" borderId="9" xfId="2" applyFont="1" applyBorder="1"/>
    <xf numFmtId="165" fontId="10" fillId="0" borderId="9" xfId="2" applyFont="1" applyBorder="1"/>
    <xf numFmtId="165" fontId="52" fillId="0" borderId="1" xfId="2" applyFont="1" applyBorder="1" applyAlignment="1">
      <alignment vertical="center"/>
    </xf>
    <xf numFmtId="165" fontId="10" fillId="0" borderId="1" xfId="2" applyFont="1" applyBorder="1" applyAlignment="1">
      <alignment vertical="center"/>
    </xf>
    <xf numFmtId="168" fontId="10" fillId="2" borderId="9" xfId="1" applyNumberFormat="1" applyFont="1" applyFill="1" applyBorder="1" applyAlignment="1">
      <alignment vertical="center"/>
    </xf>
    <xf numFmtId="165" fontId="10" fillId="0" borderId="1" xfId="2" applyFont="1" applyBorder="1"/>
    <xf numFmtId="165" fontId="0" fillId="2" borderId="1" xfId="2" applyFont="1" applyFill="1" applyBorder="1"/>
    <xf numFmtId="165" fontId="13" fillId="2" borderId="1" xfId="2" applyFont="1" applyFill="1" applyBorder="1"/>
    <xf numFmtId="169" fontId="10" fillId="2" borderId="1" xfId="0" applyNumberFormat="1" applyFont="1" applyFill="1" applyBorder="1"/>
    <xf numFmtId="169" fontId="10" fillId="2" borderId="1" xfId="2" applyNumberFormat="1" applyFont="1" applyFill="1" applyBorder="1"/>
    <xf numFmtId="0" fontId="10" fillId="2" borderId="1" xfId="0" applyFont="1" applyFill="1" applyBorder="1"/>
    <xf numFmtId="165" fontId="10" fillId="2" borderId="1" xfId="2" applyFont="1" applyFill="1" applyBorder="1" applyAlignment="1">
      <alignment vertical="center"/>
    </xf>
    <xf numFmtId="165" fontId="81" fillId="2" borderId="1" xfId="2" applyFont="1" applyFill="1" applyBorder="1"/>
    <xf numFmtId="0" fontId="78" fillId="8" borderId="13" xfId="0" applyFont="1" applyFill="1" applyBorder="1" applyAlignment="1">
      <alignment vertical="center" wrapText="1"/>
    </xf>
    <xf numFmtId="0" fontId="2" fillId="8" borderId="1" xfId="0" applyFont="1" applyFill="1" applyBorder="1" applyAlignment="1">
      <alignment horizontal="justify" vertical="center" wrapText="1"/>
    </xf>
    <xf numFmtId="0" fontId="79" fillId="8" borderId="1" xfId="0" applyFont="1" applyFill="1" applyBorder="1" applyAlignment="1">
      <alignment vertical="center" wrapText="1"/>
    </xf>
    <xf numFmtId="168" fontId="82" fillId="0" borderId="1" xfId="0" applyNumberFormat="1" applyFont="1" applyFill="1" applyBorder="1" applyAlignment="1">
      <alignment horizontal="center" vertical="center" wrapText="1"/>
    </xf>
    <xf numFmtId="168" fontId="73" fillId="8" borderId="1" xfId="0" applyNumberFormat="1" applyFont="1" applyFill="1" applyBorder="1" applyAlignment="1">
      <alignment horizontal="center" vertical="center" wrapText="1"/>
    </xf>
    <xf numFmtId="0" fontId="6" fillId="8"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9" fillId="8" borderId="1" xfId="0" applyFont="1" applyFill="1" applyBorder="1" applyAlignment="1">
      <alignment horizontal="center" vertical="center" wrapText="1"/>
    </xf>
    <xf numFmtId="169" fontId="48" fillId="2" borderId="1" xfId="0" applyNumberFormat="1" applyFont="1" applyFill="1" applyBorder="1" applyAlignment="1">
      <alignment horizontal="center" vertical="center"/>
    </xf>
    <xf numFmtId="165" fontId="48" fillId="0" borderId="1" xfId="2" applyFont="1" applyBorder="1" applyAlignment="1">
      <alignment horizontal="center" vertical="center"/>
    </xf>
    <xf numFmtId="168" fontId="30" fillId="0" borderId="12" xfId="0" applyNumberFormat="1" applyFont="1" applyFill="1" applyBorder="1" applyAlignment="1">
      <alignment horizontal="center" vertical="center" wrapText="1"/>
    </xf>
    <xf numFmtId="0" fontId="9" fillId="8" borderId="1" xfId="0" applyFont="1" applyFill="1" applyBorder="1" applyAlignment="1">
      <alignment horizontal="justify" vertical="center" wrapText="1"/>
    </xf>
    <xf numFmtId="168" fontId="84" fillId="0" borderId="5" xfId="1" applyNumberFormat="1" applyFont="1" applyBorder="1" applyAlignment="1">
      <alignment vertical="center"/>
    </xf>
    <xf numFmtId="168" fontId="85" fillId="0" borderId="4" xfId="0" applyNumberFormat="1" applyFont="1" applyBorder="1" applyAlignment="1">
      <alignment vertical="center"/>
    </xf>
    <xf numFmtId="168" fontId="85" fillId="0" borderId="5" xfId="1" applyNumberFormat="1" applyFont="1" applyBorder="1" applyAlignment="1">
      <alignment vertical="center"/>
    </xf>
    <xf numFmtId="168" fontId="86" fillId="0" borderId="4" xfId="1" applyNumberFormat="1" applyFont="1" applyBorder="1" applyAlignment="1">
      <alignment vertical="center"/>
    </xf>
    <xf numFmtId="168" fontId="86" fillId="0" borderId="4" xfId="0" applyNumberFormat="1" applyFont="1" applyBorder="1" applyAlignment="1">
      <alignment vertical="center"/>
    </xf>
    <xf numFmtId="168" fontId="85" fillId="0" borderId="10" xfId="0" applyNumberFormat="1" applyFont="1" applyBorder="1" applyAlignment="1">
      <alignment vertical="center"/>
    </xf>
    <xf numFmtId="168" fontId="85" fillId="0" borderId="9" xfId="0" applyNumberFormat="1" applyFont="1" applyBorder="1" applyAlignment="1">
      <alignment vertical="center"/>
    </xf>
    <xf numFmtId="168" fontId="85" fillId="0" borderId="9" xfId="1" applyNumberFormat="1" applyFont="1" applyBorder="1" applyAlignment="1">
      <alignment vertical="center"/>
    </xf>
    <xf numFmtId="168" fontId="10" fillId="8" borderId="1" xfId="1" applyNumberFormat="1" applyFont="1" applyFill="1" applyBorder="1" applyAlignment="1">
      <alignment vertical="center"/>
    </xf>
    <xf numFmtId="168" fontId="87" fillId="0" borderId="4" xfId="0" applyNumberFormat="1" applyFont="1" applyBorder="1" applyAlignment="1">
      <alignment vertical="center"/>
    </xf>
    <xf numFmtId="168" fontId="87" fillId="0" borderId="5" xfId="1" applyNumberFormat="1" applyFont="1" applyBorder="1" applyAlignment="1">
      <alignment vertical="center"/>
    </xf>
    <xf numFmtId="168" fontId="88" fillId="0" borderId="10" xfId="0" applyNumberFormat="1" applyFont="1" applyBorder="1" applyAlignment="1">
      <alignment vertical="center"/>
    </xf>
    <xf numFmtId="168" fontId="88" fillId="0" borderId="4" xfId="0" applyNumberFormat="1" applyFont="1" applyBorder="1" applyAlignment="1">
      <alignment vertical="center"/>
    </xf>
    <xf numFmtId="168" fontId="88" fillId="0" borderId="5" xfId="1" applyNumberFormat="1" applyFont="1" applyBorder="1" applyAlignment="1">
      <alignment vertical="center"/>
    </xf>
    <xf numFmtId="168" fontId="87" fillId="0" borderId="6" xfId="1" applyNumberFormat="1" applyFont="1" applyBorder="1" applyAlignment="1">
      <alignment vertical="center"/>
    </xf>
    <xf numFmtId="165" fontId="48" fillId="8" borderId="1" xfId="2" applyFont="1" applyFill="1" applyBorder="1" applyAlignment="1">
      <alignment horizontal="center" vertical="center"/>
    </xf>
    <xf numFmtId="0" fontId="31" fillId="2" borderId="0" xfId="0" applyFont="1" applyFill="1" applyAlignment="1">
      <alignment horizontal="center"/>
    </xf>
    <xf numFmtId="0" fontId="2" fillId="8" borderId="1" xfId="0" applyFont="1" applyFill="1" applyBorder="1" applyAlignment="1">
      <alignment horizontal="right" vertical="center"/>
    </xf>
    <xf numFmtId="0" fontId="5" fillId="8" borderId="1" xfId="0" applyFont="1" applyFill="1" applyBorder="1" applyAlignment="1">
      <alignment horizontal="center" vertical="center" wrapText="1"/>
    </xf>
    <xf numFmtId="168" fontId="50" fillId="2" borderId="1" xfId="0" applyNumberFormat="1" applyFont="1" applyFill="1" applyBorder="1" applyAlignment="1">
      <alignment horizontal="center" vertical="center" wrapText="1"/>
    </xf>
    <xf numFmtId="168" fontId="30" fillId="12" borderId="1" xfId="0" applyNumberFormat="1" applyFont="1" applyFill="1" applyBorder="1" applyAlignment="1">
      <alignment horizontal="center" vertical="center" wrapText="1"/>
    </xf>
    <xf numFmtId="168" fontId="30" fillId="12" borderId="9" xfId="0" applyNumberFormat="1" applyFont="1" applyFill="1" applyBorder="1" applyAlignment="1">
      <alignment horizontal="center" vertical="center" wrapText="1"/>
    </xf>
    <xf numFmtId="168" fontId="30" fillId="8" borderId="1" xfId="0" applyNumberFormat="1" applyFont="1" applyFill="1" applyBorder="1" applyAlignment="1">
      <alignment horizontal="center" vertical="center" wrapText="1"/>
    </xf>
    <xf numFmtId="168" fontId="88" fillId="0" borderId="9" xfId="0" applyNumberFormat="1" applyFont="1" applyBorder="1" applyAlignment="1">
      <alignment vertical="center"/>
    </xf>
    <xf numFmtId="168" fontId="88" fillId="0" borderId="9" xfId="1" applyNumberFormat="1" applyFont="1" applyBorder="1" applyAlignment="1">
      <alignment vertical="center"/>
    </xf>
    <xf numFmtId="168" fontId="30" fillId="13" borderId="1" xfId="0" applyNumberFormat="1" applyFont="1" applyFill="1" applyBorder="1" applyAlignment="1">
      <alignment horizontal="center" vertical="center" wrapText="1"/>
    </xf>
    <xf numFmtId="168" fontId="89" fillId="7" borderId="1" xfId="0" applyNumberFormat="1" applyFont="1" applyFill="1" applyBorder="1" applyAlignment="1">
      <alignment horizontal="center" vertical="center" wrapText="1"/>
    </xf>
    <xf numFmtId="0" fontId="31" fillId="2" borderId="0" xfId="0" applyFont="1" applyFill="1" applyAlignment="1">
      <alignment horizontal="center"/>
    </xf>
    <xf numFmtId="0" fontId="12" fillId="8" borderId="1" xfId="0" applyFont="1" applyFill="1" applyBorder="1" applyAlignment="1">
      <alignment horizontal="center" vertical="center" wrapText="1"/>
    </xf>
    <xf numFmtId="0" fontId="91" fillId="0" borderId="1" xfId="0" applyFont="1" applyBorder="1" applyAlignment="1">
      <alignment horizontal="center" vertical="center"/>
    </xf>
    <xf numFmtId="0" fontId="11" fillId="2" borderId="1" xfId="0" applyFont="1" applyFill="1" applyBorder="1" applyAlignment="1">
      <alignment horizontal="center" vertical="center"/>
    </xf>
    <xf numFmtId="165" fontId="48" fillId="0" borderId="9" xfId="2" applyFont="1" applyBorder="1"/>
    <xf numFmtId="0" fontId="2" fillId="0" borderId="1" xfId="0" applyFont="1" applyBorder="1" applyAlignment="1">
      <alignment horizontal="left" vertical="center" wrapText="1"/>
    </xf>
    <xf numFmtId="0" fontId="31" fillId="2" borderId="0" xfId="0" applyFont="1" applyFill="1" applyAlignment="1">
      <alignment horizontal="center"/>
    </xf>
    <xf numFmtId="0" fontId="9" fillId="8" borderId="1" xfId="0" applyFont="1" applyFill="1" applyBorder="1" applyAlignment="1">
      <alignment horizontal="center" vertical="center"/>
    </xf>
    <xf numFmtId="165" fontId="92" fillId="3" borderId="1" xfId="2" applyFont="1" applyFill="1" applyBorder="1" applyAlignment="1">
      <alignment horizontal="center" vertical="center" wrapText="1"/>
    </xf>
    <xf numFmtId="168" fontId="10" fillId="14" borderId="1" xfId="1" applyNumberFormat="1" applyFont="1" applyFill="1" applyBorder="1" applyAlignment="1">
      <alignment vertical="center"/>
    </xf>
    <xf numFmtId="165" fontId="92" fillId="2" borderId="1" xfId="2" applyFont="1" applyFill="1" applyBorder="1" applyAlignment="1">
      <alignment horizontal="center" vertical="center" wrapText="1"/>
    </xf>
    <xf numFmtId="165" fontId="92" fillId="0" borderId="1" xfId="2" applyFont="1" applyBorder="1" applyAlignment="1">
      <alignment horizontal="center" vertical="center"/>
    </xf>
    <xf numFmtId="165" fontId="92" fillId="0" borderId="1" xfId="2" applyFont="1" applyBorder="1" applyAlignment="1">
      <alignment vertical="center"/>
    </xf>
    <xf numFmtId="165" fontId="92" fillId="0" borderId="1" xfId="2" applyFont="1" applyBorder="1"/>
    <xf numFmtId="165" fontId="92" fillId="2" borderId="1" xfId="2" applyFont="1" applyFill="1" applyBorder="1" applyAlignment="1">
      <alignment horizontal="center" vertical="center"/>
    </xf>
    <xf numFmtId="165" fontId="92" fillId="2" borderId="1" xfId="2" applyFont="1" applyFill="1" applyBorder="1"/>
    <xf numFmtId="165" fontId="92" fillId="0" borderId="1" xfId="2" applyFont="1" applyFill="1" applyBorder="1" applyAlignment="1">
      <alignment horizontal="center" vertical="center"/>
    </xf>
    <xf numFmtId="168" fontId="92" fillId="0" borderId="1" xfId="0" applyNumberFormat="1" applyFont="1" applyFill="1" applyBorder="1" applyAlignment="1">
      <alignment horizontal="center" vertical="center" wrapText="1"/>
    </xf>
    <xf numFmtId="165" fontId="10" fillId="4" borderId="1" xfId="2" applyFont="1" applyFill="1" applyBorder="1" applyAlignment="1">
      <alignment vertical="center"/>
    </xf>
    <xf numFmtId="0" fontId="31" fillId="2" borderId="0" xfId="0" applyFont="1" applyFill="1" applyAlignment="1">
      <alignment horizontal="center"/>
    </xf>
    <xf numFmtId="0" fontId="0" fillId="10" borderId="20" xfId="0" applyFill="1" applyBorder="1"/>
    <xf numFmtId="168" fontId="8" fillId="5" borderId="13" xfId="0" applyNumberFormat="1" applyFont="1" applyFill="1" applyBorder="1" applyAlignment="1">
      <alignment horizontal="center" vertical="center" wrapText="1"/>
    </xf>
    <xf numFmtId="0" fontId="2" fillId="9" borderId="1" xfId="0" applyFont="1" applyFill="1" applyBorder="1" applyAlignment="1">
      <alignment horizontal="justify" vertical="center" wrapText="1"/>
    </xf>
    <xf numFmtId="168" fontId="10" fillId="8" borderId="1" xfId="0" applyNumberFormat="1" applyFont="1" applyFill="1" applyBorder="1" applyAlignment="1">
      <alignment horizontal="center" vertical="center" wrapText="1"/>
    </xf>
    <xf numFmtId="168" fontId="10" fillId="8" borderId="9" xfId="0" applyNumberFormat="1" applyFont="1" applyFill="1" applyBorder="1" applyAlignment="1">
      <alignment horizontal="center" vertical="center" wrapText="1"/>
    </xf>
    <xf numFmtId="0" fontId="2" fillId="15" borderId="1" xfId="0" applyFont="1" applyFill="1" applyBorder="1" applyAlignment="1">
      <alignment horizontal="justify" vertical="center" wrapText="1"/>
    </xf>
    <xf numFmtId="168" fontId="10" fillId="15" borderId="1" xfId="0" applyNumberFormat="1" applyFont="1" applyFill="1" applyBorder="1" applyAlignment="1">
      <alignment horizontal="center" vertical="center" wrapText="1"/>
    </xf>
    <xf numFmtId="169" fontId="10" fillId="13" borderId="1" xfId="1" applyNumberFormat="1" applyFont="1" applyFill="1" applyBorder="1" applyAlignment="1">
      <alignment vertical="center"/>
    </xf>
    <xf numFmtId="165" fontId="10" fillId="13" borderId="1" xfId="1" applyNumberFormat="1" applyFont="1" applyFill="1" applyBorder="1" applyAlignment="1">
      <alignment vertical="center"/>
    </xf>
    <xf numFmtId="0" fontId="31" fillId="2" borderId="0" xfId="0" applyFont="1" applyFill="1" applyAlignment="1">
      <alignment horizontal="center"/>
    </xf>
    <xf numFmtId="168" fontId="9" fillId="8" borderId="1" xfId="1" applyNumberFormat="1" applyFont="1" applyFill="1" applyBorder="1" applyAlignment="1">
      <alignment vertical="center"/>
    </xf>
    <xf numFmtId="168" fontId="92" fillId="2" borderId="1" xfId="0" applyNumberFormat="1" applyFont="1" applyFill="1" applyBorder="1" applyAlignment="1">
      <alignment horizontal="center" vertical="center" wrapText="1"/>
    </xf>
    <xf numFmtId="165" fontId="66" fillId="2" borderId="1" xfId="2" applyFont="1" applyFill="1" applyBorder="1"/>
    <xf numFmtId="165" fontId="66" fillId="2" borderId="1" xfId="2" applyFont="1" applyFill="1" applyBorder="1" applyAlignment="1">
      <alignment vertical="center"/>
    </xf>
    <xf numFmtId="165" fontId="94" fillId="0" borderId="1" xfId="2" applyFont="1" applyFill="1" applyBorder="1" applyAlignment="1"/>
    <xf numFmtId="0" fontId="9" fillId="16" borderId="1" xfId="0" applyFont="1" applyFill="1" applyBorder="1" applyAlignment="1">
      <alignment horizontal="center" vertical="center"/>
    </xf>
    <xf numFmtId="165" fontId="3" fillId="2" borderId="1" xfId="2" applyFont="1" applyFill="1" applyBorder="1" applyAlignment="1">
      <alignment horizontal="center" vertical="center" wrapText="1"/>
    </xf>
    <xf numFmtId="165" fontId="10" fillId="0" borderId="1" xfId="2" applyFont="1" applyBorder="1" applyAlignment="1">
      <alignment horizontal="center" vertical="center"/>
    </xf>
    <xf numFmtId="0" fontId="9" fillId="17" borderId="1" xfId="0" applyFont="1" applyFill="1" applyBorder="1" applyAlignment="1">
      <alignment horizontal="center" vertical="center"/>
    </xf>
    <xf numFmtId="168" fontId="96" fillId="2" borderId="1" xfId="1" applyNumberFormat="1" applyFont="1" applyFill="1" applyBorder="1" applyAlignment="1">
      <alignment vertical="center"/>
    </xf>
    <xf numFmtId="168" fontId="22" fillId="8" borderId="1" xfId="0" applyNumberFormat="1" applyFont="1" applyFill="1" applyBorder="1" applyAlignment="1">
      <alignment horizontal="center" vertical="center" wrapText="1"/>
    </xf>
    <xf numFmtId="168" fontId="96" fillId="0" borderId="1" xfId="0" applyNumberFormat="1" applyFont="1" applyFill="1" applyBorder="1" applyAlignment="1">
      <alignment horizontal="center" vertical="center" wrapText="1"/>
    </xf>
    <xf numFmtId="165" fontId="66" fillId="0" borderId="1" xfId="2" applyFont="1" applyBorder="1" applyAlignment="1">
      <alignment horizontal="center" vertical="center"/>
    </xf>
    <xf numFmtId="165" fontId="92" fillId="8" borderId="1" xfId="2" applyFont="1" applyFill="1" applyBorder="1" applyAlignment="1">
      <alignment horizontal="center" vertical="center"/>
    </xf>
    <xf numFmtId="165" fontId="66" fillId="8" borderId="1" xfId="2" applyFont="1" applyFill="1" applyBorder="1"/>
    <xf numFmtId="0" fontId="31" fillId="2" borderId="0" xfId="0" applyFont="1" applyFill="1" applyAlignment="1">
      <alignment horizontal="center"/>
    </xf>
    <xf numFmtId="168" fontId="8" fillId="18" borderId="1" xfId="0" applyNumberFormat="1" applyFont="1" applyFill="1" applyBorder="1" applyAlignment="1">
      <alignment horizontal="center" vertical="center" wrapText="1"/>
    </xf>
    <xf numFmtId="168" fontId="8" fillId="18" borderId="12" xfId="0" applyNumberFormat="1" applyFont="1" applyFill="1" applyBorder="1" applyAlignment="1">
      <alignment horizontal="center" vertical="center" wrapText="1"/>
    </xf>
    <xf numFmtId="169" fontId="66" fillId="0" borderId="1" xfId="0" applyNumberFormat="1" applyFont="1" applyBorder="1"/>
    <xf numFmtId="169" fontId="48" fillId="0" borderId="9" xfId="0" applyNumberFormat="1" applyFont="1" applyBorder="1"/>
    <xf numFmtId="169" fontId="66" fillId="0" borderId="9" xfId="0" applyNumberFormat="1" applyFont="1" applyBorder="1"/>
    <xf numFmtId="168" fontId="30" fillId="19" borderId="1" xfId="0" applyNumberFormat="1" applyFont="1" applyFill="1" applyBorder="1" applyAlignment="1">
      <alignment horizontal="center" vertical="center" wrapText="1"/>
    </xf>
    <xf numFmtId="0" fontId="9" fillId="0" borderId="1" xfId="0" applyFont="1" applyFill="1" applyBorder="1" applyAlignment="1">
      <alignment horizontal="justify" vertical="center" wrapText="1"/>
    </xf>
    <xf numFmtId="169" fontId="10" fillId="2" borderId="1" xfId="0" applyNumberFormat="1" applyFont="1" applyFill="1" applyBorder="1" applyAlignment="1">
      <alignment horizontal="center" vertical="center"/>
    </xf>
    <xf numFmtId="168" fontId="9" fillId="20" borderId="1" xfId="1" applyNumberFormat="1" applyFont="1" applyFill="1" applyBorder="1" applyAlignment="1">
      <alignment vertical="center"/>
    </xf>
    <xf numFmtId="168" fontId="97" fillId="2" borderId="1" xfId="1" applyNumberFormat="1" applyFont="1" applyFill="1" applyBorder="1" applyAlignment="1">
      <alignment vertical="center"/>
    </xf>
    <xf numFmtId="165" fontId="98" fillId="2" borderId="1" xfId="2" applyFont="1" applyFill="1" applyBorder="1" applyAlignment="1">
      <alignment horizontal="center" vertical="center" wrapText="1"/>
    </xf>
    <xf numFmtId="165" fontId="97" fillId="2" borderId="1" xfId="2" applyFont="1" applyFill="1" applyBorder="1" applyAlignment="1">
      <alignment horizontal="center" vertical="center" wrapText="1"/>
    </xf>
    <xf numFmtId="165" fontId="92" fillId="21" borderId="1" xfId="2" applyFont="1" applyFill="1" applyBorder="1"/>
    <xf numFmtId="0" fontId="0" fillId="21" borderId="1" xfId="0" applyFill="1" applyBorder="1"/>
    <xf numFmtId="165" fontId="10" fillId="21" borderId="1" xfId="2" applyFont="1" applyFill="1" applyBorder="1"/>
    <xf numFmtId="0" fontId="31" fillId="2" borderId="0" xfId="0" applyFont="1" applyFill="1" applyAlignment="1">
      <alignment horizontal="center"/>
    </xf>
    <xf numFmtId="17" fontId="2" fillId="2" borderId="1" xfId="0" applyNumberFormat="1" applyFont="1" applyFill="1" applyBorder="1" applyAlignment="1">
      <alignment horizontal="right" vertical="center"/>
    </xf>
    <xf numFmtId="168" fontId="99" fillId="0" borderId="1" xfId="0" applyNumberFormat="1" applyFont="1" applyFill="1" applyBorder="1" applyAlignment="1">
      <alignment horizontal="center" vertical="center" wrapText="1"/>
    </xf>
    <xf numFmtId="168" fontId="9" fillId="8" borderId="1" xfId="0" applyNumberFormat="1" applyFont="1" applyFill="1" applyBorder="1" applyAlignment="1">
      <alignment horizontal="center" vertical="center" wrapText="1"/>
    </xf>
    <xf numFmtId="169" fontId="66" fillId="0" borderId="9" xfId="0" applyNumberFormat="1" applyFont="1" applyBorder="1" applyAlignment="1">
      <alignment horizontal="center" vertical="center"/>
    </xf>
    <xf numFmtId="168" fontId="9" fillId="14" borderId="12" xfId="1" applyNumberFormat="1" applyFont="1" applyFill="1" applyBorder="1" applyAlignment="1">
      <alignment vertical="center"/>
    </xf>
    <xf numFmtId="0" fontId="74" fillId="0" borderId="1" xfId="0" applyFont="1" applyBorder="1" applyAlignment="1">
      <alignment wrapText="1"/>
    </xf>
    <xf numFmtId="44" fontId="10" fillId="8" borderId="1" xfId="1" applyNumberFormat="1" applyFont="1" applyFill="1" applyBorder="1" applyAlignment="1">
      <alignment vertical="center"/>
    </xf>
    <xf numFmtId="165" fontId="52" fillId="3" borderId="1" xfId="2" applyFont="1" applyFill="1" applyBorder="1" applyAlignment="1">
      <alignment horizontal="center" vertical="center" wrapText="1"/>
    </xf>
    <xf numFmtId="0" fontId="9" fillId="22" borderId="1" xfId="0" applyFont="1" applyFill="1" applyBorder="1" applyAlignment="1">
      <alignment horizontal="center" vertical="center"/>
    </xf>
    <xf numFmtId="165" fontId="66" fillId="2" borderId="12" xfId="2" applyFont="1" applyFill="1" applyBorder="1" applyAlignment="1">
      <alignment horizontal="center" vertical="center"/>
    </xf>
    <xf numFmtId="165" fontId="92" fillId="0" borderId="1" xfId="2" applyFont="1" applyFill="1" applyBorder="1"/>
    <xf numFmtId="0" fontId="0" fillId="0" borderId="1" xfId="0" applyFill="1" applyBorder="1"/>
    <xf numFmtId="165" fontId="10" fillId="0" borderId="1" xfId="2" applyFont="1" applyFill="1" applyBorder="1"/>
    <xf numFmtId="165" fontId="66" fillId="0" borderId="1" xfId="2" applyFont="1" applyFill="1" applyBorder="1"/>
    <xf numFmtId="0" fontId="31" fillId="2" borderId="0" xfId="0" applyFont="1" applyFill="1" applyAlignment="1">
      <alignment horizontal="center"/>
    </xf>
    <xf numFmtId="168" fontId="101" fillId="0" borderId="9" xfId="1" applyNumberFormat="1" applyFont="1" applyBorder="1" applyAlignment="1">
      <alignment vertical="center"/>
    </xf>
    <xf numFmtId="0" fontId="31" fillId="2" borderId="0" xfId="0" applyFont="1" applyFill="1" applyAlignment="1">
      <alignment horizontal="center"/>
    </xf>
    <xf numFmtId="168" fontId="2" fillId="8" borderId="1" xfId="0" applyNumberFormat="1" applyFont="1" applyFill="1" applyBorder="1" applyAlignment="1">
      <alignment horizontal="center" vertical="center" wrapText="1"/>
    </xf>
    <xf numFmtId="168" fontId="10" fillId="19" borderId="1" xfId="0" applyNumberFormat="1" applyFont="1" applyFill="1" applyBorder="1" applyAlignment="1">
      <alignment horizontal="center" vertical="center" wrapText="1"/>
    </xf>
    <xf numFmtId="165" fontId="92" fillId="10" borderId="1" xfId="2" applyFont="1" applyFill="1" applyBorder="1" applyAlignment="1">
      <alignment horizontal="center" vertical="center"/>
    </xf>
    <xf numFmtId="165" fontId="48" fillId="10" borderId="1" xfId="2" applyFont="1" applyFill="1" applyBorder="1" applyAlignment="1">
      <alignment horizontal="center" vertical="center"/>
    </xf>
    <xf numFmtId="168" fontId="9" fillId="0" borderId="12" xfId="1" applyNumberFormat="1" applyFont="1" applyFill="1" applyBorder="1" applyAlignment="1">
      <alignment vertical="center"/>
    </xf>
    <xf numFmtId="165" fontId="66" fillId="14" borderId="1" xfId="2" applyFont="1" applyFill="1" applyBorder="1" applyAlignment="1">
      <alignment horizontal="center" vertical="center"/>
    </xf>
    <xf numFmtId="165" fontId="66" fillId="14" borderId="1" xfId="2" applyFont="1" applyFill="1" applyBorder="1" applyAlignment="1">
      <alignment vertical="center"/>
    </xf>
    <xf numFmtId="165" fontId="10" fillId="0" borderId="1" xfId="2" applyFont="1" applyFill="1" applyBorder="1" applyAlignment="1">
      <alignment horizontal="center" vertical="center" wrapText="1"/>
    </xf>
    <xf numFmtId="0" fontId="31" fillId="2" borderId="0" xfId="0" applyFont="1" applyFill="1" applyAlignment="1">
      <alignment horizontal="center"/>
    </xf>
    <xf numFmtId="165" fontId="79" fillId="3" borderId="1" xfId="2" applyFont="1" applyFill="1" applyBorder="1" applyAlignment="1">
      <alignment horizontal="center" vertical="center" wrapText="1"/>
    </xf>
    <xf numFmtId="168" fontId="84" fillId="0" borderId="9" xfId="1" applyNumberFormat="1" applyFont="1" applyBorder="1" applyAlignment="1">
      <alignment vertical="center"/>
    </xf>
    <xf numFmtId="0" fontId="31" fillId="2" borderId="0" xfId="0" applyFont="1" applyFill="1" applyAlignment="1">
      <alignment horizontal="center"/>
    </xf>
    <xf numFmtId="49" fontId="31" fillId="2" borderId="0" xfId="0" applyNumberFormat="1" applyFont="1" applyFill="1" applyAlignment="1">
      <alignment horizontal="center"/>
    </xf>
    <xf numFmtId="0" fontId="29" fillId="6" borderId="1" xfId="0" applyFont="1" applyFill="1" applyBorder="1" applyAlignment="1">
      <alignment horizontal="center" vertical="center" wrapText="1"/>
    </xf>
    <xf numFmtId="49" fontId="102" fillId="2" borderId="17" xfId="0" applyNumberFormat="1" applyFont="1" applyFill="1" applyBorder="1" applyAlignment="1">
      <alignment horizontal="center" wrapText="1"/>
    </xf>
  </cellXfs>
  <cellStyles count="3">
    <cellStyle name="Moneda" xfId="2" builtinId="4"/>
    <cellStyle name="Moneda 2" xfId="1"/>
    <cellStyle name="Normal" xfId="0" builtinId="0"/>
  </cellStyles>
  <dxfs count="0"/>
  <tableStyles count="0" defaultTableStyle="TableStyleMedium2" defaultPivotStyle="PivotStyleLight16"/>
  <colors>
    <mruColors>
      <color rgb="FF2B35F5"/>
      <color rgb="FFFFEEBD"/>
      <color rgb="FF2AF67D"/>
      <color rgb="FF413ACE"/>
      <color rgb="FF3F2DC3"/>
      <color rgb="FF216BFF"/>
      <color rgb="FFE0D9FD"/>
      <color rgb="FFE70E09"/>
      <color rgb="FFE709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30287</xdr:rowOff>
    </xdr:from>
    <xdr:to>
      <xdr:col>1</xdr:col>
      <xdr:colOff>14655</xdr:colOff>
      <xdr:row>1</xdr:row>
      <xdr:rowOff>390525</xdr:rowOff>
    </xdr:to>
    <xdr:pic>
      <xdr:nvPicPr>
        <xdr:cNvPr id="2" name="1 Imagen" descr="ESCUDO alcaldia">
          <a:extLst>
            <a:ext uri="{FF2B5EF4-FFF2-40B4-BE49-F238E27FC236}">
              <a16:creationId xmlns:a16="http://schemas.microsoft.com/office/drawing/2014/main" xmlns=""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0287"/>
          <a:ext cx="776654" cy="826963"/>
        </a:xfrm>
        <a:prstGeom prst="rect">
          <a:avLst/>
        </a:prstGeom>
        <a:ln>
          <a:noFill/>
        </a:ln>
        <a:effectLst>
          <a:outerShdw blurRad="190500" algn="tl" rotWithShape="0">
            <a:srgbClr val="000000">
              <a:alpha val="70000"/>
            </a:srgbClr>
          </a:outerShdw>
        </a:effectLst>
      </xdr:spPr>
    </xdr:pic>
    <xdr:clientData/>
  </xdr:twoCellAnchor>
  <xdr:twoCellAnchor>
    <xdr:from>
      <xdr:col>10</xdr:col>
      <xdr:colOff>94603</xdr:colOff>
      <xdr:row>0</xdr:row>
      <xdr:rowOff>57150</xdr:rowOff>
    </xdr:from>
    <xdr:to>
      <xdr:col>10</xdr:col>
      <xdr:colOff>865432</xdr:colOff>
      <xdr:row>1</xdr:row>
      <xdr:rowOff>388327</xdr:rowOff>
    </xdr:to>
    <xdr:pic>
      <xdr:nvPicPr>
        <xdr:cNvPr id="3" name="Picture 5" descr="Escudo">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7852" b="39717"/>
        <a:stretch>
          <a:fillRect/>
        </a:stretch>
      </xdr:blipFill>
      <xdr:spPr bwMode="auto">
        <a:xfrm>
          <a:off x="12248503" y="57150"/>
          <a:ext cx="770829" cy="797902"/>
        </a:xfrm>
        <a:prstGeom prst="rect">
          <a:avLst/>
        </a:prstGeom>
        <a:ln w="127000" cap="rnd">
          <a:solidFill>
            <a:srgbClr val="FFFFFF"/>
          </a:solidFill>
        </a:ln>
        <a:effectLst>
          <a:outerShdw blurRad="76200" dist="95250" dir="10500000" sx="97000" sy="23000" kx="900000" algn="br" rotWithShape="0">
            <a:srgbClr val="000000">
              <a:alpha val="20000"/>
            </a:srgbClr>
          </a:outerShdw>
        </a:effectLst>
        <a:scene3d>
          <a:camera prst="orthographicFront"/>
          <a:lightRig rig="twoPt" dir="t">
            <a:rot lat="0" lon="0" rev="7800000"/>
          </a:lightRig>
        </a:scene3d>
        <a:sp3d contourW="6350">
          <a:bevelT w="50800" h="16510"/>
          <a:contourClr>
            <a:srgbClr val="C0C0C0"/>
          </a:contourClr>
        </a:sp3d>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114301</xdr:rowOff>
    </xdr:from>
    <xdr:to>
      <xdr:col>0</xdr:col>
      <xdr:colOff>838200</xdr:colOff>
      <xdr:row>1</xdr:row>
      <xdr:rowOff>390526</xdr:rowOff>
    </xdr:to>
    <xdr:pic>
      <xdr:nvPicPr>
        <xdr:cNvPr id="2" name="1 Imagen" descr="ESCUDO alcaldia">
          <a:extLst>
            <a:ext uri="{FF2B5EF4-FFF2-40B4-BE49-F238E27FC236}">
              <a16:creationId xmlns:a16="http://schemas.microsoft.com/office/drawing/2014/main" xmlns=""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1"/>
          <a:ext cx="800100" cy="74295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8</xdr:col>
      <xdr:colOff>514350</xdr:colOff>
      <xdr:row>0</xdr:row>
      <xdr:rowOff>47625</xdr:rowOff>
    </xdr:from>
    <xdr:to>
      <xdr:col>8</xdr:col>
      <xdr:colOff>1295400</xdr:colOff>
      <xdr:row>1</xdr:row>
      <xdr:rowOff>342899</xdr:rowOff>
    </xdr:to>
    <xdr:pic>
      <xdr:nvPicPr>
        <xdr:cNvPr id="3" name="Picture 5" descr="Escudo">
          <a:extLst>
            <a:ext uri="{FF2B5EF4-FFF2-40B4-BE49-F238E27FC236}">
              <a16:creationId xmlns:a16="http://schemas.microsoft.com/office/drawing/2014/main" xmlns=""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7852" b="39717"/>
        <a:stretch>
          <a:fillRect/>
        </a:stretch>
      </xdr:blipFill>
      <xdr:spPr bwMode="auto">
        <a:xfrm>
          <a:off x="12249150" y="47625"/>
          <a:ext cx="781050" cy="761999"/>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1240B29-F687-4F45-9708-019B960494DF}">
            <a14:hiddenLine xmlns:a14="http://schemas.microsoft.com/office/drawing/2010/main" w="9525" algn="in">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0</xdr:row>
      <xdr:rowOff>30287</xdr:rowOff>
    </xdr:from>
    <xdr:to>
      <xdr:col>1</xdr:col>
      <xdr:colOff>3316</xdr:colOff>
      <xdr:row>1</xdr:row>
      <xdr:rowOff>390525</xdr:rowOff>
    </xdr:to>
    <xdr:pic>
      <xdr:nvPicPr>
        <xdr:cNvPr id="2" name="1 Imagen" descr="ESCUDO alcaldia">
          <a:extLst>
            <a:ext uri="{FF2B5EF4-FFF2-40B4-BE49-F238E27FC236}">
              <a16:creationId xmlns:a16="http://schemas.microsoft.com/office/drawing/2014/main" xmlns="" id="{00000000-0008-0000-0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0287"/>
          <a:ext cx="774840" cy="826963"/>
        </a:xfrm>
        <a:prstGeom prst="rect">
          <a:avLst/>
        </a:prstGeom>
        <a:ln>
          <a:noFill/>
        </a:ln>
        <a:effectLst>
          <a:outerShdw blurRad="190500" algn="tl" rotWithShape="0">
            <a:srgbClr val="000000">
              <a:alpha val="70000"/>
            </a:srgbClr>
          </a:outerShdw>
        </a:effectLst>
      </xdr:spPr>
    </xdr:pic>
    <xdr:clientData/>
  </xdr:twoCellAnchor>
  <xdr:twoCellAnchor>
    <xdr:from>
      <xdr:col>10</xdr:col>
      <xdr:colOff>94603</xdr:colOff>
      <xdr:row>0</xdr:row>
      <xdr:rowOff>57150</xdr:rowOff>
    </xdr:from>
    <xdr:to>
      <xdr:col>10</xdr:col>
      <xdr:colOff>865432</xdr:colOff>
      <xdr:row>1</xdr:row>
      <xdr:rowOff>388327</xdr:rowOff>
    </xdr:to>
    <xdr:pic>
      <xdr:nvPicPr>
        <xdr:cNvPr id="3" name="Picture 5" descr="Escudo">
          <a:extLst>
            <a:ext uri="{FF2B5EF4-FFF2-40B4-BE49-F238E27FC236}">
              <a16:creationId xmlns:a16="http://schemas.microsoft.com/office/drawing/2014/main" xmlns="" id="{00000000-0008-0000-0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7852" b="39717"/>
        <a:stretch>
          <a:fillRect/>
        </a:stretch>
      </xdr:blipFill>
      <xdr:spPr bwMode="auto">
        <a:xfrm>
          <a:off x="12581878" y="57150"/>
          <a:ext cx="770829" cy="797902"/>
        </a:xfrm>
        <a:prstGeom prst="rect">
          <a:avLst/>
        </a:prstGeom>
        <a:ln w="127000" cap="rnd">
          <a:solidFill>
            <a:srgbClr val="FFFFFF"/>
          </a:solidFill>
        </a:ln>
        <a:effectLst>
          <a:outerShdw blurRad="76200" dist="95250" dir="10500000" sx="97000" sy="23000" kx="900000" algn="br" rotWithShape="0">
            <a:srgbClr val="000000">
              <a:alpha val="20000"/>
            </a:srgbClr>
          </a:outerShdw>
        </a:effectLst>
        <a:scene3d>
          <a:camera prst="orthographicFront"/>
          <a:lightRig rig="twoPt" dir="t">
            <a:rot lat="0" lon="0" rev="7800000"/>
          </a:lightRig>
        </a:scene3d>
        <a:sp3d contourW="6350">
          <a:bevelT w="50800" h="16510"/>
          <a:contourClr>
            <a:srgbClr val="C0C0C0"/>
          </a:contourClr>
        </a:sp3d>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114301</xdr:rowOff>
    </xdr:from>
    <xdr:to>
      <xdr:col>0</xdr:col>
      <xdr:colOff>838200</xdr:colOff>
      <xdr:row>1</xdr:row>
      <xdr:rowOff>390526</xdr:rowOff>
    </xdr:to>
    <xdr:pic>
      <xdr:nvPicPr>
        <xdr:cNvPr id="2" name="1 Imagen" descr="ESCUDO alcaldia">
          <a:extLst>
            <a:ext uri="{FF2B5EF4-FFF2-40B4-BE49-F238E27FC236}">
              <a16:creationId xmlns:a16="http://schemas.microsoft.com/office/drawing/2014/main" xmlns="" id="{00000000-0008-0000-0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1"/>
          <a:ext cx="800100" cy="74295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8</xdr:col>
      <xdr:colOff>514350</xdr:colOff>
      <xdr:row>0</xdr:row>
      <xdr:rowOff>47625</xdr:rowOff>
    </xdr:from>
    <xdr:to>
      <xdr:col>8</xdr:col>
      <xdr:colOff>1295400</xdr:colOff>
      <xdr:row>1</xdr:row>
      <xdr:rowOff>342899</xdr:rowOff>
    </xdr:to>
    <xdr:pic>
      <xdr:nvPicPr>
        <xdr:cNvPr id="3" name="Picture 5" descr="Escudo">
          <a:extLst>
            <a:ext uri="{FF2B5EF4-FFF2-40B4-BE49-F238E27FC236}">
              <a16:creationId xmlns:a16="http://schemas.microsoft.com/office/drawing/2014/main" xmlns="" id="{00000000-0008-0000-0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7852" b="39717"/>
        <a:stretch>
          <a:fillRect/>
        </a:stretch>
      </xdr:blipFill>
      <xdr:spPr bwMode="auto">
        <a:xfrm>
          <a:off x="12249150" y="47625"/>
          <a:ext cx="781050" cy="761999"/>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1240B29-F687-4F45-9708-019B960494DF}">
            <a14:hiddenLine xmlns:a14="http://schemas.microsoft.com/office/drawing/2010/main" w="9525" algn="in">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xdr:colOff>
      <xdr:row>0</xdr:row>
      <xdr:rowOff>30287</xdr:rowOff>
    </xdr:from>
    <xdr:to>
      <xdr:col>1</xdr:col>
      <xdr:colOff>3316</xdr:colOff>
      <xdr:row>1</xdr:row>
      <xdr:rowOff>390525</xdr:rowOff>
    </xdr:to>
    <xdr:pic>
      <xdr:nvPicPr>
        <xdr:cNvPr id="2" name="1 Imagen" descr="ESCUDO alcaldia">
          <a:extLst>
            <a:ext uri="{FF2B5EF4-FFF2-40B4-BE49-F238E27FC236}">
              <a16:creationId xmlns:a16="http://schemas.microsoft.com/office/drawing/2014/main" xmlns=""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0287"/>
          <a:ext cx="774840" cy="826963"/>
        </a:xfrm>
        <a:prstGeom prst="rect">
          <a:avLst/>
        </a:prstGeom>
        <a:ln>
          <a:noFill/>
        </a:ln>
        <a:effectLst>
          <a:outerShdw blurRad="190500" algn="tl" rotWithShape="0">
            <a:srgbClr val="000000">
              <a:alpha val="70000"/>
            </a:srgbClr>
          </a:outerShdw>
        </a:effectLst>
      </xdr:spPr>
    </xdr:pic>
    <xdr:clientData/>
  </xdr:twoCellAnchor>
  <xdr:twoCellAnchor>
    <xdr:from>
      <xdr:col>10</xdr:col>
      <xdr:colOff>94603</xdr:colOff>
      <xdr:row>0</xdr:row>
      <xdr:rowOff>57150</xdr:rowOff>
    </xdr:from>
    <xdr:to>
      <xdr:col>10</xdr:col>
      <xdr:colOff>865432</xdr:colOff>
      <xdr:row>1</xdr:row>
      <xdr:rowOff>388327</xdr:rowOff>
    </xdr:to>
    <xdr:pic>
      <xdr:nvPicPr>
        <xdr:cNvPr id="3" name="Picture 5" descr="Escudo">
          <a:extLst>
            <a:ext uri="{FF2B5EF4-FFF2-40B4-BE49-F238E27FC236}">
              <a16:creationId xmlns:a16="http://schemas.microsoft.com/office/drawing/2014/main" xmlns="" id="{00000000-0008-0000-0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7852" b="39717"/>
        <a:stretch>
          <a:fillRect/>
        </a:stretch>
      </xdr:blipFill>
      <xdr:spPr bwMode="auto">
        <a:xfrm>
          <a:off x="12581878" y="57150"/>
          <a:ext cx="770829" cy="797902"/>
        </a:xfrm>
        <a:prstGeom prst="rect">
          <a:avLst/>
        </a:prstGeom>
        <a:ln w="127000" cap="rnd">
          <a:solidFill>
            <a:srgbClr val="FFFFFF"/>
          </a:solidFill>
        </a:ln>
        <a:effectLst>
          <a:outerShdw blurRad="76200" dist="95250" dir="10500000" sx="97000" sy="23000" kx="900000" algn="br" rotWithShape="0">
            <a:srgbClr val="000000">
              <a:alpha val="20000"/>
            </a:srgbClr>
          </a:outerShdw>
        </a:effectLst>
        <a:scene3d>
          <a:camera prst="orthographicFront"/>
          <a:lightRig rig="twoPt" dir="t">
            <a:rot lat="0" lon="0" rev="7800000"/>
          </a:lightRig>
        </a:scene3d>
        <a:sp3d contourW="6350">
          <a:bevelT w="50800" h="16510"/>
          <a:contourClr>
            <a:srgbClr val="C0C0C0"/>
          </a:contourClr>
        </a:sp3d>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114301</xdr:rowOff>
    </xdr:from>
    <xdr:to>
      <xdr:col>0</xdr:col>
      <xdr:colOff>838200</xdr:colOff>
      <xdr:row>1</xdr:row>
      <xdr:rowOff>390526</xdr:rowOff>
    </xdr:to>
    <xdr:pic>
      <xdr:nvPicPr>
        <xdr:cNvPr id="2" name="1 Imagen" descr="ESCUDO alcaldia">
          <a:extLst>
            <a:ext uri="{FF2B5EF4-FFF2-40B4-BE49-F238E27FC236}">
              <a16:creationId xmlns:a16="http://schemas.microsoft.com/office/drawing/2014/main" xmlns=""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1"/>
          <a:ext cx="800100" cy="74295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8</xdr:col>
      <xdr:colOff>514350</xdr:colOff>
      <xdr:row>0</xdr:row>
      <xdr:rowOff>47625</xdr:rowOff>
    </xdr:from>
    <xdr:to>
      <xdr:col>8</xdr:col>
      <xdr:colOff>1295400</xdr:colOff>
      <xdr:row>1</xdr:row>
      <xdr:rowOff>342899</xdr:rowOff>
    </xdr:to>
    <xdr:pic>
      <xdr:nvPicPr>
        <xdr:cNvPr id="3" name="Picture 5" descr="Escudo">
          <a:extLst>
            <a:ext uri="{FF2B5EF4-FFF2-40B4-BE49-F238E27FC236}">
              <a16:creationId xmlns:a16="http://schemas.microsoft.com/office/drawing/2014/main" xmlns="" id="{00000000-0008-0000-0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7852" b="39717"/>
        <a:stretch>
          <a:fillRect/>
        </a:stretch>
      </xdr:blipFill>
      <xdr:spPr bwMode="auto">
        <a:xfrm>
          <a:off x="12049125" y="47625"/>
          <a:ext cx="781050" cy="761999"/>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1240B29-F687-4F45-9708-019B960494DF}">
            <a14:hiddenLine xmlns:a14="http://schemas.microsoft.com/office/drawing/2010/main" w="9525" algn="in">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0</xdr:row>
      <xdr:rowOff>30287</xdr:rowOff>
    </xdr:from>
    <xdr:to>
      <xdr:col>1</xdr:col>
      <xdr:colOff>3316</xdr:colOff>
      <xdr:row>1</xdr:row>
      <xdr:rowOff>390525</xdr:rowOff>
    </xdr:to>
    <xdr:pic>
      <xdr:nvPicPr>
        <xdr:cNvPr id="2" name="1 Imagen" descr="ESCUDO alcaldia">
          <a:extLst>
            <a:ext uri="{FF2B5EF4-FFF2-40B4-BE49-F238E27FC236}">
              <a16:creationId xmlns:a16="http://schemas.microsoft.com/office/drawing/2014/main" xmlns=""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0287"/>
          <a:ext cx="774840" cy="826963"/>
        </a:xfrm>
        <a:prstGeom prst="rect">
          <a:avLst/>
        </a:prstGeom>
        <a:ln>
          <a:noFill/>
        </a:ln>
        <a:effectLst>
          <a:outerShdw blurRad="190500" algn="tl" rotWithShape="0">
            <a:srgbClr val="000000">
              <a:alpha val="70000"/>
            </a:srgbClr>
          </a:outerShdw>
        </a:effectLst>
      </xdr:spPr>
    </xdr:pic>
    <xdr:clientData/>
  </xdr:twoCellAnchor>
  <xdr:twoCellAnchor>
    <xdr:from>
      <xdr:col>10</xdr:col>
      <xdr:colOff>94603</xdr:colOff>
      <xdr:row>0</xdr:row>
      <xdr:rowOff>57150</xdr:rowOff>
    </xdr:from>
    <xdr:to>
      <xdr:col>10</xdr:col>
      <xdr:colOff>865432</xdr:colOff>
      <xdr:row>1</xdr:row>
      <xdr:rowOff>388327</xdr:rowOff>
    </xdr:to>
    <xdr:pic>
      <xdr:nvPicPr>
        <xdr:cNvPr id="3" name="Picture 5" descr="Escudo">
          <a:extLst>
            <a:ext uri="{FF2B5EF4-FFF2-40B4-BE49-F238E27FC236}">
              <a16:creationId xmlns:a16="http://schemas.microsoft.com/office/drawing/2014/main" xmlns=""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7852" b="39717"/>
        <a:stretch>
          <a:fillRect/>
        </a:stretch>
      </xdr:blipFill>
      <xdr:spPr bwMode="auto">
        <a:xfrm>
          <a:off x="12639028" y="57150"/>
          <a:ext cx="770829" cy="797902"/>
        </a:xfrm>
        <a:prstGeom prst="rect">
          <a:avLst/>
        </a:prstGeom>
        <a:ln w="127000" cap="rnd">
          <a:solidFill>
            <a:srgbClr val="FFFFFF"/>
          </a:solidFill>
        </a:ln>
        <a:effectLst>
          <a:outerShdw blurRad="76200" dist="95250" dir="10500000" sx="97000" sy="23000" kx="900000" algn="br" rotWithShape="0">
            <a:srgbClr val="000000">
              <a:alpha val="20000"/>
            </a:srgbClr>
          </a:outerShdw>
        </a:effectLst>
        <a:scene3d>
          <a:camera prst="orthographicFront"/>
          <a:lightRig rig="twoPt" dir="t">
            <a:rot lat="0" lon="0" rev="7800000"/>
          </a:lightRig>
        </a:scene3d>
        <a:sp3d contourW="6350">
          <a:bevelT w="50800" h="16510"/>
          <a:contourClr>
            <a:srgbClr val="C0C0C0"/>
          </a:contourClr>
        </a:sp3d>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114301</xdr:rowOff>
    </xdr:from>
    <xdr:to>
      <xdr:col>0</xdr:col>
      <xdr:colOff>838200</xdr:colOff>
      <xdr:row>1</xdr:row>
      <xdr:rowOff>390526</xdr:rowOff>
    </xdr:to>
    <xdr:pic>
      <xdr:nvPicPr>
        <xdr:cNvPr id="2" name="1 Imagen" descr="ESCUDO alcaldia">
          <a:extLst>
            <a:ext uri="{FF2B5EF4-FFF2-40B4-BE49-F238E27FC236}">
              <a16:creationId xmlns:a16="http://schemas.microsoft.com/office/drawing/2014/main" xmlns=""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1"/>
          <a:ext cx="800100" cy="74295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8</xdr:col>
      <xdr:colOff>514350</xdr:colOff>
      <xdr:row>0</xdr:row>
      <xdr:rowOff>47625</xdr:rowOff>
    </xdr:from>
    <xdr:to>
      <xdr:col>8</xdr:col>
      <xdr:colOff>1295400</xdr:colOff>
      <xdr:row>1</xdr:row>
      <xdr:rowOff>342899</xdr:rowOff>
    </xdr:to>
    <xdr:pic>
      <xdr:nvPicPr>
        <xdr:cNvPr id="3" name="Picture 5" descr="Escudo">
          <a:extLst>
            <a:ext uri="{FF2B5EF4-FFF2-40B4-BE49-F238E27FC236}">
              <a16:creationId xmlns:a16="http://schemas.microsoft.com/office/drawing/2014/main" xmlns="" id="{00000000-0008-0000-0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7852" b="39717"/>
        <a:stretch>
          <a:fillRect/>
        </a:stretch>
      </xdr:blipFill>
      <xdr:spPr bwMode="auto">
        <a:xfrm>
          <a:off x="12049125" y="47625"/>
          <a:ext cx="781050" cy="761999"/>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1240B29-F687-4F45-9708-019B960494DF}">
            <a14:hiddenLine xmlns:a14="http://schemas.microsoft.com/office/drawing/2010/main" w="9525" algn="in">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xdr:colOff>
      <xdr:row>0</xdr:row>
      <xdr:rowOff>30287</xdr:rowOff>
    </xdr:from>
    <xdr:to>
      <xdr:col>1</xdr:col>
      <xdr:colOff>3316</xdr:colOff>
      <xdr:row>1</xdr:row>
      <xdr:rowOff>390525</xdr:rowOff>
    </xdr:to>
    <xdr:pic>
      <xdr:nvPicPr>
        <xdr:cNvPr id="2" name="1 Imagen" descr="ESCUDO alcaldia">
          <a:extLst>
            <a:ext uri="{FF2B5EF4-FFF2-40B4-BE49-F238E27FC236}">
              <a16:creationId xmlns:a16="http://schemas.microsoft.com/office/drawing/2014/main" xmlns="" id="{B5137695-69A4-4691-A522-81F3C68069F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0287"/>
          <a:ext cx="774840" cy="826963"/>
        </a:xfrm>
        <a:prstGeom prst="rect">
          <a:avLst/>
        </a:prstGeom>
        <a:ln>
          <a:noFill/>
        </a:ln>
        <a:effectLst>
          <a:outerShdw blurRad="190500" algn="tl" rotWithShape="0">
            <a:srgbClr val="000000">
              <a:alpha val="70000"/>
            </a:srgbClr>
          </a:outerShdw>
        </a:effectLst>
      </xdr:spPr>
    </xdr:pic>
    <xdr:clientData/>
  </xdr:twoCellAnchor>
  <xdr:twoCellAnchor>
    <xdr:from>
      <xdr:col>10</xdr:col>
      <xdr:colOff>94603</xdr:colOff>
      <xdr:row>0</xdr:row>
      <xdr:rowOff>57150</xdr:rowOff>
    </xdr:from>
    <xdr:to>
      <xdr:col>10</xdr:col>
      <xdr:colOff>865432</xdr:colOff>
      <xdr:row>1</xdr:row>
      <xdr:rowOff>388327</xdr:rowOff>
    </xdr:to>
    <xdr:pic>
      <xdr:nvPicPr>
        <xdr:cNvPr id="3" name="Picture 5" descr="Escudo">
          <a:extLst>
            <a:ext uri="{FF2B5EF4-FFF2-40B4-BE49-F238E27FC236}">
              <a16:creationId xmlns:a16="http://schemas.microsoft.com/office/drawing/2014/main" xmlns="" id="{7A7248E3-74BB-4239-9655-287843666F7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7852" b="39717"/>
        <a:stretch>
          <a:fillRect/>
        </a:stretch>
      </xdr:blipFill>
      <xdr:spPr bwMode="auto">
        <a:xfrm>
          <a:off x="12743803" y="57150"/>
          <a:ext cx="770829" cy="797902"/>
        </a:xfrm>
        <a:prstGeom prst="rect">
          <a:avLst/>
        </a:prstGeom>
        <a:ln w="127000" cap="rnd">
          <a:solidFill>
            <a:srgbClr val="FFFFFF"/>
          </a:solidFill>
        </a:ln>
        <a:effectLst>
          <a:outerShdw blurRad="76200" dist="95250" dir="10500000" sx="97000" sy="23000" kx="900000" algn="br" rotWithShape="0">
            <a:srgbClr val="000000">
              <a:alpha val="20000"/>
            </a:srgbClr>
          </a:outerShdw>
        </a:effectLst>
        <a:scene3d>
          <a:camera prst="orthographicFront"/>
          <a:lightRig rig="twoPt" dir="t">
            <a:rot lat="0" lon="0" rev="7800000"/>
          </a:lightRig>
        </a:scene3d>
        <a:sp3d contourW="6350">
          <a:bevelT w="50800" h="16510"/>
          <a:contourClr>
            <a:srgbClr val="C0C0C0"/>
          </a:contourClr>
        </a:sp3d>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114301</xdr:rowOff>
    </xdr:from>
    <xdr:to>
      <xdr:col>0</xdr:col>
      <xdr:colOff>838200</xdr:colOff>
      <xdr:row>1</xdr:row>
      <xdr:rowOff>390526</xdr:rowOff>
    </xdr:to>
    <xdr:pic>
      <xdr:nvPicPr>
        <xdr:cNvPr id="2" name="1 Imagen" descr="ESCUDO alcaldia">
          <a:extLst>
            <a:ext uri="{FF2B5EF4-FFF2-40B4-BE49-F238E27FC236}">
              <a16:creationId xmlns:a16="http://schemas.microsoft.com/office/drawing/2014/main" xmlns=""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1"/>
          <a:ext cx="800100" cy="74295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8</xdr:col>
      <xdr:colOff>514350</xdr:colOff>
      <xdr:row>0</xdr:row>
      <xdr:rowOff>47625</xdr:rowOff>
    </xdr:from>
    <xdr:to>
      <xdr:col>8</xdr:col>
      <xdr:colOff>1295400</xdr:colOff>
      <xdr:row>1</xdr:row>
      <xdr:rowOff>342899</xdr:rowOff>
    </xdr:to>
    <xdr:pic>
      <xdr:nvPicPr>
        <xdr:cNvPr id="3" name="Picture 5" descr="Escudo">
          <a:extLst>
            <a:ext uri="{FF2B5EF4-FFF2-40B4-BE49-F238E27FC236}">
              <a16:creationId xmlns:a16="http://schemas.microsoft.com/office/drawing/2014/main" xmlns="" id="{00000000-0008-0000-0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7852" b="39717"/>
        <a:stretch>
          <a:fillRect/>
        </a:stretch>
      </xdr:blipFill>
      <xdr:spPr bwMode="auto">
        <a:xfrm>
          <a:off x="12049125" y="47625"/>
          <a:ext cx="781050" cy="761999"/>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1240B29-F687-4F45-9708-019B960494DF}">
            <a14:hiddenLine xmlns:a14="http://schemas.microsoft.com/office/drawing/2010/main" w="9525" algn="in">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xdr:colOff>
      <xdr:row>0</xdr:row>
      <xdr:rowOff>30288</xdr:rowOff>
    </xdr:from>
    <xdr:to>
      <xdr:col>1</xdr:col>
      <xdr:colOff>235323</xdr:colOff>
      <xdr:row>2</xdr:row>
      <xdr:rowOff>0</xdr:rowOff>
    </xdr:to>
    <xdr:pic>
      <xdr:nvPicPr>
        <xdr:cNvPr id="2" name="1 Imagen" descr="ESCUDO alcaldia">
          <a:extLst>
            <a:ext uri="{FF2B5EF4-FFF2-40B4-BE49-F238E27FC236}">
              <a16:creationId xmlns:a16="http://schemas.microsoft.com/office/drawing/2014/main" xmlns="" id="{C82790C1-A91C-444B-8559-2EA8F7BD113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0288"/>
          <a:ext cx="840440" cy="911006"/>
        </a:xfrm>
        <a:prstGeom prst="rect">
          <a:avLst/>
        </a:prstGeom>
        <a:ln>
          <a:noFill/>
        </a:ln>
        <a:effectLst>
          <a:outerShdw blurRad="190500" algn="tl" rotWithShape="0">
            <a:srgbClr val="000000">
              <a:alpha val="70000"/>
            </a:srgbClr>
          </a:outerShdw>
        </a:effectLst>
      </xdr:spPr>
    </xdr:pic>
    <xdr:clientData/>
  </xdr:twoCellAnchor>
  <xdr:twoCellAnchor>
    <xdr:from>
      <xdr:col>10</xdr:col>
      <xdr:colOff>94603</xdr:colOff>
      <xdr:row>0</xdr:row>
      <xdr:rowOff>57150</xdr:rowOff>
    </xdr:from>
    <xdr:to>
      <xdr:col>10</xdr:col>
      <xdr:colOff>865432</xdr:colOff>
      <xdr:row>1</xdr:row>
      <xdr:rowOff>388327</xdr:rowOff>
    </xdr:to>
    <xdr:pic>
      <xdr:nvPicPr>
        <xdr:cNvPr id="3" name="Picture 5" descr="Escudo">
          <a:extLst>
            <a:ext uri="{FF2B5EF4-FFF2-40B4-BE49-F238E27FC236}">
              <a16:creationId xmlns:a16="http://schemas.microsoft.com/office/drawing/2014/main" xmlns="" id="{6AD91649-40E6-40DC-9596-A04B1AF49F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7852" b="39717"/>
        <a:stretch>
          <a:fillRect/>
        </a:stretch>
      </xdr:blipFill>
      <xdr:spPr bwMode="auto">
        <a:xfrm>
          <a:off x="12743803" y="57150"/>
          <a:ext cx="770829" cy="797902"/>
        </a:xfrm>
        <a:prstGeom prst="rect">
          <a:avLst/>
        </a:prstGeom>
        <a:ln w="127000" cap="rnd">
          <a:solidFill>
            <a:srgbClr val="FFFFFF"/>
          </a:solidFill>
        </a:ln>
        <a:effectLst>
          <a:outerShdw blurRad="76200" dist="95250" dir="10500000" sx="97000" sy="23000" kx="900000" algn="br" rotWithShape="0">
            <a:srgbClr val="000000">
              <a:alpha val="20000"/>
            </a:srgbClr>
          </a:outerShdw>
        </a:effectLst>
        <a:scene3d>
          <a:camera prst="orthographicFront"/>
          <a:lightRig rig="twoPt" dir="t">
            <a:rot lat="0" lon="0" rev="7800000"/>
          </a:lightRig>
        </a:scene3d>
        <a:sp3d contourW="6350">
          <a:bevelT w="50800" h="16510"/>
          <a:contourClr>
            <a:srgbClr val="C0C0C0"/>
          </a:contourClr>
        </a:sp3d>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114301</xdr:rowOff>
    </xdr:from>
    <xdr:to>
      <xdr:col>0</xdr:col>
      <xdr:colOff>838200</xdr:colOff>
      <xdr:row>1</xdr:row>
      <xdr:rowOff>390526</xdr:rowOff>
    </xdr:to>
    <xdr:pic>
      <xdr:nvPicPr>
        <xdr:cNvPr id="2" name="1 Imagen" descr="ESCUDO alcaldia">
          <a:extLst>
            <a:ext uri="{FF2B5EF4-FFF2-40B4-BE49-F238E27FC236}">
              <a16:creationId xmlns:a16="http://schemas.microsoft.com/office/drawing/2014/main" xmlns=""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1"/>
          <a:ext cx="800100" cy="74295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8</xdr:col>
      <xdr:colOff>514350</xdr:colOff>
      <xdr:row>0</xdr:row>
      <xdr:rowOff>47626</xdr:rowOff>
    </xdr:from>
    <xdr:to>
      <xdr:col>8</xdr:col>
      <xdr:colOff>1295400</xdr:colOff>
      <xdr:row>1</xdr:row>
      <xdr:rowOff>219075</xdr:rowOff>
    </xdr:to>
    <xdr:pic>
      <xdr:nvPicPr>
        <xdr:cNvPr id="3" name="Picture 5" descr="Escudo">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7852" b="39717"/>
        <a:stretch>
          <a:fillRect/>
        </a:stretch>
      </xdr:blipFill>
      <xdr:spPr bwMode="auto">
        <a:xfrm>
          <a:off x="11582400" y="47626"/>
          <a:ext cx="781050" cy="761999"/>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1240B29-F687-4F45-9708-019B960494DF}">
            <a14:hiddenLine xmlns:a14="http://schemas.microsoft.com/office/drawing/2010/main" w="9525" algn="in">
              <a:solidFill>
                <a:srgbClr val="000000"/>
              </a:solidFill>
              <a:miter lim="800000"/>
              <a:headEnd/>
              <a:tailEnd/>
            </a14:hiddenLine>
          </a:ext>
        </a:extLst>
      </xdr:spPr>
    </xdr:pic>
    <xdr:clientData/>
  </xdr:twoCellAnchor>
  <xdr:twoCellAnchor editAs="oneCell">
    <xdr:from>
      <xdr:col>0</xdr:col>
      <xdr:colOff>1</xdr:colOff>
      <xdr:row>0</xdr:row>
      <xdr:rowOff>30287</xdr:rowOff>
    </xdr:from>
    <xdr:to>
      <xdr:col>0</xdr:col>
      <xdr:colOff>776655</xdr:colOff>
      <xdr:row>1</xdr:row>
      <xdr:rowOff>343389</xdr:rowOff>
    </xdr:to>
    <xdr:pic>
      <xdr:nvPicPr>
        <xdr:cNvPr id="4" name="1 Imagen" descr="ESCUDO alcaldia">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0287"/>
          <a:ext cx="776654" cy="884602"/>
        </a:xfrm>
        <a:prstGeom prst="rect">
          <a:avLst/>
        </a:prstGeom>
        <a:ln>
          <a:noFill/>
        </a:ln>
        <a:effectLst>
          <a:outerShdw blurRad="190500" algn="tl" rotWithShape="0">
            <a:srgbClr val="000000">
              <a:alpha val="70000"/>
            </a:srgbClr>
          </a:outerShdw>
        </a:effec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114301</xdr:rowOff>
    </xdr:from>
    <xdr:to>
      <xdr:col>0</xdr:col>
      <xdr:colOff>838200</xdr:colOff>
      <xdr:row>1</xdr:row>
      <xdr:rowOff>390526</xdr:rowOff>
    </xdr:to>
    <xdr:pic>
      <xdr:nvPicPr>
        <xdr:cNvPr id="2" name="1 Imagen" descr="ESCUDO alcaldia">
          <a:extLst>
            <a:ext uri="{FF2B5EF4-FFF2-40B4-BE49-F238E27FC236}">
              <a16:creationId xmlns:a16="http://schemas.microsoft.com/office/drawing/2014/main" xmlns=""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1"/>
          <a:ext cx="800100" cy="74295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8</xdr:col>
      <xdr:colOff>514350</xdr:colOff>
      <xdr:row>0</xdr:row>
      <xdr:rowOff>47625</xdr:rowOff>
    </xdr:from>
    <xdr:to>
      <xdr:col>8</xdr:col>
      <xdr:colOff>1295400</xdr:colOff>
      <xdr:row>1</xdr:row>
      <xdr:rowOff>342899</xdr:rowOff>
    </xdr:to>
    <xdr:pic>
      <xdr:nvPicPr>
        <xdr:cNvPr id="3" name="Picture 5" descr="Escudo">
          <a:extLst>
            <a:ext uri="{FF2B5EF4-FFF2-40B4-BE49-F238E27FC236}">
              <a16:creationId xmlns:a16="http://schemas.microsoft.com/office/drawing/2014/main" xmlns="" id="{00000000-0008-0000-0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7852" b="39717"/>
        <a:stretch>
          <a:fillRect/>
        </a:stretch>
      </xdr:blipFill>
      <xdr:spPr bwMode="auto">
        <a:xfrm>
          <a:off x="12049125" y="47625"/>
          <a:ext cx="781050" cy="761999"/>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1240B29-F687-4F45-9708-019B960494DF}">
            <a14:hiddenLine xmlns:a14="http://schemas.microsoft.com/office/drawing/2010/main" w="9525" algn="in">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xdr:colOff>
      <xdr:row>0</xdr:row>
      <xdr:rowOff>30288</xdr:rowOff>
    </xdr:from>
    <xdr:to>
      <xdr:col>1</xdr:col>
      <xdr:colOff>235323</xdr:colOff>
      <xdr:row>2</xdr:row>
      <xdr:rowOff>0</xdr:rowOff>
    </xdr:to>
    <xdr:pic>
      <xdr:nvPicPr>
        <xdr:cNvPr id="2" name="1 Imagen" descr="ESCUDO alcaldia">
          <a:extLst>
            <a:ext uri="{FF2B5EF4-FFF2-40B4-BE49-F238E27FC236}">
              <a16:creationId xmlns:a16="http://schemas.microsoft.com/office/drawing/2014/main" xmlns="" id="{C82790C1-A91C-444B-8559-2EA8F7BD113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0288"/>
          <a:ext cx="835397" cy="903162"/>
        </a:xfrm>
        <a:prstGeom prst="rect">
          <a:avLst/>
        </a:prstGeom>
        <a:ln>
          <a:noFill/>
        </a:ln>
        <a:effectLst>
          <a:outerShdw blurRad="190500" algn="tl" rotWithShape="0">
            <a:srgbClr val="000000">
              <a:alpha val="70000"/>
            </a:srgbClr>
          </a:outerShdw>
        </a:effectLst>
      </xdr:spPr>
    </xdr:pic>
    <xdr:clientData/>
  </xdr:twoCellAnchor>
  <xdr:twoCellAnchor>
    <xdr:from>
      <xdr:col>10</xdr:col>
      <xdr:colOff>94603</xdr:colOff>
      <xdr:row>0</xdr:row>
      <xdr:rowOff>57150</xdr:rowOff>
    </xdr:from>
    <xdr:to>
      <xdr:col>10</xdr:col>
      <xdr:colOff>865432</xdr:colOff>
      <xdr:row>1</xdr:row>
      <xdr:rowOff>388327</xdr:rowOff>
    </xdr:to>
    <xdr:pic>
      <xdr:nvPicPr>
        <xdr:cNvPr id="3" name="Picture 5" descr="Escudo">
          <a:extLst>
            <a:ext uri="{FF2B5EF4-FFF2-40B4-BE49-F238E27FC236}">
              <a16:creationId xmlns:a16="http://schemas.microsoft.com/office/drawing/2014/main" xmlns="" id="{6AD91649-40E6-40DC-9596-A04B1AF49F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7852" b="39717"/>
        <a:stretch>
          <a:fillRect/>
        </a:stretch>
      </xdr:blipFill>
      <xdr:spPr bwMode="auto">
        <a:xfrm>
          <a:off x="12458053" y="57150"/>
          <a:ext cx="770829" cy="797902"/>
        </a:xfrm>
        <a:prstGeom prst="rect">
          <a:avLst/>
        </a:prstGeom>
        <a:ln w="127000" cap="rnd">
          <a:solidFill>
            <a:srgbClr val="FFFFFF"/>
          </a:solidFill>
        </a:ln>
        <a:effectLst>
          <a:outerShdw blurRad="76200" dist="95250" dir="10500000" sx="97000" sy="23000" kx="900000" algn="br" rotWithShape="0">
            <a:srgbClr val="000000">
              <a:alpha val="20000"/>
            </a:srgbClr>
          </a:outerShdw>
        </a:effectLst>
        <a:scene3d>
          <a:camera prst="orthographicFront"/>
          <a:lightRig rig="twoPt" dir="t">
            <a:rot lat="0" lon="0" rev="7800000"/>
          </a:lightRig>
        </a:scene3d>
        <a:sp3d contourW="6350">
          <a:bevelT w="50800" h="16510"/>
          <a:contourClr>
            <a:srgbClr val="C0C0C0"/>
          </a:contourClr>
        </a:sp3d>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114301</xdr:rowOff>
    </xdr:from>
    <xdr:to>
      <xdr:col>0</xdr:col>
      <xdr:colOff>838200</xdr:colOff>
      <xdr:row>1</xdr:row>
      <xdr:rowOff>390526</xdr:rowOff>
    </xdr:to>
    <xdr:pic>
      <xdr:nvPicPr>
        <xdr:cNvPr id="2" name="1 Imagen" descr="ESCUDO alcaldia">
          <a:extLst>
            <a:ext uri="{FF2B5EF4-FFF2-40B4-BE49-F238E27FC236}">
              <a16:creationId xmlns:a16="http://schemas.microsoft.com/office/drawing/2014/main" xmlns=""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1"/>
          <a:ext cx="800100" cy="74295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8</xdr:col>
      <xdr:colOff>514350</xdr:colOff>
      <xdr:row>0</xdr:row>
      <xdr:rowOff>47625</xdr:rowOff>
    </xdr:from>
    <xdr:to>
      <xdr:col>8</xdr:col>
      <xdr:colOff>1295400</xdr:colOff>
      <xdr:row>1</xdr:row>
      <xdr:rowOff>342899</xdr:rowOff>
    </xdr:to>
    <xdr:pic>
      <xdr:nvPicPr>
        <xdr:cNvPr id="3" name="Picture 5" descr="Escudo">
          <a:extLst>
            <a:ext uri="{FF2B5EF4-FFF2-40B4-BE49-F238E27FC236}">
              <a16:creationId xmlns:a16="http://schemas.microsoft.com/office/drawing/2014/main" xmlns="" id="{00000000-0008-0000-0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7852" b="39717"/>
        <a:stretch>
          <a:fillRect/>
        </a:stretch>
      </xdr:blipFill>
      <xdr:spPr bwMode="auto">
        <a:xfrm>
          <a:off x="12553950" y="47625"/>
          <a:ext cx="781050" cy="761999"/>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1240B29-F687-4F45-9708-019B960494DF}">
            <a14:hiddenLine xmlns:a14="http://schemas.microsoft.com/office/drawing/2010/main" w="9525" algn="in">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xdr:colOff>
      <xdr:row>0</xdr:row>
      <xdr:rowOff>30288</xdr:rowOff>
    </xdr:from>
    <xdr:to>
      <xdr:col>1</xdr:col>
      <xdr:colOff>235323</xdr:colOff>
      <xdr:row>2</xdr:row>
      <xdr:rowOff>0</xdr:rowOff>
    </xdr:to>
    <xdr:pic>
      <xdr:nvPicPr>
        <xdr:cNvPr id="2" name="1 Imagen" descr="ESCUDO alcaldia">
          <a:extLst>
            <a:ext uri="{FF2B5EF4-FFF2-40B4-BE49-F238E27FC236}">
              <a16:creationId xmlns:a16="http://schemas.microsoft.com/office/drawing/2014/main" xmlns="" id="{C82790C1-A91C-444B-8559-2EA8F7BD113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0288"/>
          <a:ext cx="835397" cy="903162"/>
        </a:xfrm>
        <a:prstGeom prst="rect">
          <a:avLst/>
        </a:prstGeom>
        <a:ln>
          <a:noFill/>
        </a:ln>
        <a:effectLst>
          <a:outerShdw blurRad="190500" algn="tl" rotWithShape="0">
            <a:srgbClr val="000000">
              <a:alpha val="70000"/>
            </a:srgbClr>
          </a:outerShdw>
        </a:effectLst>
      </xdr:spPr>
    </xdr:pic>
    <xdr:clientData/>
  </xdr:twoCellAnchor>
  <xdr:twoCellAnchor>
    <xdr:from>
      <xdr:col>10</xdr:col>
      <xdr:colOff>94603</xdr:colOff>
      <xdr:row>0</xdr:row>
      <xdr:rowOff>57150</xdr:rowOff>
    </xdr:from>
    <xdr:to>
      <xdr:col>10</xdr:col>
      <xdr:colOff>865432</xdr:colOff>
      <xdr:row>1</xdr:row>
      <xdr:rowOff>388327</xdr:rowOff>
    </xdr:to>
    <xdr:pic>
      <xdr:nvPicPr>
        <xdr:cNvPr id="3" name="Picture 5" descr="Escudo">
          <a:extLst>
            <a:ext uri="{FF2B5EF4-FFF2-40B4-BE49-F238E27FC236}">
              <a16:creationId xmlns:a16="http://schemas.microsoft.com/office/drawing/2014/main" xmlns="" id="{6AD91649-40E6-40DC-9596-A04B1AF49F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7852" b="39717"/>
        <a:stretch>
          <a:fillRect/>
        </a:stretch>
      </xdr:blipFill>
      <xdr:spPr bwMode="auto">
        <a:xfrm>
          <a:off x="12458053" y="57150"/>
          <a:ext cx="770829" cy="797902"/>
        </a:xfrm>
        <a:prstGeom prst="rect">
          <a:avLst/>
        </a:prstGeom>
        <a:ln w="127000" cap="rnd">
          <a:solidFill>
            <a:srgbClr val="FFFFFF"/>
          </a:solidFill>
        </a:ln>
        <a:effectLst>
          <a:outerShdw blurRad="76200" dist="95250" dir="10500000" sx="97000" sy="23000" kx="900000" algn="br" rotWithShape="0">
            <a:srgbClr val="000000">
              <a:alpha val="20000"/>
            </a:srgbClr>
          </a:outerShdw>
        </a:effectLst>
        <a:scene3d>
          <a:camera prst="orthographicFront"/>
          <a:lightRig rig="twoPt" dir="t">
            <a:rot lat="0" lon="0" rev="7800000"/>
          </a:lightRig>
        </a:scene3d>
        <a:sp3d contourW="6350">
          <a:bevelT w="50800" h="16510"/>
          <a:contourClr>
            <a:srgbClr val="C0C0C0"/>
          </a:contourClr>
        </a:sp3d>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114301</xdr:rowOff>
    </xdr:from>
    <xdr:to>
      <xdr:col>0</xdr:col>
      <xdr:colOff>838200</xdr:colOff>
      <xdr:row>1</xdr:row>
      <xdr:rowOff>390526</xdr:rowOff>
    </xdr:to>
    <xdr:pic>
      <xdr:nvPicPr>
        <xdr:cNvPr id="2" name="1 Imagen" descr="ESCUDO alcaldia">
          <a:extLst>
            <a:ext uri="{FF2B5EF4-FFF2-40B4-BE49-F238E27FC236}">
              <a16:creationId xmlns:a16="http://schemas.microsoft.com/office/drawing/2014/main" xmlns=""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1"/>
          <a:ext cx="800100" cy="74295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8</xdr:col>
      <xdr:colOff>514350</xdr:colOff>
      <xdr:row>0</xdr:row>
      <xdr:rowOff>47625</xdr:rowOff>
    </xdr:from>
    <xdr:to>
      <xdr:col>8</xdr:col>
      <xdr:colOff>1295400</xdr:colOff>
      <xdr:row>1</xdr:row>
      <xdr:rowOff>342899</xdr:rowOff>
    </xdr:to>
    <xdr:pic>
      <xdr:nvPicPr>
        <xdr:cNvPr id="3" name="Picture 5" descr="Escudo">
          <a:extLst>
            <a:ext uri="{FF2B5EF4-FFF2-40B4-BE49-F238E27FC236}">
              <a16:creationId xmlns:a16="http://schemas.microsoft.com/office/drawing/2014/main" xmlns="" id="{00000000-0008-0000-0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7852" b="39717"/>
        <a:stretch>
          <a:fillRect/>
        </a:stretch>
      </xdr:blipFill>
      <xdr:spPr bwMode="auto">
        <a:xfrm>
          <a:off x="12553950" y="47625"/>
          <a:ext cx="781050" cy="761999"/>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1240B29-F687-4F45-9708-019B960494DF}">
            <a14:hiddenLine xmlns:a14="http://schemas.microsoft.com/office/drawing/2010/main" w="9525" algn="in">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xdr:colOff>
      <xdr:row>0</xdr:row>
      <xdr:rowOff>30288</xdr:rowOff>
    </xdr:from>
    <xdr:to>
      <xdr:col>1</xdr:col>
      <xdr:colOff>235323</xdr:colOff>
      <xdr:row>1</xdr:row>
      <xdr:rowOff>465175</xdr:rowOff>
    </xdr:to>
    <xdr:pic>
      <xdr:nvPicPr>
        <xdr:cNvPr id="2" name="1 Imagen" descr="ESCUDO alcaldia">
          <a:extLst>
            <a:ext uri="{FF2B5EF4-FFF2-40B4-BE49-F238E27FC236}">
              <a16:creationId xmlns:a16="http://schemas.microsoft.com/office/drawing/2014/main" xmlns="" id="{C82790C1-A91C-444B-8559-2EA8F7BD113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0288"/>
          <a:ext cx="835397" cy="903162"/>
        </a:xfrm>
        <a:prstGeom prst="rect">
          <a:avLst/>
        </a:prstGeom>
        <a:ln>
          <a:noFill/>
        </a:ln>
        <a:effectLst>
          <a:outerShdw blurRad="190500" algn="tl" rotWithShape="0">
            <a:srgbClr val="000000">
              <a:alpha val="70000"/>
            </a:srgbClr>
          </a:outerShdw>
        </a:effectLst>
      </xdr:spPr>
    </xdr:pic>
    <xdr:clientData/>
  </xdr:twoCellAnchor>
  <xdr:twoCellAnchor>
    <xdr:from>
      <xdr:col>10</xdr:col>
      <xdr:colOff>94603</xdr:colOff>
      <xdr:row>0</xdr:row>
      <xdr:rowOff>57150</xdr:rowOff>
    </xdr:from>
    <xdr:to>
      <xdr:col>10</xdr:col>
      <xdr:colOff>865432</xdr:colOff>
      <xdr:row>1</xdr:row>
      <xdr:rowOff>388327</xdr:rowOff>
    </xdr:to>
    <xdr:pic>
      <xdr:nvPicPr>
        <xdr:cNvPr id="3" name="Picture 5" descr="Escudo">
          <a:extLst>
            <a:ext uri="{FF2B5EF4-FFF2-40B4-BE49-F238E27FC236}">
              <a16:creationId xmlns:a16="http://schemas.microsoft.com/office/drawing/2014/main" xmlns="" id="{6AD91649-40E6-40DC-9596-A04B1AF49F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7852" b="39717"/>
        <a:stretch>
          <a:fillRect/>
        </a:stretch>
      </xdr:blipFill>
      <xdr:spPr bwMode="auto">
        <a:xfrm>
          <a:off x="12553303" y="57150"/>
          <a:ext cx="770829" cy="797902"/>
        </a:xfrm>
        <a:prstGeom prst="rect">
          <a:avLst/>
        </a:prstGeom>
        <a:ln w="127000" cap="rnd">
          <a:solidFill>
            <a:srgbClr val="FFFFFF"/>
          </a:solidFill>
        </a:ln>
        <a:effectLst>
          <a:outerShdw blurRad="76200" dist="95250" dir="10500000" sx="97000" sy="23000" kx="900000" algn="br" rotWithShape="0">
            <a:srgbClr val="000000">
              <a:alpha val="20000"/>
            </a:srgbClr>
          </a:outerShdw>
        </a:effectLst>
        <a:scene3d>
          <a:camera prst="orthographicFront"/>
          <a:lightRig rig="twoPt" dir="t">
            <a:rot lat="0" lon="0" rev="7800000"/>
          </a:lightRig>
        </a:scene3d>
        <a:sp3d contourW="6350">
          <a:bevelT w="50800" h="16510"/>
          <a:contourClr>
            <a:srgbClr val="C0C0C0"/>
          </a:contourClr>
        </a:sp3d>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30287</xdr:rowOff>
    </xdr:from>
    <xdr:to>
      <xdr:col>1</xdr:col>
      <xdr:colOff>14655</xdr:colOff>
      <xdr:row>1</xdr:row>
      <xdr:rowOff>390525</xdr:rowOff>
    </xdr:to>
    <xdr:pic>
      <xdr:nvPicPr>
        <xdr:cNvPr id="2" name="1 Imagen" descr="ESCUDO alcaldia">
          <a:extLst>
            <a:ext uri="{FF2B5EF4-FFF2-40B4-BE49-F238E27FC236}">
              <a16:creationId xmlns:a16="http://schemas.microsoft.com/office/drawing/2014/main" xmlns=""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0287"/>
          <a:ext cx="781300" cy="824872"/>
        </a:xfrm>
        <a:prstGeom prst="rect">
          <a:avLst/>
        </a:prstGeom>
        <a:ln>
          <a:noFill/>
        </a:ln>
        <a:effectLst>
          <a:outerShdw blurRad="190500" algn="tl" rotWithShape="0">
            <a:srgbClr val="000000">
              <a:alpha val="70000"/>
            </a:srgbClr>
          </a:outerShdw>
        </a:effectLst>
      </xdr:spPr>
    </xdr:pic>
    <xdr:clientData/>
  </xdr:twoCellAnchor>
  <xdr:twoCellAnchor>
    <xdr:from>
      <xdr:col>10</xdr:col>
      <xdr:colOff>94603</xdr:colOff>
      <xdr:row>0</xdr:row>
      <xdr:rowOff>57150</xdr:rowOff>
    </xdr:from>
    <xdr:to>
      <xdr:col>10</xdr:col>
      <xdr:colOff>865432</xdr:colOff>
      <xdr:row>1</xdr:row>
      <xdr:rowOff>388327</xdr:rowOff>
    </xdr:to>
    <xdr:pic>
      <xdr:nvPicPr>
        <xdr:cNvPr id="3" name="Picture 5" descr="Escudo">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7852" b="39717"/>
        <a:stretch>
          <a:fillRect/>
        </a:stretch>
      </xdr:blipFill>
      <xdr:spPr bwMode="auto">
        <a:xfrm>
          <a:off x="12410428" y="57150"/>
          <a:ext cx="770829" cy="797902"/>
        </a:xfrm>
        <a:prstGeom prst="rect">
          <a:avLst/>
        </a:prstGeom>
        <a:ln w="127000" cap="rnd">
          <a:solidFill>
            <a:srgbClr val="FFFFFF"/>
          </a:solidFill>
        </a:ln>
        <a:effectLst>
          <a:outerShdw blurRad="76200" dist="95250" dir="10500000" sx="97000" sy="23000" kx="900000" algn="br" rotWithShape="0">
            <a:srgbClr val="000000">
              <a:alpha val="20000"/>
            </a:srgbClr>
          </a:outerShdw>
        </a:effectLst>
        <a:scene3d>
          <a:camera prst="orthographicFront"/>
          <a:lightRig rig="twoPt" dir="t">
            <a:rot lat="0" lon="0" rev="7800000"/>
          </a:lightRig>
        </a:scene3d>
        <a:sp3d contourW="6350">
          <a:bevelT w="50800" h="16510"/>
          <a:contourClr>
            <a:srgbClr val="C0C0C0"/>
          </a:contourClr>
        </a:sp3d>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114301</xdr:rowOff>
    </xdr:from>
    <xdr:to>
      <xdr:col>0</xdr:col>
      <xdr:colOff>838200</xdr:colOff>
      <xdr:row>1</xdr:row>
      <xdr:rowOff>390526</xdr:rowOff>
    </xdr:to>
    <xdr:pic>
      <xdr:nvPicPr>
        <xdr:cNvPr id="2" name="1 Imagen" descr="ESCUDO alcaldia">
          <a:extLst>
            <a:ext uri="{FF2B5EF4-FFF2-40B4-BE49-F238E27FC236}">
              <a16:creationId xmlns:a16="http://schemas.microsoft.com/office/drawing/2014/main" xmlns=""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1"/>
          <a:ext cx="800100" cy="74295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8</xdr:col>
      <xdr:colOff>514350</xdr:colOff>
      <xdr:row>0</xdr:row>
      <xdr:rowOff>47625</xdr:rowOff>
    </xdr:from>
    <xdr:to>
      <xdr:col>8</xdr:col>
      <xdr:colOff>1295400</xdr:colOff>
      <xdr:row>1</xdr:row>
      <xdr:rowOff>342899</xdr:rowOff>
    </xdr:to>
    <xdr:pic>
      <xdr:nvPicPr>
        <xdr:cNvPr id="3" name="Picture 5" descr="Escudo">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7852" b="39717"/>
        <a:stretch>
          <a:fillRect/>
        </a:stretch>
      </xdr:blipFill>
      <xdr:spPr bwMode="auto">
        <a:xfrm>
          <a:off x="12363450" y="47625"/>
          <a:ext cx="781050" cy="761999"/>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1240B29-F687-4F45-9708-019B960494DF}">
            <a14:hiddenLine xmlns:a14="http://schemas.microsoft.com/office/drawing/2010/main" w="9525" algn="in">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30287</xdr:rowOff>
    </xdr:from>
    <xdr:to>
      <xdr:col>1</xdr:col>
      <xdr:colOff>14655</xdr:colOff>
      <xdr:row>1</xdr:row>
      <xdr:rowOff>390525</xdr:rowOff>
    </xdr:to>
    <xdr:pic>
      <xdr:nvPicPr>
        <xdr:cNvPr id="2" name="1 Imagen" descr="ESCUDO alcaldia">
          <a:extLst>
            <a:ext uri="{FF2B5EF4-FFF2-40B4-BE49-F238E27FC236}">
              <a16:creationId xmlns:a16="http://schemas.microsoft.com/office/drawing/2014/main" xmlns=""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0287"/>
          <a:ext cx="776654" cy="826963"/>
        </a:xfrm>
        <a:prstGeom prst="rect">
          <a:avLst/>
        </a:prstGeom>
        <a:ln>
          <a:noFill/>
        </a:ln>
        <a:effectLst>
          <a:outerShdw blurRad="190500" algn="tl" rotWithShape="0">
            <a:srgbClr val="000000">
              <a:alpha val="70000"/>
            </a:srgbClr>
          </a:outerShdw>
        </a:effectLst>
      </xdr:spPr>
    </xdr:pic>
    <xdr:clientData/>
  </xdr:twoCellAnchor>
  <xdr:twoCellAnchor>
    <xdr:from>
      <xdr:col>10</xdr:col>
      <xdr:colOff>94603</xdr:colOff>
      <xdr:row>0</xdr:row>
      <xdr:rowOff>57150</xdr:rowOff>
    </xdr:from>
    <xdr:to>
      <xdr:col>10</xdr:col>
      <xdr:colOff>865432</xdr:colOff>
      <xdr:row>1</xdr:row>
      <xdr:rowOff>388327</xdr:rowOff>
    </xdr:to>
    <xdr:pic>
      <xdr:nvPicPr>
        <xdr:cNvPr id="3" name="Picture 5" descr="Escudo">
          <a:extLst>
            <a:ext uri="{FF2B5EF4-FFF2-40B4-BE49-F238E27FC236}">
              <a16:creationId xmlns:a16="http://schemas.microsoft.com/office/drawing/2014/main" xmlns=""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7852" b="39717"/>
        <a:stretch>
          <a:fillRect/>
        </a:stretch>
      </xdr:blipFill>
      <xdr:spPr bwMode="auto">
        <a:xfrm>
          <a:off x="12410428" y="57150"/>
          <a:ext cx="770829" cy="797902"/>
        </a:xfrm>
        <a:prstGeom prst="rect">
          <a:avLst/>
        </a:prstGeom>
        <a:ln w="127000" cap="rnd">
          <a:solidFill>
            <a:srgbClr val="FFFFFF"/>
          </a:solidFill>
        </a:ln>
        <a:effectLst>
          <a:outerShdw blurRad="76200" dist="95250" dir="10500000" sx="97000" sy="23000" kx="900000" algn="br" rotWithShape="0">
            <a:srgbClr val="000000">
              <a:alpha val="20000"/>
            </a:srgbClr>
          </a:outerShdw>
        </a:effectLst>
        <a:scene3d>
          <a:camera prst="orthographicFront"/>
          <a:lightRig rig="twoPt" dir="t">
            <a:rot lat="0" lon="0" rev="7800000"/>
          </a:lightRig>
        </a:scene3d>
        <a:sp3d contourW="6350">
          <a:bevelT w="50800" h="16510"/>
          <a:contourClr>
            <a:srgbClr val="C0C0C0"/>
          </a:contourClr>
        </a:sp3d>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114301</xdr:rowOff>
    </xdr:from>
    <xdr:to>
      <xdr:col>0</xdr:col>
      <xdr:colOff>838200</xdr:colOff>
      <xdr:row>1</xdr:row>
      <xdr:rowOff>390526</xdr:rowOff>
    </xdr:to>
    <xdr:pic>
      <xdr:nvPicPr>
        <xdr:cNvPr id="2" name="1 Imagen" descr="ESCUDO alcaldia">
          <a:extLst>
            <a:ext uri="{FF2B5EF4-FFF2-40B4-BE49-F238E27FC236}">
              <a16:creationId xmlns:a16="http://schemas.microsoft.com/office/drawing/2014/main" xmlns=""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1"/>
          <a:ext cx="800100" cy="74295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8</xdr:col>
      <xdr:colOff>514350</xdr:colOff>
      <xdr:row>0</xdr:row>
      <xdr:rowOff>47625</xdr:rowOff>
    </xdr:from>
    <xdr:to>
      <xdr:col>8</xdr:col>
      <xdr:colOff>1295400</xdr:colOff>
      <xdr:row>1</xdr:row>
      <xdr:rowOff>342899</xdr:rowOff>
    </xdr:to>
    <xdr:pic>
      <xdr:nvPicPr>
        <xdr:cNvPr id="3" name="Picture 5" descr="Escudo">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7852" b="39717"/>
        <a:stretch>
          <a:fillRect/>
        </a:stretch>
      </xdr:blipFill>
      <xdr:spPr bwMode="auto">
        <a:xfrm>
          <a:off x="12363450" y="47625"/>
          <a:ext cx="781050" cy="761999"/>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1240B29-F687-4F45-9708-019B960494DF}">
            <a14:hiddenLine xmlns:a14="http://schemas.microsoft.com/office/drawing/2010/main" w="9525" algn="in">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30287</xdr:rowOff>
    </xdr:from>
    <xdr:to>
      <xdr:col>1</xdr:col>
      <xdr:colOff>14655</xdr:colOff>
      <xdr:row>1</xdr:row>
      <xdr:rowOff>390525</xdr:rowOff>
    </xdr:to>
    <xdr:pic>
      <xdr:nvPicPr>
        <xdr:cNvPr id="2" name="1 Imagen" descr="ESCUDO alcaldia">
          <a:extLst>
            <a:ext uri="{FF2B5EF4-FFF2-40B4-BE49-F238E27FC236}">
              <a16:creationId xmlns:a16="http://schemas.microsoft.com/office/drawing/2014/main" xmlns=""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0287"/>
          <a:ext cx="776654" cy="826963"/>
        </a:xfrm>
        <a:prstGeom prst="rect">
          <a:avLst/>
        </a:prstGeom>
        <a:ln>
          <a:noFill/>
        </a:ln>
        <a:effectLst>
          <a:outerShdw blurRad="190500" algn="tl" rotWithShape="0">
            <a:srgbClr val="000000">
              <a:alpha val="70000"/>
            </a:srgbClr>
          </a:outerShdw>
        </a:effectLst>
      </xdr:spPr>
    </xdr:pic>
    <xdr:clientData/>
  </xdr:twoCellAnchor>
  <xdr:twoCellAnchor>
    <xdr:from>
      <xdr:col>10</xdr:col>
      <xdr:colOff>94603</xdr:colOff>
      <xdr:row>0</xdr:row>
      <xdr:rowOff>57150</xdr:rowOff>
    </xdr:from>
    <xdr:to>
      <xdr:col>10</xdr:col>
      <xdr:colOff>865432</xdr:colOff>
      <xdr:row>1</xdr:row>
      <xdr:rowOff>388327</xdr:rowOff>
    </xdr:to>
    <xdr:pic>
      <xdr:nvPicPr>
        <xdr:cNvPr id="3" name="Picture 5" descr="Escudo">
          <a:extLst>
            <a:ext uri="{FF2B5EF4-FFF2-40B4-BE49-F238E27FC236}">
              <a16:creationId xmlns:a16="http://schemas.microsoft.com/office/drawing/2014/main" xmlns=""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7852" b="39717"/>
        <a:stretch>
          <a:fillRect/>
        </a:stretch>
      </xdr:blipFill>
      <xdr:spPr bwMode="auto">
        <a:xfrm>
          <a:off x="12477103" y="57150"/>
          <a:ext cx="770829" cy="797902"/>
        </a:xfrm>
        <a:prstGeom prst="rect">
          <a:avLst/>
        </a:prstGeom>
        <a:ln w="127000" cap="rnd">
          <a:solidFill>
            <a:srgbClr val="FFFFFF"/>
          </a:solidFill>
        </a:ln>
        <a:effectLst>
          <a:outerShdw blurRad="76200" dist="95250" dir="10500000" sx="97000" sy="23000" kx="900000" algn="br" rotWithShape="0">
            <a:srgbClr val="000000">
              <a:alpha val="20000"/>
            </a:srgbClr>
          </a:outerShdw>
        </a:effectLst>
        <a:scene3d>
          <a:camera prst="orthographicFront"/>
          <a:lightRig rig="twoPt" dir="t">
            <a:rot lat="0" lon="0" rev="7800000"/>
          </a:lightRig>
        </a:scene3d>
        <a:sp3d contourW="6350">
          <a:bevelT w="50800" h="16510"/>
          <a:contourClr>
            <a:srgbClr val="C0C0C0"/>
          </a:contourClr>
        </a:sp3d>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114301</xdr:rowOff>
    </xdr:from>
    <xdr:to>
      <xdr:col>0</xdr:col>
      <xdr:colOff>838200</xdr:colOff>
      <xdr:row>1</xdr:row>
      <xdr:rowOff>390526</xdr:rowOff>
    </xdr:to>
    <xdr:pic>
      <xdr:nvPicPr>
        <xdr:cNvPr id="2" name="1 Imagen" descr="ESCUDO alcaldia">
          <a:extLst>
            <a:ext uri="{FF2B5EF4-FFF2-40B4-BE49-F238E27FC236}">
              <a16:creationId xmlns:a16="http://schemas.microsoft.com/office/drawing/2014/main" xmlns=""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14301"/>
          <a:ext cx="800100" cy="74295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8</xdr:col>
      <xdr:colOff>514350</xdr:colOff>
      <xdr:row>0</xdr:row>
      <xdr:rowOff>47625</xdr:rowOff>
    </xdr:from>
    <xdr:to>
      <xdr:col>8</xdr:col>
      <xdr:colOff>1295400</xdr:colOff>
      <xdr:row>1</xdr:row>
      <xdr:rowOff>342899</xdr:rowOff>
    </xdr:to>
    <xdr:pic>
      <xdr:nvPicPr>
        <xdr:cNvPr id="3" name="Picture 5" descr="Escudo">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7852" b="39717"/>
        <a:stretch>
          <a:fillRect/>
        </a:stretch>
      </xdr:blipFill>
      <xdr:spPr bwMode="auto">
        <a:xfrm>
          <a:off x="12249150" y="47625"/>
          <a:ext cx="781050" cy="761999"/>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1240B29-F687-4F45-9708-019B960494DF}">
            <a14:hiddenLine xmlns:a14="http://schemas.microsoft.com/office/drawing/2010/main" w="9525" algn="in">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30287</xdr:rowOff>
    </xdr:from>
    <xdr:to>
      <xdr:col>1</xdr:col>
      <xdr:colOff>3316</xdr:colOff>
      <xdr:row>1</xdr:row>
      <xdr:rowOff>390525</xdr:rowOff>
    </xdr:to>
    <xdr:pic>
      <xdr:nvPicPr>
        <xdr:cNvPr id="2" name="1 Imagen" descr="ESCUDO alcaldia">
          <a:extLst>
            <a:ext uri="{FF2B5EF4-FFF2-40B4-BE49-F238E27FC236}">
              <a16:creationId xmlns:a16="http://schemas.microsoft.com/office/drawing/2014/main" xmlns=""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0287"/>
          <a:ext cx="776654" cy="826963"/>
        </a:xfrm>
        <a:prstGeom prst="rect">
          <a:avLst/>
        </a:prstGeom>
        <a:ln>
          <a:noFill/>
        </a:ln>
        <a:effectLst>
          <a:outerShdw blurRad="190500" algn="tl" rotWithShape="0">
            <a:srgbClr val="000000">
              <a:alpha val="70000"/>
            </a:srgbClr>
          </a:outerShdw>
        </a:effectLst>
      </xdr:spPr>
    </xdr:pic>
    <xdr:clientData/>
  </xdr:twoCellAnchor>
  <xdr:twoCellAnchor>
    <xdr:from>
      <xdr:col>10</xdr:col>
      <xdr:colOff>94603</xdr:colOff>
      <xdr:row>0</xdr:row>
      <xdr:rowOff>57150</xdr:rowOff>
    </xdr:from>
    <xdr:to>
      <xdr:col>10</xdr:col>
      <xdr:colOff>865432</xdr:colOff>
      <xdr:row>1</xdr:row>
      <xdr:rowOff>388327</xdr:rowOff>
    </xdr:to>
    <xdr:pic>
      <xdr:nvPicPr>
        <xdr:cNvPr id="3" name="Picture 5" descr="Escudo">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7852" b="39717"/>
        <a:stretch>
          <a:fillRect/>
        </a:stretch>
      </xdr:blipFill>
      <xdr:spPr bwMode="auto">
        <a:xfrm>
          <a:off x="12496153" y="57150"/>
          <a:ext cx="770829" cy="797902"/>
        </a:xfrm>
        <a:prstGeom prst="rect">
          <a:avLst/>
        </a:prstGeom>
        <a:ln w="127000" cap="rnd">
          <a:solidFill>
            <a:srgbClr val="FFFFFF"/>
          </a:solidFill>
        </a:ln>
        <a:effectLst>
          <a:outerShdw blurRad="76200" dist="95250" dir="10500000" sx="97000" sy="23000" kx="900000" algn="br" rotWithShape="0">
            <a:srgbClr val="000000">
              <a:alpha val="20000"/>
            </a:srgbClr>
          </a:outerShdw>
        </a:effectLst>
        <a:scene3d>
          <a:camera prst="orthographicFront"/>
          <a:lightRig rig="twoPt" dir="t">
            <a:rot lat="0" lon="0" rev="7800000"/>
          </a:lightRig>
        </a:scene3d>
        <a:sp3d contourW="6350">
          <a:bevelT w="50800" h="16510"/>
          <a:contourClr>
            <a:srgbClr val="C0C0C0"/>
          </a:contourClr>
        </a:sp3d>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E804"/>
  <sheetViews>
    <sheetView view="pageBreakPreview" topLeftCell="A57" zoomScale="112" zoomScaleNormal="120" zoomScaleSheetLayoutView="112" workbookViewId="0">
      <selection activeCell="H782" sqref="H782"/>
    </sheetView>
  </sheetViews>
  <sheetFormatPr baseColWidth="10" defaultRowHeight="15"/>
  <cols>
    <col min="1" max="1" width="11.42578125" customWidth="1"/>
    <col min="2" max="2" width="62" customWidth="1"/>
    <col min="3" max="3" width="17.28515625" customWidth="1"/>
    <col min="4" max="4" width="11.85546875" customWidth="1"/>
    <col min="6" max="6" width="13.42578125" customWidth="1"/>
    <col min="7" max="7" width="15.28515625" customWidth="1"/>
    <col min="8" max="8" width="13.5703125" customWidth="1"/>
    <col min="9" max="9" width="17" customWidth="1"/>
    <col min="11" max="11" width="14.7109375" customWidth="1"/>
  </cols>
  <sheetData>
    <row r="1" spans="1:11" ht="36.75">
      <c r="A1" s="15"/>
      <c r="B1" s="467" t="s">
        <v>33</v>
      </c>
      <c r="C1" s="467"/>
      <c r="D1" s="467"/>
      <c r="E1" s="467"/>
      <c r="F1" s="467"/>
      <c r="G1" s="467"/>
      <c r="H1" s="467"/>
      <c r="I1" s="467"/>
      <c r="J1" s="467"/>
      <c r="K1" s="467"/>
    </row>
    <row r="2" spans="1:11" ht="36.75">
      <c r="A2" s="16"/>
      <c r="B2" s="468" t="s">
        <v>163</v>
      </c>
      <c r="C2" s="468"/>
      <c r="D2" s="468"/>
      <c r="E2" s="468"/>
      <c r="F2" s="468"/>
      <c r="G2" s="468"/>
      <c r="H2" s="468"/>
      <c r="I2" s="468"/>
      <c r="J2" s="468"/>
      <c r="K2" s="69"/>
    </row>
    <row r="3" spans="1:11" ht="27">
      <c r="A3" s="41" t="s">
        <v>8</v>
      </c>
      <c r="B3" s="41" t="s">
        <v>34</v>
      </c>
      <c r="C3" s="41" t="s">
        <v>35</v>
      </c>
      <c r="D3" s="41" t="s">
        <v>36</v>
      </c>
      <c r="E3" s="41" t="s">
        <v>37</v>
      </c>
      <c r="F3" s="41" t="s">
        <v>38</v>
      </c>
      <c r="G3" s="42" t="s">
        <v>158</v>
      </c>
      <c r="H3" s="42" t="s">
        <v>165</v>
      </c>
      <c r="I3" s="42" t="s">
        <v>166</v>
      </c>
      <c r="J3" s="42" t="s">
        <v>40</v>
      </c>
      <c r="K3" s="42" t="s">
        <v>41</v>
      </c>
    </row>
    <row r="4" spans="1:11">
      <c r="A4" s="4">
        <v>51103</v>
      </c>
      <c r="B4" s="7" t="s">
        <v>164</v>
      </c>
      <c r="C4" s="2"/>
      <c r="D4" s="3" t="s">
        <v>42</v>
      </c>
      <c r="E4" s="3" t="s">
        <v>29</v>
      </c>
      <c r="F4" s="3" t="s">
        <v>43</v>
      </c>
      <c r="G4" s="17">
        <v>100</v>
      </c>
      <c r="H4" s="51"/>
      <c r="I4" s="17">
        <f>G4-H4+J4-K4</f>
        <v>100</v>
      </c>
      <c r="J4" s="18"/>
      <c r="K4" s="18"/>
    </row>
    <row r="5" spans="1:11">
      <c r="A5" s="4">
        <v>51105</v>
      </c>
      <c r="B5" s="7" t="s">
        <v>125</v>
      </c>
      <c r="C5" s="2"/>
      <c r="D5" s="3" t="s">
        <v>42</v>
      </c>
      <c r="E5" s="3" t="s">
        <v>29</v>
      </c>
      <c r="F5" s="3" t="s">
        <v>43</v>
      </c>
      <c r="G5" s="17">
        <v>25000</v>
      </c>
      <c r="H5" s="51"/>
      <c r="I5" s="17">
        <f>G5-H5+J5-K5</f>
        <v>25000</v>
      </c>
      <c r="J5" s="18"/>
      <c r="K5" s="18"/>
    </row>
    <row r="6" spans="1:11">
      <c r="A6" s="4">
        <v>51107</v>
      </c>
      <c r="B6" s="7" t="s">
        <v>167</v>
      </c>
      <c r="C6" s="2"/>
      <c r="D6" s="3" t="s">
        <v>42</v>
      </c>
      <c r="E6" s="3" t="s">
        <v>29</v>
      </c>
      <c r="F6" s="3" t="s">
        <v>43</v>
      </c>
      <c r="G6" s="17">
        <v>1500</v>
      </c>
      <c r="H6" s="51"/>
      <c r="I6" s="17">
        <f t="shared" ref="I6:I70" si="0">G6-H6+J6-K6</f>
        <v>1500</v>
      </c>
      <c r="J6" s="18"/>
      <c r="K6" s="18"/>
    </row>
    <row r="7" spans="1:11">
      <c r="A7" s="4">
        <v>51201</v>
      </c>
      <c r="B7" s="7" t="s">
        <v>44</v>
      </c>
      <c r="C7" s="2"/>
      <c r="D7" s="3" t="s">
        <v>42</v>
      </c>
      <c r="E7" s="3" t="s">
        <v>29</v>
      </c>
      <c r="F7" s="3" t="s">
        <v>43</v>
      </c>
      <c r="G7" s="17">
        <v>2000</v>
      </c>
      <c r="H7" s="51"/>
      <c r="I7" s="17">
        <f t="shared" si="0"/>
        <v>2000</v>
      </c>
      <c r="J7" s="19"/>
      <c r="K7" s="18"/>
    </row>
    <row r="8" spans="1:11" ht="30.75" customHeight="1">
      <c r="A8" s="4">
        <v>51401</v>
      </c>
      <c r="B8" s="5" t="s">
        <v>128</v>
      </c>
      <c r="C8" s="2"/>
      <c r="D8" s="3" t="s">
        <v>42</v>
      </c>
      <c r="E8" s="3" t="s">
        <v>29</v>
      </c>
      <c r="F8" s="3" t="s">
        <v>43</v>
      </c>
      <c r="G8" s="17">
        <v>2244.1799999999998</v>
      </c>
      <c r="H8" s="51"/>
      <c r="I8" s="17">
        <f t="shared" si="0"/>
        <v>2244.1799999999998</v>
      </c>
      <c r="J8" s="20"/>
      <c r="K8" s="18"/>
    </row>
    <row r="9" spans="1:11" ht="42" customHeight="1">
      <c r="A9" s="4">
        <v>51501</v>
      </c>
      <c r="B9" s="5" t="s">
        <v>168</v>
      </c>
      <c r="C9" s="47"/>
      <c r="D9" s="3" t="s">
        <v>42</v>
      </c>
      <c r="E9" s="3" t="s">
        <v>29</v>
      </c>
      <c r="F9" s="3" t="s">
        <v>43</v>
      </c>
      <c r="G9" s="17">
        <v>2829.78</v>
      </c>
      <c r="H9" s="51"/>
      <c r="I9" s="17">
        <f t="shared" si="0"/>
        <v>2829.78</v>
      </c>
      <c r="J9" s="21"/>
      <c r="K9" s="18"/>
    </row>
    <row r="10" spans="1:11" ht="25.5">
      <c r="A10" s="4">
        <v>51701</v>
      </c>
      <c r="B10" s="7" t="s">
        <v>126</v>
      </c>
      <c r="C10" s="2"/>
      <c r="D10" s="3" t="s">
        <v>42</v>
      </c>
      <c r="E10" s="3" t="s">
        <v>29</v>
      </c>
      <c r="F10" s="3" t="s">
        <v>43</v>
      </c>
      <c r="G10" s="17">
        <v>30001</v>
      </c>
      <c r="H10" s="51"/>
      <c r="I10" s="17">
        <f t="shared" si="0"/>
        <v>30001</v>
      </c>
      <c r="J10" s="22"/>
      <c r="K10" s="18"/>
    </row>
    <row r="11" spans="1:11" ht="25.5">
      <c r="A11" s="4">
        <v>51601</v>
      </c>
      <c r="B11" s="7" t="s">
        <v>129</v>
      </c>
      <c r="C11" s="2"/>
      <c r="D11" s="3" t="s">
        <v>42</v>
      </c>
      <c r="E11" s="3" t="s">
        <v>29</v>
      </c>
      <c r="F11" s="3" t="s">
        <v>43</v>
      </c>
      <c r="G11" s="17">
        <v>9000</v>
      </c>
      <c r="H11" s="51"/>
      <c r="I11" s="17">
        <f t="shared" si="0"/>
        <v>9000</v>
      </c>
      <c r="J11" s="21"/>
      <c r="K11" s="18"/>
    </row>
    <row r="12" spans="1:11">
      <c r="A12" s="4">
        <v>51602</v>
      </c>
      <c r="B12" s="2" t="s">
        <v>46</v>
      </c>
      <c r="C12" s="2"/>
      <c r="D12" s="3" t="s">
        <v>42</v>
      </c>
      <c r="E12" s="3" t="s">
        <v>29</v>
      </c>
      <c r="F12" s="3" t="s">
        <v>43</v>
      </c>
      <c r="G12" s="17">
        <v>1</v>
      </c>
      <c r="H12" s="51"/>
      <c r="I12" s="17">
        <f t="shared" si="0"/>
        <v>1</v>
      </c>
      <c r="J12" s="20"/>
      <c r="K12" s="18"/>
    </row>
    <row r="13" spans="1:11">
      <c r="A13" s="4">
        <v>51999</v>
      </c>
      <c r="B13" s="2" t="s">
        <v>47</v>
      </c>
      <c r="C13" s="2"/>
      <c r="D13" s="3" t="s">
        <v>42</v>
      </c>
      <c r="E13" s="3" t="s">
        <v>29</v>
      </c>
      <c r="F13" s="3" t="s">
        <v>43</v>
      </c>
      <c r="G13" s="17">
        <v>4000</v>
      </c>
      <c r="H13" s="51">
        <f>12.5+30+30+25+25+25+25+35+40+35+35+35+35+35+35+35+20</f>
        <v>512.5</v>
      </c>
      <c r="I13" s="17">
        <f t="shared" si="0"/>
        <v>3487.5</v>
      </c>
      <c r="J13" s="21"/>
      <c r="K13" s="18"/>
    </row>
    <row r="14" spans="1:11" ht="45" customHeight="1">
      <c r="A14" s="4">
        <v>54101</v>
      </c>
      <c r="B14" s="5" t="s">
        <v>48</v>
      </c>
      <c r="C14" s="2"/>
      <c r="D14" s="3" t="s">
        <v>42</v>
      </c>
      <c r="E14" s="3" t="s">
        <v>29</v>
      </c>
      <c r="F14" s="3" t="s">
        <v>43</v>
      </c>
      <c r="G14" s="17">
        <v>34747.71</v>
      </c>
      <c r="H14" s="51">
        <f>161.25+71.4+60+13+55.25+111.4+12+7.5+30+27+30+20.35+17.5+6+30+18.5+10+22.75+30+143</f>
        <v>876.9</v>
      </c>
      <c r="I14" s="17">
        <f t="shared" si="0"/>
        <v>33870.81</v>
      </c>
      <c r="J14" s="23"/>
      <c r="K14" s="18"/>
    </row>
    <row r="15" spans="1:11" ht="26.25">
      <c r="A15" s="4">
        <v>54104</v>
      </c>
      <c r="B15" s="5" t="s">
        <v>130</v>
      </c>
      <c r="C15" s="2"/>
      <c r="D15" s="3" t="s">
        <v>42</v>
      </c>
      <c r="E15" s="3" t="s">
        <v>29</v>
      </c>
      <c r="F15" s="3" t="s">
        <v>43</v>
      </c>
      <c r="G15" s="17">
        <v>2000</v>
      </c>
      <c r="H15" s="51"/>
      <c r="I15" s="17">
        <f t="shared" si="0"/>
        <v>2000</v>
      </c>
      <c r="J15" s="21"/>
      <c r="K15" s="18"/>
    </row>
    <row r="16" spans="1:11">
      <c r="A16" s="4">
        <v>54105</v>
      </c>
      <c r="B16" s="2" t="s">
        <v>49</v>
      </c>
      <c r="C16" s="2"/>
      <c r="D16" s="3" t="s">
        <v>42</v>
      </c>
      <c r="E16" s="3" t="s">
        <v>29</v>
      </c>
      <c r="F16" s="3" t="s">
        <v>43</v>
      </c>
      <c r="G16" s="17">
        <v>2000</v>
      </c>
      <c r="H16" s="51"/>
      <c r="I16" s="17">
        <f t="shared" si="0"/>
        <v>2000</v>
      </c>
      <c r="J16" s="20"/>
      <c r="K16" s="18"/>
    </row>
    <row r="17" spans="1:11">
      <c r="A17" s="4">
        <v>54107</v>
      </c>
      <c r="B17" s="2" t="s">
        <v>50</v>
      </c>
      <c r="C17" s="2"/>
      <c r="D17" s="3" t="s">
        <v>42</v>
      </c>
      <c r="E17" s="3" t="s">
        <v>29</v>
      </c>
      <c r="F17" s="3" t="s">
        <v>43</v>
      </c>
      <c r="G17" s="17">
        <v>2000</v>
      </c>
      <c r="H17" s="51"/>
      <c r="I17" s="17">
        <f t="shared" si="0"/>
        <v>2000</v>
      </c>
      <c r="J17" s="22"/>
      <c r="K17" s="18"/>
    </row>
    <row r="18" spans="1:11">
      <c r="A18" s="4">
        <v>54108</v>
      </c>
      <c r="B18" s="2" t="s">
        <v>51</v>
      </c>
      <c r="C18" s="2"/>
      <c r="D18" s="3" t="s">
        <v>42</v>
      </c>
      <c r="E18" s="3" t="s">
        <v>29</v>
      </c>
      <c r="F18" s="3" t="s">
        <v>43</v>
      </c>
      <c r="G18" s="17">
        <v>100</v>
      </c>
      <c r="H18" s="51"/>
      <c r="I18" s="17">
        <f t="shared" si="0"/>
        <v>100</v>
      </c>
      <c r="J18" s="20"/>
      <c r="K18" s="18"/>
    </row>
    <row r="19" spans="1:11">
      <c r="A19" s="4">
        <v>54109</v>
      </c>
      <c r="B19" s="2" t="s">
        <v>131</v>
      </c>
      <c r="C19" s="2"/>
      <c r="D19" s="3" t="s">
        <v>42</v>
      </c>
      <c r="E19" s="3" t="s">
        <v>29</v>
      </c>
      <c r="F19" s="3" t="s">
        <v>43</v>
      </c>
      <c r="G19" s="17">
        <v>500</v>
      </c>
      <c r="H19" s="51"/>
      <c r="I19" s="17">
        <f t="shared" si="0"/>
        <v>500</v>
      </c>
      <c r="J19" s="20"/>
      <c r="K19" s="18"/>
    </row>
    <row r="20" spans="1:11">
      <c r="A20" s="4">
        <v>54110</v>
      </c>
      <c r="B20" s="2" t="s">
        <v>132</v>
      </c>
      <c r="C20" s="2"/>
      <c r="D20" s="3" t="s">
        <v>42</v>
      </c>
      <c r="E20" s="3" t="s">
        <v>29</v>
      </c>
      <c r="F20" s="3" t="s">
        <v>43</v>
      </c>
      <c r="G20" s="17">
        <v>12000</v>
      </c>
      <c r="H20" s="51"/>
      <c r="I20" s="17">
        <f t="shared" si="0"/>
        <v>12000</v>
      </c>
      <c r="J20" s="24"/>
      <c r="K20" s="18"/>
    </row>
    <row r="21" spans="1:11" ht="30.75" customHeight="1">
      <c r="A21" s="4">
        <v>54111</v>
      </c>
      <c r="B21" s="5" t="s">
        <v>54</v>
      </c>
      <c r="C21" s="2"/>
      <c r="D21" s="3" t="s">
        <v>42</v>
      </c>
      <c r="E21" s="3" t="s">
        <v>29</v>
      </c>
      <c r="F21" s="3" t="s">
        <v>43</v>
      </c>
      <c r="G21" s="17">
        <v>1000</v>
      </c>
      <c r="H21" s="51">
        <f>41.25</f>
        <v>41.25</v>
      </c>
      <c r="I21" s="17">
        <f t="shared" si="0"/>
        <v>958.75</v>
      </c>
      <c r="J21" s="23"/>
      <c r="K21" s="18"/>
    </row>
    <row r="22" spans="1:11" ht="42.75" customHeight="1">
      <c r="A22" s="4">
        <v>54112</v>
      </c>
      <c r="B22" s="5" t="s">
        <v>55</v>
      </c>
      <c r="C22" s="2"/>
      <c r="D22" s="3" t="s">
        <v>42</v>
      </c>
      <c r="E22" s="3" t="s">
        <v>29</v>
      </c>
      <c r="F22" s="3" t="s">
        <v>43</v>
      </c>
      <c r="G22" s="17">
        <v>1000</v>
      </c>
      <c r="H22" s="51"/>
      <c r="I22" s="17">
        <f t="shared" si="0"/>
        <v>1000</v>
      </c>
      <c r="J22" s="21"/>
      <c r="K22" s="18"/>
    </row>
    <row r="23" spans="1:11">
      <c r="A23" s="4">
        <v>54114</v>
      </c>
      <c r="B23" s="2" t="s">
        <v>56</v>
      </c>
      <c r="C23" s="2"/>
      <c r="D23" s="3" t="s">
        <v>42</v>
      </c>
      <c r="E23" s="3" t="s">
        <v>29</v>
      </c>
      <c r="F23" s="3" t="s">
        <v>43</v>
      </c>
      <c r="G23" s="17">
        <v>1000</v>
      </c>
      <c r="H23" s="51"/>
      <c r="I23" s="17">
        <f t="shared" si="0"/>
        <v>1000</v>
      </c>
      <c r="J23" s="20"/>
      <c r="K23" s="18"/>
    </row>
    <row r="24" spans="1:11">
      <c r="A24" s="4">
        <v>54115</v>
      </c>
      <c r="B24" s="2" t="s">
        <v>57</v>
      </c>
      <c r="C24" s="2"/>
      <c r="D24" s="3" t="s">
        <v>42</v>
      </c>
      <c r="E24" s="3" t="s">
        <v>29</v>
      </c>
      <c r="F24" s="3" t="s">
        <v>43</v>
      </c>
      <c r="G24" s="17">
        <v>1000</v>
      </c>
      <c r="H24" s="51"/>
      <c r="I24" s="17">
        <f t="shared" si="0"/>
        <v>1000</v>
      </c>
      <c r="J24" s="20"/>
      <c r="K24" s="18"/>
    </row>
    <row r="25" spans="1:11" ht="30">
      <c r="A25" s="4">
        <v>54116</v>
      </c>
      <c r="B25" s="5" t="s">
        <v>58</v>
      </c>
      <c r="C25" s="2"/>
      <c r="D25" s="3" t="s">
        <v>42</v>
      </c>
      <c r="E25" s="3" t="s">
        <v>29</v>
      </c>
      <c r="F25" s="3" t="s">
        <v>43</v>
      </c>
      <c r="G25" s="17">
        <v>500</v>
      </c>
      <c r="H25" s="51"/>
      <c r="I25" s="17">
        <f t="shared" si="0"/>
        <v>500</v>
      </c>
      <c r="J25" s="20"/>
      <c r="K25" s="18"/>
    </row>
    <row r="26" spans="1:11">
      <c r="A26" s="4">
        <v>54117</v>
      </c>
      <c r="B26" s="25" t="s">
        <v>12</v>
      </c>
      <c r="C26" s="25"/>
      <c r="D26" s="3" t="s">
        <v>42</v>
      </c>
      <c r="E26" s="3" t="s">
        <v>29</v>
      </c>
      <c r="F26" s="3" t="s">
        <v>43</v>
      </c>
      <c r="G26" s="17">
        <v>2000</v>
      </c>
      <c r="H26" s="51"/>
      <c r="I26" s="17">
        <f t="shared" si="0"/>
        <v>2000</v>
      </c>
      <c r="J26" s="20"/>
      <c r="K26" s="18"/>
    </row>
    <row r="27" spans="1:11">
      <c r="A27" s="4">
        <v>54118</v>
      </c>
      <c r="B27" s="2" t="s">
        <v>59</v>
      </c>
      <c r="C27" s="2"/>
      <c r="D27" s="3" t="s">
        <v>42</v>
      </c>
      <c r="E27" s="3" t="s">
        <v>29</v>
      </c>
      <c r="F27" s="3" t="s">
        <v>43</v>
      </c>
      <c r="G27" s="17">
        <v>1000</v>
      </c>
      <c r="H27" s="51"/>
      <c r="I27" s="17">
        <f t="shared" si="0"/>
        <v>1000</v>
      </c>
      <c r="J27" s="23"/>
      <c r="K27" s="18"/>
    </row>
    <row r="28" spans="1:11">
      <c r="A28" s="4">
        <v>54119</v>
      </c>
      <c r="B28" s="2" t="s">
        <v>60</v>
      </c>
      <c r="C28" s="2"/>
      <c r="D28" s="3" t="s">
        <v>42</v>
      </c>
      <c r="E28" s="3" t="s">
        <v>29</v>
      </c>
      <c r="F28" s="3" t="s">
        <v>43</v>
      </c>
      <c r="G28" s="17">
        <v>1000</v>
      </c>
      <c r="H28" s="51"/>
      <c r="I28" s="17">
        <f t="shared" si="0"/>
        <v>1000</v>
      </c>
      <c r="J28" s="21"/>
      <c r="K28" s="18"/>
    </row>
    <row r="29" spans="1:11">
      <c r="A29" s="4">
        <v>54199</v>
      </c>
      <c r="B29" s="2" t="s">
        <v>61</v>
      </c>
      <c r="C29" s="2"/>
      <c r="D29" s="3" t="s">
        <v>42</v>
      </c>
      <c r="E29" s="3" t="s">
        <v>29</v>
      </c>
      <c r="F29" s="3" t="s">
        <v>43</v>
      </c>
      <c r="G29" s="17">
        <v>1500</v>
      </c>
      <c r="H29" s="51"/>
      <c r="I29" s="17">
        <f t="shared" si="0"/>
        <v>1500</v>
      </c>
      <c r="J29" s="21"/>
      <c r="K29" s="18"/>
    </row>
    <row r="30" spans="1:11">
      <c r="A30" s="4">
        <v>54201</v>
      </c>
      <c r="B30" s="2" t="s">
        <v>62</v>
      </c>
      <c r="C30" s="2"/>
      <c r="D30" s="3" t="s">
        <v>42</v>
      </c>
      <c r="E30" s="3" t="s">
        <v>29</v>
      </c>
      <c r="F30" s="3" t="s">
        <v>43</v>
      </c>
      <c r="G30" s="17">
        <v>30000</v>
      </c>
      <c r="H30" s="51"/>
      <c r="I30" s="17">
        <f t="shared" si="0"/>
        <v>30000</v>
      </c>
      <c r="J30" s="20"/>
      <c r="K30" s="18"/>
    </row>
    <row r="31" spans="1:11">
      <c r="A31" s="4">
        <v>54202</v>
      </c>
      <c r="B31" s="2" t="s">
        <v>63</v>
      </c>
      <c r="C31" s="2"/>
      <c r="D31" s="3" t="s">
        <v>42</v>
      </c>
      <c r="E31" s="3" t="s">
        <v>29</v>
      </c>
      <c r="F31" s="3" t="s">
        <v>43</v>
      </c>
      <c r="G31" s="17">
        <v>3000</v>
      </c>
      <c r="H31" s="51"/>
      <c r="I31" s="17">
        <f t="shared" si="0"/>
        <v>3000</v>
      </c>
      <c r="J31" s="20"/>
      <c r="K31" s="18"/>
    </row>
    <row r="32" spans="1:11" ht="26.25">
      <c r="A32" s="4">
        <v>54203</v>
      </c>
      <c r="B32" s="5" t="s">
        <v>133</v>
      </c>
      <c r="C32" s="2"/>
      <c r="D32" s="3" t="s">
        <v>42</v>
      </c>
      <c r="E32" s="3" t="s">
        <v>29</v>
      </c>
      <c r="F32" s="3" t="s">
        <v>43</v>
      </c>
      <c r="G32" s="17">
        <v>20000</v>
      </c>
      <c r="H32" s="51"/>
      <c r="I32" s="17">
        <f t="shared" si="0"/>
        <v>20000</v>
      </c>
      <c r="J32" s="20"/>
      <c r="K32" s="21"/>
    </row>
    <row r="33" spans="1:11">
      <c r="A33" s="4">
        <v>54204</v>
      </c>
      <c r="B33" s="2" t="s">
        <v>65</v>
      </c>
      <c r="C33" s="2"/>
      <c r="D33" s="3" t="s">
        <v>42</v>
      </c>
      <c r="E33" s="3" t="s">
        <v>29</v>
      </c>
      <c r="F33" s="3" t="s">
        <v>43</v>
      </c>
      <c r="G33" s="17">
        <v>100</v>
      </c>
      <c r="H33" s="51"/>
      <c r="I33" s="17">
        <f t="shared" si="0"/>
        <v>100</v>
      </c>
      <c r="J33" s="20"/>
      <c r="K33" s="18"/>
    </row>
    <row r="34" spans="1:11">
      <c r="A34" s="4">
        <v>54301</v>
      </c>
      <c r="B34" s="2" t="s">
        <v>66</v>
      </c>
      <c r="C34" s="2"/>
      <c r="D34" s="3" t="s">
        <v>42</v>
      </c>
      <c r="E34" s="3" t="s">
        <v>29</v>
      </c>
      <c r="F34" s="3" t="s">
        <v>43</v>
      </c>
      <c r="G34" s="17">
        <v>500</v>
      </c>
      <c r="H34" s="51">
        <f>93</f>
        <v>93</v>
      </c>
      <c r="I34" s="17">
        <f t="shared" si="0"/>
        <v>407</v>
      </c>
      <c r="J34" s="21"/>
      <c r="K34" s="18"/>
    </row>
    <row r="35" spans="1:11">
      <c r="A35" s="4">
        <v>54302</v>
      </c>
      <c r="B35" s="2" t="s">
        <v>67</v>
      </c>
      <c r="C35" s="2"/>
      <c r="D35" s="3" t="s">
        <v>42</v>
      </c>
      <c r="E35" s="3" t="s">
        <v>29</v>
      </c>
      <c r="F35" s="3" t="s">
        <v>43</v>
      </c>
      <c r="G35" s="17">
        <v>500</v>
      </c>
      <c r="H35" s="51"/>
      <c r="I35" s="17">
        <f t="shared" si="0"/>
        <v>500</v>
      </c>
      <c r="J35" s="20"/>
      <c r="K35" s="18"/>
    </row>
    <row r="36" spans="1:11">
      <c r="A36" s="4">
        <v>54303</v>
      </c>
      <c r="B36" s="2" t="s">
        <v>68</v>
      </c>
      <c r="C36" s="2"/>
      <c r="D36" s="3" t="s">
        <v>42</v>
      </c>
      <c r="E36" s="3" t="s">
        <v>29</v>
      </c>
      <c r="F36" s="3" t="s">
        <v>43</v>
      </c>
      <c r="G36" s="17">
        <v>2000</v>
      </c>
      <c r="H36" s="51"/>
      <c r="I36" s="17">
        <f t="shared" si="0"/>
        <v>2000</v>
      </c>
      <c r="J36" s="20"/>
      <c r="K36" s="18"/>
    </row>
    <row r="37" spans="1:11">
      <c r="A37" s="4">
        <v>54304</v>
      </c>
      <c r="B37" s="2" t="s">
        <v>69</v>
      </c>
      <c r="C37" s="2"/>
      <c r="D37" s="3" t="s">
        <v>42</v>
      </c>
      <c r="E37" s="3" t="s">
        <v>29</v>
      </c>
      <c r="F37" s="3" t="s">
        <v>43</v>
      </c>
      <c r="G37" s="17">
        <v>3000</v>
      </c>
      <c r="H37" s="51">
        <f>135</f>
        <v>135</v>
      </c>
      <c r="I37" s="17">
        <f t="shared" si="0"/>
        <v>2865</v>
      </c>
      <c r="J37" s="18"/>
      <c r="K37" s="21"/>
    </row>
    <row r="38" spans="1:11">
      <c r="A38" s="4">
        <v>54305</v>
      </c>
      <c r="B38" s="2" t="s">
        <v>70</v>
      </c>
      <c r="C38" s="2"/>
      <c r="D38" s="3" t="s">
        <v>42</v>
      </c>
      <c r="E38" s="3" t="s">
        <v>29</v>
      </c>
      <c r="F38" s="3" t="s">
        <v>43</v>
      </c>
      <c r="G38" s="17">
        <v>2000</v>
      </c>
      <c r="H38" s="51"/>
      <c r="I38" s="17">
        <f t="shared" si="0"/>
        <v>2000</v>
      </c>
      <c r="J38" s="21"/>
      <c r="K38" s="18"/>
    </row>
    <row r="39" spans="1:11">
      <c r="A39" s="4">
        <v>54313</v>
      </c>
      <c r="B39" s="2" t="s">
        <v>71</v>
      </c>
      <c r="C39" s="2"/>
      <c r="D39" s="3" t="s">
        <v>42</v>
      </c>
      <c r="E39" s="3" t="s">
        <v>29</v>
      </c>
      <c r="F39" s="3" t="s">
        <v>43</v>
      </c>
      <c r="G39" s="17">
        <v>2000</v>
      </c>
      <c r="H39" s="51">
        <f>8.86+21+15.54+25</f>
        <v>70.400000000000006</v>
      </c>
      <c r="I39" s="17">
        <f t="shared" si="0"/>
        <v>1929.6</v>
      </c>
      <c r="J39" s="18"/>
      <c r="K39" s="21"/>
    </row>
    <row r="40" spans="1:11">
      <c r="A40" s="4">
        <v>54316</v>
      </c>
      <c r="B40" s="2" t="s">
        <v>72</v>
      </c>
      <c r="C40" s="2"/>
      <c r="D40" s="3" t="s">
        <v>42</v>
      </c>
      <c r="E40" s="3" t="s">
        <v>29</v>
      </c>
      <c r="F40" s="3" t="s">
        <v>43</v>
      </c>
      <c r="G40" s="17">
        <v>2000</v>
      </c>
      <c r="H40" s="51"/>
      <c r="I40" s="17">
        <f t="shared" si="0"/>
        <v>2000</v>
      </c>
      <c r="J40" s="20"/>
      <c r="K40" s="18"/>
    </row>
    <row r="41" spans="1:11">
      <c r="A41" s="4">
        <v>54317</v>
      </c>
      <c r="B41" s="2" t="s">
        <v>73</v>
      </c>
      <c r="C41" s="2"/>
      <c r="D41" s="3" t="s">
        <v>42</v>
      </c>
      <c r="E41" s="3" t="s">
        <v>29</v>
      </c>
      <c r="F41" s="3" t="s">
        <v>43</v>
      </c>
      <c r="G41" s="17">
        <v>6000</v>
      </c>
      <c r="H41" s="51">
        <f>330+200</f>
        <v>530</v>
      </c>
      <c r="I41" s="17">
        <f t="shared" si="0"/>
        <v>5470</v>
      </c>
      <c r="J41" s="20"/>
      <c r="K41" s="18"/>
    </row>
    <row r="42" spans="1:11">
      <c r="A42" s="4">
        <v>54399</v>
      </c>
      <c r="B42" s="2" t="s">
        <v>74</v>
      </c>
      <c r="C42" s="2"/>
      <c r="D42" s="3" t="s">
        <v>42</v>
      </c>
      <c r="E42" s="3" t="s">
        <v>29</v>
      </c>
      <c r="F42" s="3" t="s">
        <v>43</v>
      </c>
      <c r="G42" s="17">
        <v>500</v>
      </c>
      <c r="H42" s="51">
        <f>9.5+105</f>
        <v>114.5</v>
      </c>
      <c r="I42" s="17">
        <f t="shared" si="0"/>
        <v>385.5</v>
      </c>
      <c r="J42" s="18"/>
      <c r="K42" s="21"/>
    </row>
    <row r="43" spans="1:11">
      <c r="A43" s="4">
        <v>54401</v>
      </c>
      <c r="B43" s="2" t="s">
        <v>75</v>
      </c>
      <c r="C43" s="2"/>
      <c r="D43" s="3" t="s">
        <v>42</v>
      </c>
      <c r="E43" s="3" t="s">
        <v>29</v>
      </c>
      <c r="F43" s="3" t="s">
        <v>43</v>
      </c>
      <c r="G43" s="17">
        <v>200</v>
      </c>
      <c r="H43" s="51"/>
      <c r="I43" s="17">
        <f t="shared" si="0"/>
        <v>200</v>
      </c>
      <c r="J43" s="20"/>
      <c r="K43" s="18"/>
    </row>
    <row r="44" spans="1:11">
      <c r="A44" s="4">
        <v>54403</v>
      </c>
      <c r="B44" s="2" t="s">
        <v>76</v>
      </c>
      <c r="C44" s="2"/>
      <c r="D44" s="3" t="s">
        <v>42</v>
      </c>
      <c r="E44" s="3" t="s">
        <v>29</v>
      </c>
      <c r="F44" s="3" t="s">
        <v>43</v>
      </c>
      <c r="G44" s="17">
        <v>300</v>
      </c>
      <c r="H44" s="51"/>
      <c r="I44" s="17">
        <f t="shared" si="0"/>
        <v>300</v>
      </c>
      <c r="J44" s="20"/>
      <c r="K44" s="18"/>
    </row>
    <row r="45" spans="1:11">
      <c r="A45" s="4">
        <v>54501</v>
      </c>
      <c r="B45" s="2" t="s">
        <v>77</v>
      </c>
      <c r="C45" s="2"/>
      <c r="D45" s="3" t="s">
        <v>42</v>
      </c>
      <c r="E45" s="3" t="s">
        <v>29</v>
      </c>
      <c r="F45" s="3" t="s">
        <v>43</v>
      </c>
      <c r="G45" s="17">
        <v>10000</v>
      </c>
      <c r="H45" s="51"/>
      <c r="I45" s="17">
        <f t="shared" si="0"/>
        <v>10000</v>
      </c>
      <c r="J45" s="18"/>
      <c r="K45" s="22"/>
    </row>
    <row r="46" spans="1:11">
      <c r="A46" s="4">
        <v>54503</v>
      </c>
      <c r="B46" s="2" t="s">
        <v>78</v>
      </c>
      <c r="C46" s="2"/>
      <c r="D46" s="3" t="s">
        <v>42</v>
      </c>
      <c r="E46" s="3" t="s">
        <v>29</v>
      </c>
      <c r="F46" s="3" t="s">
        <v>43</v>
      </c>
      <c r="G46" s="17">
        <v>2000</v>
      </c>
      <c r="H46" s="51"/>
      <c r="I46" s="17">
        <f t="shared" si="0"/>
        <v>2000</v>
      </c>
      <c r="J46" s="18"/>
      <c r="K46" s="18"/>
    </row>
    <row r="47" spans="1:11">
      <c r="A47" s="4">
        <v>54504</v>
      </c>
      <c r="B47" s="2" t="s">
        <v>79</v>
      </c>
      <c r="C47" s="2"/>
      <c r="D47" s="3" t="s">
        <v>80</v>
      </c>
      <c r="E47" s="3" t="s">
        <v>29</v>
      </c>
      <c r="F47" s="3" t="s">
        <v>43</v>
      </c>
      <c r="G47" s="17">
        <v>1000</v>
      </c>
      <c r="H47" s="51"/>
      <c r="I47" s="17">
        <f t="shared" si="0"/>
        <v>1000</v>
      </c>
      <c r="J47" s="18"/>
      <c r="K47" s="18"/>
    </row>
    <row r="48" spans="1:11">
      <c r="A48" s="4">
        <v>54505</v>
      </c>
      <c r="B48" s="5" t="s">
        <v>81</v>
      </c>
      <c r="C48" s="2"/>
      <c r="D48" s="3" t="s">
        <v>42</v>
      </c>
      <c r="E48" s="3" t="s">
        <v>29</v>
      </c>
      <c r="F48" s="3" t="s">
        <v>43</v>
      </c>
      <c r="G48" s="17">
        <v>1000</v>
      </c>
      <c r="H48" s="51"/>
      <c r="I48" s="17">
        <f t="shared" si="0"/>
        <v>1000</v>
      </c>
      <c r="J48" s="18"/>
      <c r="K48" s="22"/>
    </row>
    <row r="49" spans="1:11" ht="20.25" customHeight="1">
      <c r="A49" s="4">
        <v>54599</v>
      </c>
      <c r="B49" s="5" t="s">
        <v>82</v>
      </c>
      <c r="C49" s="5"/>
      <c r="D49" s="3" t="s">
        <v>42</v>
      </c>
      <c r="E49" s="3" t="s">
        <v>29</v>
      </c>
      <c r="F49" s="3" t="s">
        <v>43</v>
      </c>
      <c r="G49" s="17">
        <v>1000</v>
      </c>
      <c r="H49" s="51"/>
      <c r="I49" s="17">
        <f t="shared" si="0"/>
        <v>1000</v>
      </c>
      <c r="J49" s="18"/>
      <c r="K49" s="18"/>
    </row>
    <row r="50" spans="1:11" ht="30" customHeight="1">
      <c r="A50" s="4">
        <v>55302</v>
      </c>
      <c r="B50" s="5" t="s">
        <v>83</v>
      </c>
      <c r="C50" s="2"/>
      <c r="D50" s="3" t="s">
        <v>42</v>
      </c>
      <c r="E50" s="3" t="s">
        <v>29</v>
      </c>
      <c r="F50" s="3" t="s">
        <v>43</v>
      </c>
      <c r="G50" s="17">
        <v>500</v>
      </c>
      <c r="H50" s="51"/>
      <c r="I50" s="17">
        <f t="shared" si="0"/>
        <v>500</v>
      </c>
      <c r="J50" s="18"/>
      <c r="K50" s="21"/>
    </row>
    <row r="51" spans="1:11">
      <c r="A51" s="4">
        <v>55601</v>
      </c>
      <c r="B51" s="2" t="s">
        <v>84</v>
      </c>
      <c r="C51" s="2" t="s">
        <v>85</v>
      </c>
      <c r="D51" s="3" t="s">
        <v>42</v>
      </c>
      <c r="E51" s="3" t="s">
        <v>29</v>
      </c>
      <c r="F51" s="3" t="s">
        <v>43</v>
      </c>
      <c r="G51" s="17">
        <v>5000</v>
      </c>
      <c r="H51" s="51"/>
      <c r="I51" s="17">
        <f t="shared" si="0"/>
        <v>5000</v>
      </c>
      <c r="J51" s="18"/>
      <c r="K51" s="22"/>
    </row>
    <row r="52" spans="1:11">
      <c r="A52" s="4">
        <v>55602</v>
      </c>
      <c r="B52" s="2" t="s">
        <v>86</v>
      </c>
      <c r="C52" s="2" t="s">
        <v>87</v>
      </c>
      <c r="D52" s="3" t="s">
        <v>42</v>
      </c>
      <c r="E52" s="3" t="s">
        <v>29</v>
      </c>
      <c r="F52" s="3" t="s">
        <v>43</v>
      </c>
      <c r="G52" s="17">
        <v>8000</v>
      </c>
      <c r="H52" s="51"/>
      <c r="I52" s="17">
        <f t="shared" si="0"/>
        <v>8000</v>
      </c>
      <c r="J52" s="18"/>
      <c r="K52" s="22"/>
    </row>
    <row r="53" spans="1:11">
      <c r="A53" s="4">
        <v>55603</v>
      </c>
      <c r="B53" s="2" t="s">
        <v>6</v>
      </c>
      <c r="C53" s="2"/>
      <c r="D53" s="3" t="s">
        <v>42</v>
      </c>
      <c r="E53" s="3" t="s">
        <v>29</v>
      </c>
      <c r="F53" s="3" t="s">
        <v>43</v>
      </c>
      <c r="G53" s="17">
        <v>500</v>
      </c>
      <c r="H53" s="51">
        <f>15.82</f>
        <v>15.82</v>
      </c>
      <c r="I53" s="17">
        <f t="shared" si="0"/>
        <v>484.18</v>
      </c>
      <c r="J53" s="18"/>
      <c r="K53" s="21"/>
    </row>
    <row r="54" spans="1:11" ht="33" customHeight="1">
      <c r="A54" s="4">
        <v>55799</v>
      </c>
      <c r="B54" s="5" t="s">
        <v>169</v>
      </c>
      <c r="C54" s="5"/>
      <c r="D54" s="3" t="s">
        <v>42</v>
      </c>
      <c r="E54" s="3" t="s">
        <v>29</v>
      </c>
      <c r="F54" s="3" t="s">
        <v>43</v>
      </c>
      <c r="G54" s="17">
        <v>616.99</v>
      </c>
      <c r="H54" s="51"/>
      <c r="I54" s="17">
        <f t="shared" si="0"/>
        <v>616.99</v>
      </c>
      <c r="J54" s="18"/>
      <c r="K54" s="21"/>
    </row>
    <row r="55" spans="1:11" ht="33" customHeight="1">
      <c r="A55" s="4" t="s">
        <v>170</v>
      </c>
      <c r="B55" s="5" t="s">
        <v>172</v>
      </c>
      <c r="C55" s="5"/>
      <c r="D55" s="3" t="s">
        <v>42</v>
      </c>
      <c r="E55" s="3" t="s">
        <v>29</v>
      </c>
      <c r="F55" s="3" t="s">
        <v>43</v>
      </c>
      <c r="G55" s="17">
        <v>700</v>
      </c>
      <c r="H55" s="51"/>
      <c r="I55" s="17">
        <f t="shared" si="0"/>
        <v>700</v>
      </c>
      <c r="J55" s="18"/>
      <c r="K55" s="21"/>
    </row>
    <row r="56" spans="1:11" ht="39">
      <c r="A56" s="4" t="s">
        <v>171</v>
      </c>
      <c r="B56" s="5" t="s">
        <v>88</v>
      </c>
      <c r="C56" s="5"/>
      <c r="D56" s="3" t="s">
        <v>42</v>
      </c>
      <c r="E56" s="3" t="s">
        <v>29</v>
      </c>
      <c r="F56" s="3" t="s">
        <v>43</v>
      </c>
      <c r="G56" s="17">
        <v>3500</v>
      </c>
      <c r="H56" s="51"/>
      <c r="I56" s="17">
        <f t="shared" si="0"/>
        <v>3500</v>
      </c>
      <c r="J56" s="18"/>
      <c r="K56" s="18"/>
    </row>
    <row r="57" spans="1:11" ht="27">
      <c r="A57" s="4" t="s">
        <v>161</v>
      </c>
      <c r="B57" s="5" t="s">
        <v>89</v>
      </c>
      <c r="C57" s="5"/>
      <c r="D57" s="3" t="s">
        <v>42</v>
      </c>
      <c r="E57" s="3" t="s">
        <v>29</v>
      </c>
      <c r="F57" s="3" t="s">
        <v>43</v>
      </c>
      <c r="G57" s="17">
        <v>3000</v>
      </c>
      <c r="H57" s="51"/>
      <c r="I57" s="17">
        <f t="shared" si="0"/>
        <v>3000</v>
      </c>
      <c r="J57" s="18"/>
      <c r="K57" s="18"/>
    </row>
    <row r="58" spans="1:11">
      <c r="A58" s="4">
        <v>56303</v>
      </c>
      <c r="B58" s="2" t="s">
        <v>90</v>
      </c>
      <c r="C58" s="2"/>
      <c r="D58" s="3" t="s">
        <v>42</v>
      </c>
      <c r="E58" s="3" t="s">
        <v>29</v>
      </c>
      <c r="F58" s="3" t="s">
        <v>43</v>
      </c>
      <c r="G58" s="17">
        <v>20000</v>
      </c>
      <c r="H58" s="51">
        <f>75</f>
        <v>75</v>
      </c>
      <c r="I58" s="17">
        <f t="shared" si="0"/>
        <v>19925</v>
      </c>
      <c r="J58" s="18"/>
      <c r="K58" s="18"/>
    </row>
    <row r="59" spans="1:11">
      <c r="A59" s="4">
        <v>56304</v>
      </c>
      <c r="B59" s="2" t="s">
        <v>91</v>
      </c>
      <c r="C59" s="2"/>
      <c r="D59" s="3" t="s">
        <v>42</v>
      </c>
      <c r="E59" s="3" t="s">
        <v>29</v>
      </c>
      <c r="F59" s="3" t="s">
        <v>43</v>
      </c>
      <c r="G59" s="17">
        <v>20000</v>
      </c>
      <c r="H59" s="51">
        <f>100+100+100+360+395.5+120+300</f>
        <v>1475.5</v>
      </c>
      <c r="I59" s="17">
        <f t="shared" si="0"/>
        <v>18524.5</v>
      </c>
      <c r="J59" s="18"/>
      <c r="K59" s="18"/>
    </row>
    <row r="60" spans="1:11" ht="21">
      <c r="A60" s="38" t="s">
        <v>8</v>
      </c>
      <c r="B60" s="39" t="s">
        <v>92</v>
      </c>
      <c r="C60" s="39"/>
      <c r="D60" s="39" t="s">
        <v>42</v>
      </c>
      <c r="E60" s="39" t="s">
        <v>29</v>
      </c>
      <c r="F60" s="39" t="s">
        <v>43</v>
      </c>
      <c r="G60" s="40">
        <f>SUM(G4:G59)</f>
        <v>288940.65999999997</v>
      </c>
      <c r="H60" s="95">
        <f>SUM(H4:H59)</f>
        <v>3939.8700000000003</v>
      </c>
      <c r="I60" s="40">
        <f>G60-H60+J60-K60</f>
        <v>285000.78999999998</v>
      </c>
      <c r="J60" s="40"/>
      <c r="K60" s="40"/>
    </row>
    <row r="61" spans="1:11">
      <c r="A61" s="4">
        <v>51103</v>
      </c>
      <c r="B61" s="2" t="s">
        <v>173</v>
      </c>
      <c r="C61" s="2"/>
      <c r="D61" s="3" t="s">
        <v>94</v>
      </c>
      <c r="E61" s="3" t="s">
        <v>29</v>
      </c>
      <c r="F61" s="3" t="s">
        <v>43</v>
      </c>
      <c r="G61" s="26">
        <v>100</v>
      </c>
      <c r="H61" s="51"/>
      <c r="I61" s="17">
        <f t="shared" si="0"/>
        <v>100</v>
      </c>
      <c r="J61" s="27"/>
      <c r="K61" s="28"/>
    </row>
    <row r="62" spans="1:11">
      <c r="A62" s="4">
        <v>51107</v>
      </c>
      <c r="B62" s="2" t="s">
        <v>93</v>
      </c>
      <c r="C62" s="2"/>
      <c r="D62" s="3" t="s">
        <v>94</v>
      </c>
      <c r="E62" s="3" t="s">
        <v>29</v>
      </c>
      <c r="F62" s="3" t="s">
        <v>43</v>
      </c>
      <c r="G62" s="26">
        <v>1500</v>
      </c>
      <c r="H62" s="51"/>
      <c r="I62" s="17">
        <f t="shared" si="0"/>
        <v>1500</v>
      </c>
      <c r="J62" s="27"/>
      <c r="K62" s="28"/>
    </row>
    <row r="63" spans="1:11">
      <c r="A63" s="4">
        <v>51301</v>
      </c>
      <c r="B63" s="2" t="s">
        <v>45</v>
      </c>
      <c r="C63" s="2"/>
      <c r="D63" s="3" t="s">
        <v>94</v>
      </c>
      <c r="E63" s="3" t="s">
        <v>29</v>
      </c>
      <c r="F63" s="3" t="s">
        <v>43</v>
      </c>
      <c r="G63" s="26">
        <v>5000</v>
      </c>
      <c r="H63" s="51"/>
      <c r="I63" s="17">
        <f t="shared" si="0"/>
        <v>5000</v>
      </c>
      <c r="J63" s="27"/>
      <c r="K63" s="29"/>
    </row>
    <row r="64" spans="1:11" ht="25.5">
      <c r="A64" s="4">
        <v>51401</v>
      </c>
      <c r="B64" s="7" t="s">
        <v>128</v>
      </c>
      <c r="C64" s="2"/>
      <c r="D64" s="3" t="s">
        <v>94</v>
      </c>
      <c r="E64" s="3" t="s">
        <v>29</v>
      </c>
      <c r="F64" s="3" t="s">
        <v>43</v>
      </c>
      <c r="G64" s="26">
        <v>2099.1</v>
      </c>
      <c r="H64" s="51"/>
      <c r="I64" s="17">
        <f t="shared" si="0"/>
        <v>2099.1</v>
      </c>
      <c r="J64" s="27"/>
      <c r="K64" s="30"/>
    </row>
    <row r="65" spans="1:12" ht="36">
      <c r="A65" s="4">
        <v>51501</v>
      </c>
      <c r="B65" s="5" t="s">
        <v>141</v>
      </c>
      <c r="C65" s="2"/>
      <c r="D65" s="3" t="s">
        <v>94</v>
      </c>
      <c r="E65" s="3" t="s">
        <v>29</v>
      </c>
      <c r="F65" s="3" t="s">
        <v>43</v>
      </c>
      <c r="G65" s="26">
        <v>1889.16</v>
      </c>
      <c r="H65" s="51"/>
      <c r="I65" s="17">
        <f t="shared" si="0"/>
        <v>1889.16</v>
      </c>
      <c r="J65" s="27"/>
      <c r="K65" s="21"/>
      <c r="L65" s="167"/>
    </row>
    <row r="66" spans="1:12">
      <c r="A66" s="289">
        <v>54104</v>
      </c>
      <c r="B66" s="290" t="s">
        <v>10</v>
      </c>
      <c r="C66" s="290"/>
      <c r="D66" s="155" t="s">
        <v>94</v>
      </c>
      <c r="E66" s="155" t="s">
        <v>29</v>
      </c>
      <c r="F66" s="155" t="s">
        <v>43</v>
      </c>
      <c r="G66" s="291">
        <v>2000</v>
      </c>
      <c r="H66" s="157"/>
      <c r="I66" s="158">
        <f t="shared" si="0"/>
        <v>2000</v>
      </c>
      <c r="J66" s="292"/>
      <c r="K66" s="293"/>
      <c r="L66" s="167"/>
    </row>
    <row r="67" spans="1:12">
      <c r="A67" s="4">
        <v>54105</v>
      </c>
      <c r="B67" s="2" t="s">
        <v>49</v>
      </c>
      <c r="C67" s="2"/>
      <c r="D67" s="3" t="s">
        <v>94</v>
      </c>
      <c r="E67" s="3" t="s">
        <v>29</v>
      </c>
      <c r="F67" s="3" t="s">
        <v>43</v>
      </c>
      <c r="G67" s="26">
        <v>4000</v>
      </c>
      <c r="H67" s="51"/>
      <c r="I67" s="17">
        <f t="shared" si="0"/>
        <v>4000</v>
      </c>
      <c r="J67" s="27"/>
      <c r="K67" s="18"/>
      <c r="L67" s="167"/>
    </row>
    <row r="68" spans="1:12">
      <c r="A68" s="4">
        <v>54114</v>
      </c>
      <c r="B68" s="2" t="s">
        <v>56</v>
      </c>
      <c r="C68" s="2"/>
      <c r="D68" s="3" t="s">
        <v>94</v>
      </c>
      <c r="E68" s="3" t="s">
        <v>29</v>
      </c>
      <c r="F68" s="3" t="s">
        <v>43</v>
      </c>
      <c r="G68" s="26">
        <v>5000</v>
      </c>
      <c r="H68" s="51">
        <f>3.6</f>
        <v>3.6</v>
      </c>
      <c r="I68" s="17">
        <f t="shared" si="0"/>
        <v>4996.3999999999996</v>
      </c>
      <c r="J68" s="27"/>
      <c r="K68" s="21"/>
      <c r="L68" s="167"/>
    </row>
    <row r="69" spans="1:12">
      <c r="A69" s="4">
        <v>54115</v>
      </c>
      <c r="B69" s="2" t="s">
        <v>57</v>
      </c>
      <c r="C69" s="2"/>
      <c r="D69" s="3" t="s">
        <v>94</v>
      </c>
      <c r="E69" s="3" t="s">
        <v>29</v>
      </c>
      <c r="F69" s="3" t="s">
        <v>43</v>
      </c>
      <c r="G69" s="26">
        <v>4000</v>
      </c>
      <c r="H69" s="51"/>
      <c r="I69" s="17">
        <f t="shared" si="0"/>
        <v>4000</v>
      </c>
      <c r="J69" s="31"/>
      <c r="K69" s="21"/>
      <c r="L69" s="167"/>
    </row>
    <row r="70" spans="1:12">
      <c r="A70" s="4">
        <v>54401</v>
      </c>
      <c r="B70" s="2" t="s">
        <v>75</v>
      </c>
      <c r="C70" s="2"/>
      <c r="D70" s="3" t="s">
        <v>94</v>
      </c>
      <c r="E70" s="3" t="s">
        <v>29</v>
      </c>
      <c r="F70" s="3" t="s">
        <v>43</v>
      </c>
      <c r="G70" s="26">
        <v>200</v>
      </c>
      <c r="H70" s="51"/>
      <c r="I70" s="17">
        <f t="shared" si="0"/>
        <v>200</v>
      </c>
      <c r="J70" s="27"/>
      <c r="K70" s="21"/>
      <c r="L70" s="167"/>
    </row>
    <row r="71" spans="1:12">
      <c r="A71" s="294">
        <v>54403</v>
      </c>
      <c r="B71" s="295" t="s">
        <v>76</v>
      </c>
      <c r="C71" s="295"/>
      <c r="D71" s="296" t="s">
        <v>94</v>
      </c>
      <c r="E71" s="296" t="s">
        <v>29</v>
      </c>
      <c r="F71" s="296" t="s">
        <v>43</v>
      </c>
      <c r="G71" s="297">
        <v>300</v>
      </c>
      <c r="H71" s="218"/>
      <c r="I71" s="189">
        <f>G71-H71+J71-K71</f>
        <v>300</v>
      </c>
      <c r="J71" s="298"/>
      <c r="K71" s="299"/>
      <c r="L71" s="167"/>
    </row>
    <row r="72" spans="1:12" ht="21" customHeight="1">
      <c r="A72" s="4">
        <v>54507</v>
      </c>
      <c r="B72" s="5" t="s">
        <v>95</v>
      </c>
      <c r="C72" s="2"/>
      <c r="D72" s="3" t="s">
        <v>94</v>
      </c>
      <c r="E72" s="3" t="s">
        <v>29</v>
      </c>
      <c r="F72" s="3" t="s">
        <v>43</v>
      </c>
      <c r="G72" s="26">
        <v>1000</v>
      </c>
      <c r="H72" s="51"/>
      <c r="I72" s="17">
        <f>G72-H72+J72-K72</f>
        <v>1000</v>
      </c>
      <c r="J72" s="32"/>
      <c r="K72" s="28"/>
    </row>
    <row r="73" spans="1:12" ht="21">
      <c r="A73" s="38" t="s">
        <v>8</v>
      </c>
      <c r="B73" s="39" t="s">
        <v>96</v>
      </c>
      <c r="C73" s="39"/>
      <c r="D73" s="39" t="s">
        <v>94</v>
      </c>
      <c r="E73" s="39" t="s">
        <v>29</v>
      </c>
      <c r="F73" s="39" t="s">
        <v>43</v>
      </c>
      <c r="G73" s="40">
        <f>SUM(G61:G72)</f>
        <v>27088.260000000002</v>
      </c>
      <c r="H73" s="95">
        <f>SUM(H61:H72)</f>
        <v>3.6</v>
      </c>
      <c r="I73" s="40">
        <f>G73-H73+J73-K73</f>
        <v>27084.660000000003</v>
      </c>
      <c r="J73" s="40"/>
      <c r="K73" s="40"/>
    </row>
    <row r="74" spans="1:12">
      <c r="A74" s="4">
        <v>51103</v>
      </c>
      <c r="B74" s="2" t="s">
        <v>174</v>
      </c>
      <c r="C74" s="2"/>
      <c r="D74" s="3" t="s">
        <v>97</v>
      </c>
      <c r="E74" s="3" t="s">
        <v>29</v>
      </c>
      <c r="F74" s="3" t="s">
        <v>43</v>
      </c>
      <c r="G74" s="26">
        <v>100</v>
      </c>
      <c r="H74" s="51"/>
      <c r="I74" s="17">
        <f t="shared" ref="I74:I140" si="1">G74-H74+J74-K74</f>
        <v>100</v>
      </c>
      <c r="J74" s="28"/>
      <c r="K74" s="28"/>
    </row>
    <row r="75" spans="1:12">
      <c r="A75" s="4">
        <v>51107</v>
      </c>
      <c r="B75" s="2" t="s">
        <v>93</v>
      </c>
      <c r="C75" s="2"/>
      <c r="D75" s="3" t="s">
        <v>97</v>
      </c>
      <c r="E75" s="3" t="s">
        <v>29</v>
      </c>
      <c r="F75" s="3" t="s">
        <v>43</v>
      </c>
      <c r="G75" s="26">
        <v>5000</v>
      </c>
      <c r="H75" s="51"/>
      <c r="I75" s="17">
        <f t="shared" si="1"/>
        <v>5000</v>
      </c>
      <c r="J75" s="28"/>
      <c r="K75" s="28"/>
    </row>
    <row r="76" spans="1:12">
      <c r="A76" s="4">
        <v>51201</v>
      </c>
      <c r="B76" s="2" t="s">
        <v>44</v>
      </c>
      <c r="C76" s="2"/>
      <c r="D76" s="3" t="s">
        <v>97</v>
      </c>
      <c r="E76" s="3" t="s">
        <v>29</v>
      </c>
      <c r="F76" s="3" t="s">
        <v>43</v>
      </c>
      <c r="G76" s="26">
        <v>2000</v>
      </c>
      <c r="H76" s="51"/>
      <c r="I76" s="17">
        <f t="shared" si="1"/>
        <v>2000</v>
      </c>
      <c r="J76" s="30"/>
      <c r="K76" s="28"/>
    </row>
    <row r="77" spans="1:12">
      <c r="A77" s="4">
        <v>51301</v>
      </c>
      <c r="B77" s="7" t="s">
        <v>98</v>
      </c>
      <c r="C77" s="2"/>
      <c r="D77" s="3" t="s">
        <v>97</v>
      </c>
      <c r="E77" s="3" t="s">
        <v>29</v>
      </c>
      <c r="F77" s="3" t="s">
        <v>43</v>
      </c>
      <c r="G77" s="26">
        <v>3000</v>
      </c>
      <c r="H77" s="51"/>
      <c r="I77" s="17">
        <f t="shared" si="1"/>
        <v>3000</v>
      </c>
      <c r="J77" s="30"/>
      <c r="K77" s="28"/>
    </row>
    <row r="78" spans="1:12" ht="36">
      <c r="A78" s="4">
        <v>51401</v>
      </c>
      <c r="B78" s="7" t="s">
        <v>134</v>
      </c>
      <c r="C78" s="2"/>
      <c r="D78" s="3" t="s">
        <v>97</v>
      </c>
      <c r="E78" s="3" t="s">
        <v>29</v>
      </c>
      <c r="F78" s="3" t="s">
        <v>43</v>
      </c>
      <c r="G78" s="26">
        <v>9778.74</v>
      </c>
      <c r="H78" s="51"/>
      <c r="I78" s="17">
        <f t="shared" si="1"/>
        <v>9778.74</v>
      </c>
      <c r="J78" s="29"/>
      <c r="K78" s="28"/>
    </row>
    <row r="79" spans="1:12" ht="36">
      <c r="A79" s="4">
        <v>51501</v>
      </c>
      <c r="B79" s="5" t="s">
        <v>127</v>
      </c>
      <c r="C79" s="2"/>
      <c r="D79" s="3" t="s">
        <v>97</v>
      </c>
      <c r="E79" s="3" t="s">
        <v>29</v>
      </c>
      <c r="F79" s="3" t="s">
        <v>43</v>
      </c>
      <c r="G79" s="26">
        <v>7853.28</v>
      </c>
      <c r="H79" s="51"/>
      <c r="I79" s="17">
        <f t="shared" si="1"/>
        <v>7853.28</v>
      </c>
      <c r="J79" s="27"/>
      <c r="K79" s="28"/>
    </row>
    <row r="80" spans="1:12">
      <c r="A80" s="4">
        <v>54104</v>
      </c>
      <c r="B80" s="2" t="s">
        <v>10</v>
      </c>
      <c r="C80" s="2"/>
      <c r="D80" s="3" t="s">
        <v>97</v>
      </c>
      <c r="E80" s="3" t="s">
        <v>29</v>
      </c>
      <c r="F80" s="3" t="s">
        <v>43</v>
      </c>
      <c r="G80" s="26">
        <v>4000</v>
      </c>
      <c r="H80" s="51"/>
      <c r="I80" s="17">
        <f t="shared" si="1"/>
        <v>4000</v>
      </c>
      <c r="J80" s="28"/>
      <c r="K80" s="28"/>
    </row>
    <row r="81" spans="1:11">
      <c r="A81" s="4">
        <v>54105</v>
      </c>
      <c r="B81" s="2" t="s">
        <v>49</v>
      </c>
      <c r="C81" s="2"/>
      <c r="D81" s="3" t="s">
        <v>97</v>
      </c>
      <c r="E81" s="3" t="s">
        <v>29</v>
      </c>
      <c r="F81" s="3" t="s">
        <v>43</v>
      </c>
      <c r="G81" s="26">
        <v>2000</v>
      </c>
      <c r="H81" s="51"/>
      <c r="I81" s="17">
        <f t="shared" si="1"/>
        <v>2000</v>
      </c>
      <c r="J81" s="27"/>
      <c r="K81" s="28"/>
    </row>
    <row r="82" spans="1:11" ht="27" customHeight="1">
      <c r="A82" s="4">
        <v>54106</v>
      </c>
      <c r="B82" s="5" t="s">
        <v>99</v>
      </c>
      <c r="C82" s="5"/>
      <c r="D82" s="3" t="s">
        <v>97</v>
      </c>
      <c r="E82" s="3" t="s">
        <v>29</v>
      </c>
      <c r="F82" s="3" t="s">
        <v>43</v>
      </c>
      <c r="G82" s="26">
        <v>1000</v>
      </c>
      <c r="H82" s="51"/>
      <c r="I82" s="17">
        <f t="shared" si="1"/>
        <v>1000</v>
      </c>
      <c r="J82" s="27"/>
      <c r="K82" s="28"/>
    </row>
    <row r="83" spans="1:11">
      <c r="A83" s="4">
        <v>54109</v>
      </c>
      <c r="B83" s="2" t="s">
        <v>52</v>
      </c>
      <c r="C83" s="2"/>
      <c r="D83" s="3" t="s">
        <v>97</v>
      </c>
      <c r="E83" s="3" t="s">
        <v>29</v>
      </c>
      <c r="F83" s="3" t="s">
        <v>43</v>
      </c>
      <c r="G83" s="26">
        <v>500</v>
      </c>
      <c r="H83" s="51"/>
      <c r="I83" s="17">
        <f t="shared" si="1"/>
        <v>500</v>
      </c>
      <c r="J83" s="33"/>
      <c r="K83" s="28"/>
    </row>
    <row r="84" spans="1:11">
      <c r="A84" s="4">
        <v>54110</v>
      </c>
      <c r="B84" s="2" t="s">
        <v>53</v>
      </c>
      <c r="C84" s="2"/>
      <c r="D84" s="3" t="s">
        <v>97</v>
      </c>
      <c r="E84" s="3" t="s">
        <v>29</v>
      </c>
      <c r="F84" s="3" t="s">
        <v>43</v>
      </c>
      <c r="G84" s="26">
        <v>12000</v>
      </c>
      <c r="H84" s="51"/>
      <c r="I84" s="17">
        <f t="shared" si="1"/>
        <v>12000</v>
      </c>
      <c r="J84" s="33"/>
      <c r="K84" s="30"/>
    </row>
    <row r="85" spans="1:11" ht="30.75" customHeight="1">
      <c r="A85" s="4">
        <v>54111</v>
      </c>
      <c r="B85" s="5" t="s">
        <v>54</v>
      </c>
      <c r="C85" s="2"/>
      <c r="D85" s="3" t="s">
        <v>97</v>
      </c>
      <c r="E85" s="3" t="s">
        <v>29</v>
      </c>
      <c r="F85" s="3" t="s">
        <v>43</v>
      </c>
      <c r="G85" s="26">
        <v>1000</v>
      </c>
      <c r="H85" s="51"/>
      <c r="I85" s="17">
        <f t="shared" si="1"/>
        <v>1000</v>
      </c>
      <c r="J85" s="33"/>
      <c r="K85" s="27"/>
    </row>
    <row r="86" spans="1:11" ht="39">
      <c r="A86" s="4">
        <v>54112</v>
      </c>
      <c r="B86" s="5" t="s">
        <v>55</v>
      </c>
      <c r="C86" s="2"/>
      <c r="D86" s="3" t="s">
        <v>97</v>
      </c>
      <c r="E86" s="3" t="s">
        <v>29</v>
      </c>
      <c r="F86" s="3" t="s">
        <v>43</v>
      </c>
      <c r="G86" s="26">
        <v>1000</v>
      </c>
      <c r="H86" s="51"/>
      <c r="I86" s="17">
        <f t="shared" si="1"/>
        <v>1000</v>
      </c>
      <c r="J86" s="33"/>
      <c r="K86" s="28"/>
    </row>
    <row r="87" spans="1:11">
      <c r="A87" s="4">
        <v>54114</v>
      </c>
      <c r="B87" s="2" t="s">
        <v>56</v>
      </c>
      <c r="C87" s="2"/>
      <c r="D87" s="3" t="s">
        <v>97</v>
      </c>
      <c r="E87" s="3" t="s">
        <v>29</v>
      </c>
      <c r="F87" s="3" t="s">
        <v>43</v>
      </c>
      <c r="G87" s="26">
        <v>1000</v>
      </c>
      <c r="H87" s="51"/>
      <c r="I87" s="17">
        <f t="shared" si="1"/>
        <v>1000</v>
      </c>
      <c r="J87" s="27"/>
      <c r="K87" s="28"/>
    </row>
    <row r="88" spans="1:11">
      <c r="A88" s="4">
        <v>54115</v>
      </c>
      <c r="B88" s="2" t="s">
        <v>57</v>
      </c>
      <c r="C88" s="2"/>
      <c r="D88" s="3" t="s">
        <v>97</v>
      </c>
      <c r="E88" s="3" t="s">
        <v>29</v>
      </c>
      <c r="F88" s="3" t="s">
        <v>43</v>
      </c>
      <c r="G88" s="26">
        <v>1000</v>
      </c>
      <c r="H88" s="51"/>
      <c r="I88" s="17">
        <f t="shared" si="1"/>
        <v>1000</v>
      </c>
      <c r="J88" s="33"/>
      <c r="K88" s="28"/>
    </row>
    <row r="89" spans="1:11" ht="27" customHeight="1">
      <c r="A89" s="4">
        <v>54118</v>
      </c>
      <c r="B89" s="5" t="s">
        <v>100</v>
      </c>
      <c r="C89" s="2"/>
      <c r="D89" s="3" t="s">
        <v>97</v>
      </c>
      <c r="E89" s="3" t="s">
        <v>29</v>
      </c>
      <c r="F89" s="3" t="s">
        <v>43</v>
      </c>
      <c r="G89" s="26">
        <v>1000</v>
      </c>
      <c r="H89" s="51">
        <f>25</f>
        <v>25</v>
      </c>
      <c r="I89" s="17">
        <f t="shared" si="1"/>
        <v>975</v>
      </c>
      <c r="J89" s="30"/>
      <c r="K89" s="28"/>
    </row>
    <row r="90" spans="1:11">
      <c r="A90" s="4">
        <v>54119</v>
      </c>
      <c r="B90" s="2" t="s">
        <v>60</v>
      </c>
      <c r="C90" s="2"/>
      <c r="D90" s="3" t="s">
        <v>97</v>
      </c>
      <c r="E90" s="3" t="s">
        <v>29</v>
      </c>
      <c r="F90" s="3" t="s">
        <v>43</v>
      </c>
      <c r="G90" s="26">
        <v>1000</v>
      </c>
      <c r="H90" s="51"/>
      <c r="I90" s="17">
        <f t="shared" si="1"/>
        <v>1000</v>
      </c>
      <c r="J90" s="30"/>
      <c r="K90" s="28"/>
    </row>
    <row r="91" spans="1:11">
      <c r="A91" s="4">
        <v>54199</v>
      </c>
      <c r="B91" s="2" t="s">
        <v>61</v>
      </c>
      <c r="C91" s="2"/>
      <c r="D91" s="3" t="s">
        <v>97</v>
      </c>
      <c r="E91" s="3" t="s">
        <v>29</v>
      </c>
      <c r="F91" s="3" t="s">
        <v>43</v>
      </c>
      <c r="G91" s="26">
        <v>1500</v>
      </c>
      <c r="H91" s="51">
        <f>29.9</f>
        <v>29.9</v>
      </c>
      <c r="I91" s="17">
        <f t="shared" si="1"/>
        <v>1470.1</v>
      </c>
      <c r="J91" s="33"/>
      <c r="K91" s="28"/>
    </row>
    <row r="92" spans="1:11">
      <c r="A92" s="4">
        <v>54301</v>
      </c>
      <c r="B92" s="2" t="s">
        <v>66</v>
      </c>
      <c r="C92" s="2"/>
      <c r="D92" s="3" t="s">
        <v>97</v>
      </c>
      <c r="E92" s="3" t="s">
        <v>29</v>
      </c>
      <c r="F92" s="3" t="s">
        <v>43</v>
      </c>
      <c r="G92" s="26">
        <v>500</v>
      </c>
      <c r="H92" s="51">
        <f>200+100</f>
        <v>300</v>
      </c>
      <c r="I92" s="17">
        <f t="shared" si="1"/>
        <v>200</v>
      </c>
      <c r="J92" s="29"/>
      <c r="K92" s="28"/>
    </row>
    <row r="93" spans="1:11">
      <c r="A93" s="4">
        <v>54302</v>
      </c>
      <c r="B93" s="2" t="s">
        <v>67</v>
      </c>
      <c r="C93" s="2"/>
      <c r="D93" s="3" t="s">
        <v>97</v>
      </c>
      <c r="E93" s="3" t="s">
        <v>29</v>
      </c>
      <c r="F93" s="3" t="s">
        <v>43</v>
      </c>
      <c r="G93" s="26">
        <v>500</v>
      </c>
      <c r="H93" s="51">
        <f>25+25+25+10+15+20</f>
        <v>120</v>
      </c>
      <c r="I93" s="17">
        <f t="shared" si="1"/>
        <v>380</v>
      </c>
      <c r="J93" s="27"/>
      <c r="K93" s="28"/>
    </row>
    <row r="94" spans="1:11" ht="27" customHeight="1">
      <c r="A94" s="4">
        <v>54314</v>
      </c>
      <c r="B94" s="5" t="s">
        <v>101</v>
      </c>
      <c r="C94" s="2"/>
      <c r="D94" s="3" t="s">
        <v>97</v>
      </c>
      <c r="E94" s="3" t="s">
        <v>29</v>
      </c>
      <c r="F94" s="3" t="s">
        <v>43</v>
      </c>
      <c r="G94" s="26">
        <v>31432.91</v>
      </c>
      <c r="H94" s="51">
        <f>300+200+10+30+300+200+300+500+300</f>
        <v>2140</v>
      </c>
      <c r="I94" s="17">
        <f t="shared" si="1"/>
        <v>29292.91</v>
      </c>
      <c r="J94" s="33"/>
      <c r="K94" s="34"/>
    </row>
    <row r="95" spans="1:11">
      <c r="A95" s="4">
        <v>54399</v>
      </c>
      <c r="B95" s="2" t="s">
        <v>74</v>
      </c>
      <c r="C95" s="2"/>
      <c r="D95" s="3" t="s">
        <v>97</v>
      </c>
      <c r="E95" s="3" t="s">
        <v>29</v>
      </c>
      <c r="F95" s="3" t="s">
        <v>43</v>
      </c>
      <c r="G95" s="26">
        <v>2000</v>
      </c>
      <c r="H95" s="51">
        <f>120.62+1752.22</f>
        <v>1872.8400000000001</v>
      </c>
      <c r="I95" s="17">
        <f t="shared" si="1"/>
        <v>127.15999999999985</v>
      </c>
      <c r="J95" s="33"/>
      <c r="K95" s="33"/>
    </row>
    <row r="96" spans="1:11">
      <c r="A96" s="4">
        <v>54401</v>
      </c>
      <c r="B96" s="2" t="s">
        <v>75</v>
      </c>
      <c r="C96" s="2"/>
      <c r="D96" s="3" t="s">
        <v>97</v>
      </c>
      <c r="E96" s="3" t="s">
        <v>29</v>
      </c>
      <c r="F96" s="3" t="s">
        <v>43</v>
      </c>
      <c r="G96" s="26">
        <v>400</v>
      </c>
      <c r="H96" s="51"/>
      <c r="I96" s="17">
        <f t="shared" si="1"/>
        <v>400</v>
      </c>
      <c r="J96" s="34"/>
      <c r="K96" s="28"/>
    </row>
    <row r="97" spans="1:11">
      <c r="A97" s="4">
        <v>54403</v>
      </c>
      <c r="B97" s="2" t="s">
        <v>102</v>
      </c>
      <c r="C97" s="2"/>
      <c r="D97" s="3" t="s">
        <v>97</v>
      </c>
      <c r="E97" s="3" t="s">
        <v>29</v>
      </c>
      <c r="F97" s="3" t="s">
        <v>43</v>
      </c>
      <c r="G97" s="26">
        <v>632.98</v>
      </c>
      <c r="H97" s="51"/>
      <c r="I97" s="17">
        <f t="shared" si="1"/>
        <v>632.98</v>
      </c>
      <c r="J97" s="34"/>
      <c r="K97" s="28"/>
    </row>
    <row r="98" spans="1:11" ht="21.75" customHeight="1">
      <c r="A98" s="4">
        <v>54507</v>
      </c>
      <c r="B98" s="5" t="s">
        <v>103</v>
      </c>
      <c r="C98" s="5"/>
      <c r="D98" s="3" t="s">
        <v>97</v>
      </c>
      <c r="E98" s="3" t="s">
        <v>29</v>
      </c>
      <c r="F98" s="3" t="s">
        <v>43</v>
      </c>
      <c r="G98" s="26">
        <v>500</v>
      </c>
      <c r="H98" s="51"/>
      <c r="I98" s="17">
        <f t="shared" si="1"/>
        <v>500</v>
      </c>
      <c r="J98" s="35"/>
      <c r="K98" s="28"/>
    </row>
    <row r="99" spans="1:11">
      <c r="A99" s="4">
        <v>54699</v>
      </c>
      <c r="B99" s="5" t="s">
        <v>104</v>
      </c>
      <c r="C99" s="2"/>
      <c r="D99" s="3" t="s">
        <v>97</v>
      </c>
      <c r="E99" s="3" t="s">
        <v>29</v>
      </c>
      <c r="F99" s="3" t="s">
        <v>43</v>
      </c>
      <c r="G99" s="26">
        <v>1</v>
      </c>
      <c r="H99" s="51"/>
      <c r="I99" s="17">
        <f t="shared" si="1"/>
        <v>1</v>
      </c>
      <c r="J99" s="27"/>
      <c r="K99" s="28"/>
    </row>
    <row r="100" spans="1:11" ht="21">
      <c r="A100" s="38" t="s">
        <v>8</v>
      </c>
      <c r="B100" s="39" t="s">
        <v>105</v>
      </c>
      <c r="C100" s="39"/>
      <c r="D100" s="39" t="s">
        <v>97</v>
      </c>
      <c r="E100" s="39" t="s">
        <v>29</v>
      </c>
      <c r="F100" s="39" t="s">
        <v>43</v>
      </c>
      <c r="G100" s="40">
        <f>SUM(G74:G99)</f>
        <v>90698.909999999989</v>
      </c>
      <c r="H100" s="95">
        <f>SUM(H74:H99)</f>
        <v>4487.74</v>
      </c>
      <c r="I100" s="40">
        <f>G100-H100+J100-K100</f>
        <v>86211.169999999984</v>
      </c>
      <c r="J100" s="40"/>
      <c r="K100" s="40"/>
    </row>
    <row r="101" spans="1:11">
      <c r="A101" s="4">
        <v>51101</v>
      </c>
      <c r="B101" s="2" t="s">
        <v>175</v>
      </c>
      <c r="C101" s="2"/>
      <c r="D101" s="3" t="s">
        <v>42</v>
      </c>
      <c r="E101" s="3" t="s">
        <v>29</v>
      </c>
      <c r="F101" s="3" t="s">
        <v>106</v>
      </c>
      <c r="G101" s="26">
        <v>56244.6</v>
      </c>
      <c r="H101" s="51">
        <f>4237.05</f>
        <v>4237.05</v>
      </c>
      <c r="I101" s="17">
        <f t="shared" si="1"/>
        <v>52007.549999999996</v>
      </c>
      <c r="J101" s="28"/>
      <c r="K101" s="30"/>
    </row>
    <row r="102" spans="1:11">
      <c r="A102" s="4">
        <v>51103</v>
      </c>
      <c r="B102" s="2" t="s">
        <v>107</v>
      </c>
      <c r="C102" s="2"/>
      <c r="D102" s="3" t="s">
        <v>42</v>
      </c>
      <c r="E102" s="3" t="s">
        <v>29</v>
      </c>
      <c r="F102" s="3" t="s">
        <v>106</v>
      </c>
      <c r="G102" s="26">
        <v>4687.05</v>
      </c>
      <c r="H102" s="51"/>
      <c r="I102" s="17">
        <f t="shared" si="1"/>
        <v>4687.05</v>
      </c>
      <c r="J102" s="30"/>
      <c r="K102" s="29"/>
    </row>
    <row r="103" spans="1:11">
      <c r="A103" s="4">
        <v>51105</v>
      </c>
      <c r="B103" s="2" t="s">
        <v>176</v>
      </c>
      <c r="C103" s="2"/>
      <c r="D103" s="3" t="s">
        <v>42</v>
      </c>
      <c r="E103" s="3" t="s">
        <v>29</v>
      </c>
      <c r="F103" s="3" t="s">
        <v>106</v>
      </c>
      <c r="G103" s="26">
        <v>47365.68</v>
      </c>
      <c r="H103" s="51">
        <f>587.31+4888.95</f>
        <v>5476.26</v>
      </c>
      <c r="I103" s="17">
        <f t="shared" si="1"/>
        <v>41889.42</v>
      </c>
      <c r="J103" s="30"/>
      <c r="K103" s="29"/>
    </row>
    <row r="104" spans="1:11">
      <c r="A104" s="4">
        <v>51201</v>
      </c>
      <c r="B104" s="2" t="s">
        <v>135</v>
      </c>
      <c r="C104" s="2"/>
      <c r="D104" s="3" t="s">
        <v>42</v>
      </c>
      <c r="E104" s="3" t="s">
        <v>29</v>
      </c>
      <c r="F104" s="3" t="s">
        <v>30</v>
      </c>
      <c r="G104" s="26">
        <v>8004</v>
      </c>
      <c r="H104" s="51"/>
      <c r="I104" s="17">
        <f t="shared" si="1"/>
        <v>8004</v>
      </c>
      <c r="J104" s="30"/>
      <c r="K104" s="29"/>
    </row>
    <row r="105" spans="1:11">
      <c r="A105" s="4">
        <v>51301</v>
      </c>
      <c r="B105" s="2" t="s">
        <v>177</v>
      </c>
      <c r="C105" s="2"/>
      <c r="D105" s="3" t="s">
        <v>42</v>
      </c>
      <c r="E105" s="3" t="s">
        <v>29</v>
      </c>
      <c r="F105" s="3" t="s">
        <v>30</v>
      </c>
      <c r="G105" s="26">
        <v>1000</v>
      </c>
      <c r="H105" s="51">
        <f>280.98</f>
        <v>280.98</v>
      </c>
      <c r="I105" s="17">
        <f t="shared" si="1"/>
        <v>719.02</v>
      </c>
      <c r="J105" s="30"/>
      <c r="K105" s="29"/>
    </row>
    <row r="106" spans="1:11" ht="33.75" customHeight="1">
      <c r="A106" s="4">
        <v>51401</v>
      </c>
      <c r="B106" s="5" t="s">
        <v>128</v>
      </c>
      <c r="C106" s="5"/>
      <c r="D106" s="3" t="s">
        <v>42</v>
      </c>
      <c r="E106" s="3" t="s">
        <v>29</v>
      </c>
      <c r="F106" s="3" t="s">
        <v>106</v>
      </c>
      <c r="G106" s="26">
        <v>2244.1799999999998</v>
      </c>
      <c r="H106" s="51"/>
      <c r="I106" s="17">
        <f t="shared" si="1"/>
        <v>2244.1799999999998</v>
      </c>
      <c r="J106" s="33"/>
      <c r="K106" s="29"/>
    </row>
    <row r="107" spans="1:11" ht="36">
      <c r="A107" s="4">
        <v>51501</v>
      </c>
      <c r="B107" s="5" t="s">
        <v>168</v>
      </c>
      <c r="C107" s="5"/>
      <c r="D107" s="3" t="s">
        <v>42</v>
      </c>
      <c r="E107" s="3" t="s">
        <v>29</v>
      </c>
      <c r="F107" s="3" t="s">
        <v>106</v>
      </c>
      <c r="G107" s="26">
        <v>2829.78</v>
      </c>
      <c r="H107" s="51"/>
      <c r="I107" s="17">
        <f t="shared" si="1"/>
        <v>2829.78</v>
      </c>
      <c r="J107" s="33"/>
      <c r="K107" s="29"/>
    </row>
    <row r="108" spans="1:11" ht="27.75" customHeight="1">
      <c r="A108" s="4">
        <v>51999</v>
      </c>
      <c r="B108" s="5" t="s">
        <v>178</v>
      </c>
      <c r="C108" s="5"/>
      <c r="D108" s="3" t="s">
        <v>42</v>
      </c>
      <c r="E108" s="3" t="s">
        <v>29</v>
      </c>
      <c r="F108" s="3" t="s">
        <v>30</v>
      </c>
      <c r="G108" s="26">
        <v>1000</v>
      </c>
      <c r="H108" s="51"/>
      <c r="I108" s="17">
        <f t="shared" si="1"/>
        <v>1000</v>
      </c>
      <c r="J108" s="33"/>
      <c r="K108" s="29"/>
    </row>
    <row r="109" spans="1:11">
      <c r="A109" s="4">
        <v>54110</v>
      </c>
      <c r="B109" s="2" t="s">
        <v>108</v>
      </c>
      <c r="C109" s="2"/>
      <c r="D109" s="3" t="s">
        <v>42</v>
      </c>
      <c r="E109" s="3" t="s">
        <v>29</v>
      </c>
      <c r="F109" s="3" t="s">
        <v>30</v>
      </c>
      <c r="G109" s="26">
        <v>1000</v>
      </c>
      <c r="H109" s="51"/>
      <c r="I109" s="17">
        <f t="shared" si="1"/>
        <v>1000</v>
      </c>
      <c r="J109" s="33"/>
      <c r="K109" s="29"/>
    </row>
    <row r="110" spans="1:11">
      <c r="A110" s="4">
        <v>54199</v>
      </c>
      <c r="B110" s="2" t="s">
        <v>61</v>
      </c>
      <c r="C110" s="2"/>
      <c r="D110" s="3" t="s">
        <v>42</v>
      </c>
      <c r="E110" s="3" t="s">
        <v>29</v>
      </c>
      <c r="F110" s="3" t="s">
        <v>106</v>
      </c>
      <c r="G110" s="26">
        <v>1000</v>
      </c>
      <c r="H110" s="51"/>
      <c r="I110" s="17">
        <f t="shared" si="1"/>
        <v>1000</v>
      </c>
      <c r="J110" s="35"/>
      <c r="K110" s="29"/>
    </row>
    <row r="111" spans="1:11">
      <c r="A111" s="4">
        <v>54201</v>
      </c>
      <c r="B111" s="2" t="s">
        <v>62</v>
      </c>
      <c r="C111" s="2"/>
      <c r="D111" s="3" t="s">
        <v>42</v>
      </c>
      <c r="E111" s="3" t="s">
        <v>29</v>
      </c>
      <c r="F111" s="3" t="s">
        <v>106</v>
      </c>
      <c r="G111" s="26">
        <v>19534.45</v>
      </c>
      <c r="H111" s="51">
        <v>2864.49</v>
      </c>
      <c r="I111" s="17">
        <f t="shared" si="1"/>
        <v>16669.96</v>
      </c>
      <c r="J111" s="18"/>
      <c r="K111" s="29"/>
    </row>
    <row r="112" spans="1:11">
      <c r="A112" s="4">
        <v>54202</v>
      </c>
      <c r="B112" s="2" t="s">
        <v>109</v>
      </c>
      <c r="C112" s="2"/>
      <c r="D112" s="3" t="s">
        <v>42</v>
      </c>
      <c r="E112" s="3" t="s">
        <v>29</v>
      </c>
      <c r="F112" s="3" t="s">
        <v>106</v>
      </c>
      <c r="G112" s="26">
        <v>2000</v>
      </c>
      <c r="H112" s="51">
        <f>216.84</f>
        <v>216.84</v>
      </c>
      <c r="I112" s="17">
        <f t="shared" si="1"/>
        <v>1783.16</v>
      </c>
      <c r="J112" s="18"/>
      <c r="K112" s="29"/>
    </row>
    <row r="113" spans="1:11">
      <c r="A113" s="4">
        <v>54203</v>
      </c>
      <c r="B113" s="2" t="s">
        <v>64</v>
      </c>
      <c r="C113" s="2"/>
      <c r="D113" s="3" t="s">
        <v>42</v>
      </c>
      <c r="E113" s="3" t="s">
        <v>29</v>
      </c>
      <c r="F113" s="3" t="s">
        <v>106</v>
      </c>
      <c r="G113" s="26">
        <v>2000</v>
      </c>
      <c r="H113" s="51"/>
      <c r="I113" s="17">
        <f t="shared" si="1"/>
        <v>2000</v>
      </c>
      <c r="J113" s="18"/>
      <c r="K113" s="29"/>
    </row>
    <row r="114" spans="1:11">
      <c r="A114" s="4">
        <v>54302</v>
      </c>
      <c r="B114" s="5" t="s">
        <v>136</v>
      </c>
      <c r="C114" s="2"/>
      <c r="D114" s="3" t="s">
        <v>42</v>
      </c>
      <c r="E114" s="3" t="s">
        <v>29</v>
      </c>
      <c r="F114" s="3" t="s">
        <v>106</v>
      </c>
      <c r="G114" s="26">
        <v>1</v>
      </c>
      <c r="H114" s="51"/>
      <c r="I114" s="17">
        <f t="shared" si="1"/>
        <v>1</v>
      </c>
      <c r="J114" s="35"/>
      <c r="K114" s="29"/>
    </row>
    <row r="115" spans="1:11">
      <c r="A115" s="4">
        <v>55603</v>
      </c>
      <c r="B115" s="2" t="s">
        <v>6</v>
      </c>
      <c r="C115" s="2"/>
      <c r="D115" s="3" t="s">
        <v>42</v>
      </c>
      <c r="E115" s="3" t="s">
        <v>29</v>
      </c>
      <c r="F115" s="3" t="s">
        <v>106</v>
      </c>
      <c r="G115" s="26">
        <v>500</v>
      </c>
      <c r="H115" s="51"/>
      <c r="I115" s="17">
        <f t="shared" si="1"/>
        <v>500</v>
      </c>
      <c r="J115" s="35"/>
      <c r="K115" s="29"/>
    </row>
    <row r="116" spans="1:11" ht="24.75" customHeight="1">
      <c r="A116" s="4">
        <v>55799</v>
      </c>
      <c r="B116" s="5" t="s">
        <v>137</v>
      </c>
      <c r="C116" s="2"/>
      <c r="D116" s="3" t="s">
        <v>42</v>
      </c>
      <c r="E116" s="3" t="s">
        <v>29</v>
      </c>
      <c r="F116" s="3" t="s">
        <v>106</v>
      </c>
      <c r="G116" s="26">
        <v>1600</v>
      </c>
      <c r="H116" s="51"/>
      <c r="I116" s="17">
        <f t="shared" si="1"/>
        <v>1600</v>
      </c>
      <c r="J116" s="35"/>
      <c r="K116" s="29"/>
    </row>
    <row r="117" spans="1:11" ht="27" customHeight="1">
      <c r="A117" s="4" t="s">
        <v>110</v>
      </c>
      <c r="B117" s="5" t="s">
        <v>111</v>
      </c>
      <c r="C117" s="2"/>
      <c r="D117" s="3" t="s">
        <v>42</v>
      </c>
      <c r="E117" s="3" t="s">
        <v>29</v>
      </c>
      <c r="F117" s="3" t="s">
        <v>106</v>
      </c>
      <c r="G117" s="26">
        <v>7200</v>
      </c>
      <c r="H117" s="51"/>
      <c r="I117" s="17">
        <f t="shared" si="1"/>
        <v>7200</v>
      </c>
      <c r="J117" s="35"/>
      <c r="K117" s="35"/>
    </row>
    <row r="118" spans="1:11" ht="24" customHeight="1">
      <c r="A118" s="4" t="s">
        <v>112</v>
      </c>
      <c r="B118" s="5" t="s">
        <v>113</v>
      </c>
      <c r="C118" s="2"/>
      <c r="D118" s="3" t="s">
        <v>42</v>
      </c>
      <c r="E118" s="3" t="s">
        <v>29</v>
      </c>
      <c r="F118" s="3" t="s">
        <v>106</v>
      </c>
      <c r="G118" s="26">
        <v>1000</v>
      </c>
      <c r="H118" s="51"/>
      <c r="I118" s="17">
        <f t="shared" si="1"/>
        <v>1000</v>
      </c>
      <c r="J118" s="35"/>
      <c r="K118" s="35"/>
    </row>
    <row r="119" spans="1:11" ht="27">
      <c r="A119" s="4">
        <v>56301</v>
      </c>
      <c r="B119" s="5" t="s">
        <v>114</v>
      </c>
      <c r="C119" s="2"/>
      <c r="D119" s="3" t="s">
        <v>42</v>
      </c>
      <c r="E119" s="3" t="s">
        <v>29</v>
      </c>
      <c r="F119" s="3" t="s">
        <v>106</v>
      </c>
      <c r="G119" s="26">
        <v>2000</v>
      </c>
      <c r="H119" s="51"/>
      <c r="I119" s="17">
        <f t="shared" si="1"/>
        <v>2000</v>
      </c>
      <c r="J119" s="35"/>
      <c r="K119" s="35"/>
    </row>
    <row r="120" spans="1:11" ht="39.75" customHeight="1">
      <c r="A120" s="4"/>
      <c r="B120" s="5" t="s">
        <v>179</v>
      </c>
      <c r="C120" s="2"/>
      <c r="D120" s="3" t="s">
        <v>42</v>
      </c>
      <c r="E120" s="3" t="s">
        <v>29</v>
      </c>
      <c r="F120" s="3" t="s">
        <v>30</v>
      </c>
      <c r="G120" s="26">
        <v>46027.37</v>
      </c>
      <c r="H120" s="51"/>
      <c r="I120" s="17">
        <f t="shared" si="1"/>
        <v>46027.37</v>
      </c>
      <c r="J120" s="29"/>
      <c r="K120" s="30"/>
    </row>
    <row r="121" spans="1:11" ht="21">
      <c r="A121" s="38" t="s">
        <v>8</v>
      </c>
      <c r="B121" s="39" t="s">
        <v>115</v>
      </c>
      <c r="C121" s="39"/>
      <c r="D121" s="39" t="s">
        <v>42</v>
      </c>
      <c r="E121" s="39" t="s">
        <v>29</v>
      </c>
      <c r="F121" s="39" t="s">
        <v>30</v>
      </c>
      <c r="G121" s="40">
        <f>SUM(G101:G120)</f>
        <v>207238.11</v>
      </c>
      <c r="H121" s="95">
        <f>SUM(H101:H120)</f>
        <v>13075.62</v>
      </c>
      <c r="I121" s="40">
        <f>G121-H121+J121-K121</f>
        <v>194162.49</v>
      </c>
      <c r="J121" s="40"/>
      <c r="K121" s="40"/>
    </row>
    <row r="122" spans="1:11">
      <c r="A122" s="4">
        <v>51101</v>
      </c>
      <c r="B122" s="2" t="s">
        <v>180</v>
      </c>
      <c r="C122" s="2"/>
      <c r="D122" s="3" t="s">
        <v>94</v>
      </c>
      <c r="E122" s="3" t="s">
        <v>29</v>
      </c>
      <c r="F122" s="3" t="s">
        <v>106</v>
      </c>
      <c r="G122" s="26">
        <v>83119.520000000004</v>
      </c>
      <c r="H122" s="51">
        <f>5372.98</f>
        <v>5372.98</v>
      </c>
      <c r="I122" s="17">
        <f t="shared" si="1"/>
        <v>77746.540000000008</v>
      </c>
      <c r="J122" s="30"/>
      <c r="K122" s="35"/>
    </row>
    <row r="123" spans="1:11">
      <c r="A123" s="4">
        <v>51103</v>
      </c>
      <c r="B123" s="2" t="s">
        <v>181</v>
      </c>
      <c r="C123" s="2"/>
      <c r="D123" s="3" t="s">
        <v>94</v>
      </c>
      <c r="E123" s="3" t="s">
        <v>29</v>
      </c>
      <c r="F123" s="3" t="s">
        <v>106</v>
      </c>
      <c r="G123" s="26">
        <v>5128.9799999999996</v>
      </c>
      <c r="H123" s="51"/>
      <c r="I123" s="17">
        <f t="shared" si="1"/>
        <v>5128.9799999999996</v>
      </c>
      <c r="J123" s="30"/>
      <c r="K123" s="29"/>
    </row>
    <row r="124" spans="1:11">
      <c r="A124" s="4">
        <v>51201</v>
      </c>
      <c r="B124" s="2" t="s">
        <v>44</v>
      </c>
      <c r="C124" s="2"/>
      <c r="D124" s="3" t="s">
        <v>94</v>
      </c>
      <c r="E124" s="3" t="s">
        <v>29</v>
      </c>
      <c r="F124" s="3" t="s">
        <v>30</v>
      </c>
      <c r="G124" s="26">
        <v>1000</v>
      </c>
      <c r="H124" s="51"/>
      <c r="I124" s="17">
        <f t="shared" si="1"/>
        <v>1000</v>
      </c>
      <c r="J124" s="30"/>
      <c r="K124" s="29"/>
    </row>
    <row r="125" spans="1:11">
      <c r="A125" s="4">
        <v>51301</v>
      </c>
      <c r="B125" s="2" t="s">
        <v>45</v>
      </c>
      <c r="C125" s="2"/>
      <c r="D125" s="3" t="s">
        <v>94</v>
      </c>
      <c r="E125" s="3" t="s">
        <v>29</v>
      </c>
      <c r="F125" s="3" t="s">
        <v>30</v>
      </c>
      <c r="G125" s="26">
        <v>6500</v>
      </c>
      <c r="H125" s="51">
        <f>466.9+198.72</f>
        <v>665.62</v>
      </c>
      <c r="I125" s="17">
        <f t="shared" si="1"/>
        <v>5834.38</v>
      </c>
      <c r="J125" s="30"/>
      <c r="K125" s="29"/>
    </row>
    <row r="126" spans="1:11">
      <c r="A126" s="4">
        <v>51999</v>
      </c>
      <c r="B126" s="2" t="s">
        <v>47</v>
      </c>
      <c r="C126" s="2"/>
      <c r="D126" s="3" t="s">
        <v>94</v>
      </c>
      <c r="E126" s="3" t="s">
        <v>29</v>
      </c>
      <c r="F126" s="3" t="s">
        <v>30</v>
      </c>
      <c r="G126" s="26">
        <v>1500</v>
      </c>
      <c r="H126" s="51"/>
      <c r="I126" s="17">
        <f t="shared" si="1"/>
        <v>1500</v>
      </c>
      <c r="J126" s="30"/>
      <c r="K126" s="29"/>
    </row>
    <row r="127" spans="1:11" ht="25.5">
      <c r="A127" s="4">
        <v>51401</v>
      </c>
      <c r="B127" s="5" t="s">
        <v>138</v>
      </c>
      <c r="C127" s="2"/>
      <c r="D127" s="3" t="s">
        <v>94</v>
      </c>
      <c r="E127" s="3" t="s">
        <v>29</v>
      </c>
      <c r="F127" s="3" t="s">
        <v>106</v>
      </c>
      <c r="G127" s="26">
        <v>2598.1</v>
      </c>
      <c r="H127" s="51"/>
      <c r="I127" s="17">
        <f t="shared" si="1"/>
        <v>2598.1</v>
      </c>
      <c r="J127" s="35"/>
      <c r="K127" s="34"/>
    </row>
    <row r="128" spans="1:11" ht="36" customHeight="1">
      <c r="A128" s="4">
        <v>51501</v>
      </c>
      <c r="B128" s="5" t="s">
        <v>182</v>
      </c>
      <c r="C128" s="2"/>
      <c r="D128" s="3" t="s">
        <v>94</v>
      </c>
      <c r="E128" s="3" t="s">
        <v>29</v>
      </c>
      <c r="F128" s="3" t="s">
        <v>30</v>
      </c>
      <c r="G128" s="26">
        <v>3477.77</v>
      </c>
      <c r="H128" s="51"/>
      <c r="I128" s="17">
        <f t="shared" si="1"/>
        <v>3477.77</v>
      </c>
      <c r="J128" s="35"/>
      <c r="K128" s="27"/>
    </row>
    <row r="129" spans="1:11">
      <c r="A129" s="4">
        <v>54105</v>
      </c>
      <c r="B129" s="2" t="s">
        <v>116</v>
      </c>
      <c r="C129" s="2"/>
      <c r="D129" s="3" t="s">
        <v>94</v>
      </c>
      <c r="E129" s="3" t="s">
        <v>29</v>
      </c>
      <c r="F129" s="3" t="s">
        <v>30</v>
      </c>
      <c r="G129" s="26">
        <v>5000</v>
      </c>
      <c r="H129" s="51"/>
      <c r="I129" s="17">
        <f t="shared" si="1"/>
        <v>5000</v>
      </c>
      <c r="J129" s="30"/>
      <c r="K129" s="29"/>
    </row>
    <row r="130" spans="1:11">
      <c r="A130" s="4">
        <v>54114</v>
      </c>
      <c r="B130" s="2" t="s">
        <v>56</v>
      </c>
      <c r="C130" s="2"/>
      <c r="D130" s="3" t="s">
        <v>94</v>
      </c>
      <c r="E130" s="3" t="s">
        <v>29</v>
      </c>
      <c r="F130" s="3" t="s">
        <v>30</v>
      </c>
      <c r="G130" s="26">
        <v>5000</v>
      </c>
      <c r="H130" s="51">
        <f>351.5</f>
        <v>351.5</v>
      </c>
      <c r="I130" s="17">
        <f t="shared" si="1"/>
        <v>4648.5</v>
      </c>
      <c r="J130" s="35"/>
      <c r="K130" s="35"/>
    </row>
    <row r="131" spans="1:11">
      <c r="A131" s="4">
        <v>54115</v>
      </c>
      <c r="B131" s="2" t="s">
        <v>57</v>
      </c>
      <c r="C131" s="2"/>
      <c r="D131" s="3" t="s">
        <v>94</v>
      </c>
      <c r="E131" s="3" t="s">
        <v>29</v>
      </c>
      <c r="F131" s="3" t="s">
        <v>30</v>
      </c>
      <c r="G131" s="26">
        <v>8000</v>
      </c>
      <c r="H131" s="51"/>
      <c r="I131" s="17">
        <f t="shared" si="1"/>
        <v>8000</v>
      </c>
      <c r="J131" s="29"/>
      <c r="K131" s="28"/>
    </row>
    <row r="132" spans="1:11" ht="21">
      <c r="A132" s="38" t="s">
        <v>8</v>
      </c>
      <c r="B132" s="39" t="s">
        <v>117</v>
      </c>
      <c r="C132" s="39"/>
      <c r="D132" s="39" t="s">
        <v>94</v>
      </c>
      <c r="E132" s="39" t="s">
        <v>29</v>
      </c>
      <c r="F132" s="39" t="s">
        <v>30</v>
      </c>
      <c r="G132" s="40">
        <f>SUM(G122:G131)</f>
        <v>121324.37000000001</v>
      </c>
      <c r="H132" s="95">
        <f>SUM(H122:H131)</f>
        <v>6390.0999999999995</v>
      </c>
      <c r="I132" s="40">
        <f>G132-H132+J132-K132</f>
        <v>114934.27</v>
      </c>
      <c r="J132" s="40"/>
      <c r="K132" s="40"/>
    </row>
    <row r="133" spans="1:11">
      <c r="A133" s="4">
        <v>51101</v>
      </c>
      <c r="B133" s="2" t="s">
        <v>183</v>
      </c>
      <c r="C133" s="2"/>
      <c r="D133" s="3" t="s">
        <v>97</v>
      </c>
      <c r="E133" s="3" t="s">
        <v>29</v>
      </c>
      <c r="F133" s="3" t="s">
        <v>106</v>
      </c>
      <c r="G133" s="17">
        <v>232623.72</v>
      </c>
      <c r="H133" s="51">
        <f>17810.65</f>
        <v>17810.650000000001</v>
      </c>
      <c r="I133" s="17">
        <f t="shared" si="1"/>
        <v>214813.07</v>
      </c>
      <c r="J133" s="30"/>
      <c r="K133" s="35"/>
    </row>
    <row r="134" spans="1:11">
      <c r="A134" s="4">
        <v>51103</v>
      </c>
      <c r="B134" s="2" t="s">
        <v>118</v>
      </c>
      <c r="C134" s="2"/>
      <c r="D134" s="3" t="s">
        <v>97</v>
      </c>
      <c r="E134" s="3" t="s">
        <v>29</v>
      </c>
      <c r="F134" s="3" t="s">
        <v>106</v>
      </c>
      <c r="G134" s="17">
        <v>19385.310000000001</v>
      </c>
      <c r="H134" s="51"/>
      <c r="I134" s="207">
        <f>G134-H134+J134-K134</f>
        <v>19385.310000000001</v>
      </c>
      <c r="J134" s="30"/>
      <c r="K134" s="30"/>
    </row>
    <row r="135" spans="1:11">
      <c r="A135" s="4">
        <v>51107</v>
      </c>
      <c r="B135" s="2" t="s">
        <v>184</v>
      </c>
      <c r="C135" s="2"/>
      <c r="D135" s="3" t="s">
        <v>97</v>
      </c>
      <c r="E135" s="3" t="s">
        <v>29</v>
      </c>
      <c r="F135" s="3" t="s">
        <v>30</v>
      </c>
      <c r="G135" s="17">
        <v>2000</v>
      </c>
      <c r="H135" s="51"/>
      <c r="I135" s="17">
        <f t="shared" si="1"/>
        <v>2000</v>
      </c>
      <c r="J135" s="30"/>
      <c r="K135" s="27"/>
    </row>
    <row r="136" spans="1:11">
      <c r="A136" s="4">
        <v>51201</v>
      </c>
      <c r="B136" s="2" t="s">
        <v>119</v>
      </c>
      <c r="C136" s="2"/>
      <c r="D136" s="3" t="s">
        <v>97</v>
      </c>
      <c r="E136" s="3" t="s">
        <v>29</v>
      </c>
      <c r="F136" s="3" t="s">
        <v>30</v>
      </c>
      <c r="G136" s="17">
        <v>2000</v>
      </c>
      <c r="H136" s="51"/>
      <c r="I136" s="17">
        <f>G136-H136+J136-K136</f>
        <v>2000</v>
      </c>
      <c r="J136" s="30"/>
      <c r="K136" s="27"/>
    </row>
    <row r="137" spans="1:11">
      <c r="A137" s="4">
        <v>51301</v>
      </c>
      <c r="B137" s="2" t="s">
        <v>45</v>
      </c>
      <c r="C137" s="2"/>
      <c r="D137" s="3" t="s">
        <v>97</v>
      </c>
      <c r="E137" s="3" t="s">
        <v>29</v>
      </c>
      <c r="F137" s="3" t="s">
        <v>106</v>
      </c>
      <c r="G137" s="17">
        <v>6500</v>
      </c>
      <c r="H137" s="51">
        <f>133.08+49.68+99.36+80+80+40+42.6+56.42</f>
        <v>581.14</v>
      </c>
      <c r="I137" s="17">
        <f t="shared" si="1"/>
        <v>5918.86</v>
      </c>
      <c r="J137" s="20"/>
      <c r="K137" s="35"/>
    </row>
    <row r="138" spans="1:11" ht="46.5" customHeight="1">
      <c r="A138" s="4">
        <v>51401</v>
      </c>
      <c r="B138" s="5" t="s">
        <v>139</v>
      </c>
      <c r="C138" s="2"/>
      <c r="D138" s="3" t="s">
        <v>97</v>
      </c>
      <c r="E138" s="3" t="s">
        <v>29</v>
      </c>
      <c r="F138" s="3" t="s">
        <v>106</v>
      </c>
      <c r="G138" s="17">
        <v>9278.74</v>
      </c>
      <c r="H138" s="51">
        <f>42.9</f>
        <v>42.9</v>
      </c>
      <c r="I138" s="17">
        <f t="shared" si="1"/>
        <v>9235.84</v>
      </c>
      <c r="J138" s="35"/>
      <c r="K138" s="35"/>
    </row>
    <row r="139" spans="1:11" ht="32.25" customHeight="1">
      <c r="A139" s="4">
        <v>51501</v>
      </c>
      <c r="B139" s="5" t="s">
        <v>185</v>
      </c>
      <c r="C139" s="2"/>
      <c r="D139" s="3" t="s">
        <v>97</v>
      </c>
      <c r="E139" s="3" t="s">
        <v>29</v>
      </c>
      <c r="F139" s="3" t="s">
        <v>106</v>
      </c>
      <c r="G139" s="17">
        <v>9909.44</v>
      </c>
      <c r="H139" s="51"/>
      <c r="I139" s="17">
        <f t="shared" si="1"/>
        <v>9909.44</v>
      </c>
      <c r="J139" s="35"/>
      <c r="K139" s="35"/>
    </row>
    <row r="140" spans="1:11" ht="20.25" customHeight="1">
      <c r="A140" s="4">
        <v>54110</v>
      </c>
      <c r="B140" s="5" t="s">
        <v>108</v>
      </c>
      <c r="C140" s="2"/>
      <c r="D140" s="3" t="s">
        <v>97</v>
      </c>
      <c r="E140" s="3" t="s">
        <v>29</v>
      </c>
      <c r="F140" s="3" t="s">
        <v>106</v>
      </c>
      <c r="G140" s="17">
        <v>1</v>
      </c>
      <c r="H140" s="51"/>
      <c r="I140" s="17">
        <f t="shared" si="1"/>
        <v>1</v>
      </c>
      <c r="J140" s="35"/>
      <c r="K140" s="35"/>
    </row>
    <row r="141" spans="1:11">
      <c r="A141" s="4">
        <v>54121</v>
      </c>
      <c r="B141" s="2" t="s">
        <v>120</v>
      </c>
      <c r="C141" s="2"/>
      <c r="D141" s="3" t="s">
        <v>97</v>
      </c>
      <c r="E141" s="3" t="s">
        <v>29</v>
      </c>
      <c r="F141" s="3" t="s">
        <v>106</v>
      </c>
      <c r="G141" s="17">
        <v>2000</v>
      </c>
      <c r="H141" s="51"/>
      <c r="I141" s="17">
        <f>G141-H141+J141-K141</f>
        <v>2000</v>
      </c>
      <c r="J141" s="35"/>
      <c r="K141" s="29"/>
    </row>
    <row r="142" spans="1:11">
      <c r="A142" s="4">
        <v>54301</v>
      </c>
      <c r="B142" s="2" t="s">
        <v>140</v>
      </c>
      <c r="C142" s="2"/>
      <c r="D142" s="3" t="s">
        <v>97</v>
      </c>
      <c r="E142" s="3" t="s">
        <v>29</v>
      </c>
      <c r="F142" s="3" t="s">
        <v>106</v>
      </c>
      <c r="G142" s="17">
        <v>1</v>
      </c>
      <c r="H142" s="51"/>
      <c r="I142" s="17">
        <f>G142-H142+J142-K142</f>
        <v>1</v>
      </c>
      <c r="J142" s="35"/>
      <c r="K142" s="29"/>
    </row>
    <row r="143" spans="1:11">
      <c r="A143" s="4">
        <v>54302</v>
      </c>
      <c r="B143" s="2" t="s">
        <v>121</v>
      </c>
      <c r="C143" s="2"/>
      <c r="D143" s="3" t="s">
        <v>122</v>
      </c>
      <c r="E143" s="3" t="s">
        <v>29</v>
      </c>
      <c r="F143" s="3" t="s">
        <v>30</v>
      </c>
      <c r="G143" s="17">
        <v>1</v>
      </c>
      <c r="H143" s="51"/>
      <c r="I143" s="17">
        <f>G143-H143+J143-K143</f>
        <v>1</v>
      </c>
      <c r="J143" s="22"/>
      <c r="K143" s="29"/>
    </row>
    <row r="144" spans="1:11" ht="21">
      <c r="A144" s="38" t="s">
        <v>8</v>
      </c>
      <c r="B144" s="39" t="s">
        <v>123</v>
      </c>
      <c r="C144" s="39"/>
      <c r="D144" s="39" t="s">
        <v>97</v>
      </c>
      <c r="E144" s="39" t="s">
        <v>29</v>
      </c>
      <c r="F144" s="39" t="s">
        <v>30</v>
      </c>
      <c r="G144" s="40">
        <f>SUM(G133:G143)</f>
        <v>283700.21000000002</v>
      </c>
      <c r="H144" s="95">
        <f>SUM(H133:H143)</f>
        <v>18434.690000000002</v>
      </c>
      <c r="I144" s="40">
        <f>G144-H144+J144-K144</f>
        <v>265265.52</v>
      </c>
      <c r="J144" s="40"/>
      <c r="K144" s="40"/>
    </row>
    <row r="145" spans="1:11">
      <c r="A145" s="1">
        <v>54305</v>
      </c>
      <c r="B145" s="2" t="s">
        <v>0</v>
      </c>
      <c r="C145" s="2"/>
      <c r="D145" s="3" t="s">
        <v>1</v>
      </c>
      <c r="E145" s="3" t="s">
        <v>25</v>
      </c>
      <c r="F145" s="3" t="s">
        <v>26</v>
      </c>
      <c r="G145" s="17">
        <v>1500</v>
      </c>
      <c r="H145" s="51"/>
      <c r="I145" s="17">
        <f t="shared" ref="I145:I262" si="2">G145-H145+J145-K145</f>
        <v>1500</v>
      </c>
      <c r="J145" s="37"/>
      <c r="K145" s="36"/>
    </row>
    <row r="146" spans="1:11" ht="30.75" customHeight="1">
      <c r="A146" s="4">
        <v>54313</v>
      </c>
      <c r="B146" s="5" t="s">
        <v>2</v>
      </c>
      <c r="C146" s="5"/>
      <c r="D146" s="3" t="s">
        <v>1</v>
      </c>
      <c r="E146" s="3" t="s">
        <v>25</v>
      </c>
      <c r="F146" s="3" t="s">
        <v>26</v>
      </c>
      <c r="G146" s="17">
        <v>1246.32</v>
      </c>
      <c r="H146" s="51"/>
      <c r="I146" s="17">
        <f t="shared" si="2"/>
        <v>1246.32</v>
      </c>
      <c r="J146" s="37"/>
      <c r="K146" s="36"/>
    </row>
    <row r="147" spans="1:11">
      <c r="A147" s="4">
        <v>54503</v>
      </c>
      <c r="B147" s="5" t="s">
        <v>3</v>
      </c>
      <c r="C147" s="2"/>
      <c r="D147" s="3" t="s">
        <v>1</v>
      </c>
      <c r="E147" s="3" t="s">
        <v>25</v>
      </c>
      <c r="F147" s="3" t="s">
        <v>26</v>
      </c>
      <c r="G147" s="17">
        <v>2000</v>
      </c>
      <c r="H147" s="51"/>
      <c r="I147" s="17">
        <f t="shared" si="2"/>
        <v>2000</v>
      </c>
      <c r="J147" s="37"/>
      <c r="K147" s="36"/>
    </row>
    <row r="148" spans="1:11">
      <c r="A148" s="4">
        <v>54505</v>
      </c>
      <c r="B148" s="2" t="s">
        <v>4</v>
      </c>
      <c r="C148" s="2"/>
      <c r="D148" s="3" t="s">
        <v>1</v>
      </c>
      <c r="E148" s="3" t="s">
        <v>25</v>
      </c>
      <c r="F148" s="3" t="s">
        <v>27</v>
      </c>
      <c r="G148" s="17">
        <v>2000</v>
      </c>
      <c r="H148" s="51"/>
      <c r="I148" s="17">
        <f t="shared" si="2"/>
        <v>2000</v>
      </c>
      <c r="J148" s="37"/>
      <c r="K148" s="36"/>
    </row>
    <row r="149" spans="1:11" ht="30">
      <c r="A149" s="11">
        <v>54599</v>
      </c>
      <c r="B149" s="54" t="s">
        <v>5</v>
      </c>
      <c r="C149" s="68"/>
      <c r="D149" s="14" t="s">
        <v>1</v>
      </c>
      <c r="E149" s="14" t="s">
        <v>25</v>
      </c>
      <c r="F149" s="14" t="s">
        <v>27</v>
      </c>
      <c r="G149" s="17">
        <v>6723.16</v>
      </c>
      <c r="H149" s="51"/>
      <c r="I149" s="17">
        <f t="shared" si="2"/>
        <v>6723.16</v>
      </c>
      <c r="J149" s="62"/>
      <c r="K149" s="63"/>
    </row>
    <row r="150" spans="1:11">
      <c r="A150" s="11">
        <v>55603</v>
      </c>
      <c r="B150" s="54" t="s">
        <v>6</v>
      </c>
      <c r="C150" s="55"/>
      <c r="D150" s="14" t="s">
        <v>1</v>
      </c>
      <c r="E150" s="14" t="s">
        <v>25</v>
      </c>
      <c r="F150" s="14" t="s">
        <v>26</v>
      </c>
      <c r="G150" s="50">
        <v>100</v>
      </c>
      <c r="H150" s="51"/>
      <c r="I150" s="17">
        <f t="shared" si="2"/>
        <v>100</v>
      </c>
      <c r="J150" s="64"/>
      <c r="K150" s="65"/>
    </row>
    <row r="151" spans="1:11" ht="26.25">
      <c r="A151" s="4">
        <v>61599</v>
      </c>
      <c r="B151" s="5" t="s">
        <v>7</v>
      </c>
      <c r="C151" s="5"/>
      <c r="D151" s="3" t="s">
        <v>1</v>
      </c>
      <c r="E151" s="3" t="s">
        <v>25</v>
      </c>
      <c r="F151" s="3" t="s">
        <v>26</v>
      </c>
      <c r="G151" s="17">
        <v>3000</v>
      </c>
      <c r="H151" s="51"/>
      <c r="I151" s="17">
        <f t="shared" si="2"/>
        <v>3000</v>
      </c>
      <c r="J151" s="37"/>
      <c r="K151" s="36"/>
    </row>
    <row r="152" spans="1:11" ht="21">
      <c r="A152" s="38" t="s">
        <v>8</v>
      </c>
      <c r="B152" s="39" t="s">
        <v>9</v>
      </c>
      <c r="C152" s="39"/>
      <c r="D152" s="39" t="s">
        <v>1</v>
      </c>
      <c r="E152" s="39" t="s">
        <v>25</v>
      </c>
      <c r="F152" s="39" t="s">
        <v>27</v>
      </c>
      <c r="G152" s="40">
        <f>SUM(G145:G151)</f>
        <v>16569.48</v>
      </c>
      <c r="H152" s="95">
        <f>SUM(H145:H151)</f>
        <v>0</v>
      </c>
      <c r="I152" s="40">
        <f>G152-H152+J152-K152</f>
        <v>16569.48</v>
      </c>
      <c r="J152" s="40"/>
      <c r="K152" s="40"/>
    </row>
    <row r="153" spans="1:11" ht="28.5" customHeight="1">
      <c r="A153" s="4">
        <v>54104</v>
      </c>
      <c r="B153" s="7" t="s">
        <v>186</v>
      </c>
      <c r="C153" s="6"/>
      <c r="D153" s="3" t="s">
        <v>11</v>
      </c>
      <c r="E153" s="3" t="s">
        <v>25</v>
      </c>
      <c r="F153" s="3" t="s">
        <v>26</v>
      </c>
      <c r="G153" s="17">
        <v>3000</v>
      </c>
      <c r="H153" s="51"/>
      <c r="I153" s="17">
        <f t="shared" si="2"/>
        <v>3000</v>
      </c>
      <c r="J153" s="37"/>
      <c r="K153" s="36"/>
    </row>
    <row r="154" spans="1:11" ht="44.25" customHeight="1">
      <c r="A154" s="4">
        <v>54117</v>
      </c>
      <c r="B154" s="7" t="s">
        <v>187</v>
      </c>
      <c r="C154" s="6"/>
      <c r="D154" s="3" t="s">
        <v>11</v>
      </c>
      <c r="E154" s="3" t="s">
        <v>25</v>
      </c>
      <c r="F154" s="3" t="s">
        <v>26</v>
      </c>
      <c r="G154" s="17">
        <v>1500</v>
      </c>
      <c r="H154" s="51"/>
      <c r="I154" s="17">
        <f t="shared" si="2"/>
        <v>1500</v>
      </c>
      <c r="J154" s="37"/>
      <c r="K154" s="36"/>
    </row>
    <row r="155" spans="1:11" ht="25.5">
      <c r="A155" s="4">
        <v>55603</v>
      </c>
      <c r="B155" s="5" t="s">
        <v>13</v>
      </c>
      <c r="C155" s="6"/>
      <c r="D155" s="3" t="s">
        <v>11</v>
      </c>
      <c r="E155" s="3" t="s">
        <v>25</v>
      </c>
      <c r="F155" s="3" t="s">
        <v>26</v>
      </c>
      <c r="G155" s="17">
        <v>1000</v>
      </c>
      <c r="H155" s="51">
        <f>1.3</f>
        <v>1.3</v>
      </c>
      <c r="I155" s="17">
        <f t="shared" si="2"/>
        <v>998.7</v>
      </c>
      <c r="J155" s="37"/>
      <c r="K155" s="36"/>
    </row>
    <row r="156" spans="1:11" ht="24" customHeight="1">
      <c r="A156" s="66" t="s">
        <v>14</v>
      </c>
      <c r="B156" s="67" t="s">
        <v>188</v>
      </c>
      <c r="C156" s="55"/>
      <c r="D156" s="14" t="s">
        <v>11</v>
      </c>
      <c r="E156" s="14" t="s">
        <v>25</v>
      </c>
      <c r="F156" s="50" t="s">
        <v>26</v>
      </c>
      <c r="G156" s="17">
        <v>10000</v>
      </c>
      <c r="H156" s="51"/>
      <c r="I156" s="50">
        <f t="shared" si="2"/>
        <v>10000</v>
      </c>
      <c r="J156" s="65"/>
      <c r="K156" s="54"/>
    </row>
    <row r="157" spans="1:11" ht="28.5" customHeight="1">
      <c r="A157" s="11">
        <v>61104</v>
      </c>
      <c r="B157" s="54" t="s">
        <v>189</v>
      </c>
      <c r="C157" s="55"/>
      <c r="D157" s="14" t="s">
        <v>11</v>
      </c>
      <c r="E157" s="14" t="s">
        <v>25</v>
      </c>
      <c r="F157" s="14" t="s">
        <v>27</v>
      </c>
      <c r="G157" s="17">
        <v>15000</v>
      </c>
      <c r="H157" s="51"/>
      <c r="I157" s="17">
        <f t="shared" si="2"/>
        <v>15000</v>
      </c>
      <c r="J157" s="62"/>
      <c r="K157" s="63"/>
    </row>
    <row r="158" spans="1:11" ht="31.5" customHeight="1">
      <c r="A158" s="11">
        <v>61109</v>
      </c>
      <c r="B158" s="54" t="s">
        <v>190</v>
      </c>
      <c r="C158" s="55"/>
      <c r="D158" s="14" t="s">
        <v>11</v>
      </c>
      <c r="E158" s="14" t="s">
        <v>25</v>
      </c>
      <c r="F158" s="14" t="s">
        <v>26</v>
      </c>
      <c r="G158" s="17">
        <v>10000</v>
      </c>
      <c r="H158" s="51"/>
      <c r="I158" s="17">
        <f t="shared" si="2"/>
        <v>10000</v>
      </c>
      <c r="J158" s="62"/>
      <c r="K158" s="63"/>
    </row>
    <row r="159" spans="1:11" ht="29.25" customHeight="1">
      <c r="A159" s="11" t="s">
        <v>160</v>
      </c>
      <c r="B159" s="54" t="s">
        <v>194</v>
      </c>
      <c r="C159" s="55"/>
      <c r="D159" s="14" t="s">
        <v>11</v>
      </c>
      <c r="E159" s="14" t="s">
        <v>25</v>
      </c>
      <c r="F159" s="14" t="s">
        <v>26</v>
      </c>
      <c r="G159" s="17">
        <v>1500</v>
      </c>
      <c r="H159" s="51"/>
      <c r="I159" s="17">
        <f t="shared" si="2"/>
        <v>1500</v>
      </c>
      <c r="J159" s="62"/>
      <c r="K159" s="63"/>
    </row>
    <row r="160" spans="1:11" ht="27.75" customHeight="1">
      <c r="A160" s="11" t="s">
        <v>191</v>
      </c>
      <c r="B160" s="54" t="s">
        <v>195</v>
      </c>
      <c r="C160" s="55"/>
      <c r="D160" s="14" t="s">
        <v>11</v>
      </c>
      <c r="E160" s="14" t="s">
        <v>25</v>
      </c>
      <c r="F160" s="14" t="s">
        <v>26</v>
      </c>
      <c r="G160" s="50">
        <v>15000</v>
      </c>
      <c r="H160" s="51"/>
      <c r="I160" s="17">
        <f t="shared" si="2"/>
        <v>15000</v>
      </c>
      <c r="J160" s="64"/>
      <c r="K160" s="65"/>
    </row>
    <row r="161" spans="1:11" ht="26.25" customHeight="1">
      <c r="A161" s="11" t="s">
        <v>192</v>
      </c>
      <c r="B161" s="53" t="s">
        <v>196</v>
      </c>
      <c r="C161" s="8"/>
      <c r="D161" s="3" t="s">
        <v>11</v>
      </c>
      <c r="E161" s="3" t="s">
        <v>25</v>
      </c>
      <c r="F161" s="3" t="s">
        <v>26</v>
      </c>
      <c r="G161" s="43">
        <v>10000</v>
      </c>
      <c r="H161" s="51"/>
      <c r="I161" s="17">
        <f t="shared" si="2"/>
        <v>10000</v>
      </c>
      <c r="J161" s="45"/>
      <c r="K161" s="46"/>
    </row>
    <row r="162" spans="1:11" ht="40.5">
      <c r="A162" s="11" t="s">
        <v>193</v>
      </c>
      <c r="B162" s="53" t="s">
        <v>197</v>
      </c>
      <c r="C162" s="8"/>
      <c r="D162" s="3" t="s">
        <v>11</v>
      </c>
      <c r="E162" s="3" t="s">
        <v>25</v>
      </c>
      <c r="F162" s="3" t="s">
        <v>26</v>
      </c>
      <c r="G162" s="43">
        <v>10000</v>
      </c>
      <c r="H162" s="51"/>
      <c r="I162" s="17">
        <f t="shared" si="2"/>
        <v>10000</v>
      </c>
      <c r="J162" s="45"/>
      <c r="K162" s="46"/>
    </row>
    <row r="163" spans="1:11" ht="34.5" customHeight="1">
      <c r="A163" s="11" t="s">
        <v>198</v>
      </c>
      <c r="B163" s="53" t="s">
        <v>199</v>
      </c>
      <c r="C163" s="6"/>
      <c r="D163" s="3" t="s">
        <v>11</v>
      </c>
      <c r="E163" s="3" t="s">
        <v>25</v>
      </c>
      <c r="F163" s="3" t="s">
        <v>26</v>
      </c>
      <c r="G163" s="43">
        <v>14000</v>
      </c>
      <c r="H163" s="51"/>
      <c r="I163" s="17">
        <f t="shared" si="2"/>
        <v>14000</v>
      </c>
      <c r="J163" s="45"/>
      <c r="K163" s="46"/>
    </row>
    <row r="164" spans="1:11" ht="85.5">
      <c r="A164" s="144" t="s">
        <v>200</v>
      </c>
      <c r="B164" s="54" t="s">
        <v>202</v>
      </c>
      <c r="C164" s="55"/>
      <c r="D164" s="14" t="s">
        <v>11</v>
      </c>
      <c r="E164" s="14" t="s">
        <v>25</v>
      </c>
      <c r="F164" s="14" t="s">
        <v>26</v>
      </c>
      <c r="G164" s="50">
        <v>98.7</v>
      </c>
      <c r="H164" s="51"/>
      <c r="I164" s="17">
        <f t="shared" si="2"/>
        <v>98.7</v>
      </c>
      <c r="J164" s="64"/>
      <c r="K164" s="65"/>
    </row>
    <row r="165" spans="1:11" ht="106.5">
      <c r="A165" s="144" t="s">
        <v>201</v>
      </c>
      <c r="B165" s="54" t="s">
        <v>204</v>
      </c>
      <c r="C165" s="55"/>
      <c r="D165" s="14" t="s">
        <v>11</v>
      </c>
      <c r="E165" s="14" t="s">
        <v>25</v>
      </c>
      <c r="F165" s="14" t="s">
        <v>26</v>
      </c>
      <c r="G165" s="17"/>
      <c r="H165" s="51"/>
      <c r="I165" s="17">
        <f t="shared" si="2"/>
        <v>0</v>
      </c>
      <c r="J165" s="62"/>
      <c r="K165" s="63"/>
    </row>
    <row r="166" spans="1:11">
      <c r="A166" s="11" t="s">
        <v>203</v>
      </c>
      <c r="B166" s="145" t="s">
        <v>206</v>
      </c>
      <c r="C166" s="55"/>
      <c r="D166" s="14" t="s">
        <v>11</v>
      </c>
      <c r="E166" s="14" t="s">
        <v>25</v>
      </c>
      <c r="F166" s="14" t="s">
        <v>26</v>
      </c>
      <c r="G166" s="50">
        <v>14000</v>
      </c>
      <c r="H166" s="51"/>
      <c r="I166" s="17">
        <f t="shared" si="2"/>
        <v>14000</v>
      </c>
      <c r="J166" s="64"/>
      <c r="K166" s="65"/>
    </row>
    <row r="167" spans="1:11">
      <c r="A167" s="11" t="s">
        <v>205</v>
      </c>
      <c r="B167" s="145" t="s">
        <v>207</v>
      </c>
      <c r="C167" s="55"/>
      <c r="D167" s="14" t="s">
        <v>11</v>
      </c>
      <c r="E167" s="14" t="s">
        <v>25</v>
      </c>
      <c r="F167" s="14" t="s">
        <v>26</v>
      </c>
      <c r="G167" s="50">
        <v>200</v>
      </c>
      <c r="H167" s="51"/>
      <c r="I167" s="17">
        <f t="shared" si="2"/>
        <v>200</v>
      </c>
      <c r="J167" s="64"/>
      <c r="K167" s="65"/>
    </row>
    <row r="168" spans="1:11" ht="36">
      <c r="A168" s="11" t="s">
        <v>208</v>
      </c>
      <c r="B168" s="145" t="s">
        <v>209</v>
      </c>
      <c r="C168" s="55"/>
      <c r="D168" s="14" t="s">
        <v>11</v>
      </c>
      <c r="E168" s="14" t="s">
        <v>25</v>
      </c>
      <c r="F168" s="14" t="s">
        <v>26</v>
      </c>
      <c r="G168" s="50">
        <v>34200</v>
      </c>
      <c r="H168" s="51"/>
      <c r="I168" s="17">
        <f t="shared" si="2"/>
        <v>34200</v>
      </c>
      <c r="J168" s="64"/>
      <c r="K168" s="65"/>
    </row>
    <row r="169" spans="1:11" ht="24">
      <c r="A169" s="11" t="s">
        <v>210</v>
      </c>
      <c r="B169" s="145" t="s">
        <v>211</v>
      </c>
      <c r="C169" s="55"/>
      <c r="D169" s="14" t="s">
        <v>11</v>
      </c>
      <c r="E169" s="14" t="s">
        <v>25</v>
      </c>
      <c r="F169" s="14" t="s">
        <v>26</v>
      </c>
      <c r="G169" s="50">
        <v>600</v>
      </c>
      <c r="H169" s="51"/>
      <c r="I169" s="17">
        <f t="shared" si="2"/>
        <v>600</v>
      </c>
      <c r="J169" s="64"/>
      <c r="K169" s="65"/>
    </row>
    <row r="170" spans="1:11" ht="34.5" customHeight="1">
      <c r="A170" s="11" t="s">
        <v>212</v>
      </c>
      <c r="B170" s="145" t="s">
        <v>213</v>
      </c>
      <c r="C170" s="55"/>
      <c r="D170" s="3" t="s">
        <v>11</v>
      </c>
      <c r="E170" s="3" t="s">
        <v>25</v>
      </c>
      <c r="F170" s="3" t="s">
        <v>26</v>
      </c>
      <c r="G170" s="43">
        <v>548.70000000000005</v>
      </c>
      <c r="H170" s="51"/>
      <c r="I170" s="17">
        <f t="shared" si="2"/>
        <v>548.70000000000005</v>
      </c>
      <c r="J170" s="45"/>
      <c r="K170" s="46"/>
    </row>
    <row r="171" spans="1:11" ht="28.5" customHeight="1">
      <c r="A171" s="11" t="s">
        <v>215</v>
      </c>
      <c r="B171" s="145" t="s">
        <v>214</v>
      </c>
      <c r="C171" s="55"/>
      <c r="D171" s="3" t="s">
        <v>11</v>
      </c>
      <c r="E171" s="3" t="s">
        <v>25</v>
      </c>
      <c r="F171" s="3" t="s">
        <v>26</v>
      </c>
      <c r="G171" s="43">
        <v>5000</v>
      </c>
      <c r="H171" s="51"/>
      <c r="I171" s="17">
        <f t="shared" si="2"/>
        <v>5000</v>
      </c>
      <c r="J171" s="45"/>
      <c r="K171" s="46"/>
    </row>
    <row r="172" spans="1:11" ht="27.75" customHeight="1">
      <c r="A172" s="11" t="s">
        <v>216</v>
      </c>
      <c r="B172" s="145" t="s">
        <v>217</v>
      </c>
      <c r="C172" s="55"/>
      <c r="D172" s="3" t="s">
        <v>11</v>
      </c>
      <c r="E172" s="3" t="s">
        <v>25</v>
      </c>
      <c r="F172" s="3" t="s">
        <v>26</v>
      </c>
      <c r="G172" s="43">
        <v>500</v>
      </c>
      <c r="H172" s="51"/>
      <c r="I172" s="17">
        <f t="shared" si="2"/>
        <v>500</v>
      </c>
      <c r="J172" s="45"/>
      <c r="K172" s="46"/>
    </row>
    <row r="173" spans="1:11" ht="18.75" customHeight="1">
      <c r="A173" s="11" t="s">
        <v>218</v>
      </c>
      <c r="B173" s="145" t="s">
        <v>219</v>
      </c>
      <c r="C173" s="55"/>
      <c r="D173" s="3" t="s">
        <v>11</v>
      </c>
      <c r="E173" s="3" t="s">
        <v>25</v>
      </c>
      <c r="F173" s="3" t="s">
        <v>26</v>
      </c>
      <c r="G173" s="43">
        <v>50</v>
      </c>
      <c r="H173" s="51"/>
      <c r="I173" s="17">
        <f t="shared" si="2"/>
        <v>50</v>
      </c>
      <c r="J173" s="45"/>
      <c r="K173" s="46"/>
    </row>
    <row r="174" spans="1:11" ht="99" customHeight="1">
      <c r="A174" s="144" t="s">
        <v>220</v>
      </c>
      <c r="B174" s="54" t="s">
        <v>221</v>
      </c>
      <c r="C174" s="55"/>
      <c r="D174" s="3"/>
      <c r="E174" s="3"/>
      <c r="F174" s="3"/>
      <c r="G174" s="43"/>
      <c r="H174" s="51"/>
      <c r="I174" s="17"/>
      <c r="J174" s="45"/>
      <c r="K174" s="46"/>
    </row>
    <row r="175" spans="1:11" ht="18" customHeight="1">
      <c r="A175" s="11" t="s">
        <v>222</v>
      </c>
      <c r="B175" s="145" t="s">
        <v>223</v>
      </c>
      <c r="C175" s="55"/>
      <c r="D175" s="3" t="s">
        <v>11</v>
      </c>
      <c r="E175" s="3" t="s">
        <v>25</v>
      </c>
      <c r="F175" s="3" t="s">
        <v>26</v>
      </c>
      <c r="G175" s="43">
        <v>3000</v>
      </c>
      <c r="H175" s="51"/>
      <c r="I175" s="17">
        <f t="shared" si="2"/>
        <v>3000</v>
      </c>
      <c r="J175" s="45"/>
      <c r="K175" s="46"/>
    </row>
    <row r="176" spans="1:11" ht="15.75" customHeight="1">
      <c r="A176" s="11" t="s">
        <v>225</v>
      </c>
      <c r="B176" s="145" t="s">
        <v>224</v>
      </c>
      <c r="C176" s="55"/>
      <c r="D176" s="3" t="s">
        <v>11</v>
      </c>
      <c r="E176" s="3" t="s">
        <v>25</v>
      </c>
      <c r="F176" s="3" t="s">
        <v>26</v>
      </c>
      <c r="G176" s="43">
        <v>100</v>
      </c>
      <c r="H176" s="51"/>
      <c r="I176" s="17">
        <f t="shared" si="2"/>
        <v>100</v>
      </c>
      <c r="J176" s="45"/>
      <c r="K176" s="46"/>
    </row>
    <row r="177" spans="1:11" ht="33.75" customHeight="1">
      <c r="A177" s="11" t="s">
        <v>226</v>
      </c>
      <c r="B177" s="145" t="s">
        <v>227</v>
      </c>
      <c r="C177" s="55"/>
      <c r="D177" s="3" t="s">
        <v>11</v>
      </c>
      <c r="E177" s="3" t="s">
        <v>25</v>
      </c>
      <c r="F177" s="3" t="s">
        <v>26</v>
      </c>
      <c r="G177" s="43">
        <v>6000</v>
      </c>
      <c r="H177" s="51"/>
      <c r="I177" s="17">
        <f t="shared" si="2"/>
        <v>6000</v>
      </c>
      <c r="J177" s="45"/>
      <c r="K177" s="46"/>
    </row>
    <row r="178" spans="1:11" ht="28.5" customHeight="1">
      <c r="A178" s="11" t="s">
        <v>228</v>
      </c>
      <c r="B178" s="145" t="s">
        <v>229</v>
      </c>
      <c r="C178" s="55"/>
      <c r="D178" s="3" t="s">
        <v>11</v>
      </c>
      <c r="E178" s="3" t="s">
        <v>25</v>
      </c>
      <c r="F178" s="3" t="s">
        <v>26</v>
      </c>
      <c r="G178" s="43">
        <v>150</v>
      </c>
      <c r="H178" s="51"/>
      <c r="I178" s="17">
        <f t="shared" si="2"/>
        <v>150</v>
      </c>
      <c r="J178" s="45"/>
      <c r="K178" s="46"/>
    </row>
    <row r="179" spans="1:11" ht="26.25" customHeight="1">
      <c r="A179" s="11" t="s">
        <v>230</v>
      </c>
      <c r="B179" s="145" t="s">
        <v>231</v>
      </c>
      <c r="C179" s="55"/>
      <c r="D179" s="3" t="s">
        <v>11</v>
      </c>
      <c r="E179" s="3" t="s">
        <v>25</v>
      </c>
      <c r="F179" s="3" t="s">
        <v>26</v>
      </c>
      <c r="G179" s="43">
        <v>100</v>
      </c>
      <c r="H179" s="51"/>
      <c r="I179" s="17">
        <f t="shared" si="2"/>
        <v>100</v>
      </c>
      <c r="J179" s="45"/>
      <c r="K179" s="46"/>
    </row>
    <row r="180" spans="1:11" ht="23.25" customHeight="1">
      <c r="A180" s="11" t="s">
        <v>232</v>
      </c>
      <c r="B180" s="145" t="s">
        <v>233</v>
      </c>
      <c r="C180" s="55"/>
      <c r="D180" s="3" t="s">
        <v>11</v>
      </c>
      <c r="E180" s="3" t="s">
        <v>25</v>
      </c>
      <c r="F180" s="3" t="s">
        <v>26</v>
      </c>
      <c r="G180" s="43">
        <v>200</v>
      </c>
      <c r="H180" s="51"/>
      <c r="I180" s="17">
        <f t="shared" si="2"/>
        <v>200</v>
      </c>
      <c r="J180" s="45"/>
      <c r="K180" s="46"/>
    </row>
    <row r="181" spans="1:11" ht="28.5" customHeight="1">
      <c r="A181" s="11" t="s">
        <v>234</v>
      </c>
      <c r="B181" s="145" t="s">
        <v>237</v>
      </c>
      <c r="C181" s="55"/>
      <c r="D181" s="3" t="s">
        <v>11</v>
      </c>
      <c r="E181" s="3" t="s">
        <v>25</v>
      </c>
      <c r="F181" s="3" t="s">
        <v>26</v>
      </c>
      <c r="G181" s="43">
        <v>500</v>
      </c>
      <c r="H181" s="51"/>
      <c r="I181" s="17">
        <f t="shared" si="2"/>
        <v>500</v>
      </c>
      <c r="J181" s="45"/>
      <c r="K181" s="46"/>
    </row>
    <row r="182" spans="1:11" ht="24" customHeight="1">
      <c r="A182" s="11" t="s">
        <v>235</v>
      </c>
      <c r="B182" s="145" t="s">
        <v>236</v>
      </c>
      <c r="C182" s="55"/>
      <c r="D182" s="3" t="s">
        <v>11</v>
      </c>
      <c r="E182" s="3" t="s">
        <v>25</v>
      </c>
      <c r="F182" s="3" t="s">
        <v>26</v>
      </c>
      <c r="G182" s="43">
        <v>48.7</v>
      </c>
      <c r="H182" s="51"/>
      <c r="I182" s="17">
        <f t="shared" si="2"/>
        <v>48.7</v>
      </c>
      <c r="J182" s="45"/>
      <c r="K182" s="46"/>
    </row>
    <row r="183" spans="1:11" ht="93.75" customHeight="1">
      <c r="A183" s="144" t="s">
        <v>238</v>
      </c>
      <c r="B183" s="54" t="s">
        <v>239</v>
      </c>
      <c r="C183" s="55"/>
      <c r="D183" s="3"/>
      <c r="E183" s="3"/>
      <c r="F183" s="3"/>
      <c r="G183" s="43"/>
      <c r="H183" s="51"/>
      <c r="I183" s="17"/>
      <c r="J183" s="45"/>
      <c r="K183" s="46"/>
    </row>
    <row r="184" spans="1:11" ht="24" customHeight="1">
      <c r="A184" s="11" t="s">
        <v>240</v>
      </c>
      <c r="B184" s="145" t="s">
        <v>243</v>
      </c>
      <c r="C184" s="55"/>
      <c r="D184" s="3" t="s">
        <v>11</v>
      </c>
      <c r="E184" s="3" t="s">
        <v>25</v>
      </c>
      <c r="F184" s="3" t="s">
        <v>26</v>
      </c>
      <c r="G184" s="43">
        <v>3195</v>
      </c>
      <c r="H184" s="51">
        <f>233.33+186.67+186.67+124.44+116.67+93.33+93.33+62.22</f>
        <v>1096.6599999999999</v>
      </c>
      <c r="I184" s="17">
        <f t="shared" si="2"/>
        <v>2098.34</v>
      </c>
      <c r="J184" s="45"/>
      <c r="K184" s="46"/>
    </row>
    <row r="185" spans="1:11" ht="24" customHeight="1">
      <c r="A185" s="11" t="s">
        <v>241</v>
      </c>
      <c r="B185" s="145" t="s">
        <v>242</v>
      </c>
      <c r="C185" s="55"/>
      <c r="D185" s="3" t="s">
        <v>11</v>
      </c>
      <c r="E185" s="3" t="s">
        <v>25</v>
      </c>
      <c r="F185" s="3" t="s">
        <v>26</v>
      </c>
      <c r="G185" s="43">
        <v>100</v>
      </c>
      <c r="H185" s="51"/>
      <c r="I185" s="17">
        <f t="shared" si="2"/>
        <v>100</v>
      </c>
      <c r="J185" s="45"/>
      <c r="K185" s="46"/>
    </row>
    <row r="186" spans="1:11" ht="40.5" customHeight="1">
      <c r="A186" s="11" t="s">
        <v>245</v>
      </c>
      <c r="B186" s="145" t="s">
        <v>244</v>
      </c>
      <c r="C186" s="55"/>
      <c r="D186" s="3" t="s">
        <v>11</v>
      </c>
      <c r="E186" s="3" t="s">
        <v>25</v>
      </c>
      <c r="F186" s="3" t="s">
        <v>26</v>
      </c>
      <c r="G186" s="43">
        <v>5000</v>
      </c>
      <c r="H186" s="51">
        <f>380+94.75+1123.65+375+26.15</f>
        <v>1999.5500000000002</v>
      </c>
      <c r="I186" s="17">
        <f t="shared" si="2"/>
        <v>3000.45</v>
      </c>
      <c r="J186" s="45"/>
      <c r="K186" s="46"/>
    </row>
    <row r="187" spans="1:11" ht="24" customHeight="1">
      <c r="A187" s="11" t="s">
        <v>246</v>
      </c>
      <c r="B187" s="145" t="s">
        <v>247</v>
      </c>
      <c r="C187" s="55"/>
      <c r="D187" s="3" t="s">
        <v>11</v>
      </c>
      <c r="E187" s="3" t="s">
        <v>25</v>
      </c>
      <c r="F187" s="3" t="s">
        <v>26</v>
      </c>
      <c r="G187" s="43">
        <v>671.77</v>
      </c>
      <c r="H187" s="51"/>
      <c r="I187" s="17">
        <f t="shared" si="2"/>
        <v>671.77</v>
      </c>
      <c r="J187" s="45"/>
      <c r="K187" s="46"/>
    </row>
    <row r="188" spans="1:11" ht="24" customHeight="1">
      <c r="A188" s="11" t="s">
        <v>249</v>
      </c>
      <c r="B188" s="145" t="s">
        <v>248</v>
      </c>
      <c r="C188" s="55"/>
      <c r="D188" s="3" t="s">
        <v>11</v>
      </c>
      <c r="E188" s="3" t="s">
        <v>25</v>
      </c>
      <c r="F188" s="3" t="s">
        <v>26</v>
      </c>
      <c r="G188" s="43">
        <v>700</v>
      </c>
      <c r="H188" s="51"/>
      <c r="I188" s="17">
        <f t="shared" si="2"/>
        <v>700</v>
      </c>
      <c r="J188" s="45"/>
      <c r="K188" s="46"/>
    </row>
    <row r="189" spans="1:11" ht="24" customHeight="1">
      <c r="A189" s="11" t="s">
        <v>251</v>
      </c>
      <c r="B189" s="145" t="s">
        <v>252</v>
      </c>
      <c r="C189" s="55"/>
      <c r="D189" s="3" t="s">
        <v>11</v>
      </c>
      <c r="E189" s="3" t="s">
        <v>25</v>
      </c>
      <c r="F189" s="3" t="s">
        <v>26</v>
      </c>
      <c r="G189" s="43">
        <v>200</v>
      </c>
      <c r="H189" s="51"/>
      <c r="I189" s="17">
        <f t="shared" si="2"/>
        <v>200</v>
      </c>
      <c r="J189" s="45"/>
      <c r="K189" s="46"/>
    </row>
    <row r="190" spans="1:11" ht="24" customHeight="1">
      <c r="A190" s="11" t="s">
        <v>250</v>
      </c>
      <c r="B190" s="145" t="s">
        <v>253</v>
      </c>
      <c r="C190" s="55"/>
      <c r="D190" s="3" t="s">
        <v>11</v>
      </c>
      <c r="E190" s="3" t="s">
        <v>25</v>
      </c>
      <c r="F190" s="3" t="s">
        <v>26</v>
      </c>
      <c r="G190" s="43">
        <v>300</v>
      </c>
      <c r="H190" s="51">
        <f>242</f>
        <v>242</v>
      </c>
      <c r="I190" s="17">
        <f t="shared" si="2"/>
        <v>58</v>
      </c>
      <c r="J190" s="45"/>
      <c r="K190" s="46"/>
    </row>
    <row r="191" spans="1:11" ht="24" customHeight="1">
      <c r="A191" s="11" t="s">
        <v>255</v>
      </c>
      <c r="B191" s="145" t="s">
        <v>254</v>
      </c>
      <c r="C191" s="55"/>
      <c r="D191" s="3" t="s">
        <v>11</v>
      </c>
      <c r="E191" s="3" t="s">
        <v>25</v>
      </c>
      <c r="F191" s="3" t="s">
        <v>26</v>
      </c>
      <c r="G191" s="43">
        <v>5</v>
      </c>
      <c r="H191" s="51">
        <f>1.7</f>
        <v>1.7</v>
      </c>
      <c r="I191" s="17">
        <f t="shared" si="2"/>
        <v>3.3</v>
      </c>
      <c r="J191" s="45"/>
      <c r="K191" s="46"/>
    </row>
    <row r="192" spans="1:11" ht="67.5" customHeight="1">
      <c r="A192" s="144" t="s">
        <v>256</v>
      </c>
      <c r="B192" s="54" t="s">
        <v>257</v>
      </c>
      <c r="C192" s="55"/>
      <c r="D192" s="3"/>
      <c r="E192" s="3"/>
      <c r="F192" s="3"/>
      <c r="G192" s="43"/>
      <c r="H192" s="51"/>
      <c r="I192" s="17"/>
      <c r="J192" s="45"/>
      <c r="K192" s="46"/>
    </row>
    <row r="193" spans="1:11" ht="24" customHeight="1">
      <c r="A193" s="11" t="s">
        <v>258</v>
      </c>
      <c r="B193" s="145" t="s">
        <v>263</v>
      </c>
      <c r="C193" s="55"/>
      <c r="D193" s="3" t="s">
        <v>11</v>
      </c>
      <c r="E193" s="3" t="s">
        <v>25</v>
      </c>
      <c r="F193" s="3" t="s">
        <v>26</v>
      </c>
      <c r="G193" s="43">
        <v>100</v>
      </c>
      <c r="H193" s="51"/>
      <c r="I193" s="17">
        <f t="shared" si="2"/>
        <v>100</v>
      </c>
      <c r="J193" s="45"/>
      <c r="K193" s="46"/>
    </row>
    <row r="194" spans="1:11" ht="24" customHeight="1">
      <c r="A194" s="11" t="s">
        <v>259</v>
      </c>
      <c r="B194" s="145" t="s">
        <v>262</v>
      </c>
      <c r="C194" s="55"/>
      <c r="D194" s="3" t="s">
        <v>11</v>
      </c>
      <c r="E194" s="3" t="s">
        <v>25</v>
      </c>
      <c r="F194" s="3" t="s">
        <v>26</v>
      </c>
      <c r="G194" s="43">
        <v>800</v>
      </c>
      <c r="H194" s="51"/>
      <c r="I194" s="17">
        <f t="shared" si="2"/>
        <v>800</v>
      </c>
      <c r="J194" s="45"/>
      <c r="K194" s="46"/>
    </row>
    <row r="195" spans="1:11" ht="24" customHeight="1">
      <c r="A195" s="11" t="s">
        <v>260</v>
      </c>
      <c r="B195" s="145" t="s">
        <v>261</v>
      </c>
      <c r="C195" s="55"/>
      <c r="D195" s="3" t="s">
        <v>11</v>
      </c>
      <c r="E195" s="3" t="s">
        <v>25</v>
      </c>
      <c r="F195" s="3" t="s">
        <v>26</v>
      </c>
      <c r="G195" s="43">
        <v>624.22</v>
      </c>
      <c r="H195" s="51"/>
      <c r="I195" s="17">
        <f t="shared" si="2"/>
        <v>624.22</v>
      </c>
      <c r="J195" s="45"/>
      <c r="K195" s="46"/>
    </row>
    <row r="196" spans="1:11" ht="60" customHeight="1">
      <c r="A196" s="144" t="s">
        <v>264</v>
      </c>
      <c r="B196" s="54" t="s">
        <v>287</v>
      </c>
      <c r="C196" s="55"/>
      <c r="D196" s="3"/>
      <c r="E196" s="3"/>
      <c r="F196" s="3"/>
      <c r="G196" s="43"/>
      <c r="H196" s="51"/>
      <c r="I196" s="17"/>
      <c r="J196" s="45"/>
      <c r="K196" s="46"/>
    </row>
    <row r="197" spans="1:11" ht="24" customHeight="1">
      <c r="A197" s="11" t="s">
        <v>265</v>
      </c>
      <c r="B197" s="145" t="s">
        <v>267</v>
      </c>
      <c r="C197" s="55"/>
      <c r="D197" s="3" t="s">
        <v>11</v>
      </c>
      <c r="E197" s="3" t="s">
        <v>25</v>
      </c>
      <c r="F197" s="3" t="s">
        <v>26</v>
      </c>
      <c r="G197" s="43">
        <v>2000</v>
      </c>
      <c r="H197" s="51"/>
      <c r="I197" s="17">
        <f t="shared" si="2"/>
        <v>2000</v>
      </c>
      <c r="J197" s="45"/>
      <c r="K197" s="46"/>
    </row>
    <row r="198" spans="1:11" ht="24" customHeight="1">
      <c r="A198" s="11" t="s">
        <v>266</v>
      </c>
      <c r="B198" s="145" t="s">
        <v>268</v>
      </c>
      <c r="C198" s="55"/>
      <c r="D198" s="3" t="s">
        <v>11</v>
      </c>
      <c r="E198" s="3" t="s">
        <v>25</v>
      </c>
      <c r="F198" s="3" t="s">
        <v>26</v>
      </c>
      <c r="G198" s="43">
        <v>3000</v>
      </c>
      <c r="H198" s="51"/>
      <c r="I198" s="17">
        <f t="shared" si="2"/>
        <v>3000</v>
      </c>
      <c r="J198" s="45"/>
      <c r="K198" s="46"/>
    </row>
    <row r="199" spans="1:11" ht="71.25" customHeight="1">
      <c r="A199" s="144" t="s">
        <v>269</v>
      </c>
      <c r="B199" s="54" t="s">
        <v>286</v>
      </c>
      <c r="C199" s="55"/>
      <c r="D199" s="3"/>
      <c r="E199" s="3"/>
      <c r="F199" s="3"/>
      <c r="G199" s="43"/>
      <c r="H199" s="51"/>
      <c r="I199" s="17"/>
      <c r="J199" s="45"/>
      <c r="K199" s="46"/>
    </row>
    <row r="200" spans="1:11" ht="24" customHeight="1">
      <c r="A200" s="11" t="s">
        <v>273</v>
      </c>
      <c r="B200" s="145" t="s">
        <v>270</v>
      </c>
      <c r="C200" s="55"/>
      <c r="D200" s="3" t="s">
        <v>11</v>
      </c>
      <c r="E200" s="3" t="s">
        <v>25</v>
      </c>
      <c r="F200" s="3" t="s">
        <v>26</v>
      </c>
      <c r="G200" s="43">
        <v>3000</v>
      </c>
      <c r="H200" s="51"/>
      <c r="I200" s="17">
        <f t="shared" si="2"/>
        <v>3000</v>
      </c>
      <c r="J200" s="45"/>
      <c r="K200" s="46"/>
    </row>
    <row r="201" spans="1:11" ht="24" customHeight="1">
      <c r="A201" s="11" t="s">
        <v>272</v>
      </c>
      <c r="B201" s="145" t="s">
        <v>271</v>
      </c>
      <c r="C201" s="55"/>
      <c r="D201" s="3" t="s">
        <v>11</v>
      </c>
      <c r="E201" s="3" t="s">
        <v>25</v>
      </c>
      <c r="F201" s="3" t="s">
        <v>26</v>
      </c>
      <c r="G201" s="43">
        <v>30000</v>
      </c>
      <c r="H201" s="51"/>
      <c r="I201" s="17">
        <f t="shared" si="2"/>
        <v>30000</v>
      </c>
      <c r="J201" s="45"/>
      <c r="K201" s="46"/>
    </row>
    <row r="202" spans="1:11" ht="24" customHeight="1">
      <c r="A202" s="11" t="s">
        <v>274</v>
      </c>
      <c r="B202" s="145" t="s">
        <v>275</v>
      </c>
      <c r="C202" s="55"/>
      <c r="D202" s="3" t="s">
        <v>11</v>
      </c>
      <c r="E202" s="3" t="s">
        <v>25</v>
      </c>
      <c r="F202" s="3" t="s">
        <v>26</v>
      </c>
      <c r="G202" s="43">
        <v>3000</v>
      </c>
      <c r="H202" s="51"/>
      <c r="I202" s="17">
        <f t="shared" si="2"/>
        <v>3000</v>
      </c>
      <c r="J202" s="45"/>
      <c r="K202" s="46"/>
    </row>
    <row r="203" spans="1:11" ht="24" customHeight="1">
      <c r="A203" s="11" t="s">
        <v>276</v>
      </c>
      <c r="B203" s="145" t="s">
        <v>277</v>
      </c>
      <c r="C203" s="55"/>
      <c r="D203" s="3" t="s">
        <v>11</v>
      </c>
      <c r="E203" s="3" t="s">
        <v>25</v>
      </c>
      <c r="F203" s="3" t="s">
        <v>26</v>
      </c>
      <c r="G203" s="43">
        <v>21000</v>
      </c>
      <c r="H203" s="51"/>
      <c r="I203" s="17">
        <f t="shared" si="2"/>
        <v>21000</v>
      </c>
      <c r="J203" s="45"/>
      <c r="K203" s="46"/>
    </row>
    <row r="204" spans="1:11" ht="24" customHeight="1">
      <c r="A204" s="11" t="s">
        <v>278</v>
      </c>
      <c r="B204" s="145" t="s">
        <v>279</v>
      </c>
      <c r="C204" s="55"/>
      <c r="D204" s="3" t="s">
        <v>11</v>
      </c>
      <c r="E204" s="3" t="s">
        <v>25</v>
      </c>
      <c r="F204" s="3" t="s">
        <v>26</v>
      </c>
      <c r="G204" s="43">
        <v>980</v>
      </c>
      <c r="H204" s="51"/>
      <c r="I204" s="17">
        <f t="shared" si="2"/>
        <v>980</v>
      </c>
      <c r="J204" s="45"/>
      <c r="K204" s="46"/>
    </row>
    <row r="205" spans="1:11" ht="24" customHeight="1">
      <c r="A205" s="11" t="s">
        <v>280</v>
      </c>
      <c r="B205" s="145" t="s">
        <v>281</v>
      </c>
      <c r="C205" s="55"/>
      <c r="D205" s="3" t="s">
        <v>11</v>
      </c>
      <c r="E205" s="3" t="s">
        <v>25</v>
      </c>
      <c r="F205" s="3" t="s">
        <v>26</v>
      </c>
      <c r="G205" s="43">
        <v>1000</v>
      </c>
      <c r="H205" s="51"/>
      <c r="I205" s="17">
        <f t="shared" si="2"/>
        <v>1000</v>
      </c>
      <c r="J205" s="45"/>
      <c r="K205" s="46"/>
    </row>
    <row r="206" spans="1:11" ht="24" customHeight="1">
      <c r="A206" s="11" t="s">
        <v>282</v>
      </c>
      <c r="B206" s="145" t="s">
        <v>283</v>
      </c>
      <c r="C206" s="55"/>
      <c r="D206" s="3" t="s">
        <v>11</v>
      </c>
      <c r="E206" s="3" t="s">
        <v>25</v>
      </c>
      <c r="F206" s="3" t="s">
        <v>26</v>
      </c>
      <c r="G206" s="43">
        <v>1000</v>
      </c>
      <c r="H206" s="51"/>
      <c r="I206" s="17">
        <f t="shared" si="2"/>
        <v>1000</v>
      </c>
      <c r="J206" s="45"/>
      <c r="K206" s="46"/>
    </row>
    <row r="207" spans="1:11" ht="24" customHeight="1">
      <c r="A207" s="11" t="s">
        <v>284</v>
      </c>
      <c r="B207" s="145" t="s">
        <v>285</v>
      </c>
      <c r="C207" s="55"/>
      <c r="D207" s="3" t="s">
        <v>11</v>
      </c>
      <c r="E207" s="3" t="s">
        <v>25</v>
      </c>
      <c r="F207" s="3" t="s">
        <v>26</v>
      </c>
      <c r="G207" s="43">
        <v>20</v>
      </c>
      <c r="H207" s="51">
        <f>1.3</f>
        <v>1.3</v>
      </c>
      <c r="I207" s="17">
        <f t="shared" si="2"/>
        <v>18.7</v>
      </c>
      <c r="J207" s="45"/>
      <c r="K207" s="46"/>
    </row>
    <row r="208" spans="1:11" ht="108.75" customHeight="1">
      <c r="A208" s="144" t="s">
        <v>289</v>
      </c>
      <c r="B208" s="54" t="s">
        <v>288</v>
      </c>
      <c r="C208" s="55"/>
      <c r="D208" s="3"/>
      <c r="E208" s="3"/>
      <c r="F208" s="3"/>
      <c r="G208" s="43"/>
      <c r="H208" s="51"/>
      <c r="I208" s="17"/>
      <c r="J208" s="45"/>
      <c r="K208" s="46"/>
    </row>
    <row r="209" spans="1:11" ht="24" customHeight="1">
      <c r="A209" s="11" t="s">
        <v>290</v>
      </c>
      <c r="B209" s="145" t="s">
        <v>291</v>
      </c>
      <c r="C209" s="55"/>
      <c r="D209" s="3" t="s">
        <v>11</v>
      </c>
      <c r="E209" s="3" t="s">
        <v>25</v>
      </c>
      <c r="F209" s="3" t="s">
        <v>26</v>
      </c>
      <c r="G209" s="43">
        <v>5500</v>
      </c>
      <c r="H209" s="51"/>
      <c r="I209" s="17">
        <f t="shared" si="2"/>
        <v>5500</v>
      </c>
      <c r="J209" s="45"/>
      <c r="K209" s="46"/>
    </row>
    <row r="210" spans="1:11" ht="24" customHeight="1">
      <c r="A210" s="11" t="s">
        <v>292</v>
      </c>
      <c r="B210" s="145" t="s">
        <v>293</v>
      </c>
      <c r="C210" s="55"/>
      <c r="D210" s="3" t="s">
        <v>11</v>
      </c>
      <c r="E210" s="3" t="s">
        <v>25</v>
      </c>
      <c r="F210" s="3" t="s">
        <v>26</v>
      </c>
      <c r="G210" s="43">
        <v>3000</v>
      </c>
      <c r="H210" s="51"/>
      <c r="I210" s="17">
        <f t="shared" si="2"/>
        <v>3000</v>
      </c>
      <c r="J210" s="45"/>
      <c r="K210" s="46"/>
    </row>
    <row r="211" spans="1:11" ht="18" customHeight="1">
      <c r="A211" s="11" t="s">
        <v>294</v>
      </c>
      <c r="B211" s="145" t="s">
        <v>295</v>
      </c>
      <c r="C211" s="55"/>
      <c r="D211" s="3" t="s">
        <v>11</v>
      </c>
      <c r="E211" s="3" t="s">
        <v>25</v>
      </c>
      <c r="F211" s="3" t="s">
        <v>26</v>
      </c>
      <c r="G211" s="43">
        <v>100</v>
      </c>
      <c r="H211" s="51"/>
      <c r="I211" s="17">
        <f t="shared" si="2"/>
        <v>100</v>
      </c>
      <c r="J211" s="45"/>
      <c r="K211" s="46"/>
    </row>
    <row r="212" spans="1:11" ht="19.5" customHeight="1">
      <c r="A212" s="11" t="s">
        <v>296</v>
      </c>
      <c r="B212" s="145" t="s">
        <v>297</v>
      </c>
      <c r="C212" s="55"/>
      <c r="D212" s="3" t="s">
        <v>11</v>
      </c>
      <c r="E212" s="3" t="s">
        <v>25</v>
      </c>
      <c r="F212" s="3" t="s">
        <v>26</v>
      </c>
      <c r="G212" s="43">
        <v>50000</v>
      </c>
      <c r="H212" s="51"/>
      <c r="I212" s="17">
        <f t="shared" si="2"/>
        <v>50000</v>
      </c>
      <c r="J212" s="45"/>
      <c r="K212" s="46"/>
    </row>
    <row r="213" spans="1:11" ht="21" customHeight="1">
      <c r="A213" s="11" t="s">
        <v>298</v>
      </c>
      <c r="B213" s="145" t="s">
        <v>299</v>
      </c>
      <c r="C213" s="55"/>
      <c r="D213" s="3" t="s">
        <v>11</v>
      </c>
      <c r="E213" s="3" t="s">
        <v>25</v>
      </c>
      <c r="F213" s="3" t="s">
        <v>26</v>
      </c>
      <c r="G213" s="43">
        <v>2000</v>
      </c>
      <c r="H213" s="51"/>
      <c r="I213" s="17">
        <f t="shared" si="2"/>
        <v>2000</v>
      </c>
      <c r="J213" s="45"/>
      <c r="K213" s="46"/>
    </row>
    <row r="214" spans="1:11" ht="67.5" customHeight="1">
      <c r="A214" s="144" t="s">
        <v>300</v>
      </c>
      <c r="B214" s="54" t="s">
        <v>301</v>
      </c>
      <c r="C214" s="55"/>
      <c r="D214" s="3"/>
      <c r="E214" s="3"/>
      <c r="F214" s="3"/>
      <c r="G214" s="43"/>
      <c r="H214" s="51"/>
      <c r="I214" s="17"/>
      <c r="J214" s="45"/>
      <c r="K214" s="46"/>
    </row>
    <row r="215" spans="1:11" ht="18.75" customHeight="1">
      <c r="A215" s="11" t="s">
        <v>302</v>
      </c>
      <c r="B215" s="145" t="s">
        <v>309</v>
      </c>
      <c r="C215" s="55"/>
      <c r="D215" s="3" t="s">
        <v>11</v>
      </c>
      <c r="E215" s="3" t="s">
        <v>25</v>
      </c>
      <c r="F215" s="3" t="s">
        <v>26</v>
      </c>
      <c r="G215" s="43">
        <v>5000</v>
      </c>
      <c r="H215" s="51"/>
      <c r="I215" s="17">
        <f t="shared" si="2"/>
        <v>5000</v>
      </c>
      <c r="J215" s="45"/>
      <c r="K215" s="46"/>
    </row>
    <row r="216" spans="1:11" ht="18.75" customHeight="1">
      <c r="A216" s="11" t="s">
        <v>303</v>
      </c>
      <c r="B216" s="145" t="s">
        <v>310</v>
      </c>
      <c r="C216" s="55"/>
      <c r="D216" s="3" t="s">
        <v>11</v>
      </c>
      <c r="E216" s="3" t="s">
        <v>25</v>
      </c>
      <c r="F216" s="3" t="s">
        <v>26</v>
      </c>
      <c r="G216" s="43">
        <v>5000</v>
      </c>
      <c r="H216" s="51"/>
      <c r="I216" s="17">
        <f t="shared" si="2"/>
        <v>5000</v>
      </c>
      <c r="J216" s="45"/>
      <c r="K216" s="46"/>
    </row>
    <row r="217" spans="1:11" ht="26.25" customHeight="1">
      <c r="A217" s="11" t="s">
        <v>304</v>
      </c>
      <c r="B217" s="145" t="s">
        <v>311</v>
      </c>
      <c r="C217" s="55"/>
      <c r="D217" s="3" t="s">
        <v>11</v>
      </c>
      <c r="E217" s="3" t="s">
        <v>25</v>
      </c>
      <c r="F217" s="3" t="s">
        <v>26</v>
      </c>
      <c r="G217" s="43">
        <v>5000</v>
      </c>
      <c r="H217" s="51"/>
      <c r="I217" s="17">
        <f t="shared" si="2"/>
        <v>5000</v>
      </c>
      <c r="J217" s="45"/>
      <c r="K217" s="46"/>
    </row>
    <row r="218" spans="1:11" ht="24.75" customHeight="1">
      <c r="A218" s="11" t="s">
        <v>305</v>
      </c>
      <c r="B218" s="145" t="s">
        <v>312</v>
      </c>
      <c r="C218" s="55"/>
      <c r="D218" s="3" t="s">
        <v>11</v>
      </c>
      <c r="E218" s="3" t="s">
        <v>25</v>
      </c>
      <c r="F218" s="3" t="s">
        <v>26</v>
      </c>
      <c r="G218" s="43">
        <v>2000</v>
      </c>
      <c r="H218" s="51"/>
      <c r="I218" s="17">
        <f t="shared" si="2"/>
        <v>2000</v>
      </c>
      <c r="J218" s="45"/>
      <c r="K218" s="46"/>
    </row>
    <row r="219" spans="1:11" ht="27.75" customHeight="1">
      <c r="A219" s="11" t="s">
        <v>306</v>
      </c>
      <c r="B219" s="145" t="s">
        <v>313</v>
      </c>
      <c r="C219" s="55"/>
      <c r="D219" s="3" t="s">
        <v>11</v>
      </c>
      <c r="E219" s="3" t="s">
        <v>25</v>
      </c>
      <c r="F219" s="3" t="s">
        <v>26</v>
      </c>
      <c r="G219" s="43">
        <v>6985</v>
      </c>
      <c r="H219" s="51"/>
      <c r="I219" s="17">
        <f t="shared" si="2"/>
        <v>6985</v>
      </c>
      <c r="J219" s="45"/>
      <c r="K219" s="46"/>
    </row>
    <row r="220" spans="1:11" ht="35.25" customHeight="1">
      <c r="A220" s="11" t="s">
        <v>307</v>
      </c>
      <c r="B220" s="145" t="s">
        <v>314</v>
      </c>
      <c r="C220" s="55"/>
      <c r="D220" s="3" t="s">
        <v>11</v>
      </c>
      <c r="E220" s="3" t="s">
        <v>25</v>
      </c>
      <c r="F220" s="3" t="s">
        <v>26</v>
      </c>
      <c r="G220" s="43">
        <v>15</v>
      </c>
      <c r="H220" s="51">
        <f>1.3</f>
        <v>1.3</v>
      </c>
      <c r="I220" s="17">
        <f t="shared" si="2"/>
        <v>13.7</v>
      </c>
      <c r="J220" s="45"/>
      <c r="K220" s="46"/>
    </row>
    <row r="221" spans="1:11" ht="29.25" customHeight="1">
      <c r="A221" s="11" t="s">
        <v>308</v>
      </c>
      <c r="B221" s="145" t="s">
        <v>315</v>
      </c>
      <c r="C221" s="55"/>
      <c r="D221" s="3" t="s">
        <v>11</v>
      </c>
      <c r="E221" s="3" t="s">
        <v>25</v>
      </c>
      <c r="F221" s="3" t="s">
        <v>26</v>
      </c>
      <c r="G221" s="43">
        <v>1000</v>
      </c>
      <c r="H221" s="51"/>
      <c r="I221" s="17">
        <f t="shared" si="2"/>
        <v>1000</v>
      </c>
      <c r="J221" s="45"/>
      <c r="K221" s="46"/>
    </row>
    <row r="222" spans="1:11" ht="69.75" customHeight="1">
      <c r="A222" s="144" t="s">
        <v>316</v>
      </c>
      <c r="B222" s="54" t="s">
        <v>317</v>
      </c>
      <c r="C222" s="55"/>
      <c r="D222" s="3"/>
      <c r="E222" s="3"/>
      <c r="F222" s="3"/>
      <c r="G222" s="43"/>
      <c r="H222" s="51"/>
      <c r="I222" s="17"/>
      <c r="J222" s="45"/>
      <c r="K222" s="46"/>
    </row>
    <row r="223" spans="1:11" ht="25.5" customHeight="1">
      <c r="A223" s="11" t="s">
        <v>318</v>
      </c>
      <c r="B223" s="145" t="s">
        <v>322</v>
      </c>
      <c r="C223" s="55"/>
      <c r="D223" s="3" t="s">
        <v>11</v>
      </c>
      <c r="E223" s="3" t="s">
        <v>25</v>
      </c>
      <c r="F223" s="3" t="s">
        <v>26</v>
      </c>
      <c r="G223" s="43">
        <v>3000</v>
      </c>
      <c r="H223" s="51"/>
      <c r="I223" s="17">
        <f t="shared" ref="I223:I256" si="3">G223-H223+J223-K223</f>
        <v>3000</v>
      </c>
      <c r="J223" s="45"/>
      <c r="K223" s="46"/>
    </row>
    <row r="224" spans="1:11" ht="27" customHeight="1">
      <c r="A224" s="11" t="s">
        <v>319</v>
      </c>
      <c r="B224" s="145" t="s">
        <v>323</v>
      </c>
      <c r="C224" s="55"/>
      <c r="D224" s="3" t="s">
        <v>11</v>
      </c>
      <c r="E224" s="3" t="s">
        <v>25</v>
      </c>
      <c r="F224" s="3" t="s">
        <v>26</v>
      </c>
      <c r="G224" s="43">
        <v>3000</v>
      </c>
      <c r="H224" s="51"/>
      <c r="I224" s="17">
        <f t="shared" si="3"/>
        <v>3000</v>
      </c>
      <c r="J224" s="45"/>
      <c r="K224" s="46"/>
    </row>
    <row r="225" spans="1:11" ht="20.25" customHeight="1">
      <c r="A225" s="11" t="s">
        <v>320</v>
      </c>
      <c r="B225" s="145" t="s">
        <v>324</v>
      </c>
      <c r="C225" s="55"/>
      <c r="D225" s="3" t="s">
        <v>11</v>
      </c>
      <c r="E225" s="3" t="s">
        <v>25</v>
      </c>
      <c r="F225" s="3" t="s">
        <v>26</v>
      </c>
      <c r="G225" s="43">
        <v>20</v>
      </c>
      <c r="H225" s="51"/>
      <c r="I225" s="17">
        <f t="shared" si="3"/>
        <v>20</v>
      </c>
      <c r="J225" s="45"/>
      <c r="K225" s="46"/>
    </row>
    <row r="226" spans="1:11" ht="24" customHeight="1">
      <c r="A226" s="11" t="s">
        <v>321</v>
      </c>
      <c r="B226" s="145" t="s">
        <v>325</v>
      </c>
      <c r="C226" s="55"/>
      <c r="D226" s="3" t="s">
        <v>11</v>
      </c>
      <c r="E226" s="3" t="s">
        <v>25</v>
      </c>
      <c r="F226" s="3" t="s">
        <v>26</v>
      </c>
      <c r="G226" s="43">
        <v>1980</v>
      </c>
      <c r="H226" s="51"/>
      <c r="I226" s="17">
        <f t="shared" si="3"/>
        <v>1980</v>
      </c>
      <c r="J226" s="45"/>
      <c r="K226" s="46"/>
    </row>
    <row r="227" spans="1:11" ht="66.75" customHeight="1">
      <c r="A227" s="144" t="s">
        <v>326</v>
      </c>
      <c r="B227" s="54" t="s">
        <v>327</v>
      </c>
      <c r="C227" s="55"/>
      <c r="D227" s="3"/>
      <c r="E227" s="3"/>
      <c r="F227" s="3"/>
      <c r="G227" s="43"/>
      <c r="H227" s="51"/>
      <c r="I227" s="17"/>
      <c r="J227" s="45"/>
      <c r="K227" s="46"/>
    </row>
    <row r="228" spans="1:11" ht="16.5" customHeight="1">
      <c r="A228" s="11" t="s">
        <v>328</v>
      </c>
      <c r="B228" s="145" t="s">
        <v>329</v>
      </c>
      <c r="C228" s="55"/>
      <c r="D228" s="3" t="s">
        <v>11</v>
      </c>
      <c r="E228" s="3" t="s">
        <v>25</v>
      </c>
      <c r="F228" s="3" t="s">
        <v>26</v>
      </c>
      <c r="G228" s="43">
        <v>3259.4</v>
      </c>
      <c r="H228" s="51"/>
      <c r="I228" s="17">
        <f t="shared" si="3"/>
        <v>3259.4</v>
      </c>
      <c r="J228" s="45"/>
      <c r="K228" s="46"/>
    </row>
    <row r="229" spans="1:11" ht="23.25" customHeight="1">
      <c r="A229" s="11" t="s">
        <v>330</v>
      </c>
      <c r="B229" s="145" t="s">
        <v>331</v>
      </c>
      <c r="C229" s="55"/>
      <c r="D229" s="3" t="s">
        <v>11</v>
      </c>
      <c r="E229" s="3" t="s">
        <v>25</v>
      </c>
      <c r="F229" s="3" t="s">
        <v>26</v>
      </c>
      <c r="G229" s="43">
        <v>2000</v>
      </c>
      <c r="H229" s="51"/>
      <c r="I229" s="17">
        <f t="shared" si="3"/>
        <v>2000</v>
      </c>
      <c r="J229" s="45"/>
      <c r="K229" s="46"/>
    </row>
    <row r="230" spans="1:11" ht="15" customHeight="1">
      <c r="A230" s="11" t="s">
        <v>332</v>
      </c>
      <c r="B230" s="145" t="s">
        <v>333</v>
      </c>
      <c r="C230" s="55"/>
      <c r="D230" s="3" t="s">
        <v>11</v>
      </c>
      <c r="E230" s="3" t="s">
        <v>25</v>
      </c>
      <c r="F230" s="3" t="s">
        <v>26</v>
      </c>
      <c r="G230" s="43">
        <v>20</v>
      </c>
      <c r="H230" s="51"/>
      <c r="I230" s="17">
        <f t="shared" si="3"/>
        <v>20</v>
      </c>
      <c r="J230" s="45"/>
      <c r="K230" s="46"/>
    </row>
    <row r="231" spans="1:11" ht="18" customHeight="1">
      <c r="A231" s="11" t="s">
        <v>334</v>
      </c>
      <c r="B231" s="145" t="s">
        <v>335</v>
      </c>
      <c r="C231" s="55"/>
      <c r="D231" s="3" t="s">
        <v>11</v>
      </c>
      <c r="E231" s="3" t="s">
        <v>25</v>
      </c>
      <c r="F231" s="3" t="s">
        <v>26</v>
      </c>
      <c r="G231" s="43">
        <v>1720.6</v>
      </c>
      <c r="H231" s="51"/>
      <c r="I231" s="17">
        <f t="shared" si="3"/>
        <v>1720.6</v>
      </c>
      <c r="J231" s="45"/>
      <c r="K231" s="46"/>
    </row>
    <row r="232" spans="1:11" ht="24" customHeight="1">
      <c r="A232" s="11" t="s">
        <v>336</v>
      </c>
      <c r="B232" s="145" t="s">
        <v>337</v>
      </c>
      <c r="C232" s="55"/>
      <c r="D232" s="3" t="s">
        <v>11</v>
      </c>
      <c r="E232" s="3" t="s">
        <v>25</v>
      </c>
      <c r="F232" s="3" t="s">
        <v>26</v>
      </c>
      <c r="G232" s="43">
        <v>3000</v>
      </c>
      <c r="H232" s="51"/>
      <c r="I232" s="17">
        <f t="shared" si="3"/>
        <v>3000</v>
      </c>
      <c r="J232" s="45"/>
      <c r="K232" s="46"/>
    </row>
    <row r="233" spans="1:11" ht="60.75" customHeight="1">
      <c r="A233" s="144" t="s">
        <v>338</v>
      </c>
      <c r="B233" s="54" t="s">
        <v>339</v>
      </c>
      <c r="C233" s="55"/>
      <c r="D233" s="3"/>
      <c r="E233" s="3"/>
      <c r="F233" s="3"/>
      <c r="G233" s="43"/>
      <c r="H233" s="51"/>
      <c r="I233" s="17"/>
      <c r="J233" s="45"/>
      <c r="K233" s="46"/>
    </row>
    <row r="234" spans="1:11" ht="18.75" customHeight="1">
      <c r="A234" s="11" t="s">
        <v>340</v>
      </c>
      <c r="B234" s="145" t="s">
        <v>344</v>
      </c>
      <c r="C234" s="55"/>
      <c r="D234" s="3" t="s">
        <v>11</v>
      </c>
      <c r="E234" s="3" t="s">
        <v>25</v>
      </c>
      <c r="F234" s="3" t="s">
        <v>26</v>
      </c>
      <c r="G234" s="43">
        <v>5000</v>
      </c>
      <c r="H234" s="51"/>
      <c r="I234" s="17">
        <f t="shared" si="3"/>
        <v>5000</v>
      </c>
      <c r="J234" s="45"/>
      <c r="K234" s="46"/>
    </row>
    <row r="235" spans="1:11" ht="22.5" customHeight="1">
      <c r="A235" s="11" t="s">
        <v>341</v>
      </c>
      <c r="B235" s="145" t="s">
        <v>345</v>
      </c>
      <c r="C235" s="55"/>
      <c r="D235" s="3" t="s">
        <v>11</v>
      </c>
      <c r="E235" s="3" t="s">
        <v>25</v>
      </c>
      <c r="F235" s="3" t="s">
        <v>26</v>
      </c>
      <c r="G235" s="43">
        <v>900</v>
      </c>
      <c r="H235" s="51"/>
      <c r="I235" s="17">
        <f t="shared" si="3"/>
        <v>900</v>
      </c>
      <c r="J235" s="45"/>
      <c r="K235" s="46"/>
    </row>
    <row r="236" spans="1:11" ht="20.25" customHeight="1">
      <c r="A236" s="11" t="s">
        <v>342</v>
      </c>
      <c r="B236" s="145" t="s">
        <v>346</v>
      </c>
      <c r="C236" s="55"/>
      <c r="D236" s="3" t="s">
        <v>11</v>
      </c>
      <c r="E236" s="3" t="s">
        <v>25</v>
      </c>
      <c r="F236" s="3" t="s">
        <v>26</v>
      </c>
      <c r="G236" s="43">
        <v>20</v>
      </c>
      <c r="H236" s="51"/>
      <c r="I236" s="17">
        <f t="shared" si="3"/>
        <v>20</v>
      </c>
      <c r="J236" s="45"/>
      <c r="K236" s="46"/>
    </row>
    <row r="237" spans="1:11" ht="24" customHeight="1">
      <c r="A237" s="11" t="s">
        <v>343</v>
      </c>
      <c r="B237" s="145" t="s">
        <v>347</v>
      </c>
      <c r="C237" s="55"/>
      <c r="D237" s="3" t="s">
        <v>11</v>
      </c>
      <c r="E237" s="3" t="s">
        <v>25</v>
      </c>
      <c r="F237" s="3" t="s">
        <v>26</v>
      </c>
      <c r="G237" s="43">
        <v>80</v>
      </c>
      <c r="H237" s="51"/>
      <c r="I237" s="17">
        <f t="shared" si="3"/>
        <v>80</v>
      </c>
      <c r="J237" s="45"/>
      <c r="K237" s="46"/>
    </row>
    <row r="238" spans="1:11" ht="70.5" customHeight="1">
      <c r="A238" s="144" t="s">
        <v>348</v>
      </c>
      <c r="B238" s="54" t="s">
        <v>349</v>
      </c>
      <c r="C238" s="55"/>
      <c r="D238" s="3"/>
      <c r="E238" s="3"/>
      <c r="F238" s="3"/>
      <c r="G238" s="43"/>
      <c r="H238" s="51"/>
      <c r="I238" s="17"/>
      <c r="J238" s="45"/>
      <c r="K238" s="46"/>
    </row>
    <row r="239" spans="1:11" ht="18" customHeight="1">
      <c r="A239" s="11" t="s">
        <v>350</v>
      </c>
      <c r="B239" s="145" t="s">
        <v>355</v>
      </c>
      <c r="C239" s="55"/>
      <c r="D239" s="3" t="s">
        <v>11</v>
      </c>
      <c r="E239" s="3" t="s">
        <v>25</v>
      </c>
      <c r="F239" s="3" t="s">
        <v>26</v>
      </c>
      <c r="G239" s="43">
        <v>7000</v>
      </c>
      <c r="H239" s="51"/>
      <c r="I239" s="17">
        <f t="shared" si="3"/>
        <v>7000</v>
      </c>
      <c r="J239" s="45"/>
      <c r="K239" s="46"/>
    </row>
    <row r="240" spans="1:11" ht="27" customHeight="1">
      <c r="A240" s="11" t="s">
        <v>351</v>
      </c>
      <c r="B240" s="145" t="s">
        <v>354</v>
      </c>
      <c r="C240" s="55"/>
      <c r="D240" s="3" t="s">
        <v>11</v>
      </c>
      <c r="E240" s="3" t="s">
        <v>25</v>
      </c>
      <c r="F240" s="3" t="s">
        <v>26</v>
      </c>
      <c r="G240" s="43">
        <v>2000</v>
      </c>
      <c r="H240" s="51"/>
      <c r="I240" s="17">
        <f t="shared" si="3"/>
        <v>2000</v>
      </c>
      <c r="J240" s="45"/>
      <c r="K240" s="46"/>
    </row>
    <row r="241" spans="1:11" ht="28.5" customHeight="1">
      <c r="A241" s="11" t="s">
        <v>352</v>
      </c>
      <c r="B241" s="145" t="s">
        <v>356</v>
      </c>
      <c r="C241" s="55"/>
      <c r="D241" s="3" t="s">
        <v>11</v>
      </c>
      <c r="E241" s="3" t="s">
        <v>25</v>
      </c>
      <c r="F241" s="3" t="s">
        <v>26</v>
      </c>
      <c r="G241" s="43">
        <v>20</v>
      </c>
      <c r="H241" s="51"/>
      <c r="I241" s="17">
        <f t="shared" si="3"/>
        <v>20</v>
      </c>
      <c r="J241" s="45"/>
      <c r="K241" s="46"/>
    </row>
    <row r="242" spans="1:11" ht="21.75" customHeight="1">
      <c r="A242" s="11" t="s">
        <v>353</v>
      </c>
      <c r="B242" s="145" t="s">
        <v>357</v>
      </c>
      <c r="C242" s="55"/>
      <c r="D242" s="3" t="s">
        <v>11</v>
      </c>
      <c r="E242" s="3" t="s">
        <v>25</v>
      </c>
      <c r="F242" s="3" t="s">
        <v>26</v>
      </c>
      <c r="G242" s="43">
        <v>980</v>
      </c>
      <c r="H242" s="51"/>
      <c r="I242" s="17">
        <f t="shared" si="3"/>
        <v>980</v>
      </c>
      <c r="J242" s="45"/>
      <c r="K242" s="46"/>
    </row>
    <row r="243" spans="1:11" ht="59.25" customHeight="1">
      <c r="A243" s="144" t="s">
        <v>358</v>
      </c>
      <c r="B243" s="54" t="s">
        <v>359</v>
      </c>
      <c r="C243" s="55"/>
      <c r="D243" s="3"/>
      <c r="E243" s="3"/>
      <c r="F243" s="3"/>
      <c r="G243" s="43"/>
      <c r="H243" s="51"/>
      <c r="I243" s="17"/>
      <c r="J243" s="45"/>
      <c r="K243" s="46"/>
    </row>
    <row r="244" spans="1:11" ht="18.75" customHeight="1">
      <c r="A244" s="11" t="s">
        <v>361</v>
      </c>
      <c r="B244" s="146" t="s">
        <v>360</v>
      </c>
      <c r="C244" s="55"/>
      <c r="D244" s="3" t="s">
        <v>11</v>
      </c>
      <c r="E244" s="3" t="s">
        <v>25</v>
      </c>
      <c r="F244" s="3" t="s">
        <v>26</v>
      </c>
      <c r="G244" s="43">
        <v>3000</v>
      </c>
      <c r="H244" s="51"/>
      <c r="I244" s="17">
        <f t="shared" si="3"/>
        <v>3000</v>
      </c>
      <c r="J244" s="45"/>
      <c r="K244" s="46"/>
    </row>
    <row r="245" spans="1:11" ht="18.75" customHeight="1">
      <c r="A245" s="11" t="s">
        <v>362</v>
      </c>
      <c r="B245" s="145" t="s">
        <v>365</v>
      </c>
      <c r="C245" s="55"/>
      <c r="D245" s="3" t="s">
        <v>11</v>
      </c>
      <c r="E245" s="3" t="s">
        <v>25</v>
      </c>
      <c r="F245" s="3" t="s">
        <v>26</v>
      </c>
      <c r="G245" s="43">
        <v>500</v>
      </c>
      <c r="H245" s="51"/>
      <c r="I245" s="17">
        <f t="shared" si="3"/>
        <v>500</v>
      </c>
      <c r="J245" s="45"/>
      <c r="K245" s="46"/>
    </row>
    <row r="246" spans="1:11" ht="24.75" customHeight="1">
      <c r="A246" s="11" t="s">
        <v>363</v>
      </c>
      <c r="B246" s="145" t="s">
        <v>366</v>
      </c>
      <c r="C246" s="55"/>
      <c r="D246" s="3" t="s">
        <v>11</v>
      </c>
      <c r="E246" s="3" t="s">
        <v>25</v>
      </c>
      <c r="F246" s="3" t="s">
        <v>26</v>
      </c>
      <c r="G246" s="43">
        <v>200</v>
      </c>
      <c r="H246" s="51"/>
      <c r="I246" s="17">
        <f t="shared" si="3"/>
        <v>200</v>
      </c>
      <c r="J246" s="45"/>
      <c r="K246" s="46"/>
    </row>
    <row r="247" spans="1:11" ht="28.5" customHeight="1">
      <c r="A247" s="11" t="s">
        <v>364</v>
      </c>
      <c r="B247" s="146" t="s">
        <v>367</v>
      </c>
      <c r="C247" s="55"/>
      <c r="D247" s="3" t="s">
        <v>11</v>
      </c>
      <c r="E247" s="3" t="s">
        <v>25</v>
      </c>
      <c r="F247" s="3" t="s">
        <v>26</v>
      </c>
      <c r="G247" s="43">
        <v>7280</v>
      </c>
      <c r="H247" s="51"/>
      <c r="I247" s="17">
        <f t="shared" si="3"/>
        <v>7280</v>
      </c>
      <c r="J247" s="45"/>
      <c r="K247" s="46"/>
    </row>
    <row r="248" spans="1:11" ht="27.75" customHeight="1">
      <c r="A248" s="11" t="s">
        <v>368</v>
      </c>
      <c r="B248" s="145" t="s">
        <v>369</v>
      </c>
      <c r="C248" s="55"/>
      <c r="D248" s="3" t="s">
        <v>11</v>
      </c>
      <c r="E248" s="3" t="s">
        <v>25</v>
      </c>
      <c r="F248" s="3" t="s">
        <v>26</v>
      </c>
      <c r="G248" s="43">
        <v>3000</v>
      </c>
      <c r="H248" s="51"/>
      <c r="I248" s="17">
        <f t="shared" si="3"/>
        <v>3000</v>
      </c>
      <c r="J248" s="45"/>
      <c r="K248" s="46"/>
    </row>
    <row r="249" spans="1:11" ht="23.25" customHeight="1">
      <c r="A249" s="11" t="s">
        <v>370</v>
      </c>
      <c r="B249" s="145" t="s">
        <v>371</v>
      </c>
      <c r="C249" s="55"/>
      <c r="D249" s="3" t="s">
        <v>11</v>
      </c>
      <c r="E249" s="3" t="s">
        <v>25</v>
      </c>
      <c r="F249" s="3" t="s">
        <v>26</v>
      </c>
      <c r="G249" s="43">
        <v>1000</v>
      </c>
      <c r="H249" s="51"/>
      <c r="I249" s="17">
        <f t="shared" si="3"/>
        <v>1000</v>
      </c>
      <c r="J249" s="45"/>
      <c r="K249" s="46"/>
    </row>
    <row r="250" spans="1:11" ht="24" customHeight="1">
      <c r="A250" s="11" t="s">
        <v>372</v>
      </c>
      <c r="B250" s="145" t="s">
        <v>373</v>
      </c>
      <c r="C250" s="55"/>
      <c r="D250" s="3" t="s">
        <v>11</v>
      </c>
      <c r="E250" s="3" t="s">
        <v>25</v>
      </c>
      <c r="F250" s="3" t="s">
        <v>26</v>
      </c>
      <c r="G250" s="43">
        <v>20</v>
      </c>
      <c r="H250" s="51"/>
      <c r="I250" s="17">
        <f t="shared" si="3"/>
        <v>20</v>
      </c>
      <c r="J250" s="45"/>
      <c r="K250" s="46"/>
    </row>
    <row r="251" spans="1:11" ht="59.25" customHeight="1">
      <c r="A251" s="144" t="s">
        <v>374</v>
      </c>
      <c r="B251" s="54" t="s">
        <v>375</v>
      </c>
      <c r="C251" s="55"/>
      <c r="D251" s="3"/>
      <c r="E251" s="3"/>
      <c r="F251" s="3"/>
      <c r="G251" s="43"/>
      <c r="H251" s="51"/>
      <c r="I251" s="17"/>
      <c r="J251" s="45"/>
      <c r="K251" s="46"/>
    </row>
    <row r="252" spans="1:11" ht="24" customHeight="1">
      <c r="A252" s="11" t="s">
        <v>376</v>
      </c>
      <c r="B252" s="146" t="s">
        <v>377</v>
      </c>
      <c r="C252" s="55"/>
      <c r="D252" s="3" t="s">
        <v>11</v>
      </c>
      <c r="E252" s="3" t="s">
        <v>25</v>
      </c>
      <c r="F252" s="3" t="s">
        <v>26</v>
      </c>
      <c r="G252" s="43">
        <v>5000</v>
      </c>
      <c r="H252" s="51"/>
      <c r="I252" s="17">
        <f t="shared" si="3"/>
        <v>5000</v>
      </c>
      <c r="J252" s="45"/>
      <c r="K252" s="46"/>
    </row>
    <row r="253" spans="1:11" ht="24" customHeight="1">
      <c r="A253" s="11" t="s">
        <v>383</v>
      </c>
      <c r="B253" s="145" t="s">
        <v>378</v>
      </c>
      <c r="C253" s="55"/>
      <c r="D253" s="3" t="s">
        <v>11</v>
      </c>
      <c r="E253" s="3" t="s">
        <v>25</v>
      </c>
      <c r="F253" s="3" t="s">
        <v>26</v>
      </c>
      <c r="G253" s="43">
        <v>200</v>
      </c>
      <c r="H253" s="51"/>
      <c r="I253" s="17">
        <f t="shared" si="3"/>
        <v>200</v>
      </c>
      <c r="J253" s="45"/>
      <c r="K253" s="46"/>
    </row>
    <row r="254" spans="1:11" ht="24" customHeight="1">
      <c r="A254" s="11" t="s">
        <v>384</v>
      </c>
      <c r="B254" s="146" t="s">
        <v>379</v>
      </c>
      <c r="C254" s="55"/>
      <c r="D254" s="3" t="s">
        <v>11</v>
      </c>
      <c r="E254" s="3" t="s">
        <v>25</v>
      </c>
      <c r="F254" s="3" t="s">
        <v>26</v>
      </c>
      <c r="G254" s="43">
        <v>6000</v>
      </c>
      <c r="H254" s="51"/>
      <c r="I254" s="17">
        <f t="shared" si="3"/>
        <v>6000</v>
      </c>
      <c r="J254" s="45"/>
      <c r="K254" s="46"/>
    </row>
    <row r="255" spans="1:11" ht="24" customHeight="1">
      <c r="A255" s="11" t="s">
        <v>385</v>
      </c>
      <c r="B255" s="145" t="s">
        <v>380</v>
      </c>
      <c r="C255" s="55"/>
      <c r="D255" s="3" t="s">
        <v>11</v>
      </c>
      <c r="E255" s="3" t="s">
        <v>25</v>
      </c>
      <c r="F255" s="3" t="s">
        <v>26</v>
      </c>
      <c r="G255" s="43">
        <v>2000</v>
      </c>
      <c r="H255" s="51"/>
      <c r="I255" s="17">
        <f t="shared" si="3"/>
        <v>2000</v>
      </c>
      <c r="J255" s="45"/>
      <c r="K255" s="46"/>
    </row>
    <row r="256" spans="1:11" ht="30" customHeight="1">
      <c r="A256" s="11" t="s">
        <v>386</v>
      </c>
      <c r="B256" s="145" t="s">
        <v>381</v>
      </c>
      <c r="C256" s="55"/>
      <c r="D256" s="3" t="s">
        <v>11</v>
      </c>
      <c r="E256" s="3" t="s">
        <v>25</v>
      </c>
      <c r="F256" s="3" t="s">
        <v>26</v>
      </c>
      <c r="G256" s="43">
        <v>1780</v>
      </c>
      <c r="H256" s="51"/>
      <c r="I256" s="17">
        <f t="shared" si="3"/>
        <v>1780</v>
      </c>
      <c r="J256" s="45"/>
      <c r="K256" s="46"/>
    </row>
    <row r="257" spans="1:11" ht="27" customHeight="1">
      <c r="A257" s="11" t="s">
        <v>387</v>
      </c>
      <c r="B257" s="145" t="s">
        <v>382</v>
      </c>
      <c r="C257" s="6"/>
      <c r="D257" s="3" t="s">
        <v>11</v>
      </c>
      <c r="E257" s="3" t="s">
        <v>25</v>
      </c>
      <c r="F257" s="3" t="s">
        <v>26</v>
      </c>
      <c r="G257" s="43">
        <v>20</v>
      </c>
      <c r="H257" s="51"/>
      <c r="I257" s="17">
        <f t="shared" si="2"/>
        <v>20</v>
      </c>
      <c r="J257" s="45"/>
      <c r="K257" s="46"/>
    </row>
    <row r="258" spans="1:11" ht="143.25" customHeight="1">
      <c r="A258" s="144" t="s">
        <v>388</v>
      </c>
      <c r="B258" s="54" t="s">
        <v>391</v>
      </c>
      <c r="C258" s="55"/>
      <c r="D258" s="14"/>
      <c r="E258" s="14"/>
      <c r="F258" s="14"/>
      <c r="G258" s="17"/>
      <c r="H258" s="51"/>
      <c r="I258" s="17"/>
      <c r="J258" s="62"/>
      <c r="K258" s="63"/>
    </row>
    <row r="259" spans="1:11" ht="29.25">
      <c r="A259" s="11" t="s">
        <v>389</v>
      </c>
      <c r="B259" s="54" t="s">
        <v>390</v>
      </c>
      <c r="C259" s="55"/>
      <c r="D259" s="14" t="s">
        <v>11</v>
      </c>
      <c r="E259" s="14" t="s">
        <v>25</v>
      </c>
      <c r="F259" s="14" t="s">
        <v>26</v>
      </c>
      <c r="G259" s="17">
        <v>10000</v>
      </c>
      <c r="H259" s="51"/>
      <c r="I259" s="17">
        <f t="shared" si="2"/>
        <v>10000</v>
      </c>
      <c r="J259" s="62"/>
      <c r="K259" s="63"/>
    </row>
    <row r="260" spans="1:11" ht="72" customHeight="1">
      <c r="A260" s="144" t="s">
        <v>392</v>
      </c>
      <c r="B260" s="54" t="s">
        <v>393</v>
      </c>
      <c r="C260" s="55"/>
      <c r="D260" s="14"/>
      <c r="E260" s="14"/>
      <c r="F260" s="14"/>
      <c r="G260" s="17"/>
      <c r="H260" s="51"/>
      <c r="I260" s="17"/>
      <c r="J260" s="62"/>
      <c r="K260" s="63"/>
    </row>
    <row r="261" spans="1:11" ht="19.5" customHeight="1">
      <c r="A261" s="11">
        <v>51999</v>
      </c>
      <c r="B261" s="54" t="s">
        <v>394</v>
      </c>
      <c r="C261" s="55"/>
      <c r="D261" s="14" t="s">
        <v>11</v>
      </c>
      <c r="E261" s="14" t="s">
        <v>25</v>
      </c>
      <c r="F261" s="14" t="s">
        <v>26</v>
      </c>
      <c r="G261" s="17">
        <v>1000</v>
      </c>
      <c r="H261" s="51"/>
      <c r="I261" s="17">
        <f t="shared" si="2"/>
        <v>1000</v>
      </c>
      <c r="J261" s="62"/>
      <c r="K261" s="63"/>
    </row>
    <row r="262" spans="1:11" ht="29.25">
      <c r="A262" s="11">
        <v>54112</v>
      </c>
      <c r="B262" s="54" t="s">
        <v>395</v>
      </c>
      <c r="C262" s="55"/>
      <c r="D262" s="14" t="s">
        <v>11</v>
      </c>
      <c r="E262" s="14" t="s">
        <v>25</v>
      </c>
      <c r="F262" s="14" t="s">
        <v>26</v>
      </c>
      <c r="G262" s="17">
        <v>2000</v>
      </c>
      <c r="H262" s="51"/>
      <c r="I262" s="17">
        <f t="shared" si="2"/>
        <v>2000</v>
      </c>
      <c r="J262" s="62"/>
      <c r="K262" s="63"/>
    </row>
    <row r="263" spans="1:11" ht="29.25">
      <c r="A263" s="11">
        <v>54199</v>
      </c>
      <c r="B263" s="54" t="s">
        <v>396</v>
      </c>
      <c r="C263" s="55"/>
      <c r="D263" s="14" t="s">
        <v>11</v>
      </c>
      <c r="E263" s="14" t="s">
        <v>25</v>
      </c>
      <c r="F263" s="14" t="s">
        <v>26</v>
      </c>
      <c r="G263" s="17">
        <v>1000</v>
      </c>
      <c r="H263" s="51"/>
      <c r="I263" s="17">
        <f t="shared" ref="I263:I317" si="4">G263-H263+J263-K263</f>
        <v>1000</v>
      </c>
      <c r="J263" s="62"/>
      <c r="K263" s="63"/>
    </row>
    <row r="264" spans="1:11">
      <c r="A264" s="11">
        <v>54305</v>
      </c>
      <c r="B264" s="54" t="s">
        <v>397</v>
      </c>
      <c r="C264" s="55"/>
      <c r="D264" s="14" t="s">
        <v>11</v>
      </c>
      <c r="E264" s="14" t="s">
        <v>25</v>
      </c>
      <c r="F264" s="14" t="s">
        <v>26</v>
      </c>
      <c r="G264" s="17">
        <v>8980</v>
      </c>
      <c r="H264" s="51"/>
      <c r="I264" s="17">
        <f t="shared" si="4"/>
        <v>8980</v>
      </c>
      <c r="J264" s="62"/>
      <c r="K264" s="63"/>
    </row>
    <row r="265" spans="1:11" ht="30">
      <c r="A265" s="11">
        <v>54313</v>
      </c>
      <c r="B265" s="54" t="s">
        <v>398</v>
      </c>
      <c r="C265" s="55"/>
      <c r="D265" s="14" t="s">
        <v>11</v>
      </c>
      <c r="E265" s="14" t="s">
        <v>25</v>
      </c>
      <c r="F265" s="14" t="s">
        <v>26</v>
      </c>
      <c r="G265" s="17">
        <v>5000</v>
      </c>
      <c r="H265" s="51"/>
      <c r="I265" s="17">
        <f t="shared" si="4"/>
        <v>5000</v>
      </c>
      <c r="J265" s="62"/>
      <c r="K265" s="63"/>
    </row>
    <row r="266" spans="1:11" ht="30">
      <c r="A266" s="11">
        <v>54399</v>
      </c>
      <c r="B266" s="54" t="s">
        <v>399</v>
      </c>
      <c r="C266" s="55"/>
      <c r="D266" s="14" t="s">
        <v>11</v>
      </c>
      <c r="E266" s="14" t="s">
        <v>25</v>
      </c>
      <c r="F266" s="14" t="s">
        <v>26</v>
      </c>
      <c r="G266" s="17">
        <v>2000</v>
      </c>
      <c r="H266" s="51"/>
      <c r="I266" s="17">
        <f t="shared" si="4"/>
        <v>2000</v>
      </c>
      <c r="J266" s="62"/>
      <c r="K266" s="63"/>
    </row>
    <row r="267" spans="1:11" ht="30">
      <c r="A267" s="11">
        <v>55603</v>
      </c>
      <c r="B267" s="54" t="s">
        <v>400</v>
      </c>
      <c r="C267" s="55"/>
      <c r="D267" s="14" t="s">
        <v>11</v>
      </c>
      <c r="E267" s="14" t="s">
        <v>25</v>
      </c>
      <c r="F267" s="14" t="s">
        <v>26</v>
      </c>
      <c r="G267" s="17">
        <v>20</v>
      </c>
      <c r="H267" s="51">
        <f>1.3</f>
        <v>1.3</v>
      </c>
      <c r="I267" s="17">
        <f t="shared" si="4"/>
        <v>18.7</v>
      </c>
      <c r="J267" s="62"/>
      <c r="K267" s="63"/>
    </row>
    <row r="268" spans="1:11" ht="66">
      <c r="A268" s="144" t="s">
        <v>401</v>
      </c>
      <c r="B268" s="54" t="s">
        <v>402</v>
      </c>
      <c r="C268" s="55"/>
      <c r="D268" s="14"/>
      <c r="E268" s="14"/>
      <c r="F268" s="14"/>
      <c r="G268" s="17"/>
      <c r="H268" s="51"/>
      <c r="I268" s="17"/>
      <c r="J268" s="62"/>
      <c r="K268" s="63"/>
    </row>
    <row r="269" spans="1:11" ht="21.75" customHeight="1">
      <c r="A269" s="147">
        <v>54119</v>
      </c>
      <c r="B269" s="145" t="s">
        <v>403</v>
      </c>
      <c r="C269" s="55"/>
      <c r="D269" s="14" t="s">
        <v>11</v>
      </c>
      <c r="E269" s="14" t="s">
        <v>25</v>
      </c>
      <c r="F269" s="14" t="s">
        <v>26</v>
      </c>
      <c r="G269" s="17">
        <v>17990</v>
      </c>
      <c r="H269" s="51"/>
      <c r="I269" s="17">
        <f t="shared" si="4"/>
        <v>17990</v>
      </c>
      <c r="J269" s="62"/>
      <c r="K269" s="63"/>
    </row>
    <row r="270" spans="1:11" ht="24">
      <c r="A270" s="147">
        <v>54112</v>
      </c>
      <c r="B270" s="145" t="s">
        <v>404</v>
      </c>
      <c r="C270" s="55"/>
      <c r="D270" s="14" t="s">
        <v>11</v>
      </c>
      <c r="E270" s="14" t="s">
        <v>25</v>
      </c>
      <c r="F270" s="14" t="s">
        <v>26</v>
      </c>
      <c r="G270" s="17">
        <v>1000</v>
      </c>
      <c r="H270" s="51"/>
      <c r="I270" s="17">
        <f t="shared" si="4"/>
        <v>1000</v>
      </c>
      <c r="J270" s="62"/>
      <c r="K270" s="63"/>
    </row>
    <row r="271" spans="1:11" ht="24" customHeight="1">
      <c r="A271" s="147">
        <v>54199</v>
      </c>
      <c r="B271" s="145" t="s">
        <v>405</v>
      </c>
      <c r="C271" s="55"/>
      <c r="D271" s="14" t="s">
        <v>11</v>
      </c>
      <c r="E271" s="14" t="s">
        <v>25</v>
      </c>
      <c r="F271" s="14" t="s">
        <v>26</v>
      </c>
      <c r="G271" s="17">
        <v>1000</v>
      </c>
      <c r="H271" s="51"/>
      <c r="I271" s="17">
        <f t="shared" si="4"/>
        <v>1000</v>
      </c>
      <c r="J271" s="62"/>
      <c r="K271" s="63"/>
    </row>
    <row r="272" spans="1:11" ht="24">
      <c r="A272" s="147">
        <v>54399</v>
      </c>
      <c r="B272" s="145" t="s">
        <v>406</v>
      </c>
      <c r="C272" s="55"/>
      <c r="D272" s="14" t="s">
        <v>11</v>
      </c>
      <c r="E272" s="14" t="s">
        <v>25</v>
      </c>
      <c r="F272" s="14" t="s">
        <v>26</v>
      </c>
      <c r="G272" s="17">
        <v>5000</v>
      </c>
      <c r="H272" s="51"/>
      <c r="I272" s="17">
        <f t="shared" si="4"/>
        <v>5000</v>
      </c>
      <c r="J272" s="62"/>
      <c r="K272" s="63"/>
    </row>
    <row r="273" spans="1:11" ht="24.75" customHeight="1">
      <c r="A273" s="147">
        <v>55603</v>
      </c>
      <c r="B273" s="145" t="s">
        <v>407</v>
      </c>
      <c r="C273" s="55"/>
      <c r="D273" s="14" t="s">
        <v>11</v>
      </c>
      <c r="E273" s="14" t="s">
        <v>25</v>
      </c>
      <c r="F273" s="14" t="s">
        <v>26</v>
      </c>
      <c r="G273" s="17">
        <v>10</v>
      </c>
      <c r="H273" s="51">
        <f>1.3</f>
        <v>1.3</v>
      </c>
      <c r="I273" s="17">
        <f t="shared" si="4"/>
        <v>8.6999999999999993</v>
      </c>
      <c r="J273" s="62"/>
      <c r="K273" s="63"/>
    </row>
    <row r="274" spans="1:11" ht="55.5">
      <c r="A274" s="144" t="s">
        <v>408</v>
      </c>
      <c r="B274" s="54" t="s">
        <v>409</v>
      </c>
      <c r="C274" s="55"/>
      <c r="D274" s="14"/>
      <c r="E274" s="14"/>
      <c r="F274" s="14"/>
      <c r="G274" s="17"/>
      <c r="H274" s="51"/>
      <c r="I274" s="17"/>
      <c r="J274" s="62"/>
      <c r="K274" s="63"/>
    </row>
    <row r="275" spans="1:11" ht="29.25">
      <c r="A275" s="11">
        <v>51999</v>
      </c>
      <c r="B275" s="54" t="s">
        <v>410</v>
      </c>
      <c r="C275" s="55"/>
      <c r="D275" s="14" t="s">
        <v>11</v>
      </c>
      <c r="E275" s="14" t="s">
        <v>25</v>
      </c>
      <c r="F275" s="14" t="s">
        <v>26</v>
      </c>
      <c r="G275" s="17">
        <v>5000</v>
      </c>
      <c r="H275" s="51"/>
      <c r="I275" s="17">
        <f t="shared" si="4"/>
        <v>5000</v>
      </c>
      <c r="J275" s="62"/>
      <c r="K275" s="63"/>
    </row>
    <row r="276" spans="1:11" ht="29.25">
      <c r="A276" s="11">
        <v>54111</v>
      </c>
      <c r="B276" s="54" t="s">
        <v>411</v>
      </c>
      <c r="C276" s="55"/>
      <c r="D276" s="14" t="s">
        <v>11</v>
      </c>
      <c r="E276" s="14" t="s">
        <v>25</v>
      </c>
      <c r="F276" s="14" t="s">
        <v>26</v>
      </c>
      <c r="G276" s="17">
        <v>3000</v>
      </c>
      <c r="H276" s="51"/>
      <c r="I276" s="17">
        <f t="shared" si="4"/>
        <v>3000</v>
      </c>
      <c r="J276" s="62"/>
      <c r="K276" s="63"/>
    </row>
    <row r="277" spans="1:11" ht="29.25">
      <c r="A277" s="11">
        <v>54112</v>
      </c>
      <c r="B277" s="54" t="s">
        <v>412</v>
      </c>
      <c r="C277" s="55"/>
      <c r="D277" s="14" t="s">
        <v>11</v>
      </c>
      <c r="E277" s="14" t="s">
        <v>25</v>
      </c>
      <c r="F277" s="14" t="s">
        <v>26</v>
      </c>
      <c r="G277" s="17">
        <v>2000</v>
      </c>
      <c r="H277" s="51"/>
      <c r="I277" s="17">
        <f t="shared" si="4"/>
        <v>2000</v>
      </c>
      <c r="J277" s="62"/>
      <c r="K277" s="63"/>
    </row>
    <row r="278" spans="1:11" ht="30">
      <c r="A278" s="11">
        <v>54118</v>
      </c>
      <c r="B278" s="54" t="s">
        <v>413</v>
      </c>
      <c r="C278" s="55"/>
      <c r="D278" s="14" t="s">
        <v>11</v>
      </c>
      <c r="E278" s="14" t="s">
        <v>25</v>
      </c>
      <c r="F278" s="14" t="s">
        <v>26</v>
      </c>
      <c r="G278" s="17">
        <v>3990</v>
      </c>
      <c r="H278" s="51"/>
      <c r="I278" s="17">
        <f t="shared" si="4"/>
        <v>3990</v>
      </c>
      <c r="J278" s="62"/>
      <c r="K278" s="63"/>
    </row>
    <row r="279" spans="1:11" ht="29.25">
      <c r="A279" s="11">
        <v>54199</v>
      </c>
      <c r="B279" s="54" t="s">
        <v>414</v>
      </c>
      <c r="C279" s="55"/>
      <c r="D279" s="14" t="s">
        <v>11</v>
      </c>
      <c r="E279" s="14" t="s">
        <v>25</v>
      </c>
      <c r="F279" s="14" t="s">
        <v>26</v>
      </c>
      <c r="G279" s="17">
        <v>1000</v>
      </c>
      <c r="H279" s="51"/>
      <c r="I279" s="17">
        <f t="shared" si="4"/>
        <v>1000</v>
      </c>
      <c r="J279" s="62"/>
      <c r="K279" s="63"/>
    </row>
    <row r="280" spans="1:11" ht="30">
      <c r="A280" s="11">
        <v>54301</v>
      </c>
      <c r="B280" s="54" t="s">
        <v>415</v>
      </c>
      <c r="C280" s="55"/>
      <c r="D280" s="14" t="s">
        <v>11</v>
      </c>
      <c r="E280" s="14" t="s">
        <v>25</v>
      </c>
      <c r="F280" s="14" t="s">
        <v>26</v>
      </c>
      <c r="G280" s="17">
        <v>3000</v>
      </c>
      <c r="H280" s="51"/>
      <c r="I280" s="17">
        <f t="shared" si="4"/>
        <v>3000</v>
      </c>
      <c r="J280" s="62"/>
      <c r="K280" s="63"/>
    </row>
    <row r="281" spans="1:11" ht="30">
      <c r="A281" s="11">
        <v>54399</v>
      </c>
      <c r="B281" s="54" t="s">
        <v>416</v>
      </c>
      <c r="C281" s="55"/>
      <c r="D281" s="14" t="s">
        <v>11</v>
      </c>
      <c r="E281" s="14" t="s">
        <v>25</v>
      </c>
      <c r="F281" s="14" t="s">
        <v>26</v>
      </c>
      <c r="G281" s="17">
        <v>2000</v>
      </c>
      <c r="H281" s="51"/>
      <c r="I281" s="17">
        <f t="shared" si="4"/>
        <v>2000</v>
      </c>
      <c r="J281" s="62"/>
      <c r="K281" s="63"/>
    </row>
    <row r="282" spans="1:11" ht="29.25">
      <c r="A282" s="11">
        <v>55603</v>
      </c>
      <c r="B282" s="54" t="s">
        <v>417</v>
      </c>
      <c r="C282" s="55"/>
      <c r="D282" s="14" t="s">
        <v>11</v>
      </c>
      <c r="E282" s="14" t="s">
        <v>25</v>
      </c>
      <c r="F282" s="14" t="s">
        <v>26</v>
      </c>
      <c r="G282" s="17">
        <v>10</v>
      </c>
      <c r="H282" s="51">
        <v>1.3</v>
      </c>
      <c r="I282" s="17">
        <f t="shared" si="4"/>
        <v>8.6999999999999993</v>
      </c>
      <c r="J282" s="62"/>
      <c r="K282" s="63"/>
    </row>
    <row r="283" spans="1:11" ht="64.5" customHeight="1">
      <c r="A283" s="144" t="s">
        <v>418</v>
      </c>
      <c r="B283" s="54" t="s">
        <v>419</v>
      </c>
      <c r="C283" s="55"/>
      <c r="D283" s="14"/>
      <c r="E283" s="14"/>
      <c r="F283" s="14"/>
      <c r="G283" s="17"/>
      <c r="H283" s="51"/>
      <c r="I283" s="17"/>
      <c r="J283" s="62"/>
      <c r="K283" s="63"/>
    </row>
    <row r="284" spans="1:11">
      <c r="A284" s="11">
        <v>51202</v>
      </c>
      <c r="B284" s="54" t="s">
        <v>420</v>
      </c>
      <c r="C284" s="55"/>
      <c r="D284" s="14" t="s">
        <v>11</v>
      </c>
      <c r="E284" s="14" t="s">
        <v>25</v>
      </c>
      <c r="F284" s="14" t="s">
        <v>26</v>
      </c>
      <c r="G284" s="17">
        <v>10000</v>
      </c>
      <c r="H284" s="51"/>
      <c r="I284" s="17">
        <f t="shared" si="4"/>
        <v>10000</v>
      </c>
      <c r="J284" s="62"/>
      <c r="K284" s="63"/>
    </row>
    <row r="285" spans="1:11">
      <c r="A285" s="11">
        <v>54110</v>
      </c>
      <c r="B285" s="54" t="s">
        <v>421</v>
      </c>
      <c r="C285" s="55"/>
      <c r="D285" s="14" t="s">
        <v>11</v>
      </c>
      <c r="E285" s="14" t="s">
        <v>25</v>
      </c>
      <c r="F285" s="14" t="s">
        <v>26</v>
      </c>
      <c r="G285" s="17">
        <v>5000</v>
      </c>
      <c r="H285" s="51"/>
      <c r="I285" s="17">
        <f t="shared" si="4"/>
        <v>5000</v>
      </c>
      <c r="J285" s="62"/>
      <c r="K285" s="63"/>
    </row>
    <row r="286" spans="1:11" ht="29.25">
      <c r="A286" s="11">
        <v>54111</v>
      </c>
      <c r="B286" s="54" t="s">
        <v>422</v>
      </c>
      <c r="C286" s="55"/>
      <c r="D286" s="14" t="s">
        <v>11</v>
      </c>
      <c r="E286" s="14" t="s">
        <v>25</v>
      </c>
      <c r="F286" s="14" t="s">
        <v>26</v>
      </c>
      <c r="G286" s="17">
        <v>10500</v>
      </c>
      <c r="H286" s="51"/>
      <c r="I286" s="17">
        <f t="shared" si="4"/>
        <v>10500</v>
      </c>
      <c r="J286" s="62"/>
      <c r="K286" s="63"/>
    </row>
    <row r="287" spans="1:11" ht="29.25">
      <c r="A287" s="11">
        <v>54112</v>
      </c>
      <c r="B287" s="54" t="s">
        <v>423</v>
      </c>
      <c r="C287" s="55"/>
      <c r="D287" s="14" t="s">
        <v>11</v>
      </c>
      <c r="E287" s="14" t="s">
        <v>25</v>
      </c>
      <c r="F287" s="14" t="s">
        <v>26</v>
      </c>
      <c r="G287" s="17">
        <v>10000</v>
      </c>
      <c r="H287" s="51"/>
      <c r="I287" s="17">
        <f t="shared" si="4"/>
        <v>10000</v>
      </c>
      <c r="J287" s="62"/>
      <c r="K287" s="63"/>
    </row>
    <row r="288" spans="1:11" ht="29.25">
      <c r="A288" s="11">
        <v>54313</v>
      </c>
      <c r="B288" s="54" t="s">
        <v>424</v>
      </c>
      <c r="C288" s="55"/>
      <c r="D288" s="14" t="s">
        <v>11</v>
      </c>
      <c r="E288" s="14" t="s">
        <v>25</v>
      </c>
      <c r="F288" s="14" t="s">
        <v>26</v>
      </c>
      <c r="G288" s="17">
        <v>490</v>
      </c>
      <c r="H288" s="51"/>
      <c r="I288" s="17">
        <f t="shared" si="4"/>
        <v>490</v>
      </c>
      <c r="J288" s="62"/>
      <c r="K288" s="63"/>
    </row>
    <row r="289" spans="1:11" ht="29.25">
      <c r="A289" s="11">
        <v>54316</v>
      </c>
      <c r="B289" s="54" t="s">
        <v>425</v>
      </c>
      <c r="C289" s="55"/>
      <c r="D289" s="14" t="s">
        <v>11</v>
      </c>
      <c r="E289" s="14" t="s">
        <v>25</v>
      </c>
      <c r="F289" s="14" t="s">
        <v>26</v>
      </c>
      <c r="G289" s="17">
        <v>15000</v>
      </c>
      <c r="H289" s="51"/>
      <c r="I289" s="17">
        <f t="shared" si="4"/>
        <v>15000</v>
      </c>
      <c r="J289" s="62"/>
      <c r="K289" s="63"/>
    </row>
    <row r="290" spans="1:11" ht="30">
      <c r="A290" s="11">
        <v>54399</v>
      </c>
      <c r="B290" s="54" t="s">
        <v>426</v>
      </c>
      <c r="C290" s="55"/>
      <c r="D290" s="14" t="s">
        <v>11</v>
      </c>
      <c r="E290" s="14" t="s">
        <v>25</v>
      </c>
      <c r="F290" s="14" t="s">
        <v>26</v>
      </c>
      <c r="G290" s="17">
        <v>5000</v>
      </c>
      <c r="H290" s="51"/>
      <c r="I290" s="17">
        <f t="shared" si="4"/>
        <v>5000</v>
      </c>
      <c r="J290" s="62"/>
      <c r="K290" s="63"/>
    </row>
    <row r="291" spans="1:11">
      <c r="A291" s="11">
        <v>55603</v>
      </c>
      <c r="B291" s="54" t="s">
        <v>427</v>
      </c>
      <c r="C291" s="55"/>
      <c r="D291" s="14" t="s">
        <v>11</v>
      </c>
      <c r="E291" s="14" t="s">
        <v>25</v>
      </c>
      <c r="F291" s="14" t="s">
        <v>26</v>
      </c>
      <c r="G291" s="17">
        <v>10</v>
      </c>
      <c r="H291" s="51"/>
      <c r="I291" s="17">
        <f t="shared" si="4"/>
        <v>10</v>
      </c>
      <c r="J291" s="62"/>
      <c r="K291" s="63"/>
    </row>
    <row r="292" spans="1:11">
      <c r="A292" s="11">
        <v>55799</v>
      </c>
      <c r="B292" s="54" t="s">
        <v>428</v>
      </c>
      <c r="C292" s="55"/>
      <c r="D292" s="14" t="s">
        <v>11</v>
      </c>
      <c r="E292" s="14" t="s">
        <v>25</v>
      </c>
      <c r="F292" s="14" t="s">
        <v>26</v>
      </c>
      <c r="G292" s="17">
        <v>10000</v>
      </c>
      <c r="H292" s="51"/>
      <c r="I292" s="17">
        <f t="shared" si="4"/>
        <v>10000</v>
      </c>
      <c r="J292" s="62"/>
      <c r="K292" s="63"/>
    </row>
    <row r="293" spans="1:11" ht="77.25" customHeight="1">
      <c r="A293" s="144" t="s">
        <v>429</v>
      </c>
      <c r="B293" s="54" t="s">
        <v>430</v>
      </c>
      <c r="C293" s="55"/>
      <c r="D293" s="14"/>
      <c r="E293" s="14"/>
      <c r="F293" s="14"/>
      <c r="G293" s="17"/>
      <c r="H293" s="51"/>
      <c r="I293" s="17"/>
      <c r="J293" s="62"/>
      <c r="K293" s="63"/>
    </row>
    <row r="294" spans="1:11" ht="33.75" customHeight="1">
      <c r="A294" s="148">
        <v>54199</v>
      </c>
      <c r="B294" s="54" t="s">
        <v>431</v>
      </c>
      <c r="C294" s="55"/>
      <c r="D294" s="14" t="s">
        <v>11</v>
      </c>
      <c r="E294" s="14" t="s">
        <v>25</v>
      </c>
      <c r="F294" s="14" t="s">
        <v>26</v>
      </c>
      <c r="G294" s="17">
        <v>10000</v>
      </c>
      <c r="H294" s="51"/>
      <c r="I294" s="17">
        <f t="shared" si="4"/>
        <v>10000</v>
      </c>
      <c r="J294" s="62"/>
      <c r="K294" s="63"/>
    </row>
    <row r="295" spans="1:11" ht="30" customHeight="1">
      <c r="A295" s="148">
        <v>54314</v>
      </c>
      <c r="B295" s="54" t="s">
        <v>432</v>
      </c>
      <c r="C295" s="55"/>
      <c r="D295" s="14" t="s">
        <v>11</v>
      </c>
      <c r="E295" s="14" t="s">
        <v>25</v>
      </c>
      <c r="F295" s="14" t="s">
        <v>26</v>
      </c>
      <c r="G295" s="17">
        <v>20000</v>
      </c>
      <c r="H295" s="51"/>
      <c r="I295" s="17">
        <f t="shared" si="4"/>
        <v>20000</v>
      </c>
      <c r="J295" s="62"/>
      <c r="K295" s="63"/>
    </row>
    <row r="296" spans="1:11" ht="30.75" customHeight="1">
      <c r="A296" s="148">
        <v>54399</v>
      </c>
      <c r="B296" s="54" t="s">
        <v>433</v>
      </c>
      <c r="C296" s="55"/>
      <c r="D296" s="14" t="s">
        <v>11</v>
      </c>
      <c r="E296" s="14" t="s">
        <v>25</v>
      </c>
      <c r="F296" s="14" t="s">
        <v>26</v>
      </c>
      <c r="G296" s="17">
        <v>5000</v>
      </c>
      <c r="H296" s="51"/>
      <c r="I296" s="17">
        <f t="shared" si="4"/>
        <v>5000</v>
      </c>
      <c r="J296" s="62"/>
      <c r="K296" s="63"/>
    </row>
    <row r="297" spans="1:11" ht="33" customHeight="1">
      <c r="A297" s="148">
        <v>55603</v>
      </c>
      <c r="B297" s="54" t="s">
        <v>434</v>
      </c>
      <c r="C297" s="55"/>
      <c r="D297" s="14" t="s">
        <v>11</v>
      </c>
      <c r="E297" s="14" t="s">
        <v>25</v>
      </c>
      <c r="F297" s="14" t="s">
        <v>26</v>
      </c>
      <c r="G297" s="17">
        <v>10</v>
      </c>
      <c r="H297" s="51">
        <f>1.3</f>
        <v>1.3</v>
      </c>
      <c r="I297" s="17">
        <f t="shared" si="4"/>
        <v>8.6999999999999993</v>
      </c>
      <c r="J297" s="62"/>
      <c r="K297" s="63"/>
    </row>
    <row r="298" spans="1:11" ht="31.5" customHeight="1">
      <c r="A298" s="148">
        <v>56303</v>
      </c>
      <c r="B298" s="54" t="s">
        <v>435</v>
      </c>
      <c r="C298" s="55"/>
      <c r="D298" s="14" t="s">
        <v>11</v>
      </c>
      <c r="E298" s="14" t="s">
        <v>25</v>
      </c>
      <c r="F298" s="14" t="s">
        <v>26</v>
      </c>
      <c r="G298" s="17">
        <v>9990</v>
      </c>
      <c r="H298" s="51"/>
      <c r="I298" s="17">
        <f t="shared" si="4"/>
        <v>9990</v>
      </c>
      <c r="J298" s="62"/>
      <c r="K298" s="63"/>
    </row>
    <row r="299" spans="1:11" ht="77.25" customHeight="1">
      <c r="A299" s="144" t="s">
        <v>437</v>
      </c>
      <c r="B299" s="54" t="s">
        <v>436</v>
      </c>
      <c r="C299" s="55"/>
      <c r="D299" s="14" t="s">
        <v>11</v>
      </c>
      <c r="E299" s="14" t="s">
        <v>25</v>
      </c>
      <c r="F299" s="14" t="s">
        <v>26</v>
      </c>
      <c r="G299" s="17"/>
      <c r="H299" s="51"/>
      <c r="I299" s="17"/>
      <c r="J299" s="62"/>
      <c r="K299" s="63"/>
    </row>
    <row r="300" spans="1:11" ht="28.5" customHeight="1">
      <c r="A300" s="148">
        <v>54199</v>
      </c>
      <c r="B300" s="54" t="s">
        <v>438</v>
      </c>
      <c r="C300" s="55"/>
      <c r="D300" s="14" t="s">
        <v>11</v>
      </c>
      <c r="E300" s="14" t="s">
        <v>25</v>
      </c>
      <c r="F300" s="14" t="s">
        <v>26</v>
      </c>
      <c r="G300" s="17">
        <v>1790</v>
      </c>
      <c r="H300" s="51"/>
      <c r="I300" s="17">
        <f t="shared" si="4"/>
        <v>1790</v>
      </c>
      <c r="J300" s="62"/>
      <c r="K300" s="63"/>
    </row>
    <row r="301" spans="1:11" ht="15" customHeight="1">
      <c r="A301" s="148">
        <v>54314</v>
      </c>
      <c r="B301" s="54" t="s">
        <v>439</v>
      </c>
      <c r="C301" s="55"/>
      <c r="D301" s="14" t="s">
        <v>11</v>
      </c>
      <c r="E301" s="14" t="s">
        <v>25</v>
      </c>
      <c r="F301" s="14" t="s">
        <v>26</v>
      </c>
      <c r="G301" s="17">
        <v>3000</v>
      </c>
      <c r="H301" s="51"/>
      <c r="I301" s="17">
        <f t="shared" si="4"/>
        <v>3000</v>
      </c>
      <c r="J301" s="62"/>
      <c r="K301" s="63"/>
    </row>
    <row r="302" spans="1:11" ht="27.75" customHeight="1">
      <c r="A302" s="148">
        <v>54399</v>
      </c>
      <c r="B302" s="54" t="s">
        <v>440</v>
      </c>
      <c r="C302" s="55"/>
      <c r="D302" s="14" t="s">
        <v>11</v>
      </c>
      <c r="E302" s="14" t="s">
        <v>25</v>
      </c>
      <c r="F302" s="14" t="s">
        <v>26</v>
      </c>
      <c r="G302" s="17">
        <v>100</v>
      </c>
      <c r="H302" s="51"/>
      <c r="I302" s="17">
        <f t="shared" si="4"/>
        <v>100</v>
      </c>
      <c r="J302" s="62"/>
      <c r="K302" s="63"/>
    </row>
    <row r="303" spans="1:11" ht="29.25" customHeight="1">
      <c r="A303" s="148">
        <v>55603</v>
      </c>
      <c r="B303" s="54" t="s">
        <v>441</v>
      </c>
      <c r="C303" s="55"/>
      <c r="D303" s="14" t="s">
        <v>11</v>
      </c>
      <c r="E303" s="14" t="s">
        <v>25</v>
      </c>
      <c r="F303" s="14" t="s">
        <v>26</v>
      </c>
      <c r="G303" s="17">
        <v>10</v>
      </c>
      <c r="H303" s="51"/>
      <c r="I303" s="17">
        <f t="shared" si="4"/>
        <v>10</v>
      </c>
      <c r="J303" s="62"/>
      <c r="K303" s="63"/>
    </row>
    <row r="304" spans="1:11" ht="15" customHeight="1">
      <c r="A304" s="148">
        <v>55799</v>
      </c>
      <c r="B304" s="54" t="s">
        <v>442</v>
      </c>
      <c r="C304" s="55"/>
      <c r="D304" s="14" t="s">
        <v>11</v>
      </c>
      <c r="E304" s="14" t="s">
        <v>25</v>
      </c>
      <c r="F304" s="14" t="s">
        <v>26</v>
      </c>
      <c r="G304" s="17">
        <v>100</v>
      </c>
      <c r="H304" s="51"/>
      <c r="I304" s="17">
        <f t="shared" si="4"/>
        <v>100</v>
      </c>
      <c r="J304" s="62"/>
      <c r="K304" s="63"/>
    </row>
    <row r="305" spans="1:11" ht="61.5" customHeight="1">
      <c r="A305" s="144" t="s">
        <v>443</v>
      </c>
      <c r="B305" s="54" t="s">
        <v>444</v>
      </c>
      <c r="C305" s="55"/>
      <c r="D305" s="14"/>
      <c r="E305" s="14"/>
      <c r="F305" s="14"/>
      <c r="G305" s="17"/>
      <c r="H305" s="51"/>
      <c r="I305" s="17"/>
      <c r="J305" s="62"/>
      <c r="K305" s="63"/>
    </row>
    <row r="306" spans="1:11" ht="27.75" customHeight="1">
      <c r="A306" s="148">
        <v>54199</v>
      </c>
      <c r="B306" s="54" t="s">
        <v>445</v>
      </c>
      <c r="C306" s="55"/>
      <c r="D306" s="14" t="s">
        <v>11</v>
      </c>
      <c r="E306" s="14" t="s">
        <v>25</v>
      </c>
      <c r="F306" s="14" t="s">
        <v>26</v>
      </c>
      <c r="G306" s="17">
        <v>6000</v>
      </c>
      <c r="H306" s="51"/>
      <c r="I306" s="17">
        <f t="shared" si="4"/>
        <v>6000</v>
      </c>
      <c r="J306" s="62"/>
      <c r="K306" s="63"/>
    </row>
    <row r="307" spans="1:11" ht="24.75" customHeight="1">
      <c r="A307" s="148">
        <v>54314</v>
      </c>
      <c r="B307" s="54" t="s">
        <v>446</v>
      </c>
      <c r="C307" s="55"/>
      <c r="D307" s="14" t="s">
        <v>11</v>
      </c>
      <c r="E307" s="14" t="s">
        <v>25</v>
      </c>
      <c r="F307" s="14" t="s">
        <v>26</v>
      </c>
      <c r="G307" s="17">
        <v>30000</v>
      </c>
      <c r="H307" s="51"/>
      <c r="I307" s="17">
        <f t="shared" si="4"/>
        <v>30000</v>
      </c>
      <c r="J307" s="62"/>
      <c r="K307" s="63"/>
    </row>
    <row r="308" spans="1:11" ht="33.75" customHeight="1">
      <c r="A308" s="148">
        <v>54313</v>
      </c>
      <c r="B308" s="54" t="s">
        <v>447</v>
      </c>
      <c r="C308" s="55"/>
      <c r="D308" s="14" t="s">
        <v>11</v>
      </c>
      <c r="E308" s="14" t="s">
        <v>25</v>
      </c>
      <c r="F308" s="14" t="s">
        <v>26</v>
      </c>
      <c r="G308" s="17">
        <v>2990</v>
      </c>
      <c r="H308" s="51"/>
      <c r="I308" s="17">
        <f t="shared" si="4"/>
        <v>2990</v>
      </c>
      <c r="J308" s="62"/>
      <c r="K308" s="63"/>
    </row>
    <row r="309" spans="1:11" ht="28.5" customHeight="1">
      <c r="A309" s="148">
        <v>55399</v>
      </c>
      <c r="B309" s="149" t="s">
        <v>450</v>
      </c>
      <c r="C309" s="55"/>
      <c r="D309" s="14" t="s">
        <v>11</v>
      </c>
      <c r="E309" s="14" t="s">
        <v>25</v>
      </c>
      <c r="F309" s="14" t="s">
        <v>26</v>
      </c>
      <c r="G309" s="17">
        <v>1000</v>
      </c>
      <c r="H309" s="51"/>
      <c r="I309" s="17">
        <f t="shared" si="4"/>
        <v>1000</v>
      </c>
      <c r="J309" s="62"/>
      <c r="K309" s="63"/>
    </row>
    <row r="310" spans="1:11" ht="30.75" customHeight="1">
      <c r="A310" s="148">
        <v>55603</v>
      </c>
      <c r="B310" s="54" t="s">
        <v>448</v>
      </c>
      <c r="C310" s="55"/>
      <c r="D310" s="14" t="s">
        <v>11</v>
      </c>
      <c r="E310" s="14" t="s">
        <v>25</v>
      </c>
      <c r="F310" s="14" t="s">
        <v>26</v>
      </c>
      <c r="G310" s="17">
        <v>10</v>
      </c>
      <c r="H310" s="51"/>
      <c r="I310" s="17">
        <f t="shared" si="4"/>
        <v>10</v>
      </c>
      <c r="J310" s="62"/>
      <c r="K310" s="63"/>
    </row>
    <row r="311" spans="1:11" ht="31.5" customHeight="1">
      <c r="A311" s="148">
        <v>56603</v>
      </c>
      <c r="B311" s="54" t="s">
        <v>449</v>
      </c>
      <c r="C311" s="55"/>
      <c r="D311" s="14" t="s">
        <v>11</v>
      </c>
      <c r="E311" s="14" t="s">
        <v>25</v>
      </c>
      <c r="F311" s="14" t="s">
        <v>26</v>
      </c>
      <c r="G311" s="17">
        <v>5000</v>
      </c>
      <c r="H311" s="51"/>
      <c r="I311" s="17">
        <f t="shared" si="4"/>
        <v>5000</v>
      </c>
      <c r="J311" s="62"/>
      <c r="K311" s="63"/>
    </row>
    <row r="312" spans="1:11" ht="74.25" customHeight="1">
      <c r="A312" s="144" t="s">
        <v>451</v>
      </c>
      <c r="B312" s="54" t="s">
        <v>452</v>
      </c>
      <c r="C312" s="55"/>
      <c r="D312" s="14"/>
      <c r="E312" s="14"/>
      <c r="F312" s="14"/>
      <c r="G312" s="50"/>
      <c r="H312" s="51"/>
      <c r="I312" s="17"/>
      <c r="J312" s="52"/>
      <c r="K312" s="52"/>
    </row>
    <row r="313" spans="1:11" ht="30.75" customHeight="1">
      <c r="A313" s="4">
        <v>54199</v>
      </c>
      <c r="B313" s="5" t="s">
        <v>453</v>
      </c>
      <c r="C313" s="10"/>
      <c r="D313" s="14" t="s">
        <v>11</v>
      </c>
      <c r="E313" s="14" t="s">
        <v>25</v>
      </c>
      <c r="F313" s="14" t="s">
        <v>26</v>
      </c>
      <c r="G313" s="43">
        <v>3000</v>
      </c>
      <c r="H313" s="51"/>
      <c r="I313" s="17">
        <f t="shared" si="4"/>
        <v>3000</v>
      </c>
      <c r="J313" s="44"/>
      <c r="K313" s="44"/>
    </row>
    <row r="314" spans="1:11" ht="40.5" customHeight="1">
      <c r="A314" s="11">
        <v>54314</v>
      </c>
      <c r="B314" s="150" t="s">
        <v>454</v>
      </c>
      <c r="C314" s="55"/>
      <c r="D314" s="14" t="s">
        <v>11</v>
      </c>
      <c r="E314" s="14" t="s">
        <v>25</v>
      </c>
      <c r="F314" s="14" t="s">
        <v>26</v>
      </c>
      <c r="G314" s="17">
        <v>6000</v>
      </c>
      <c r="H314" s="51"/>
      <c r="I314" s="17">
        <f t="shared" si="4"/>
        <v>6000</v>
      </c>
      <c r="J314" s="62"/>
      <c r="K314" s="63"/>
    </row>
    <row r="315" spans="1:11" ht="43.5" customHeight="1">
      <c r="A315" s="11">
        <v>54399</v>
      </c>
      <c r="B315" s="150" t="s">
        <v>455</v>
      </c>
      <c r="C315" s="13"/>
      <c r="D315" s="14" t="s">
        <v>11</v>
      </c>
      <c r="E315" s="14" t="s">
        <v>25</v>
      </c>
      <c r="F315" s="14" t="s">
        <v>26</v>
      </c>
      <c r="G315" s="50"/>
      <c r="H315" s="51"/>
      <c r="I315" s="17">
        <f t="shared" si="4"/>
        <v>0</v>
      </c>
      <c r="J315" s="52"/>
      <c r="K315" s="52"/>
    </row>
    <row r="316" spans="1:11" ht="29.25">
      <c r="A316" s="4">
        <v>55603</v>
      </c>
      <c r="B316" s="150" t="s">
        <v>456</v>
      </c>
      <c r="C316" s="9"/>
      <c r="D316" s="14" t="s">
        <v>11</v>
      </c>
      <c r="E316" s="14" t="s">
        <v>25</v>
      </c>
      <c r="F316" s="14" t="s">
        <v>26</v>
      </c>
      <c r="G316" s="43">
        <v>10</v>
      </c>
      <c r="H316" s="51"/>
      <c r="I316" s="17">
        <f t="shared" si="4"/>
        <v>10</v>
      </c>
      <c r="J316" s="44"/>
      <c r="K316" s="44"/>
    </row>
    <row r="317" spans="1:11" ht="29.25">
      <c r="A317" s="4">
        <v>55799</v>
      </c>
      <c r="B317" s="150" t="s">
        <v>457</v>
      </c>
      <c r="C317" s="9"/>
      <c r="D317" s="14" t="s">
        <v>11</v>
      </c>
      <c r="E317" s="14" t="s">
        <v>25</v>
      </c>
      <c r="F317" s="14" t="s">
        <v>26</v>
      </c>
      <c r="G317" s="43">
        <v>1269.74</v>
      </c>
      <c r="H317" s="51"/>
      <c r="I317" s="17">
        <f t="shared" si="4"/>
        <v>1269.74</v>
      </c>
      <c r="J317" s="44"/>
      <c r="K317" s="44"/>
    </row>
    <row r="318" spans="1:11" ht="58.5" customHeight="1">
      <c r="A318" s="144" t="s">
        <v>459</v>
      </c>
      <c r="B318" s="54" t="s">
        <v>458</v>
      </c>
      <c r="C318" s="9"/>
      <c r="D318" s="3"/>
      <c r="E318" s="3"/>
      <c r="F318" s="3"/>
      <c r="G318" s="43"/>
      <c r="H318" s="51"/>
      <c r="I318" s="17"/>
      <c r="J318" s="44"/>
      <c r="K318" s="44"/>
    </row>
    <row r="319" spans="1:11">
      <c r="A319" s="4">
        <v>54314</v>
      </c>
      <c r="B319" s="70" t="s">
        <v>460</v>
      </c>
      <c r="C319" s="5"/>
      <c r="D319" s="14" t="s">
        <v>11</v>
      </c>
      <c r="E319" s="14" t="s">
        <v>25</v>
      </c>
      <c r="F319" s="14" t="s">
        <v>26</v>
      </c>
      <c r="G319" s="43">
        <v>1949.81</v>
      </c>
      <c r="H319" s="51"/>
      <c r="I319" s="17">
        <f>G319-H319+J319-K319</f>
        <v>1949.81</v>
      </c>
      <c r="J319" s="44"/>
      <c r="K319" s="44"/>
    </row>
    <row r="320" spans="1:11" ht="54.75">
      <c r="A320" s="144" t="s">
        <v>461</v>
      </c>
      <c r="B320" s="54" t="s">
        <v>470</v>
      </c>
      <c r="C320" s="55"/>
      <c r="D320" s="14"/>
      <c r="E320" s="14"/>
      <c r="F320" s="14"/>
      <c r="G320" s="17"/>
      <c r="H320" s="51"/>
      <c r="I320" s="17"/>
      <c r="J320" s="62"/>
      <c r="K320" s="63"/>
    </row>
    <row r="321" spans="1:11" ht="29.25">
      <c r="A321" s="11">
        <v>54199</v>
      </c>
      <c r="B321" s="70" t="s">
        <v>462</v>
      </c>
      <c r="C321" s="55"/>
      <c r="D321" s="14" t="s">
        <v>11</v>
      </c>
      <c r="E321" s="14" t="s">
        <v>25</v>
      </c>
      <c r="F321" s="14" t="s">
        <v>26</v>
      </c>
      <c r="G321" s="17">
        <v>2000</v>
      </c>
      <c r="H321" s="51"/>
      <c r="I321" s="17">
        <f>G321-H321+J321-K321</f>
        <v>2000</v>
      </c>
      <c r="J321" s="62"/>
      <c r="K321" s="63"/>
    </row>
    <row r="322" spans="1:11" ht="36.75" customHeight="1">
      <c r="A322" s="11">
        <v>54314</v>
      </c>
      <c r="B322" s="151" t="s">
        <v>463</v>
      </c>
      <c r="C322" s="55"/>
      <c r="D322" s="14" t="s">
        <v>11</v>
      </c>
      <c r="E322" s="14" t="s">
        <v>25</v>
      </c>
      <c r="F322" s="14" t="s">
        <v>26</v>
      </c>
      <c r="G322" s="17">
        <v>22000</v>
      </c>
      <c r="H322" s="51"/>
      <c r="I322" s="17">
        <f t="shared" ref="I322:I388" si="5">G322-H322+J322-K322</f>
        <v>22000</v>
      </c>
      <c r="J322" s="62"/>
      <c r="K322" s="63"/>
    </row>
    <row r="323" spans="1:11" ht="39" customHeight="1">
      <c r="A323" s="11">
        <v>54313</v>
      </c>
      <c r="B323" s="151" t="s">
        <v>464</v>
      </c>
      <c r="C323" s="55"/>
      <c r="D323" s="14" t="s">
        <v>11</v>
      </c>
      <c r="E323" s="14" t="s">
        <v>25</v>
      </c>
      <c r="F323" s="14" t="s">
        <v>26</v>
      </c>
      <c r="G323" s="17">
        <v>5000</v>
      </c>
      <c r="H323" s="51"/>
      <c r="I323" s="17">
        <f t="shared" si="5"/>
        <v>5000</v>
      </c>
      <c r="J323" s="62"/>
      <c r="K323" s="63"/>
    </row>
    <row r="324" spans="1:11" ht="33.75" customHeight="1">
      <c r="A324" s="11">
        <v>54399</v>
      </c>
      <c r="B324" s="151" t="s">
        <v>465</v>
      </c>
      <c r="C324" s="13"/>
      <c r="D324" s="14" t="s">
        <v>11</v>
      </c>
      <c r="E324" s="14" t="s">
        <v>25</v>
      </c>
      <c r="F324" s="14" t="s">
        <v>26</v>
      </c>
      <c r="G324" s="50">
        <v>990</v>
      </c>
      <c r="H324" s="51"/>
      <c r="I324" s="17">
        <f t="shared" si="5"/>
        <v>990</v>
      </c>
      <c r="J324" s="52"/>
      <c r="K324" s="52"/>
    </row>
    <row r="325" spans="1:11" ht="35.25" customHeight="1">
      <c r="A325" s="11">
        <v>55603</v>
      </c>
      <c r="B325" s="151" t="s">
        <v>466</v>
      </c>
      <c r="C325" s="13"/>
      <c r="D325" s="14" t="s">
        <v>11</v>
      </c>
      <c r="E325" s="14" t="s">
        <v>25</v>
      </c>
      <c r="F325" s="14" t="s">
        <v>26</v>
      </c>
      <c r="G325" s="50">
        <v>10</v>
      </c>
      <c r="H325" s="51"/>
      <c r="I325" s="17">
        <f t="shared" si="5"/>
        <v>10</v>
      </c>
      <c r="J325" s="52"/>
      <c r="K325" s="52"/>
    </row>
    <row r="326" spans="1:11" ht="34.5" customHeight="1">
      <c r="A326" s="11">
        <v>56603</v>
      </c>
      <c r="B326" s="151" t="s">
        <v>467</v>
      </c>
      <c r="C326" s="61"/>
      <c r="D326" s="14" t="s">
        <v>11</v>
      </c>
      <c r="E326" s="14" t="s">
        <v>25</v>
      </c>
      <c r="F326" s="14" t="s">
        <v>26</v>
      </c>
      <c r="G326" s="50">
        <v>5000</v>
      </c>
      <c r="H326" s="51"/>
      <c r="I326" s="17">
        <f t="shared" si="5"/>
        <v>5000</v>
      </c>
      <c r="J326" s="11"/>
      <c r="K326" s="54"/>
    </row>
    <row r="327" spans="1:11" ht="68.25" customHeight="1">
      <c r="A327" s="144" t="s">
        <v>468</v>
      </c>
      <c r="B327" s="54" t="s">
        <v>469</v>
      </c>
      <c r="C327" s="61"/>
      <c r="D327" s="14"/>
      <c r="E327" s="14"/>
      <c r="F327" s="14"/>
      <c r="G327" s="50"/>
      <c r="H327" s="51"/>
      <c r="I327" s="17"/>
      <c r="J327" s="52"/>
      <c r="K327" s="52"/>
    </row>
    <row r="328" spans="1:11" ht="33" customHeight="1">
      <c r="A328" s="11">
        <v>51202</v>
      </c>
      <c r="B328" s="70" t="s">
        <v>471</v>
      </c>
      <c r="C328" s="61"/>
      <c r="D328" s="14" t="s">
        <v>11</v>
      </c>
      <c r="E328" s="14" t="s">
        <v>25</v>
      </c>
      <c r="F328" s="14" t="s">
        <v>26</v>
      </c>
      <c r="G328" s="50">
        <v>3000</v>
      </c>
      <c r="H328" s="51"/>
      <c r="I328" s="17">
        <f t="shared" si="5"/>
        <v>3000</v>
      </c>
      <c r="J328" s="52"/>
      <c r="K328" s="52"/>
    </row>
    <row r="329" spans="1:11" ht="34.5" customHeight="1">
      <c r="A329" s="11">
        <v>54111</v>
      </c>
      <c r="B329" s="70" t="s">
        <v>472</v>
      </c>
      <c r="C329" s="12"/>
      <c r="D329" s="14" t="s">
        <v>11</v>
      </c>
      <c r="E329" s="14" t="s">
        <v>25</v>
      </c>
      <c r="F329" s="14" t="s">
        <v>26</v>
      </c>
      <c r="G329" s="43">
        <v>3000</v>
      </c>
      <c r="H329" s="51"/>
      <c r="I329" s="17">
        <f t="shared" si="5"/>
        <v>3000</v>
      </c>
      <c r="J329" s="44"/>
      <c r="K329" s="44"/>
    </row>
    <row r="330" spans="1:11" ht="41.25" customHeight="1">
      <c r="A330" s="11">
        <v>54112</v>
      </c>
      <c r="B330" s="70" t="s">
        <v>473</v>
      </c>
      <c r="C330" s="12"/>
      <c r="D330" s="14" t="s">
        <v>11</v>
      </c>
      <c r="E330" s="14" t="s">
        <v>25</v>
      </c>
      <c r="F330" s="14" t="s">
        <v>26</v>
      </c>
      <c r="G330" s="43">
        <v>800</v>
      </c>
      <c r="H330" s="51"/>
      <c r="I330" s="17">
        <f t="shared" si="5"/>
        <v>800</v>
      </c>
      <c r="J330" s="44"/>
      <c r="K330" s="44"/>
    </row>
    <row r="331" spans="1:11" ht="29.25">
      <c r="A331" s="11">
        <v>54118</v>
      </c>
      <c r="B331" s="151" t="s">
        <v>474</v>
      </c>
      <c r="C331" s="12"/>
      <c r="D331" s="14" t="s">
        <v>11</v>
      </c>
      <c r="E331" s="14" t="s">
        <v>25</v>
      </c>
      <c r="F331" s="14" t="s">
        <v>26</v>
      </c>
      <c r="G331" s="43">
        <v>1760</v>
      </c>
      <c r="H331" s="51"/>
      <c r="I331" s="17">
        <f t="shared" si="5"/>
        <v>1760</v>
      </c>
      <c r="J331" s="44"/>
      <c r="K331" s="44"/>
    </row>
    <row r="332" spans="1:11" ht="29.25">
      <c r="A332" s="11">
        <v>54313</v>
      </c>
      <c r="B332" s="151" t="s">
        <v>475</v>
      </c>
      <c r="C332" s="12"/>
      <c r="D332" s="14" t="s">
        <v>11</v>
      </c>
      <c r="E332" s="14" t="s">
        <v>25</v>
      </c>
      <c r="F332" s="14" t="s">
        <v>26</v>
      </c>
      <c r="G332" s="43">
        <v>250</v>
      </c>
      <c r="H332" s="51"/>
      <c r="I332" s="17">
        <f t="shared" si="5"/>
        <v>250</v>
      </c>
      <c r="J332" s="44"/>
      <c r="K332" s="44"/>
    </row>
    <row r="333" spans="1:11" ht="29.25">
      <c r="A333" s="152">
        <v>55603</v>
      </c>
      <c r="B333" s="151" t="s">
        <v>476</v>
      </c>
      <c r="C333" s="154"/>
      <c r="D333" s="14" t="s">
        <v>11</v>
      </c>
      <c r="E333" s="14" t="s">
        <v>25</v>
      </c>
      <c r="F333" s="14" t="s">
        <v>26</v>
      </c>
      <c r="G333" s="156">
        <v>10</v>
      </c>
      <c r="H333" s="157"/>
      <c r="I333" s="17">
        <f t="shared" si="5"/>
        <v>10</v>
      </c>
      <c r="J333" s="159"/>
      <c r="K333" s="159"/>
    </row>
    <row r="334" spans="1:11" ht="85.5">
      <c r="A334" s="144" t="s">
        <v>477</v>
      </c>
      <c r="B334" s="54" t="s">
        <v>478</v>
      </c>
      <c r="C334" s="154"/>
      <c r="D334" s="155"/>
      <c r="E334" s="155"/>
      <c r="F334" s="155"/>
      <c r="G334" s="156"/>
      <c r="H334" s="157"/>
      <c r="I334" s="158"/>
      <c r="J334" s="159"/>
      <c r="K334" s="159"/>
    </row>
    <row r="335" spans="1:11" ht="29.25">
      <c r="A335" s="152">
        <v>51202</v>
      </c>
      <c r="B335" s="164" t="s">
        <v>479</v>
      </c>
      <c r="C335" s="154"/>
      <c r="D335" s="14" t="s">
        <v>11</v>
      </c>
      <c r="E335" s="14" t="s">
        <v>25</v>
      </c>
      <c r="F335" s="14" t="s">
        <v>26</v>
      </c>
      <c r="G335" s="156">
        <v>4000</v>
      </c>
      <c r="H335" s="157"/>
      <c r="I335" s="17">
        <f t="shared" si="5"/>
        <v>4000</v>
      </c>
      <c r="J335" s="159"/>
      <c r="K335" s="159"/>
    </row>
    <row r="336" spans="1:11" ht="44.25">
      <c r="A336" s="152">
        <v>54111</v>
      </c>
      <c r="B336" s="164" t="s">
        <v>480</v>
      </c>
      <c r="C336" s="154"/>
      <c r="D336" s="14" t="s">
        <v>11</v>
      </c>
      <c r="E336" s="14" t="s">
        <v>25</v>
      </c>
      <c r="F336" s="14" t="s">
        <v>26</v>
      </c>
      <c r="G336" s="156">
        <v>4000</v>
      </c>
      <c r="H336" s="157"/>
      <c r="I336" s="17">
        <f t="shared" si="5"/>
        <v>4000</v>
      </c>
      <c r="J336" s="159"/>
      <c r="K336" s="159"/>
    </row>
    <row r="337" spans="1:11" ht="30">
      <c r="A337" s="152">
        <v>54112</v>
      </c>
      <c r="B337" s="164" t="s">
        <v>481</v>
      </c>
      <c r="C337" s="154"/>
      <c r="D337" s="14" t="s">
        <v>11</v>
      </c>
      <c r="E337" s="14" t="s">
        <v>25</v>
      </c>
      <c r="F337" s="14" t="s">
        <v>26</v>
      </c>
      <c r="G337" s="156">
        <v>2000</v>
      </c>
      <c r="H337" s="157"/>
      <c r="I337" s="17">
        <f t="shared" si="5"/>
        <v>2000</v>
      </c>
      <c r="J337" s="159"/>
      <c r="K337" s="159"/>
    </row>
    <row r="338" spans="1:11" ht="29.25">
      <c r="A338" s="152">
        <v>54118</v>
      </c>
      <c r="B338" s="164" t="s">
        <v>482</v>
      </c>
      <c r="C338" s="154"/>
      <c r="D338" s="14" t="s">
        <v>11</v>
      </c>
      <c r="E338" s="14" t="s">
        <v>25</v>
      </c>
      <c r="F338" s="14" t="s">
        <v>26</v>
      </c>
      <c r="G338" s="156">
        <v>700</v>
      </c>
      <c r="H338" s="157"/>
      <c r="I338" s="17">
        <f t="shared" si="5"/>
        <v>700</v>
      </c>
      <c r="J338" s="159"/>
      <c r="K338" s="159"/>
    </row>
    <row r="339" spans="1:11" ht="30">
      <c r="A339" s="152">
        <v>54313</v>
      </c>
      <c r="B339" s="164" t="s">
        <v>483</v>
      </c>
      <c r="C339" s="154"/>
      <c r="D339" s="14" t="s">
        <v>11</v>
      </c>
      <c r="E339" s="14" t="s">
        <v>25</v>
      </c>
      <c r="F339" s="14" t="s">
        <v>26</v>
      </c>
      <c r="G339" s="156">
        <v>300</v>
      </c>
      <c r="H339" s="157"/>
      <c r="I339" s="17">
        <f t="shared" si="5"/>
        <v>300</v>
      </c>
      <c r="J339" s="159"/>
      <c r="K339" s="159"/>
    </row>
    <row r="340" spans="1:11" ht="30">
      <c r="A340" s="152">
        <v>54399</v>
      </c>
      <c r="B340" s="164" t="s">
        <v>484</v>
      </c>
      <c r="C340" s="154"/>
      <c r="D340" s="14" t="s">
        <v>11</v>
      </c>
      <c r="E340" s="14" t="s">
        <v>25</v>
      </c>
      <c r="F340" s="14" t="s">
        <v>26</v>
      </c>
      <c r="G340" s="156">
        <v>990</v>
      </c>
      <c r="H340" s="157"/>
      <c r="I340" s="17">
        <f t="shared" si="5"/>
        <v>990</v>
      </c>
      <c r="J340" s="159"/>
      <c r="K340" s="159"/>
    </row>
    <row r="341" spans="1:11" ht="29.25">
      <c r="A341" s="152">
        <v>55603</v>
      </c>
      <c r="B341" s="164" t="s">
        <v>485</v>
      </c>
      <c r="C341" s="154"/>
      <c r="D341" s="14" t="s">
        <v>11</v>
      </c>
      <c r="E341" s="14" t="s">
        <v>25</v>
      </c>
      <c r="F341" s="14" t="s">
        <v>26</v>
      </c>
      <c r="G341" s="156">
        <v>10</v>
      </c>
      <c r="H341" s="157"/>
      <c r="I341" s="17">
        <f t="shared" si="5"/>
        <v>10</v>
      </c>
      <c r="J341" s="159"/>
      <c r="K341" s="159"/>
    </row>
    <row r="342" spans="1:11" ht="70.5">
      <c r="A342" s="144" t="s">
        <v>486</v>
      </c>
      <c r="B342" s="54" t="s">
        <v>487</v>
      </c>
      <c r="C342" s="154"/>
      <c r="D342" s="155"/>
      <c r="E342" s="155"/>
      <c r="F342" s="155"/>
      <c r="G342" s="156"/>
      <c r="H342" s="157"/>
      <c r="I342" s="158"/>
      <c r="J342" s="159"/>
      <c r="K342" s="159"/>
    </row>
    <row r="343" spans="1:11" ht="29.25">
      <c r="A343" s="152">
        <v>51202</v>
      </c>
      <c r="B343" s="164" t="s">
        <v>488</v>
      </c>
      <c r="C343" s="154"/>
      <c r="D343" s="14" t="s">
        <v>11</v>
      </c>
      <c r="E343" s="14" t="s">
        <v>25</v>
      </c>
      <c r="F343" s="14" t="s">
        <v>26</v>
      </c>
      <c r="G343" s="156">
        <v>10000</v>
      </c>
      <c r="H343" s="157"/>
      <c r="I343" s="17">
        <f t="shared" si="5"/>
        <v>10000</v>
      </c>
      <c r="J343" s="159"/>
      <c r="K343" s="159"/>
    </row>
    <row r="344" spans="1:11" ht="29.25">
      <c r="A344" s="152">
        <v>51999</v>
      </c>
      <c r="B344" s="164" t="s">
        <v>489</v>
      </c>
      <c r="C344" s="154"/>
      <c r="D344" s="14" t="s">
        <v>11</v>
      </c>
      <c r="E344" s="14" t="s">
        <v>25</v>
      </c>
      <c r="F344" s="14" t="s">
        <v>26</v>
      </c>
      <c r="G344" s="156">
        <v>5000</v>
      </c>
      <c r="H344" s="157"/>
      <c r="I344" s="17">
        <f t="shared" si="5"/>
        <v>5000</v>
      </c>
      <c r="J344" s="159"/>
      <c r="K344" s="159"/>
    </row>
    <row r="345" spans="1:11" ht="29.25">
      <c r="A345" s="152">
        <v>54111</v>
      </c>
      <c r="B345" s="164" t="s">
        <v>490</v>
      </c>
      <c r="C345" s="154"/>
      <c r="D345" s="14" t="s">
        <v>11</v>
      </c>
      <c r="E345" s="14" t="s">
        <v>25</v>
      </c>
      <c r="F345" s="14" t="s">
        <v>26</v>
      </c>
      <c r="G345" s="156">
        <v>11000</v>
      </c>
      <c r="H345" s="157"/>
      <c r="I345" s="17">
        <f t="shared" si="5"/>
        <v>11000</v>
      </c>
      <c r="J345" s="159"/>
      <c r="K345" s="159"/>
    </row>
    <row r="346" spans="1:11" ht="29.25">
      <c r="A346" s="152">
        <v>54112</v>
      </c>
      <c r="B346" s="164" t="s">
        <v>491</v>
      </c>
      <c r="C346" s="154"/>
      <c r="D346" s="14" t="s">
        <v>11</v>
      </c>
      <c r="E346" s="14" t="s">
        <v>25</v>
      </c>
      <c r="F346" s="14" t="s">
        <v>26</v>
      </c>
      <c r="G346" s="156">
        <v>5000</v>
      </c>
      <c r="H346" s="157"/>
      <c r="I346" s="17">
        <f t="shared" si="5"/>
        <v>5000</v>
      </c>
      <c r="J346" s="159"/>
      <c r="K346" s="159"/>
    </row>
    <row r="347" spans="1:11" ht="29.25">
      <c r="A347" s="152">
        <v>54118</v>
      </c>
      <c r="B347" s="164" t="s">
        <v>492</v>
      </c>
      <c r="C347" s="154"/>
      <c r="D347" s="14" t="s">
        <v>11</v>
      </c>
      <c r="E347" s="14" t="s">
        <v>25</v>
      </c>
      <c r="F347" s="14" t="s">
        <v>26</v>
      </c>
      <c r="G347" s="156">
        <v>5000</v>
      </c>
      <c r="H347" s="157"/>
      <c r="I347" s="17">
        <f t="shared" si="5"/>
        <v>5000</v>
      </c>
      <c r="J347" s="159"/>
      <c r="K347" s="159"/>
    </row>
    <row r="348" spans="1:11" ht="29.25">
      <c r="A348" s="152">
        <v>54199</v>
      </c>
      <c r="B348" s="164" t="s">
        <v>493</v>
      </c>
      <c r="C348" s="154"/>
      <c r="D348" s="14" t="s">
        <v>11</v>
      </c>
      <c r="E348" s="14" t="s">
        <v>25</v>
      </c>
      <c r="F348" s="14" t="s">
        <v>26</v>
      </c>
      <c r="G348" s="156">
        <v>990</v>
      </c>
      <c r="H348" s="157"/>
      <c r="I348" s="17">
        <f t="shared" si="5"/>
        <v>990</v>
      </c>
      <c r="J348" s="159"/>
      <c r="K348" s="159"/>
    </row>
    <row r="349" spans="1:11" ht="29.25">
      <c r="A349" s="152">
        <v>54399</v>
      </c>
      <c r="B349" s="164" t="s">
        <v>494</v>
      </c>
      <c r="C349" s="154"/>
      <c r="D349" s="14" t="s">
        <v>11</v>
      </c>
      <c r="E349" s="14" t="s">
        <v>25</v>
      </c>
      <c r="F349" s="14" t="s">
        <v>26</v>
      </c>
      <c r="G349" s="156">
        <v>3000</v>
      </c>
      <c r="H349" s="157"/>
      <c r="I349" s="17">
        <f t="shared" si="5"/>
        <v>3000</v>
      </c>
      <c r="J349" s="159"/>
      <c r="K349" s="159"/>
    </row>
    <row r="350" spans="1:11" ht="29.25">
      <c r="A350" s="152">
        <v>55603</v>
      </c>
      <c r="B350" s="164" t="s">
        <v>495</v>
      </c>
      <c r="C350" s="154"/>
      <c r="D350" s="14" t="s">
        <v>11</v>
      </c>
      <c r="E350" s="14" t="s">
        <v>25</v>
      </c>
      <c r="F350" s="14" t="s">
        <v>26</v>
      </c>
      <c r="G350" s="156">
        <v>10</v>
      </c>
      <c r="H350" s="157"/>
      <c r="I350" s="17">
        <f t="shared" si="5"/>
        <v>10</v>
      </c>
      <c r="J350" s="159"/>
      <c r="K350" s="159"/>
    </row>
    <row r="351" spans="1:11" ht="55.5">
      <c r="A351" s="144" t="s">
        <v>504</v>
      </c>
      <c r="B351" s="54" t="s">
        <v>496</v>
      </c>
      <c r="C351" s="154"/>
      <c r="D351" s="155"/>
      <c r="E351" s="155"/>
      <c r="F351" s="155"/>
      <c r="G351" s="156"/>
      <c r="H351" s="157"/>
      <c r="I351" s="158"/>
      <c r="J351" s="159"/>
      <c r="K351" s="159"/>
    </row>
    <row r="352" spans="1:11" ht="29.25">
      <c r="A352" s="152">
        <v>51202</v>
      </c>
      <c r="B352" s="164" t="s">
        <v>500</v>
      </c>
      <c r="C352" s="154"/>
      <c r="D352" s="14" t="s">
        <v>11</v>
      </c>
      <c r="E352" s="14" t="s">
        <v>25</v>
      </c>
      <c r="F352" s="14" t="s">
        <v>26</v>
      </c>
      <c r="G352" s="156">
        <v>5000</v>
      </c>
      <c r="H352" s="157"/>
      <c r="I352" s="17">
        <f t="shared" si="5"/>
        <v>5000</v>
      </c>
      <c r="J352" s="159"/>
      <c r="K352" s="159"/>
    </row>
    <row r="353" spans="1:11" ht="29.25">
      <c r="A353" s="152">
        <v>54111</v>
      </c>
      <c r="B353" s="164" t="s">
        <v>499</v>
      </c>
      <c r="C353" s="154"/>
      <c r="D353" s="14" t="s">
        <v>11</v>
      </c>
      <c r="E353" s="14" t="s">
        <v>25</v>
      </c>
      <c r="F353" s="14" t="s">
        <v>26</v>
      </c>
      <c r="G353" s="156">
        <v>6000</v>
      </c>
      <c r="H353" s="157"/>
      <c r="I353" s="17">
        <f t="shared" si="5"/>
        <v>6000</v>
      </c>
      <c r="J353" s="159"/>
      <c r="K353" s="159"/>
    </row>
    <row r="354" spans="1:11" ht="29.25">
      <c r="A354" s="152">
        <v>54112</v>
      </c>
      <c r="B354" s="164" t="s">
        <v>497</v>
      </c>
      <c r="C354" s="154"/>
      <c r="D354" s="14" t="s">
        <v>11</v>
      </c>
      <c r="E354" s="14" t="s">
        <v>25</v>
      </c>
      <c r="F354" s="14" t="s">
        <v>26</v>
      </c>
      <c r="G354" s="156">
        <v>6000</v>
      </c>
      <c r="H354" s="157"/>
      <c r="I354" s="17">
        <f t="shared" si="5"/>
        <v>6000</v>
      </c>
      <c r="J354" s="159"/>
      <c r="K354" s="159"/>
    </row>
    <row r="355" spans="1:11" ht="29.25">
      <c r="A355" s="152">
        <v>54118</v>
      </c>
      <c r="B355" s="164" t="s">
        <v>498</v>
      </c>
      <c r="C355" s="154"/>
      <c r="D355" s="14" t="s">
        <v>11</v>
      </c>
      <c r="E355" s="14" t="s">
        <v>25</v>
      </c>
      <c r="F355" s="14" t="s">
        <v>26</v>
      </c>
      <c r="G355" s="156">
        <v>1700</v>
      </c>
      <c r="H355" s="157"/>
      <c r="I355" s="17">
        <f t="shared" si="5"/>
        <v>1700</v>
      </c>
      <c r="J355" s="159"/>
      <c r="K355" s="159"/>
    </row>
    <row r="356" spans="1:11" ht="29.25">
      <c r="A356" s="152">
        <v>54313</v>
      </c>
      <c r="B356" s="164" t="s">
        <v>501</v>
      </c>
      <c r="C356" s="154"/>
      <c r="D356" s="14" t="s">
        <v>11</v>
      </c>
      <c r="E356" s="14" t="s">
        <v>25</v>
      </c>
      <c r="F356" s="14" t="s">
        <v>26</v>
      </c>
      <c r="G356" s="156">
        <v>300</v>
      </c>
      <c r="H356" s="157"/>
      <c r="I356" s="17">
        <f t="shared" si="5"/>
        <v>300</v>
      </c>
      <c r="J356" s="159"/>
      <c r="K356" s="159"/>
    </row>
    <row r="357" spans="1:11" ht="29.25">
      <c r="A357" s="152">
        <v>54399</v>
      </c>
      <c r="B357" s="164" t="s">
        <v>502</v>
      </c>
      <c r="C357" s="154"/>
      <c r="D357" s="14" t="s">
        <v>11</v>
      </c>
      <c r="E357" s="14" t="s">
        <v>25</v>
      </c>
      <c r="F357" s="14" t="s">
        <v>26</v>
      </c>
      <c r="G357" s="156">
        <v>990</v>
      </c>
      <c r="H357" s="157"/>
      <c r="I357" s="17">
        <f t="shared" si="5"/>
        <v>990</v>
      </c>
      <c r="J357" s="159"/>
      <c r="K357" s="159"/>
    </row>
    <row r="358" spans="1:11" ht="29.25">
      <c r="A358" s="152">
        <v>55603</v>
      </c>
      <c r="B358" s="164" t="s">
        <v>503</v>
      </c>
      <c r="C358" s="154"/>
      <c r="D358" s="14" t="s">
        <v>11</v>
      </c>
      <c r="E358" s="14" t="s">
        <v>25</v>
      </c>
      <c r="F358" s="14" t="s">
        <v>26</v>
      </c>
      <c r="G358" s="156">
        <v>10</v>
      </c>
      <c r="H358" s="157">
        <f>1.3</f>
        <v>1.3</v>
      </c>
      <c r="I358" s="17">
        <f t="shared" si="5"/>
        <v>8.6999999999999993</v>
      </c>
      <c r="J358" s="159"/>
      <c r="K358" s="159"/>
    </row>
    <row r="359" spans="1:11" ht="84.75">
      <c r="A359" s="144" t="s">
        <v>505</v>
      </c>
      <c r="B359" s="53" t="s">
        <v>510</v>
      </c>
      <c r="C359" s="154"/>
      <c r="D359" s="155"/>
      <c r="E359" s="155"/>
      <c r="F359" s="155"/>
      <c r="G359" s="156"/>
      <c r="H359" s="157"/>
      <c r="I359" s="158"/>
      <c r="J359" s="159"/>
      <c r="K359" s="159"/>
    </row>
    <row r="360" spans="1:11" ht="29.25">
      <c r="A360" s="152">
        <v>51999</v>
      </c>
      <c r="B360" s="153" t="s">
        <v>506</v>
      </c>
      <c r="C360" s="154"/>
      <c r="D360" s="14" t="s">
        <v>11</v>
      </c>
      <c r="E360" s="14" t="s">
        <v>25</v>
      </c>
      <c r="F360" s="14" t="s">
        <v>26</v>
      </c>
      <c r="G360" s="156">
        <v>1500</v>
      </c>
      <c r="H360" s="157"/>
      <c r="I360" s="17">
        <f t="shared" si="5"/>
        <v>1500</v>
      </c>
      <c r="J360" s="159"/>
      <c r="K360" s="159"/>
    </row>
    <row r="361" spans="1:11" ht="29.25">
      <c r="A361" s="152">
        <v>54199</v>
      </c>
      <c r="B361" s="153" t="s">
        <v>507</v>
      </c>
      <c r="C361" s="154"/>
      <c r="D361" s="14" t="s">
        <v>11</v>
      </c>
      <c r="E361" s="14" t="s">
        <v>25</v>
      </c>
      <c r="F361" s="14" t="s">
        <v>26</v>
      </c>
      <c r="G361" s="156">
        <v>990</v>
      </c>
      <c r="H361" s="157"/>
      <c r="I361" s="17">
        <f t="shared" si="5"/>
        <v>990</v>
      </c>
      <c r="J361" s="159"/>
      <c r="K361" s="159"/>
    </row>
    <row r="362" spans="1:11" ht="43.5">
      <c r="A362" s="152">
        <v>54399</v>
      </c>
      <c r="B362" s="153" t="s">
        <v>508</v>
      </c>
      <c r="C362" s="154"/>
      <c r="D362" s="14" t="s">
        <v>11</v>
      </c>
      <c r="E362" s="14" t="s">
        <v>25</v>
      </c>
      <c r="F362" s="14" t="s">
        <v>26</v>
      </c>
      <c r="G362" s="156">
        <v>500</v>
      </c>
      <c r="H362" s="157"/>
      <c r="I362" s="17">
        <f t="shared" si="5"/>
        <v>500</v>
      </c>
      <c r="J362" s="159"/>
      <c r="K362" s="159"/>
    </row>
    <row r="363" spans="1:11" ht="29.25">
      <c r="A363" s="152">
        <v>55603</v>
      </c>
      <c r="B363" s="153" t="s">
        <v>509</v>
      </c>
      <c r="C363" s="154"/>
      <c r="D363" s="14" t="s">
        <v>11</v>
      </c>
      <c r="E363" s="14" t="s">
        <v>25</v>
      </c>
      <c r="F363" s="14" t="s">
        <v>26</v>
      </c>
      <c r="G363" s="156">
        <v>10</v>
      </c>
      <c r="H363" s="157"/>
      <c r="I363" s="17">
        <f t="shared" si="5"/>
        <v>10</v>
      </c>
      <c r="J363" s="159"/>
      <c r="K363" s="159"/>
    </row>
    <row r="364" spans="1:11" ht="84.75">
      <c r="A364" s="144" t="s">
        <v>511</v>
      </c>
      <c r="B364" s="53" t="s">
        <v>512</v>
      </c>
      <c r="C364" s="154"/>
      <c r="D364" s="155"/>
      <c r="E364" s="155"/>
      <c r="F364" s="155"/>
      <c r="G364" s="156"/>
      <c r="H364" s="157"/>
      <c r="I364" s="158"/>
      <c r="J364" s="159"/>
      <c r="K364" s="159"/>
    </row>
    <row r="365" spans="1:11" ht="29.25">
      <c r="A365" s="152">
        <v>51999</v>
      </c>
      <c r="B365" s="164" t="s">
        <v>513</v>
      </c>
      <c r="C365" s="154"/>
      <c r="D365" s="14" t="s">
        <v>11</v>
      </c>
      <c r="E365" s="14" t="s">
        <v>25</v>
      </c>
      <c r="F365" s="14" t="s">
        <v>26</v>
      </c>
      <c r="G365" s="156">
        <v>1000</v>
      </c>
      <c r="H365" s="157"/>
      <c r="I365" s="17">
        <f t="shared" si="5"/>
        <v>1000</v>
      </c>
      <c r="J365" s="159"/>
      <c r="K365" s="159"/>
    </row>
    <row r="366" spans="1:11" ht="29.25">
      <c r="A366" s="152">
        <v>54115</v>
      </c>
      <c r="B366" s="164" t="s">
        <v>514</v>
      </c>
      <c r="C366" s="154"/>
      <c r="D366" s="14" t="s">
        <v>11</v>
      </c>
      <c r="E366" s="14" t="s">
        <v>25</v>
      </c>
      <c r="F366" s="14" t="s">
        <v>26</v>
      </c>
      <c r="G366" s="156">
        <v>1990</v>
      </c>
      <c r="H366" s="157"/>
      <c r="I366" s="17">
        <f t="shared" si="5"/>
        <v>1990</v>
      </c>
      <c r="J366" s="159"/>
      <c r="K366" s="159"/>
    </row>
    <row r="367" spans="1:11" ht="29.25">
      <c r="A367" s="152">
        <v>61104</v>
      </c>
      <c r="B367" s="164" t="s">
        <v>515</v>
      </c>
      <c r="C367" s="154"/>
      <c r="D367" s="14" t="s">
        <v>11</v>
      </c>
      <c r="E367" s="14" t="s">
        <v>25</v>
      </c>
      <c r="F367" s="14" t="s">
        <v>26</v>
      </c>
      <c r="G367" s="156">
        <v>2000</v>
      </c>
      <c r="H367" s="157"/>
      <c r="I367" s="17">
        <f t="shared" si="5"/>
        <v>2000</v>
      </c>
      <c r="J367" s="159"/>
      <c r="K367" s="159"/>
    </row>
    <row r="368" spans="1:11" ht="29.25">
      <c r="A368" s="152">
        <v>55603</v>
      </c>
      <c r="B368" s="164" t="s">
        <v>516</v>
      </c>
      <c r="C368" s="154"/>
      <c r="D368" s="14" t="s">
        <v>11</v>
      </c>
      <c r="E368" s="14" t="s">
        <v>25</v>
      </c>
      <c r="F368" s="14" t="s">
        <v>26</v>
      </c>
      <c r="G368" s="156">
        <v>10</v>
      </c>
      <c r="H368" s="157"/>
      <c r="I368" s="17">
        <f t="shared" si="5"/>
        <v>10</v>
      </c>
      <c r="J368" s="159"/>
      <c r="K368" s="159"/>
    </row>
    <row r="369" spans="1:11" ht="54.75">
      <c r="A369" s="144" t="s">
        <v>517</v>
      </c>
      <c r="B369" s="53" t="s">
        <v>518</v>
      </c>
      <c r="C369" s="154"/>
      <c r="D369" s="155"/>
      <c r="E369" s="155"/>
      <c r="F369" s="155"/>
      <c r="G369" s="156"/>
      <c r="H369" s="157"/>
      <c r="I369" s="158"/>
      <c r="J369" s="159"/>
      <c r="K369" s="159"/>
    </row>
    <row r="370" spans="1:11" ht="29.25">
      <c r="A370" s="152">
        <v>51999</v>
      </c>
      <c r="B370" s="164" t="s">
        <v>519</v>
      </c>
      <c r="C370" s="154"/>
      <c r="D370" s="14" t="s">
        <v>11</v>
      </c>
      <c r="E370" s="14" t="s">
        <v>25</v>
      </c>
      <c r="F370" s="14" t="s">
        <v>26</v>
      </c>
      <c r="G370" s="156">
        <v>10000</v>
      </c>
      <c r="H370" s="157"/>
      <c r="I370" s="17">
        <f t="shared" si="5"/>
        <v>10000</v>
      </c>
      <c r="J370" s="159"/>
      <c r="K370" s="159"/>
    </row>
    <row r="371" spans="1:11" ht="30">
      <c r="A371" s="152">
        <v>54313</v>
      </c>
      <c r="B371" s="164" t="s">
        <v>520</v>
      </c>
      <c r="C371" s="154"/>
      <c r="D371" s="14" t="s">
        <v>11</v>
      </c>
      <c r="E371" s="14" t="s">
        <v>25</v>
      </c>
      <c r="F371" s="14" t="s">
        <v>26</v>
      </c>
      <c r="G371" s="156">
        <v>500</v>
      </c>
      <c r="H371" s="157"/>
      <c r="I371" s="17">
        <f t="shared" si="5"/>
        <v>500</v>
      </c>
      <c r="J371" s="159"/>
      <c r="K371" s="159"/>
    </row>
    <row r="372" spans="1:11" ht="30">
      <c r="A372" s="152">
        <v>54399</v>
      </c>
      <c r="B372" s="164" t="s">
        <v>521</v>
      </c>
      <c r="C372" s="154"/>
      <c r="D372" s="14" t="s">
        <v>11</v>
      </c>
      <c r="E372" s="14" t="s">
        <v>25</v>
      </c>
      <c r="F372" s="14" t="s">
        <v>26</v>
      </c>
      <c r="G372" s="156">
        <v>990</v>
      </c>
      <c r="H372" s="157"/>
      <c r="I372" s="17">
        <f t="shared" si="5"/>
        <v>990</v>
      </c>
      <c r="J372" s="159"/>
      <c r="K372" s="159"/>
    </row>
    <row r="373" spans="1:11" ht="29.25">
      <c r="A373" s="152">
        <v>54599</v>
      </c>
      <c r="B373" s="164" t="s">
        <v>522</v>
      </c>
      <c r="C373" s="154"/>
      <c r="D373" s="14" t="s">
        <v>11</v>
      </c>
      <c r="E373" s="14" t="s">
        <v>25</v>
      </c>
      <c r="F373" s="14" t="s">
        <v>26</v>
      </c>
      <c r="G373" s="156">
        <v>13500</v>
      </c>
      <c r="H373" s="157"/>
      <c r="I373" s="17">
        <f t="shared" si="5"/>
        <v>13500</v>
      </c>
      <c r="J373" s="159"/>
      <c r="K373" s="159"/>
    </row>
    <row r="374" spans="1:11" ht="29.25">
      <c r="A374" s="152">
        <v>55603</v>
      </c>
      <c r="B374" s="164" t="s">
        <v>523</v>
      </c>
      <c r="C374" s="154"/>
      <c r="D374" s="14" t="s">
        <v>11</v>
      </c>
      <c r="E374" s="14" t="s">
        <v>25</v>
      </c>
      <c r="F374" s="14" t="s">
        <v>26</v>
      </c>
      <c r="G374" s="156">
        <v>10</v>
      </c>
      <c r="H374" s="157"/>
      <c r="I374" s="17">
        <f t="shared" si="5"/>
        <v>10</v>
      </c>
      <c r="J374" s="159"/>
      <c r="K374" s="159"/>
    </row>
    <row r="375" spans="1:11" ht="69.75">
      <c r="A375" s="144" t="s">
        <v>524</v>
      </c>
      <c r="B375" s="53" t="s">
        <v>525</v>
      </c>
      <c r="C375" s="154"/>
      <c r="D375" s="14" t="s">
        <v>11</v>
      </c>
      <c r="E375" s="14" t="s">
        <v>25</v>
      </c>
      <c r="F375" s="14" t="s">
        <v>26</v>
      </c>
      <c r="G375" s="156">
        <v>5504.86</v>
      </c>
      <c r="H375" s="157"/>
      <c r="I375" s="158">
        <f t="shared" si="5"/>
        <v>5504.86</v>
      </c>
      <c r="J375" s="159"/>
      <c r="K375" s="159"/>
    </row>
    <row r="376" spans="1:11" ht="44.25">
      <c r="A376" s="144" t="s">
        <v>526</v>
      </c>
      <c r="B376" s="53" t="s">
        <v>527</v>
      </c>
      <c r="C376" s="154"/>
      <c r="D376" s="14" t="s">
        <v>11</v>
      </c>
      <c r="E376" s="14" t="s">
        <v>25</v>
      </c>
      <c r="F376" s="14" t="s">
        <v>26</v>
      </c>
      <c r="G376" s="156">
        <v>15000</v>
      </c>
      <c r="H376" s="157"/>
      <c r="I376" s="158">
        <f t="shared" si="5"/>
        <v>15000</v>
      </c>
      <c r="J376" s="159"/>
      <c r="K376" s="159"/>
    </row>
    <row r="377" spans="1:11" ht="39.75">
      <c r="A377" s="144" t="s">
        <v>528</v>
      </c>
      <c r="B377" s="53" t="s">
        <v>529</v>
      </c>
      <c r="C377" s="154"/>
      <c r="D377" s="14" t="s">
        <v>11</v>
      </c>
      <c r="E377" s="14" t="s">
        <v>25</v>
      </c>
      <c r="F377" s="14" t="s">
        <v>26</v>
      </c>
      <c r="G377" s="156">
        <v>8000</v>
      </c>
      <c r="H377" s="157"/>
      <c r="I377" s="158">
        <f t="shared" si="5"/>
        <v>8000</v>
      </c>
      <c r="J377" s="159"/>
      <c r="K377" s="159"/>
    </row>
    <row r="378" spans="1:11" ht="39.75">
      <c r="A378" s="144" t="s">
        <v>530</v>
      </c>
      <c r="B378" s="53" t="s">
        <v>531</v>
      </c>
      <c r="C378" s="154"/>
      <c r="D378" s="14" t="s">
        <v>11</v>
      </c>
      <c r="E378" s="14" t="s">
        <v>25</v>
      </c>
      <c r="F378" s="14" t="s">
        <v>26</v>
      </c>
      <c r="G378" s="156">
        <v>15000</v>
      </c>
      <c r="H378" s="157"/>
      <c r="I378" s="158">
        <f t="shared" si="5"/>
        <v>15000</v>
      </c>
      <c r="J378" s="159"/>
      <c r="K378" s="159"/>
    </row>
    <row r="379" spans="1:11" ht="55.5">
      <c r="A379" s="144" t="s">
        <v>532</v>
      </c>
      <c r="B379" s="53" t="s">
        <v>533</v>
      </c>
      <c r="C379" s="154"/>
      <c r="D379" s="155"/>
      <c r="E379" s="155"/>
      <c r="F379" s="155"/>
      <c r="G379" s="156"/>
      <c r="H379" s="157"/>
      <c r="I379" s="158"/>
      <c r="J379" s="159"/>
      <c r="K379" s="159"/>
    </row>
    <row r="380" spans="1:11">
      <c r="A380" s="152">
        <v>51202</v>
      </c>
      <c r="B380" s="153" t="s">
        <v>534</v>
      </c>
      <c r="C380" s="154"/>
      <c r="D380" s="14" t="s">
        <v>11</v>
      </c>
      <c r="E380" s="14" t="s">
        <v>25</v>
      </c>
      <c r="F380" s="14" t="s">
        <v>26</v>
      </c>
      <c r="G380" s="156">
        <v>8000</v>
      </c>
      <c r="H380" s="157"/>
      <c r="I380" s="158">
        <f t="shared" si="5"/>
        <v>8000</v>
      </c>
      <c r="J380" s="159"/>
      <c r="K380" s="159"/>
    </row>
    <row r="381" spans="1:11" ht="29.25">
      <c r="A381" s="152">
        <v>54111</v>
      </c>
      <c r="B381" s="153" t="s">
        <v>535</v>
      </c>
      <c r="C381" s="154"/>
      <c r="D381" s="14" t="s">
        <v>11</v>
      </c>
      <c r="E381" s="14" t="s">
        <v>25</v>
      </c>
      <c r="F381" s="14" t="s">
        <v>26</v>
      </c>
      <c r="G381" s="156">
        <v>5500</v>
      </c>
      <c r="H381" s="157"/>
      <c r="I381" s="158">
        <f t="shared" si="5"/>
        <v>5500</v>
      </c>
      <c r="J381" s="159"/>
      <c r="K381" s="159"/>
    </row>
    <row r="382" spans="1:11" ht="29.25">
      <c r="A382" s="152">
        <v>54112</v>
      </c>
      <c r="B382" s="153" t="s">
        <v>536</v>
      </c>
      <c r="C382" s="154"/>
      <c r="D382" s="14" t="s">
        <v>11</v>
      </c>
      <c r="E382" s="14" t="s">
        <v>25</v>
      </c>
      <c r="F382" s="14" t="s">
        <v>26</v>
      </c>
      <c r="G382" s="156">
        <v>5000</v>
      </c>
      <c r="H382" s="157"/>
      <c r="I382" s="158">
        <f t="shared" si="5"/>
        <v>5000</v>
      </c>
      <c r="J382" s="159"/>
      <c r="K382" s="159"/>
    </row>
    <row r="383" spans="1:11" ht="30">
      <c r="A383" s="152">
        <v>54313</v>
      </c>
      <c r="B383" s="153" t="s">
        <v>537</v>
      </c>
      <c r="C383" s="154"/>
      <c r="D383" s="14" t="s">
        <v>11</v>
      </c>
      <c r="E383" s="14" t="s">
        <v>25</v>
      </c>
      <c r="F383" s="14" t="s">
        <v>26</v>
      </c>
      <c r="G383" s="156">
        <v>500</v>
      </c>
      <c r="H383" s="157"/>
      <c r="I383" s="158">
        <f t="shared" si="5"/>
        <v>500</v>
      </c>
      <c r="J383" s="159"/>
      <c r="K383" s="159"/>
    </row>
    <row r="384" spans="1:11" ht="30">
      <c r="A384" s="152">
        <v>54399</v>
      </c>
      <c r="B384" s="153" t="s">
        <v>538</v>
      </c>
      <c r="C384" s="154"/>
      <c r="D384" s="14" t="s">
        <v>11</v>
      </c>
      <c r="E384" s="14" t="s">
        <v>25</v>
      </c>
      <c r="F384" s="14" t="s">
        <v>26</v>
      </c>
      <c r="G384" s="156">
        <v>990</v>
      </c>
      <c r="H384" s="157"/>
      <c r="I384" s="158">
        <f t="shared" si="5"/>
        <v>990</v>
      </c>
      <c r="J384" s="159"/>
      <c r="K384" s="159"/>
    </row>
    <row r="385" spans="1:343" ht="29.25">
      <c r="A385" s="152">
        <v>55603</v>
      </c>
      <c r="B385" s="153" t="s">
        <v>539</v>
      </c>
      <c r="C385" s="154"/>
      <c r="D385" s="14" t="s">
        <v>11</v>
      </c>
      <c r="E385" s="14" t="s">
        <v>25</v>
      </c>
      <c r="F385" s="14" t="s">
        <v>26</v>
      </c>
      <c r="G385" s="156">
        <v>10</v>
      </c>
      <c r="H385" s="157"/>
      <c r="I385" s="158">
        <f t="shared" si="5"/>
        <v>10</v>
      </c>
      <c r="J385" s="159"/>
      <c r="K385" s="159"/>
    </row>
    <row r="386" spans="1:343" ht="55.5">
      <c r="A386" s="144" t="s">
        <v>540</v>
      </c>
      <c r="B386" s="53" t="s">
        <v>541</v>
      </c>
      <c r="C386" s="154"/>
      <c r="D386" s="155"/>
      <c r="E386" s="155"/>
      <c r="F386" s="155"/>
      <c r="G386" s="156"/>
      <c r="H386" s="157"/>
      <c r="I386" s="158"/>
      <c r="J386" s="159"/>
      <c r="K386" s="159"/>
    </row>
    <row r="387" spans="1:343" ht="29.25">
      <c r="A387" s="152">
        <v>51202</v>
      </c>
      <c r="B387" s="153" t="s">
        <v>542</v>
      </c>
      <c r="C387" s="154"/>
      <c r="D387" s="14" t="s">
        <v>11</v>
      </c>
      <c r="E387" s="14" t="s">
        <v>25</v>
      </c>
      <c r="F387" s="14" t="s">
        <v>26</v>
      </c>
      <c r="G387" s="156">
        <v>5000</v>
      </c>
      <c r="H387" s="157"/>
      <c r="I387" s="158">
        <f t="shared" si="5"/>
        <v>5000</v>
      </c>
      <c r="J387" s="159"/>
      <c r="K387" s="159"/>
    </row>
    <row r="388" spans="1:343" ht="39.75" customHeight="1">
      <c r="A388" s="152">
        <v>54111</v>
      </c>
      <c r="B388" s="153" t="s">
        <v>543</v>
      </c>
      <c r="C388" s="154"/>
      <c r="D388" s="14" t="s">
        <v>11</v>
      </c>
      <c r="E388" s="14" t="s">
        <v>25</v>
      </c>
      <c r="F388" s="14" t="s">
        <v>26</v>
      </c>
      <c r="G388" s="156">
        <v>5500</v>
      </c>
      <c r="H388" s="157"/>
      <c r="I388" s="158">
        <f t="shared" si="5"/>
        <v>5500</v>
      </c>
      <c r="J388" s="159"/>
      <c r="K388" s="159"/>
    </row>
    <row r="389" spans="1:343" ht="35.25" customHeight="1">
      <c r="A389" s="152">
        <v>54112</v>
      </c>
      <c r="B389" s="153" t="s">
        <v>544</v>
      </c>
      <c r="C389" s="154"/>
      <c r="D389" s="14" t="s">
        <v>11</v>
      </c>
      <c r="E389" s="14" t="s">
        <v>25</v>
      </c>
      <c r="F389" s="14" t="s">
        <v>26</v>
      </c>
      <c r="G389" s="156">
        <v>3000</v>
      </c>
      <c r="H389" s="157"/>
      <c r="I389" s="158">
        <f t="shared" ref="I389:I397" si="6">G389-H389+J389-K389</f>
        <v>3000</v>
      </c>
      <c r="J389" s="159"/>
      <c r="K389" s="159"/>
    </row>
    <row r="390" spans="1:343" ht="36.75" customHeight="1">
      <c r="A390" s="152">
        <v>54313</v>
      </c>
      <c r="B390" s="153" t="s">
        <v>545</v>
      </c>
      <c r="C390" s="154"/>
      <c r="D390" s="14" t="s">
        <v>11</v>
      </c>
      <c r="E390" s="14" t="s">
        <v>25</v>
      </c>
      <c r="F390" s="14" t="s">
        <v>26</v>
      </c>
      <c r="G390" s="156">
        <v>500</v>
      </c>
      <c r="H390" s="157"/>
      <c r="I390" s="158">
        <f t="shared" si="6"/>
        <v>500</v>
      </c>
      <c r="J390" s="159"/>
      <c r="K390" s="159"/>
      <c r="L390" s="167"/>
      <c r="M390" s="167"/>
      <c r="N390" s="167"/>
      <c r="O390" s="167"/>
      <c r="P390" s="167"/>
      <c r="Q390" s="167"/>
    </row>
    <row r="391" spans="1:343" ht="34.5" customHeight="1">
      <c r="A391" s="152">
        <v>54399</v>
      </c>
      <c r="B391" s="153" t="s">
        <v>546</v>
      </c>
      <c r="C391" s="154"/>
      <c r="D391" s="14" t="s">
        <v>11</v>
      </c>
      <c r="E391" s="14" t="s">
        <v>25</v>
      </c>
      <c r="F391" s="14" t="s">
        <v>26</v>
      </c>
      <c r="G391" s="156">
        <v>990</v>
      </c>
      <c r="H391" s="157"/>
      <c r="I391" s="158">
        <f t="shared" si="6"/>
        <v>990</v>
      </c>
      <c r="J391" s="159"/>
      <c r="K391" s="159"/>
      <c r="L391" s="167"/>
      <c r="M391" s="167"/>
      <c r="N391" s="167"/>
      <c r="O391" s="167"/>
      <c r="P391" s="167"/>
      <c r="Q391" s="167"/>
      <c r="AA391" s="167"/>
      <c r="AB391" s="167"/>
      <c r="AC391" s="167"/>
      <c r="AD391" s="167"/>
      <c r="AE391" s="167"/>
      <c r="AF391" s="167"/>
      <c r="AG391" s="167"/>
      <c r="AH391" s="167"/>
      <c r="AI391" s="167"/>
      <c r="AJ391" s="167"/>
      <c r="AK391" s="167"/>
      <c r="AL391" s="167"/>
      <c r="AM391" s="167"/>
      <c r="AN391" s="167"/>
      <c r="AO391" s="167"/>
      <c r="AP391" s="167"/>
      <c r="AQ391" s="167"/>
      <c r="AR391" s="167"/>
      <c r="AS391" s="167"/>
      <c r="AT391" s="167"/>
    </row>
    <row r="392" spans="1:343" s="47" customFormat="1" ht="29.25">
      <c r="A392" s="11">
        <v>55603</v>
      </c>
      <c r="B392" s="153" t="s">
        <v>547</v>
      </c>
      <c r="C392" s="12"/>
      <c r="D392" s="14" t="s">
        <v>11</v>
      </c>
      <c r="E392" s="14" t="s">
        <v>25</v>
      </c>
      <c r="F392" s="14" t="s">
        <v>26</v>
      </c>
      <c r="G392" s="43">
        <v>10</v>
      </c>
      <c r="H392" s="51"/>
      <c r="I392" s="158">
        <f t="shared" si="6"/>
        <v>10</v>
      </c>
      <c r="J392" s="44"/>
      <c r="K392" s="44"/>
      <c r="L392" s="167"/>
      <c r="M392" s="167"/>
      <c r="N392" s="167"/>
      <c r="O392" s="167"/>
      <c r="P392" s="167"/>
      <c r="Q392" s="167"/>
      <c r="R392" s="167"/>
      <c r="S392" s="167"/>
      <c r="T392" s="167"/>
      <c r="U392" s="167"/>
      <c r="V392" s="167"/>
      <c r="W392" s="167"/>
      <c r="X392" s="167"/>
      <c r="Y392" s="167"/>
      <c r="Z392" s="167"/>
      <c r="AA392" s="167"/>
      <c r="AB392" s="167"/>
      <c r="AC392" s="167"/>
      <c r="AD392" s="167"/>
      <c r="AE392" s="167"/>
      <c r="AF392" s="167"/>
      <c r="AG392" s="167"/>
      <c r="AH392" s="167"/>
      <c r="AI392" s="167"/>
      <c r="AJ392" s="167"/>
      <c r="AK392" s="167"/>
      <c r="AL392" s="167"/>
      <c r="AM392" s="167"/>
      <c r="AN392" s="167"/>
      <c r="AO392" s="167"/>
      <c r="AP392" s="167"/>
      <c r="AQ392" s="167"/>
      <c r="AR392" s="167"/>
      <c r="AS392" s="167"/>
      <c r="AT392" s="167"/>
      <c r="AU392" s="167"/>
      <c r="AV392" s="167"/>
      <c r="AW392" s="167"/>
      <c r="AX392" s="167"/>
      <c r="AY392" s="167"/>
      <c r="AZ392" s="167"/>
      <c r="BA392" s="167"/>
      <c r="BB392" s="167"/>
      <c r="BC392" s="167"/>
      <c r="BD392" s="167"/>
      <c r="BE392" s="167"/>
      <c r="BF392" s="167"/>
      <c r="BG392" s="167"/>
      <c r="BH392" s="167"/>
      <c r="BI392" s="167"/>
      <c r="BJ392" s="167"/>
      <c r="BK392" s="167"/>
      <c r="BL392" s="167"/>
      <c r="BM392" s="167"/>
      <c r="BN392" s="167"/>
      <c r="BO392" s="167"/>
      <c r="BP392" s="167"/>
      <c r="BQ392" s="167"/>
      <c r="BR392" s="167"/>
      <c r="BS392" s="167"/>
      <c r="BT392" s="167"/>
      <c r="BU392" s="167"/>
      <c r="BV392" s="167"/>
      <c r="BW392" s="167"/>
      <c r="BX392" s="167"/>
      <c r="BY392" s="167"/>
      <c r="BZ392" s="167"/>
      <c r="CA392" s="167"/>
      <c r="CB392" s="167"/>
      <c r="CC392" s="167"/>
      <c r="CD392" s="167"/>
      <c r="CE392" s="167"/>
      <c r="CF392" s="167"/>
      <c r="CG392" s="167"/>
      <c r="CH392" s="167"/>
      <c r="CI392" s="167"/>
      <c r="CJ392" s="167"/>
      <c r="CK392" s="167"/>
      <c r="CL392" s="167"/>
      <c r="CM392" s="167"/>
      <c r="CN392" s="167"/>
      <c r="CO392" s="167"/>
      <c r="CP392" s="167"/>
      <c r="CQ392" s="167"/>
      <c r="CR392" s="167"/>
      <c r="CS392" s="167"/>
      <c r="CT392" s="167"/>
      <c r="CU392" s="167"/>
      <c r="CV392" s="167"/>
      <c r="CW392" s="167"/>
      <c r="CX392" s="167"/>
      <c r="CY392" s="167"/>
      <c r="CZ392" s="167"/>
      <c r="DA392" s="167"/>
      <c r="DB392" s="167"/>
      <c r="DC392" s="167"/>
      <c r="DD392" s="167"/>
      <c r="DE392" s="167"/>
      <c r="DF392" s="167"/>
      <c r="DG392" s="167"/>
      <c r="DH392" s="167"/>
      <c r="DI392" s="167"/>
      <c r="DJ392" s="167"/>
      <c r="DK392" s="167"/>
      <c r="DL392" s="167"/>
      <c r="DM392" s="167"/>
      <c r="DN392" s="167"/>
      <c r="DO392" s="167"/>
      <c r="DP392" s="167"/>
      <c r="DQ392" s="167"/>
      <c r="DR392" s="167"/>
      <c r="DS392" s="167"/>
      <c r="DT392" s="167"/>
      <c r="DU392" s="167"/>
      <c r="DV392" s="167"/>
      <c r="DW392" s="167"/>
      <c r="DX392" s="167"/>
      <c r="DY392" s="167"/>
      <c r="DZ392" s="167"/>
      <c r="EA392" s="167"/>
      <c r="EB392" s="167"/>
      <c r="EC392" s="167"/>
      <c r="ED392" s="167"/>
      <c r="EE392" s="167"/>
      <c r="EF392" s="167"/>
      <c r="EG392" s="167"/>
      <c r="EH392" s="167"/>
      <c r="EI392" s="167"/>
      <c r="EJ392" s="167"/>
      <c r="EK392" s="167"/>
      <c r="EL392" s="167"/>
      <c r="EM392" s="167"/>
      <c r="EN392" s="167"/>
      <c r="EO392" s="167"/>
      <c r="EP392" s="167"/>
      <c r="EQ392" s="167"/>
      <c r="ER392" s="167"/>
      <c r="ES392" s="167"/>
      <c r="ET392" s="167"/>
      <c r="EU392" s="167"/>
      <c r="EV392" s="167"/>
      <c r="EW392" s="167"/>
      <c r="EX392" s="167"/>
      <c r="EY392" s="167"/>
      <c r="EZ392" s="167"/>
      <c r="FA392" s="167"/>
      <c r="FB392" s="167"/>
      <c r="FC392" s="167"/>
      <c r="FD392" s="167"/>
      <c r="FE392" s="167"/>
      <c r="FF392" s="167"/>
      <c r="FG392" s="167"/>
      <c r="FH392" s="167"/>
      <c r="FI392" s="167"/>
      <c r="FJ392" s="167"/>
      <c r="FK392" s="167"/>
      <c r="FL392" s="167"/>
      <c r="FM392" s="167"/>
      <c r="FN392" s="167"/>
      <c r="FO392" s="167"/>
      <c r="FP392" s="167"/>
      <c r="FQ392" s="167"/>
      <c r="FR392" s="167"/>
      <c r="FS392" s="167"/>
      <c r="FT392" s="167"/>
      <c r="FU392" s="167"/>
      <c r="FV392" s="167"/>
      <c r="FW392" s="167"/>
      <c r="FX392" s="167"/>
      <c r="FY392" s="167"/>
      <c r="FZ392" s="167"/>
      <c r="GA392" s="167"/>
      <c r="GB392" s="167"/>
      <c r="GC392" s="167"/>
      <c r="GD392" s="167"/>
      <c r="GE392" s="167"/>
      <c r="GF392" s="167"/>
      <c r="GG392" s="167"/>
      <c r="GH392" s="167"/>
      <c r="GI392" s="167"/>
      <c r="GJ392" s="167"/>
      <c r="GK392" s="167"/>
      <c r="GL392" s="167"/>
      <c r="GM392" s="167"/>
      <c r="GN392" s="167"/>
      <c r="GO392" s="167"/>
      <c r="GP392" s="167"/>
      <c r="GQ392" s="167"/>
      <c r="GR392" s="167"/>
      <c r="GS392" s="167"/>
      <c r="GT392" s="167"/>
      <c r="GU392" s="167"/>
      <c r="GV392" s="167"/>
      <c r="GW392" s="167"/>
      <c r="GX392" s="167"/>
      <c r="GY392" s="167"/>
      <c r="GZ392" s="167"/>
      <c r="HA392" s="167"/>
      <c r="HB392" s="167"/>
      <c r="HC392" s="167"/>
      <c r="HD392" s="167"/>
      <c r="HE392" s="167"/>
      <c r="HF392" s="167"/>
      <c r="HG392" s="167"/>
      <c r="HH392" s="167"/>
      <c r="HI392" s="167"/>
      <c r="HJ392" s="167"/>
      <c r="HK392" s="167"/>
      <c r="HL392" s="167"/>
      <c r="HM392" s="167"/>
      <c r="HN392" s="167"/>
      <c r="HO392" s="167"/>
      <c r="HP392" s="167"/>
      <c r="HQ392" s="167"/>
      <c r="HR392" s="167"/>
      <c r="HS392" s="167"/>
      <c r="HT392" s="167"/>
      <c r="HU392" s="167"/>
      <c r="HV392" s="167"/>
      <c r="HW392" s="167"/>
      <c r="HX392" s="167"/>
      <c r="HY392" s="167"/>
      <c r="HZ392" s="167"/>
      <c r="IA392" s="167"/>
      <c r="IB392" s="167"/>
      <c r="IC392" s="167"/>
      <c r="ID392" s="167"/>
      <c r="IE392" s="167"/>
      <c r="IF392" s="167"/>
      <c r="IG392" s="167"/>
      <c r="IH392" s="167"/>
      <c r="II392" s="167"/>
      <c r="IJ392" s="167"/>
      <c r="IK392" s="167"/>
      <c r="IL392" s="167"/>
      <c r="IM392" s="167"/>
      <c r="IN392" s="167"/>
      <c r="IO392" s="167"/>
      <c r="IP392" s="167"/>
      <c r="IQ392" s="167"/>
      <c r="IR392" s="167"/>
      <c r="IS392" s="167"/>
      <c r="IT392" s="167"/>
      <c r="IU392" s="167"/>
      <c r="IV392" s="167"/>
      <c r="IW392" s="167"/>
      <c r="IX392" s="167"/>
      <c r="IY392" s="167"/>
      <c r="IZ392" s="167"/>
      <c r="JA392" s="167"/>
      <c r="JB392" s="167"/>
      <c r="JC392" s="167"/>
      <c r="JD392" s="167"/>
      <c r="JE392" s="167"/>
      <c r="JF392" s="167"/>
      <c r="JG392" s="167"/>
      <c r="JH392" s="167"/>
      <c r="JI392" s="167"/>
      <c r="JJ392" s="167"/>
      <c r="JK392" s="167"/>
      <c r="JL392" s="167"/>
      <c r="JM392" s="167"/>
      <c r="JN392" s="167"/>
      <c r="JO392" s="167"/>
      <c r="JP392" s="167"/>
      <c r="JQ392" s="167"/>
      <c r="JR392" s="167"/>
      <c r="JS392" s="167"/>
      <c r="JT392" s="167"/>
      <c r="JU392" s="167"/>
      <c r="JV392" s="167"/>
      <c r="JW392" s="167"/>
      <c r="JX392" s="167"/>
      <c r="JY392" s="167"/>
      <c r="JZ392" s="167"/>
      <c r="KA392" s="167"/>
      <c r="KB392" s="167"/>
      <c r="KC392" s="167"/>
      <c r="KD392" s="167"/>
      <c r="KE392" s="167"/>
      <c r="KF392" s="167"/>
      <c r="KG392" s="167"/>
      <c r="KH392" s="167"/>
      <c r="KI392" s="167"/>
      <c r="KJ392" s="167"/>
      <c r="KK392" s="167"/>
      <c r="KL392" s="167"/>
      <c r="KM392" s="167"/>
      <c r="KN392" s="167"/>
      <c r="KO392" s="167"/>
      <c r="KP392" s="167"/>
      <c r="KQ392" s="167"/>
      <c r="KR392" s="167"/>
      <c r="KS392" s="167"/>
      <c r="KT392" s="167"/>
      <c r="KU392" s="167"/>
      <c r="KV392" s="167"/>
      <c r="KW392" s="167"/>
      <c r="KX392" s="167"/>
      <c r="KY392" s="167"/>
      <c r="KZ392" s="167"/>
      <c r="LA392" s="167"/>
      <c r="LB392" s="167"/>
      <c r="LC392" s="167"/>
      <c r="LD392" s="167"/>
      <c r="LE392" s="167"/>
      <c r="LF392" s="167"/>
      <c r="LG392" s="167"/>
      <c r="LH392" s="167"/>
      <c r="LI392" s="167"/>
      <c r="LJ392" s="167"/>
      <c r="LK392" s="167"/>
      <c r="LL392" s="167"/>
      <c r="LM392" s="167"/>
      <c r="LN392" s="167"/>
      <c r="LO392" s="167"/>
      <c r="LP392" s="167"/>
      <c r="LQ392" s="167"/>
      <c r="LR392" s="167"/>
      <c r="LS392" s="167"/>
      <c r="LT392" s="167"/>
      <c r="LU392" s="167"/>
      <c r="LV392" s="167"/>
      <c r="LW392" s="167"/>
      <c r="LX392" s="167"/>
      <c r="LY392" s="167"/>
      <c r="LZ392" s="167"/>
      <c r="MA392" s="167"/>
      <c r="MB392" s="167"/>
      <c r="MC392" s="167"/>
      <c r="MD392" s="167"/>
      <c r="ME392" s="167"/>
    </row>
    <row r="393" spans="1:343" s="47" customFormat="1" ht="28.5">
      <c r="A393" s="144" t="s">
        <v>548</v>
      </c>
      <c r="B393" s="53" t="s">
        <v>549</v>
      </c>
      <c r="C393" s="12"/>
      <c r="D393" s="14" t="s">
        <v>11</v>
      </c>
      <c r="E393" s="14" t="s">
        <v>25</v>
      </c>
      <c r="F393" s="14" t="s">
        <v>26</v>
      </c>
      <c r="G393" s="43">
        <v>5000</v>
      </c>
      <c r="H393" s="51"/>
      <c r="I393" s="17">
        <f t="shared" si="6"/>
        <v>5000</v>
      </c>
      <c r="J393" s="44"/>
      <c r="K393" s="44"/>
      <c r="L393" s="167"/>
      <c r="M393" s="167"/>
      <c r="N393" s="167"/>
      <c r="O393" s="167"/>
      <c r="P393" s="167"/>
      <c r="Q393" s="167"/>
      <c r="R393" s="167"/>
      <c r="S393" s="167"/>
      <c r="T393" s="167"/>
      <c r="U393" s="167"/>
      <c r="V393" s="167"/>
      <c r="W393" s="167"/>
      <c r="X393" s="167"/>
      <c r="Y393" s="167"/>
      <c r="Z393" s="167"/>
      <c r="AA393" s="167"/>
      <c r="AB393" s="167"/>
      <c r="AC393" s="167"/>
      <c r="AD393" s="167"/>
      <c r="AE393" s="167"/>
      <c r="AF393" s="167"/>
      <c r="AG393" s="167"/>
      <c r="AH393" s="167"/>
      <c r="AI393" s="167"/>
      <c r="AJ393" s="167"/>
      <c r="AK393" s="167"/>
      <c r="AL393" s="167"/>
      <c r="AM393" s="167"/>
      <c r="AN393" s="167"/>
      <c r="AO393" s="167"/>
      <c r="AP393" s="167"/>
      <c r="AQ393" s="167"/>
      <c r="AR393" s="167"/>
      <c r="AS393" s="167"/>
      <c r="AT393" s="167"/>
      <c r="AU393" s="167"/>
      <c r="AV393" s="167"/>
      <c r="AW393" s="167"/>
      <c r="AX393" s="167"/>
      <c r="AY393" s="167"/>
      <c r="AZ393" s="167"/>
      <c r="BA393" s="167"/>
      <c r="BB393" s="167"/>
      <c r="BC393" s="167"/>
      <c r="BD393" s="167"/>
      <c r="BE393" s="167"/>
      <c r="BF393" s="167"/>
      <c r="BG393" s="167"/>
      <c r="BH393" s="167"/>
      <c r="BI393" s="167"/>
      <c r="BJ393" s="167"/>
      <c r="BK393" s="167"/>
      <c r="BL393" s="167"/>
      <c r="BM393" s="167"/>
      <c r="BN393" s="167"/>
      <c r="BO393" s="167"/>
      <c r="BP393" s="167"/>
      <c r="BQ393" s="167"/>
      <c r="BR393" s="167"/>
      <c r="BS393" s="167"/>
      <c r="BT393" s="167"/>
      <c r="BU393" s="167"/>
      <c r="BV393" s="167"/>
      <c r="BW393" s="167"/>
      <c r="BX393" s="167"/>
      <c r="BY393" s="167"/>
      <c r="BZ393" s="167"/>
      <c r="CA393" s="167"/>
      <c r="CB393" s="167"/>
      <c r="CC393" s="167"/>
      <c r="CD393" s="167"/>
      <c r="CE393" s="167"/>
      <c r="CF393" s="167"/>
      <c r="CG393" s="167"/>
      <c r="CH393" s="167"/>
      <c r="CI393" s="167"/>
      <c r="CJ393" s="167"/>
      <c r="CK393" s="167"/>
      <c r="CL393" s="167"/>
      <c r="CM393" s="167"/>
      <c r="CN393" s="167"/>
      <c r="CO393" s="167"/>
      <c r="CP393" s="167"/>
      <c r="CQ393" s="167"/>
      <c r="CR393" s="167"/>
      <c r="CS393" s="167"/>
      <c r="CT393" s="167"/>
      <c r="CU393" s="167"/>
      <c r="CV393" s="167"/>
      <c r="CW393" s="167"/>
      <c r="CX393" s="167"/>
      <c r="CY393" s="167"/>
      <c r="CZ393" s="167"/>
      <c r="DA393" s="167"/>
      <c r="DB393" s="167"/>
      <c r="DC393" s="167"/>
      <c r="DD393" s="167"/>
      <c r="DE393" s="167"/>
      <c r="DF393" s="167"/>
      <c r="DG393" s="167"/>
      <c r="DH393" s="167"/>
      <c r="DI393" s="167"/>
      <c r="DJ393" s="167"/>
      <c r="DK393" s="167"/>
      <c r="DL393" s="167"/>
      <c r="DM393" s="167"/>
      <c r="DN393" s="167"/>
      <c r="DO393" s="167"/>
      <c r="DP393" s="167"/>
      <c r="DQ393" s="167"/>
      <c r="DR393" s="167"/>
      <c r="DS393" s="167"/>
      <c r="DT393" s="167"/>
      <c r="DU393" s="167"/>
      <c r="DV393" s="167"/>
      <c r="DW393" s="167"/>
      <c r="DX393" s="167"/>
      <c r="DY393" s="167"/>
      <c r="DZ393" s="167"/>
      <c r="EA393" s="167"/>
      <c r="EB393" s="167"/>
      <c r="EC393" s="167"/>
      <c r="ED393" s="167"/>
      <c r="EE393" s="167"/>
      <c r="EF393" s="167"/>
      <c r="EG393" s="167"/>
      <c r="EH393" s="167"/>
      <c r="EI393" s="167"/>
      <c r="EJ393" s="167"/>
      <c r="EK393" s="167"/>
      <c r="EL393" s="167"/>
      <c r="EM393" s="167"/>
      <c r="EN393" s="167"/>
      <c r="EO393" s="167"/>
      <c r="EP393" s="167"/>
      <c r="EQ393" s="167"/>
      <c r="ER393" s="167"/>
      <c r="ES393" s="167"/>
      <c r="ET393" s="167"/>
      <c r="EU393" s="167"/>
      <c r="EV393" s="167"/>
      <c r="EW393" s="167"/>
      <c r="EX393" s="167"/>
      <c r="EY393" s="167"/>
      <c r="EZ393" s="167"/>
      <c r="FA393" s="167"/>
      <c r="FB393" s="167"/>
      <c r="FC393" s="167"/>
      <c r="FD393" s="167"/>
      <c r="FE393" s="167"/>
      <c r="FF393" s="167"/>
      <c r="FG393" s="167"/>
      <c r="FH393" s="167"/>
      <c r="FI393" s="167"/>
      <c r="FJ393" s="167"/>
      <c r="FK393" s="167"/>
      <c r="FL393" s="167"/>
      <c r="FM393" s="167"/>
      <c r="FN393" s="167"/>
      <c r="FO393" s="167"/>
      <c r="FP393" s="167"/>
      <c r="FQ393" s="167"/>
      <c r="FR393" s="167"/>
      <c r="FS393" s="167"/>
      <c r="FT393" s="167"/>
      <c r="FU393" s="167"/>
      <c r="FV393" s="167"/>
      <c r="FW393" s="167"/>
      <c r="FX393" s="167"/>
      <c r="FY393" s="167"/>
      <c r="FZ393" s="167"/>
      <c r="GA393" s="167"/>
      <c r="GB393" s="167"/>
      <c r="GC393" s="167"/>
      <c r="GD393" s="167"/>
      <c r="GE393" s="167"/>
      <c r="GF393" s="167"/>
      <c r="GG393" s="167"/>
      <c r="GH393" s="167"/>
      <c r="GI393" s="167"/>
      <c r="GJ393" s="167"/>
      <c r="GK393" s="167"/>
      <c r="GL393" s="167"/>
      <c r="GM393" s="167"/>
      <c r="GN393" s="167"/>
      <c r="GO393" s="167"/>
      <c r="GP393" s="167"/>
      <c r="GQ393" s="167"/>
      <c r="GR393" s="167"/>
      <c r="GS393" s="167"/>
      <c r="GT393" s="167"/>
      <c r="GU393" s="167"/>
      <c r="GV393" s="167"/>
      <c r="GW393" s="167"/>
      <c r="GX393" s="167"/>
      <c r="GY393" s="167"/>
      <c r="GZ393" s="167"/>
      <c r="HA393" s="167"/>
      <c r="HB393" s="167"/>
      <c r="HC393" s="167"/>
      <c r="HD393" s="167"/>
      <c r="HE393" s="167"/>
      <c r="HF393" s="167"/>
      <c r="HG393" s="167"/>
      <c r="HH393" s="167"/>
      <c r="HI393" s="167"/>
      <c r="HJ393" s="167"/>
      <c r="HK393" s="167"/>
      <c r="HL393" s="167"/>
      <c r="HM393" s="167"/>
      <c r="HN393" s="167"/>
      <c r="HO393" s="167"/>
      <c r="HP393" s="167"/>
      <c r="HQ393" s="167"/>
      <c r="HR393" s="167"/>
      <c r="HS393" s="167"/>
      <c r="HT393" s="167"/>
      <c r="HU393" s="167"/>
      <c r="HV393" s="167"/>
      <c r="HW393" s="167"/>
      <c r="HX393" s="167"/>
      <c r="HY393" s="167"/>
      <c r="HZ393" s="167"/>
      <c r="IA393" s="167"/>
      <c r="IB393" s="167"/>
      <c r="IC393" s="167"/>
      <c r="ID393" s="167"/>
      <c r="IE393" s="167"/>
      <c r="IF393" s="167"/>
      <c r="IG393" s="167"/>
      <c r="IH393" s="167"/>
      <c r="II393" s="167"/>
      <c r="IJ393" s="167"/>
      <c r="IK393" s="167"/>
      <c r="IL393" s="167"/>
      <c r="IM393" s="167"/>
      <c r="IN393" s="167"/>
      <c r="IO393" s="167"/>
      <c r="IP393" s="167"/>
      <c r="IQ393" s="167"/>
      <c r="IR393" s="167"/>
      <c r="IS393" s="167"/>
      <c r="IT393" s="167"/>
      <c r="IU393" s="167"/>
      <c r="IV393" s="167"/>
      <c r="IW393" s="167"/>
      <c r="IX393" s="167"/>
      <c r="IY393" s="167"/>
      <c r="IZ393" s="167"/>
      <c r="JA393" s="167"/>
      <c r="JB393" s="167"/>
      <c r="JC393" s="167"/>
      <c r="JD393" s="167"/>
      <c r="JE393" s="167"/>
      <c r="JF393" s="167"/>
      <c r="JG393" s="167"/>
      <c r="JH393" s="167"/>
      <c r="JI393" s="167"/>
      <c r="JJ393" s="167"/>
      <c r="JK393" s="167"/>
      <c r="JL393" s="167"/>
      <c r="JM393" s="167"/>
      <c r="JN393" s="167"/>
      <c r="JO393" s="167"/>
      <c r="JP393" s="167"/>
      <c r="JQ393" s="167"/>
      <c r="JR393" s="167"/>
      <c r="JS393" s="167"/>
      <c r="JT393" s="167"/>
      <c r="JU393" s="167"/>
      <c r="JV393" s="167"/>
      <c r="JW393" s="167"/>
      <c r="JX393" s="167"/>
      <c r="JY393" s="167"/>
      <c r="JZ393" s="167"/>
      <c r="KA393" s="167"/>
      <c r="KB393" s="167"/>
      <c r="KC393" s="167"/>
      <c r="KD393" s="167"/>
      <c r="KE393" s="167"/>
      <c r="KF393" s="167"/>
      <c r="KG393" s="167"/>
      <c r="KH393" s="167"/>
      <c r="KI393" s="167"/>
      <c r="KJ393" s="167"/>
      <c r="KK393" s="167"/>
      <c r="KL393" s="167"/>
      <c r="KM393" s="167"/>
      <c r="KN393" s="167"/>
      <c r="KO393" s="167"/>
      <c r="KP393" s="167"/>
      <c r="KQ393" s="167"/>
      <c r="KR393" s="167"/>
      <c r="KS393" s="167"/>
      <c r="KT393" s="167"/>
      <c r="KU393" s="167"/>
      <c r="KV393" s="167"/>
      <c r="KW393" s="167"/>
      <c r="KX393" s="167"/>
      <c r="KY393" s="167"/>
      <c r="KZ393" s="167"/>
      <c r="LA393" s="167"/>
      <c r="LB393" s="167"/>
      <c r="LC393" s="167"/>
      <c r="LD393" s="167"/>
      <c r="LE393" s="167"/>
      <c r="LF393" s="167"/>
      <c r="LG393" s="167"/>
      <c r="LH393" s="167"/>
      <c r="LI393" s="167"/>
      <c r="LJ393" s="167"/>
      <c r="LK393" s="167"/>
      <c r="LL393" s="167"/>
      <c r="LM393" s="167"/>
      <c r="LN393" s="167"/>
      <c r="LO393" s="167"/>
      <c r="LP393" s="167"/>
      <c r="LQ393" s="167"/>
      <c r="LR393" s="167"/>
      <c r="LS393" s="167"/>
      <c r="LT393" s="167"/>
      <c r="LU393" s="167"/>
      <c r="LV393" s="167"/>
      <c r="LW393" s="167"/>
      <c r="LX393" s="167"/>
      <c r="LY393" s="167"/>
      <c r="LZ393" s="167"/>
      <c r="MA393" s="167"/>
      <c r="MB393" s="167"/>
      <c r="MC393" s="167"/>
      <c r="MD393" s="167"/>
      <c r="ME393" s="167"/>
    </row>
    <row r="394" spans="1:343" s="47" customFormat="1" ht="40.5">
      <c r="A394" s="144" t="s">
        <v>550</v>
      </c>
      <c r="B394" s="53" t="s">
        <v>551</v>
      </c>
      <c r="C394" s="12"/>
      <c r="D394" s="3"/>
      <c r="E394" s="3"/>
      <c r="F394" s="3"/>
      <c r="G394" s="43"/>
      <c r="H394" s="51"/>
      <c r="I394" s="17"/>
      <c r="J394" s="44"/>
      <c r="K394" s="44"/>
      <c r="L394" s="167"/>
      <c r="M394" s="167"/>
      <c r="N394" s="167"/>
      <c r="O394" s="167"/>
      <c r="P394" s="167"/>
      <c r="Q394" s="167"/>
      <c r="R394" s="167"/>
      <c r="S394" s="167"/>
      <c r="T394" s="167"/>
      <c r="U394" s="167"/>
      <c r="V394" s="167"/>
      <c r="W394" s="167"/>
      <c r="X394" s="167"/>
      <c r="Y394" s="167"/>
      <c r="Z394" s="167"/>
      <c r="AA394" s="167"/>
      <c r="AB394" s="167"/>
      <c r="AC394" s="167"/>
      <c r="AD394" s="167"/>
      <c r="AE394" s="167"/>
      <c r="AF394" s="167"/>
      <c r="AG394" s="167"/>
      <c r="AH394" s="167"/>
      <c r="AI394" s="167"/>
      <c r="AJ394" s="167"/>
      <c r="AK394" s="167"/>
      <c r="AL394" s="167"/>
      <c r="AM394" s="167"/>
      <c r="AN394" s="167"/>
      <c r="AO394" s="167"/>
      <c r="AP394" s="167"/>
      <c r="AQ394" s="167"/>
      <c r="AR394" s="167"/>
      <c r="AS394" s="167"/>
      <c r="AT394" s="167"/>
      <c r="AU394" s="167"/>
      <c r="AV394" s="167"/>
      <c r="AW394" s="167"/>
      <c r="AX394" s="167"/>
      <c r="AY394" s="167"/>
      <c r="AZ394" s="167"/>
      <c r="BA394" s="167"/>
      <c r="BB394" s="167"/>
      <c r="BC394" s="167"/>
      <c r="BD394" s="167"/>
      <c r="BE394" s="167"/>
      <c r="BF394" s="167"/>
      <c r="BG394" s="167"/>
      <c r="BH394" s="167"/>
      <c r="BI394" s="167"/>
      <c r="BJ394" s="167"/>
      <c r="BK394" s="167"/>
      <c r="BL394" s="167"/>
      <c r="BM394" s="167"/>
      <c r="BN394" s="167"/>
      <c r="BO394" s="167"/>
      <c r="BP394" s="167"/>
      <c r="BQ394" s="167"/>
      <c r="BR394" s="167"/>
      <c r="BS394" s="167"/>
      <c r="BT394" s="167"/>
      <c r="BU394" s="167"/>
      <c r="BV394" s="167"/>
      <c r="BW394" s="167"/>
      <c r="BX394" s="167"/>
      <c r="BY394" s="167"/>
      <c r="BZ394" s="167"/>
      <c r="CA394" s="167"/>
      <c r="CB394" s="167"/>
      <c r="CC394" s="167"/>
      <c r="CD394" s="167"/>
      <c r="CE394" s="167"/>
      <c r="CF394" s="167"/>
      <c r="CG394" s="167"/>
      <c r="CH394" s="167"/>
      <c r="CI394" s="167"/>
      <c r="CJ394" s="167"/>
      <c r="CK394" s="167"/>
      <c r="CL394" s="167"/>
      <c r="CM394" s="167"/>
      <c r="CN394" s="167"/>
      <c r="CO394" s="167"/>
      <c r="CP394" s="167"/>
      <c r="CQ394" s="167"/>
      <c r="CR394" s="167"/>
      <c r="CS394" s="167"/>
      <c r="CT394" s="167"/>
      <c r="CU394" s="167"/>
      <c r="CV394" s="167"/>
      <c r="CW394" s="167"/>
      <c r="CX394" s="167"/>
      <c r="CY394" s="167"/>
      <c r="CZ394" s="167"/>
      <c r="DA394" s="167"/>
      <c r="DB394" s="167"/>
      <c r="DC394" s="167"/>
      <c r="DD394" s="167"/>
      <c r="DE394" s="167"/>
      <c r="DF394" s="167"/>
      <c r="DG394" s="167"/>
      <c r="DH394" s="167"/>
      <c r="DI394" s="167"/>
      <c r="DJ394" s="167"/>
      <c r="DK394" s="167"/>
      <c r="DL394" s="167"/>
      <c r="DM394" s="167"/>
      <c r="DN394" s="167"/>
      <c r="DO394" s="167"/>
      <c r="DP394" s="167"/>
      <c r="DQ394" s="167"/>
      <c r="DR394" s="167"/>
      <c r="DS394" s="167"/>
      <c r="DT394" s="167"/>
      <c r="DU394" s="167"/>
      <c r="DV394" s="167"/>
      <c r="DW394" s="167"/>
      <c r="DX394" s="167"/>
      <c r="DY394" s="167"/>
      <c r="DZ394" s="167"/>
      <c r="EA394" s="167"/>
      <c r="EB394" s="167"/>
      <c r="EC394" s="167"/>
      <c r="ED394" s="167"/>
      <c r="EE394" s="167"/>
      <c r="EF394" s="167"/>
      <c r="EG394" s="167"/>
      <c r="EH394" s="167"/>
      <c r="EI394" s="167"/>
      <c r="EJ394" s="167"/>
      <c r="EK394" s="167"/>
      <c r="EL394" s="167"/>
      <c r="EM394" s="167"/>
      <c r="EN394" s="167"/>
      <c r="EO394" s="167"/>
      <c r="EP394" s="167"/>
      <c r="EQ394" s="167"/>
      <c r="ER394" s="167"/>
      <c r="ES394" s="167"/>
      <c r="ET394" s="167"/>
      <c r="EU394" s="167"/>
      <c r="EV394" s="167"/>
      <c r="EW394" s="167"/>
      <c r="EX394" s="167"/>
      <c r="EY394" s="167"/>
      <c r="EZ394" s="167"/>
      <c r="FA394" s="167"/>
      <c r="FB394" s="167"/>
      <c r="FC394" s="167"/>
      <c r="FD394" s="167"/>
      <c r="FE394" s="167"/>
      <c r="FF394" s="167"/>
      <c r="FG394" s="167"/>
      <c r="FH394" s="167"/>
      <c r="FI394" s="167"/>
      <c r="FJ394" s="167"/>
      <c r="FK394" s="167"/>
      <c r="FL394" s="167"/>
      <c r="FM394" s="167"/>
      <c r="FN394" s="167"/>
      <c r="FO394" s="167"/>
      <c r="FP394" s="167"/>
      <c r="FQ394" s="167"/>
      <c r="FR394" s="167"/>
      <c r="FS394" s="167"/>
      <c r="FT394" s="167"/>
      <c r="FU394" s="167"/>
      <c r="FV394" s="167"/>
      <c r="FW394" s="167"/>
      <c r="FX394" s="167"/>
      <c r="FY394" s="167"/>
      <c r="FZ394" s="167"/>
      <c r="GA394" s="167"/>
      <c r="GB394" s="167"/>
      <c r="GC394" s="167"/>
      <c r="GD394" s="167"/>
      <c r="GE394" s="167"/>
      <c r="GF394" s="167"/>
      <c r="GG394" s="167"/>
      <c r="GH394" s="167"/>
      <c r="GI394" s="167"/>
      <c r="GJ394" s="167"/>
      <c r="GK394" s="167"/>
      <c r="GL394" s="167"/>
      <c r="GM394" s="167"/>
      <c r="GN394" s="167"/>
      <c r="GO394" s="167"/>
      <c r="GP394" s="167"/>
      <c r="GQ394" s="167"/>
      <c r="GR394" s="167"/>
      <c r="GS394" s="167"/>
      <c r="GT394" s="167"/>
      <c r="GU394" s="167"/>
      <c r="GV394" s="167"/>
      <c r="GW394" s="167"/>
      <c r="GX394" s="167"/>
      <c r="GY394" s="167"/>
      <c r="GZ394" s="167"/>
      <c r="HA394" s="167"/>
      <c r="HB394" s="167"/>
      <c r="HC394" s="167"/>
      <c r="HD394" s="167"/>
      <c r="HE394" s="167"/>
      <c r="HF394" s="167"/>
      <c r="HG394" s="167"/>
      <c r="HH394" s="167"/>
      <c r="HI394" s="167"/>
      <c r="HJ394" s="167"/>
      <c r="HK394" s="167"/>
      <c r="HL394" s="167"/>
      <c r="HM394" s="167"/>
      <c r="HN394" s="167"/>
      <c r="HO394" s="167"/>
      <c r="HP394" s="167"/>
      <c r="HQ394" s="167"/>
      <c r="HR394" s="167"/>
      <c r="HS394" s="167"/>
      <c r="HT394" s="167"/>
      <c r="HU394" s="167"/>
      <c r="HV394" s="167"/>
      <c r="HW394" s="167"/>
      <c r="HX394" s="167"/>
      <c r="HY394" s="167"/>
      <c r="HZ394" s="167"/>
      <c r="IA394" s="167"/>
      <c r="IB394" s="167"/>
      <c r="IC394" s="167"/>
      <c r="ID394" s="167"/>
      <c r="IE394" s="167"/>
      <c r="IF394" s="167"/>
      <c r="IG394" s="167"/>
      <c r="IH394" s="167"/>
      <c r="II394" s="167"/>
      <c r="IJ394" s="167"/>
      <c r="IK394" s="167"/>
      <c r="IL394" s="167"/>
      <c r="IM394" s="167"/>
      <c r="IN394" s="167"/>
      <c r="IO394" s="167"/>
      <c r="IP394" s="167"/>
      <c r="IQ394" s="167"/>
      <c r="IR394" s="167"/>
      <c r="IS394" s="167"/>
      <c r="IT394" s="167"/>
      <c r="IU394" s="167"/>
      <c r="IV394" s="167"/>
      <c r="IW394" s="167"/>
      <c r="IX394" s="167"/>
      <c r="IY394" s="167"/>
      <c r="IZ394" s="167"/>
      <c r="JA394" s="167"/>
      <c r="JB394" s="167"/>
      <c r="JC394" s="167"/>
      <c r="JD394" s="167"/>
      <c r="JE394" s="167"/>
      <c r="JF394" s="167"/>
      <c r="JG394" s="167"/>
      <c r="JH394" s="167"/>
      <c r="JI394" s="167"/>
      <c r="JJ394" s="167"/>
      <c r="JK394" s="167"/>
      <c r="JL394" s="167"/>
      <c r="JM394" s="167"/>
      <c r="JN394" s="167"/>
      <c r="JO394" s="167"/>
      <c r="JP394" s="167"/>
      <c r="JQ394" s="167"/>
      <c r="JR394" s="167"/>
      <c r="JS394" s="167"/>
      <c r="JT394" s="167"/>
      <c r="JU394" s="167"/>
      <c r="JV394" s="167"/>
      <c r="JW394" s="167"/>
      <c r="JX394" s="167"/>
      <c r="JY394" s="167"/>
      <c r="JZ394" s="167"/>
      <c r="KA394" s="167"/>
      <c r="KB394" s="167"/>
      <c r="KC394" s="167"/>
      <c r="KD394" s="167"/>
      <c r="KE394" s="167"/>
      <c r="KF394" s="167"/>
      <c r="KG394" s="167"/>
      <c r="KH394" s="167"/>
      <c r="KI394" s="167"/>
      <c r="KJ394" s="167"/>
      <c r="KK394" s="167"/>
      <c r="KL394" s="167"/>
      <c r="KM394" s="167"/>
      <c r="KN394" s="167"/>
      <c r="KO394" s="167"/>
      <c r="KP394" s="167"/>
      <c r="KQ394" s="167"/>
      <c r="KR394" s="167"/>
      <c r="KS394" s="167"/>
      <c r="KT394" s="167"/>
      <c r="KU394" s="167"/>
      <c r="KV394" s="167"/>
      <c r="KW394" s="167"/>
      <c r="KX394" s="167"/>
      <c r="KY394" s="167"/>
      <c r="KZ394" s="167"/>
      <c r="LA394" s="167"/>
      <c r="LB394" s="167"/>
      <c r="LC394" s="167"/>
      <c r="LD394" s="167"/>
      <c r="LE394" s="167"/>
      <c r="LF394" s="167"/>
      <c r="LG394" s="167"/>
      <c r="LH394" s="167"/>
      <c r="LI394" s="167"/>
      <c r="LJ394" s="167"/>
      <c r="LK394" s="167"/>
      <c r="LL394" s="167"/>
      <c r="LM394" s="167"/>
      <c r="LN394" s="167"/>
      <c r="LO394" s="167"/>
      <c r="LP394" s="167"/>
      <c r="LQ394" s="167"/>
      <c r="LR394" s="167"/>
      <c r="LS394" s="167"/>
      <c r="LT394" s="167"/>
      <c r="LU394" s="167"/>
      <c r="LV394" s="167"/>
      <c r="LW394" s="167"/>
      <c r="LX394" s="167"/>
      <c r="LY394" s="167"/>
      <c r="LZ394" s="167"/>
      <c r="MA394" s="167"/>
      <c r="MB394" s="167"/>
      <c r="MC394" s="167"/>
      <c r="MD394" s="167"/>
      <c r="ME394" s="167"/>
    </row>
    <row r="395" spans="1:343" s="47" customFormat="1">
      <c r="A395" s="11">
        <v>51999</v>
      </c>
      <c r="B395" s="70" t="s">
        <v>552</v>
      </c>
      <c r="C395" s="12"/>
      <c r="D395" s="14" t="s">
        <v>11</v>
      </c>
      <c r="E395" s="14" t="s">
        <v>25</v>
      </c>
      <c r="F395" s="14" t="s">
        <v>26</v>
      </c>
      <c r="G395" s="43">
        <v>5000</v>
      </c>
      <c r="H395" s="51"/>
      <c r="I395" s="17">
        <f t="shared" si="6"/>
        <v>5000</v>
      </c>
      <c r="J395" s="44"/>
      <c r="K395" s="44"/>
      <c r="L395" s="167"/>
      <c r="M395" s="167"/>
      <c r="N395" s="167"/>
      <c r="O395" s="167"/>
      <c r="P395" s="167"/>
      <c r="Q395" s="167"/>
      <c r="R395" s="167"/>
      <c r="S395" s="167"/>
      <c r="T395" s="167"/>
      <c r="U395" s="167"/>
      <c r="V395" s="167"/>
      <c r="W395" s="167"/>
      <c r="X395" s="167"/>
      <c r="Y395" s="167"/>
      <c r="Z395" s="167"/>
      <c r="AA395" s="167"/>
      <c r="AB395" s="167"/>
      <c r="AC395" s="167"/>
      <c r="AD395" s="167"/>
      <c r="AE395" s="167"/>
      <c r="AF395" s="167"/>
      <c r="AG395" s="167"/>
      <c r="AH395" s="167"/>
      <c r="AI395" s="167"/>
      <c r="AJ395" s="167"/>
      <c r="AK395" s="167"/>
      <c r="AL395" s="167"/>
      <c r="AM395" s="167"/>
      <c r="AN395" s="167"/>
      <c r="AO395" s="167"/>
      <c r="AP395" s="167"/>
      <c r="AQ395" s="167"/>
      <c r="AR395" s="167"/>
      <c r="AS395" s="167"/>
      <c r="AT395" s="167"/>
      <c r="AU395" s="167"/>
      <c r="AV395" s="167"/>
      <c r="AW395" s="167"/>
      <c r="AX395" s="167"/>
      <c r="AY395" s="167"/>
      <c r="AZ395" s="167"/>
      <c r="BA395" s="167"/>
      <c r="BB395" s="167"/>
      <c r="BC395" s="167"/>
      <c r="BD395" s="167"/>
      <c r="BE395" s="167"/>
      <c r="BF395" s="167"/>
      <c r="BG395" s="167"/>
      <c r="BH395" s="167"/>
      <c r="BI395" s="167"/>
      <c r="BJ395" s="167"/>
      <c r="BK395" s="167"/>
      <c r="BL395" s="167"/>
      <c r="BM395" s="167"/>
      <c r="BN395" s="167"/>
      <c r="BO395" s="167"/>
      <c r="BP395" s="167"/>
      <c r="BQ395" s="167"/>
      <c r="BR395" s="167"/>
      <c r="BS395" s="167"/>
      <c r="BT395" s="167"/>
      <c r="BU395" s="167"/>
      <c r="BV395" s="167"/>
      <c r="BW395" s="167"/>
      <c r="BX395" s="167"/>
      <c r="BY395" s="167"/>
      <c r="BZ395" s="167"/>
      <c r="CA395" s="167"/>
      <c r="CB395" s="167"/>
      <c r="CC395" s="167"/>
      <c r="CD395" s="167"/>
      <c r="CE395" s="167"/>
      <c r="CF395" s="167"/>
      <c r="CG395" s="167"/>
      <c r="CH395" s="167"/>
      <c r="CI395" s="167"/>
      <c r="CJ395" s="167"/>
      <c r="CK395" s="167"/>
      <c r="CL395" s="167"/>
      <c r="CM395" s="167"/>
      <c r="CN395" s="167"/>
      <c r="CO395" s="167"/>
      <c r="CP395" s="167"/>
      <c r="CQ395" s="167"/>
      <c r="CR395" s="167"/>
      <c r="CS395" s="167"/>
      <c r="CT395" s="167"/>
      <c r="CU395" s="167"/>
      <c r="CV395" s="167"/>
      <c r="CW395" s="167"/>
      <c r="CX395" s="167"/>
      <c r="CY395" s="167"/>
      <c r="CZ395" s="167"/>
      <c r="DA395" s="167"/>
      <c r="DB395" s="167"/>
      <c r="DC395" s="167"/>
      <c r="DD395" s="167"/>
      <c r="DE395" s="167"/>
      <c r="DF395" s="167"/>
      <c r="DG395" s="167"/>
      <c r="DH395" s="167"/>
      <c r="DI395" s="167"/>
      <c r="DJ395" s="167"/>
      <c r="DK395" s="167"/>
      <c r="DL395" s="167"/>
      <c r="DM395" s="167"/>
      <c r="DN395" s="167"/>
      <c r="DO395" s="167"/>
      <c r="DP395" s="167"/>
      <c r="DQ395" s="167"/>
      <c r="DR395" s="167"/>
      <c r="DS395" s="167"/>
      <c r="DT395" s="167"/>
      <c r="DU395" s="167"/>
      <c r="DV395" s="167"/>
      <c r="DW395" s="167"/>
      <c r="DX395" s="167"/>
      <c r="DY395" s="167"/>
      <c r="DZ395" s="167"/>
      <c r="EA395" s="167"/>
      <c r="EB395" s="167"/>
      <c r="EC395" s="167"/>
      <c r="ED395" s="167"/>
      <c r="EE395" s="167"/>
      <c r="EF395" s="167"/>
      <c r="EG395" s="167"/>
      <c r="EH395" s="167"/>
      <c r="EI395" s="167"/>
      <c r="EJ395" s="167"/>
      <c r="EK395" s="167"/>
      <c r="EL395" s="167"/>
      <c r="EM395" s="167"/>
      <c r="EN395" s="167"/>
      <c r="EO395" s="167"/>
      <c r="EP395" s="167"/>
      <c r="EQ395" s="167"/>
      <c r="ER395" s="167"/>
      <c r="ES395" s="167"/>
      <c r="ET395" s="167"/>
      <c r="EU395" s="167"/>
      <c r="EV395" s="167"/>
      <c r="EW395" s="167"/>
      <c r="EX395" s="167"/>
      <c r="EY395" s="167"/>
      <c r="EZ395" s="167"/>
      <c r="FA395" s="167"/>
      <c r="FB395" s="167"/>
      <c r="FC395" s="167"/>
      <c r="FD395" s="167"/>
      <c r="FE395" s="167"/>
      <c r="FF395" s="167"/>
      <c r="FG395" s="167"/>
      <c r="FH395" s="167"/>
      <c r="FI395" s="167"/>
      <c r="FJ395" s="167"/>
      <c r="FK395" s="167"/>
      <c r="FL395" s="167"/>
      <c r="FM395" s="167"/>
      <c r="FN395" s="167"/>
      <c r="FO395" s="167"/>
      <c r="FP395" s="167"/>
      <c r="FQ395" s="167"/>
      <c r="FR395" s="167"/>
      <c r="FS395" s="167"/>
      <c r="FT395" s="167"/>
      <c r="FU395" s="167"/>
      <c r="FV395" s="167"/>
      <c r="FW395" s="167"/>
      <c r="FX395" s="167"/>
      <c r="FY395" s="167"/>
      <c r="FZ395" s="167"/>
      <c r="GA395" s="167"/>
      <c r="GB395" s="167"/>
      <c r="GC395" s="167"/>
      <c r="GD395" s="167"/>
      <c r="GE395" s="167"/>
      <c r="GF395" s="167"/>
      <c r="GG395" s="167"/>
      <c r="GH395" s="167"/>
      <c r="GI395" s="167"/>
      <c r="GJ395" s="167"/>
      <c r="GK395" s="167"/>
      <c r="GL395" s="167"/>
      <c r="GM395" s="167"/>
      <c r="GN395" s="167"/>
      <c r="GO395" s="167"/>
      <c r="GP395" s="167"/>
      <c r="GQ395" s="167"/>
      <c r="GR395" s="167"/>
      <c r="GS395" s="167"/>
      <c r="GT395" s="167"/>
      <c r="GU395" s="167"/>
      <c r="GV395" s="167"/>
      <c r="GW395" s="167"/>
      <c r="GX395" s="167"/>
      <c r="GY395" s="167"/>
      <c r="GZ395" s="167"/>
      <c r="HA395" s="167"/>
      <c r="HB395" s="167"/>
      <c r="HC395" s="167"/>
      <c r="HD395" s="167"/>
      <c r="HE395" s="167"/>
      <c r="HF395" s="167"/>
      <c r="HG395" s="167"/>
      <c r="HH395" s="167"/>
      <c r="HI395" s="167"/>
      <c r="HJ395" s="167"/>
      <c r="HK395" s="167"/>
      <c r="HL395" s="167"/>
      <c r="HM395" s="167"/>
      <c r="HN395" s="167"/>
      <c r="HO395" s="167"/>
      <c r="HP395" s="167"/>
      <c r="HQ395" s="167"/>
      <c r="HR395" s="167"/>
      <c r="HS395" s="167"/>
      <c r="HT395" s="167"/>
      <c r="HU395" s="167"/>
      <c r="HV395" s="167"/>
      <c r="HW395" s="167"/>
      <c r="HX395" s="167"/>
      <c r="HY395" s="167"/>
      <c r="HZ395" s="167"/>
      <c r="IA395" s="167"/>
      <c r="IB395" s="167"/>
      <c r="IC395" s="167"/>
      <c r="ID395" s="167"/>
      <c r="IE395" s="167"/>
      <c r="IF395" s="167"/>
      <c r="IG395" s="167"/>
      <c r="IH395" s="167"/>
      <c r="II395" s="167"/>
      <c r="IJ395" s="167"/>
      <c r="IK395" s="167"/>
      <c r="IL395" s="167"/>
      <c r="IM395" s="167"/>
      <c r="IN395" s="167"/>
      <c r="IO395" s="167"/>
      <c r="IP395" s="167"/>
      <c r="IQ395" s="167"/>
      <c r="IR395" s="167"/>
      <c r="IS395" s="167"/>
      <c r="IT395" s="167"/>
      <c r="IU395" s="167"/>
      <c r="IV395" s="167"/>
      <c r="IW395" s="167"/>
      <c r="IX395" s="167"/>
      <c r="IY395" s="167"/>
      <c r="IZ395" s="167"/>
      <c r="JA395" s="167"/>
      <c r="JB395" s="167"/>
      <c r="JC395" s="167"/>
      <c r="JD395" s="167"/>
      <c r="JE395" s="167"/>
      <c r="JF395" s="167"/>
      <c r="JG395" s="167"/>
      <c r="JH395" s="167"/>
      <c r="JI395" s="167"/>
      <c r="JJ395" s="167"/>
      <c r="JK395" s="167"/>
      <c r="JL395" s="167"/>
      <c r="JM395" s="167"/>
      <c r="JN395" s="167"/>
      <c r="JO395" s="167"/>
      <c r="JP395" s="167"/>
      <c r="JQ395" s="167"/>
      <c r="JR395" s="167"/>
      <c r="JS395" s="167"/>
      <c r="JT395" s="167"/>
      <c r="JU395" s="167"/>
      <c r="JV395" s="167"/>
      <c r="JW395" s="167"/>
      <c r="JX395" s="167"/>
      <c r="JY395" s="167"/>
      <c r="JZ395" s="167"/>
      <c r="KA395" s="167"/>
      <c r="KB395" s="167"/>
      <c r="KC395" s="167"/>
      <c r="KD395" s="167"/>
      <c r="KE395" s="167"/>
      <c r="KF395" s="167"/>
      <c r="KG395" s="167"/>
      <c r="KH395" s="167"/>
      <c r="KI395" s="167"/>
      <c r="KJ395" s="167"/>
      <c r="KK395" s="167"/>
      <c r="KL395" s="167"/>
      <c r="KM395" s="167"/>
      <c r="KN395" s="167"/>
      <c r="KO395" s="167"/>
      <c r="KP395" s="167"/>
      <c r="KQ395" s="167"/>
      <c r="KR395" s="167"/>
      <c r="KS395" s="167"/>
      <c r="KT395" s="167"/>
      <c r="KU395" s="167"/>
      <c r="KV395" s="167"/>
      <c r="KW395" s="167"/>
      <c r="KX395" s="167"/>
      <c r="KY395" s="167"/>
      <c r="KZ395" s="167"/>
      <c r="LA395" s="167"/>
      <c r="LB395" s="167"/>
      <c r="LC395" s="167"/>
      <c r="LD395" s="167"/>
      <c r="LE395" s="167"/>
      <c r="LF395" s="167"/>
      <c r="LG395" s="167"/>
      <c r="LH395" s="167"/>
      <c r="LI395" s="167"/>
      <c r="LJ395" s="167"/>
      <c r="LK395" s="167"/>
      <c r="LL395" s="167"/>
      <c r="LM395" s="167"/>
      <c r="LN395" s="167"/>
      <c r="LO395" s="167"/>
      <c r="LP395" s="167"/>
      <c r="LQ395" s="167"/>
      <c r="LR395" s="167"/>
      <c r="LS395" s="167"/>
      <c r="LT395" s="167"/>
      <c r="LU395" s="167"/>
      <c r="LV395" s="167"/>
      <c r="LW395" s="167"/>
      <c r="LX395" s="167"/>
      <c r="LY395" s="167"/>
      <c r="LZ395" s="167"/>
      <c r="MA395" s="167"/>
      <c r="MB395" s="167"/>
      <c r="MC395" s="167"/>
      <c r="MD395" s="167"/>
      <c r="ME395" s="167"/>
    </row>
    <row r="396" spans="1:343" s="47" customFormat="1">
      <c r="A396" s="11">
        <v>54399</v>
      </c>
      <c r="B396" s="70" t="s">
        <v>553</v>
      </c>
      <c r="C396" s="12"/>
      <c r="D396" s="14" t="s">
        <v>11</v>
      </c>
      <c r="E396" s="14" t="s">
        <v>25</v>
      </c>
      <c r="F396" s="14" t="s">
        <v>26</v>
      </c>
      <c r="G396" s="43">
        <v>5000</v>
      </c>
      <c r="H396" s="51"/>
      <c r="I396" s="17">
        <f t="shared" si="6"/>
        <v>5000</v>
      </c>
      <c r="J396" s="44"/>
      <c r="K396" s="44"/>
      <c r="L396" s="167"/>
      <c r="M396" s="167"/>
      <c r="N396" s="167"/>
      <c r="O396" s="167"/>
      <c r="P396" s="167"/>
      <c r="Q396" s="167"/>
      <c r="R396" s="167"/>
      <c r="S396" s="167"/>
      <c r="T396" s="167"/>
      <c r="U396" s="167"/>
      <c r="V396" s="167"/>
      <c r="W396" s="167"/>
      <c r="X396" s="167"/>
      <c r="Y396" s="167"/>
      <c r="Z396" s="167"/>
      <c r="AA396" s="167"/>
      <c r="AB396" s="167"/>
      <c r="AC396" s="167"/>
      <c r="AD396" s="167"/>
      <c r="AE396" s="167"/>
      <c r="AF396" s="167"/>
      <c r="AG396" s="167"/>
      <c r="AH396" s="167"/>
      <c r="AI396" s="167"/>
      <c r="AJ396" s="167"/>
      <c r="AK396" s="167"/>
      <c r="AL396" s="167"/>
      <c r="AM396" s="167"/>
      <c r="AN396" s="167"/>
      <c r="AO396" s="167"/>
      <c r="AP396" s="167"/>
      <c r="AQ396" s="167"/>
      <c r="AR396" s="167"/>
      <c r="AS396" s="167"/>
      <c r="AT396" s="167"/>
      <c r="AU396" s="167"/>
      <c r="AV396" s="167"/>
      <c r="AW396" s="167"/>
      <c r="AX396" s="167"/>
      <c r="AY396" s="167"/>
      <c r="AZ396" s="167"/>
      <c r="BA396" s="167"/>
      <c r="BB396" s="167"/>
      <c r="BC396" s="167"/>
      <c r="BD396" s="167"/>
      <c r="BE396" s="167"/>
      <c r="BF396" s="167"/>
      <c r="BG396" s="167"/>
      <c r="BH396" s="167"/>
      <c r="BI396" s="167"/>
      <c r="BJ396" s="167"/>
      <c r="BK396" s="167"/>
      <c r="BL396" s="167"/>
      <c r="BM396" s="167"/>
      <c r="BN396" s="167"/>
      <c r="BO396" s="167"/>
      <c r="BP396" s="167"/>
      <c r="BQ396" s="167"/>
      <c r="BR396" s="167"/>
      <c r="BS396" s="167"/>
      <c r="BT396" s="167"/>
      <c r="BU396" s="167"/>
      <c r="BV396" s="167"/>
      <c r="BW396" s="167"/>
      <c r="BX396" s="167"/>
      <c r="BY396" s="167"/>
      <c r="BZ396" s="167"/>
      <c r="CA396" s="167"/>
      <c r="CB396" s="167"/>
      <c r="CC396" s="167"/>
      <c r="CD396" s="167"/>
      <c r="CE396" s="167"/>
      <c r="CF396" s="167"/>
      <c r="CG396" s="167"/>
      <c r="CH396" s="167"/>
      <c r="CI396" s="167"/>
      <c r="CJ396" s="167"/>
      <c r="CK396" s="167"/>
      <c r="CL396" s="167"/>
      <c r="CM396" s="167"/>
      <c r="CN396" s="167"/>
      <c r="CO396" s="167"/>
      <c r="CP396" s="167"/>
      <c r="CQ396" s="167"/>
      <c r="CR396" s="167"/>
      <c r="CS396" s="167"/>
      <c r="CT396" s="167"/>
      <c r="CU396" s="167"/>
      <c r="CV396" s="167"/>
      <c r="CW396" s="167"/>
      <c r="CX396" s="167"/>
      <c r="CY396" s="167"/>
      <c r="CZ396" s="167"/>
      <c r="DA396" s="167"/>
      <c r="DB396" s="167"/>
      <c r="DC396" s="167"/>
      <c r="DD396" s="167"/>
      <c r="DE396" s="167"/>
      <c r="DF396" s="167"/>
      <c r="DG396" s="167"/>
      <c r="DH396" s="167"/>
      <c r="DI396" s="167"/>
      <c r="DJ396" s="167"/>
      <c r="DK396" s="167"/>
      <c r="DL396" s="167"/>
      <c r="DM396" s="167"/>
      <c r="DN396" s="167"/>
      <c r="DO396" s="167"/>
      <c r="DP396" s="167"/>
      <c r="DQ396" s="167"/>
      <c r="DR396" s="167"/>
      <c r="DS396" s="167"/>
      <c r="DT396" s="167"/>
      <c r="DU396" s="167"/>
      <c r="DV396" s="167"/>
      <c r="DW396" s="167"/>
      <c r="DX396" s="167"/>
      <c r="DY396" s="167"/>
      <c r="DZ396" s="167"/>
      <c r="EA396" s="167"/>
      <c r="EB396" s="167"/>
      <c r="EC396" s="167"/>
      <c r="ED396" s="167"/>
      <c r="EE396" s="167"/>
      <c r="EF396" s="167"/>
      <c r="EG396" s="167"/>
      <c r="EH396" s="167"/>
      <c r="EI396" s="167"/>
      <c r="EJ396" s="167"/>
      <c r="EK396" s="167"/>
      <c r="EL396" s="167"/>
      <c r="EM396" s="167"/>
      <c r="EN396" s="167"/>
      <c r="EO396" s="167"/>
      <c r="EP396" s="167"/>
      <c r="EQ396" s="167"/>
      <c r="ER396" s="167"/>
      <c r="ES396" s="167"/>
      <c r="ET396" s="167"/>
      <c r="EU396" s="167"/>
      <c r="EV396" s="167"/>
      <c r="EW396" s="167"/>
      <c r="EX396" s="167"/>
      <c r="EY396" s="167"/>
      <c r="EZ396" s="167"/>
      <c r="FA396" s="167"/>
      <c r="FB396" s="167"/>
      <c r="FC396" s="167"/>
      <c r="FD396" s="167"/>
      <c r="FE396" s="167"/>
      <c r="FF396" s="167"/>
      <c r="FG396" s="167"/>
      <c r="FH396" s="167"/>
      <c r="FI396" s="167"/>
      <c r="FJ396" s="167"/>
      <c r="FK396" s="167"/>
      <c r="FL396" s="167"/>
      <c r="FM396" s="167"/>
      <c r="FN396" s="167"/>
      <c r="FO396" s="167"/>
      <c r="FP396" s="167"/>
      <c r="FQ396" s="167"/>
      <c r="FR396" s="167"/>
      <c r="FS396" s="167"/>
      <c r="FT396" s="167"/>
      <c r="FU396" s="167"/>
      <c r="FV396" s="167"/>
      <c r="FW396" s="167"/>
      <c r="FX396" s="167"/>
      <c r="FY396" s="167"/>
      <c r="FZ396" s="167"/>
      <c r="GA396" s="167"/>
      <c r="GB396" s="167"/>
      <c r="GC396" s="167"/>
      <c r="GD396" s="167"/>
      <c r="GE396" s="167"/>
      <c r="GF396" s="167"/>
      <c r="GG396" s="167"/>
      <c r="GH396" s="167"/>
      <c r="GI396" s="167"/>
      <c r="GJ396" s="167"/>
      <c r="GK396" s="167"/>
      <c r="GL396" s="167"/>
      <c r="GM396" s="167"/>
      <c r="GN396" s="167"/>
      <c r="GO396" s="167"/>
      <c r="GP396" s="167"/>
      <c r="GQ396" s="167"/>
      <c r="GR396" s="167"/>
      <c r="GS396" s="167"/>
      <c r="GT396" s="167"/>
      <c r="GU396" s="167"/>
      <c r="GV396" s="167"/>
      <c r="GW396" s="167"/>
      <c r="GX396" s="167"/>
      <c r="GY396" s="167"/>
      <c r="GZ396" s="167"/>
      <c r="HA396" s="167"/>
      <c r="HB396" s="167"/>
      <c r="HC396" s="167"/>
      <c r="HD396" s="167"/>
      <c r="HE396" s="167"/>
      <c r="HF396" s="167"/>
      <c r="HG396" s="167"/>
      <c r="HH396" s="167"/>
      <c r="HI396" s="167"/>
      <c r="HJ396" s="167"/>
      <c r="HK396" s="167"/>
      <c r="HL396" s="167"/>
      <c r="HM396" s="167"/>
      <c r="HN396" s="167"/>
      <c r="HO396" s="167"/>
      <c r="HP396" s="167"/>
      <c r="HQ396" s="167"/>
      <c r="HR396" s="167"/>
      <c r="HS396" s="167"/>
      <c r="HT396" s="167"/>
      <c r="HU396" s="167"/>
      <c r="HV396" s="167"/>
      <c r="HW396" s="167"/>
      <c r="HX396" s="167"/>
      <c r="HY396" s="167"/>
      <c r="HZ396" s="167"/>
      <c r="IA396" s="167"/>
      <c r="IB396" s="167"/>
      <c r="IC396" s="167"/>
      <c r="ID396" s="167"/>
      <c r="IE396" s="167"/>
      <c r="IF396" s="167"/>
      <c r="IG396" s="167"/>
      <c r="IH396" s="167"/>
      <c r="II396" s="167"/>
      <c r="IJ396" s="167"/>
      <c r="IK396" s="167"/>
      <c r="IL396" s="167"/>
      <c r="IM396" s="167"/>
      <c r="IN396" s="167"/>
      <c r="IO396" s="167"/>
      <c r="IP396" s="167"/>
      <c r="IQ396" s="167"/>
      <c r="IR396" s="167"/>
      <c r="IS396" s="167"/>
      <c r="IT396" s="167"/>
      <c r="IU396" s="167"/>
      <c r="IV396" s="167"/>
      <c r="IW396" s="167"/>
      <c r="IX396" s="167"/>
      <c r="IY396" s="167"/>
      <c r="IZ396" s="167"/>
      <c r="JA396" s="167"/>
      <c r="JB396" s="167"/>
      <c r="JC396" s="167"/>
      <c r="JD396" s="167"/>
      <c r="JE396" s="167"/>
      <c r="JF396" s="167"/>
      <c r="JG396" s="167"/>
      <c r="JH396" s="167"/>
      <c r="JI396" s="167"/>
      <c r="JJ396" s="167"/>
      <c r="JK396" s="167"/>
      <c r="JL396" s="167"/>
      <c r="JM396" s="167"/>
      <c r="JN396" s="167"/>
      <c r="JO396" s="167"/>
      <c r="JP396" s="167"/>
      <c r="JQ396" s="167"/>
      <c r="JR396" s="167"/>
      <c r="JS396" s="167"/>
      <c r="JT396" s="167"/>
      <c r="JU396" s="167"/>
      <c r="JV396" s="167"/>
      <c r="JW396" s="167"/>
      <c r="JX396" s="167"/>
      <c r="JY396" s="167"/>
      <c r="JZ396" s="167"/>
      <c r="KA396" s="167"/>
      <c r="KB396" s="167"/>
      <c r="KC396" s="167"/>
      <c r="KD396" s="167"/>
      <c r="KE396" s="167"/>
      <c r="KF396" s="167"/>
      <c r="KG396" s="167"/>
      <c r="KH396" s="167"/>
      <c r="KI396" s="167"/>
      <c r="KJ396" s="167"/>
      <c r="KK396" s="167"/>
      <c r="KL396" s="167"/>
      <c r="KM396" s="167"/>
      <c r="KN396" s="167"/>
      <c r="KO396" s="167"/>
      <c r="KP396" s="167"/>
      <c r="KQ396" s="167"/>
      <c r="KR396" s="167"/>
      <c r="KS396" s="167"/>
      <c r="KT396" s="167"/>
      <c r="KU396" s="167"/>
      <c r="KV396" s="167"/>
      <c r="KW396" s="167"/>
      <c r="KX396" s="167"/>
      <c r="KY396" s="167"/>
      <c r="KZ396" s="167"/>
      <c r="LA396" s="167"/>
      <c r="LB396" s="167"/>
      <c r="LC396" s="167"/>
      <c r="LD396" s="167"/>
      <c r="LE396" s="167"/>
      <c r="LF396" s="167"/>
      <c r="LG396" s="167"/>
      <c r="LH396" s="167"/>
      <c r="LI396" s="167"/>
      <c r="LJ396" s="167"/>
      <c r="LK396" s="167"/>
      <c r="LL396" s="167"/>
      <c r="LM396" s="167"/>
      <c r="LN396" s="167"/>
      <c r="LO396" s="167"/>
      <c r="LP396" s="167"/>
      <c r="LQ396" s="167"/>
      <c r="LR396" s="167"/>
      <c r="LS396" s="167"/>
      <c r="LT396" s="167"/>
      <c r="LU396" s="167"/>
      <c r="LV396" s="167"/>
      <c r="LW396" s="167"/>
      <c r="LX396" s="167"/>
      <c r="LY396" s="167"/>
      <c r="LZ396" s="167"/>
      <c r="MA396" s="167"/>
      <c r="MB396" s="167"/>
      <c r="MC396" s="167"/>
      <c r="MD396" s="167"/>
      <c r="ME396" s="167"/>
    </row>
    <row r="397" spans="1:343" s="47" customFormat="1">
      <c r="A397" s="11">
        <v>54599</v>
      </c>
      <c r="B397" s="70" t="s">
        <v>554</v>
      </c>
      <c r="C397" s="12"/>
      <c r="D397" s="14" t="s">
        <v>11</v>
      </c>
      <c r="E397" s="14" t="s">
        <v>25</v>
      </c>
      <c r="F397" s="14" t="s">
        <v>26</v>
      </c>
      <c r="G397" s="43">
        <v>26180</v>
      </c>
      <c r="H397" s="51"/>
      <c r="I397" s="17">
        <f t="shared" si="6"/>
        <v>26180</v>
      </c>
      <c r="J397" s="44"/>
      <c r="K397" s="44"/>
      <c r="L397" s="167"/>
      <c r="M397" s="167"/>
      <c r="N397" s="167"/>
      <c r="O397" s="167"/>
      <c r="P397" s="167"/>
      <c r="Q397" s="167"/>
      <c r="R397" s="167"/>
      <c r="S397" s="167"/>
      <c r="T397" s="167"/>
      <c r="U397" s="167"/>
      <c r="V397" s="167"/>
      <c r="W397" s="167"/>
      <c r="X397" s="167"/>
      <c r="Y397" s="167"/>
      <c r="Z397" s="167"/>
      <c r="AA397" s="167"/>
      <c r="AB397" s="167"/>
      <c r="AC397" s="167"/>
      <c r="AD397" s="167"/>
      <c r="AE397" s="167"/>
      <c r="AF397" s="167"/>
      <c r="AG397" s="167"/>
      <c r="AH397" s="167"/>
      <c r="AI397" s="167"/>
      <c r="AJ397" s="167"/>
      <c r="AK397" s="167"/>
      <c r="AL397" s="167"/>
      <c r="AM397" s="167"/>
      <c r="AN397" s="167"/>
      <c r="AO397" s="167"/>
      <c r="AP397" s="167"/>
      <c r="AQ397" s="167"/>
      <c r="AR397" s="167"/>
      <c r="AS397" s="167"/>
      <c r="AT397" s="167"/>
      <c r="AU397" s="167"/>
      <c r="AV397" s="167"/>
      <c r="AW397" s="167"/>
      <c r="AX397" s="167"/>
      <c r="AY397" s="167"/>
      <c r="AZ397" s="167"/>
      <c r="BA397" s="167"/>
      <c r="BB397" s="167"/>
      <c r="BC397" s="167"/>
      <c r="BD397" s="167"/>
      <c r="BE397" s="167"/>
      <c r="BF397" s="167"/>
      <c r="BG397" s="167"/>
      <c r="BH397" s="167"/>
      <c r="BI397" s="167"/>
      <c r="BJ397" s="167"/>
      <c r="BK397" s="167"/>
      <c r="BL397" s="167"/>
      <c r="BM397" s="167"/>
      <c r="BN397" s="167"/>
      <c r="BO397" s="167"/>
      <c r="BP397" s="167"/>
      <c r="BQ397" s="167"/>
      <c r="BR397" s="167"/>
      <c r="BS397" s="167"/>
      <c r="BT397" s="167"/>
      <c r="BU397" s="167"/>
      <c r="BV397" s="167"/>
      <c r="BW397" s="167"/>
      <c r="BX397" s="167"/>
      <c r="BY397" s="167"/>
      <c r="BZ397" s="167"/>
      <c r="CA397" s="167"/>
      <c r="CB397" s="167"/>
      <c r="CC397" s="167"/>
      <c r="CD397" s="167"/>
      <c r="CE397" s="167"/>
      <c r="CF397" s="167"/>
      <c r="CG397" s="167"/>
      <c r="CH397" s="167"/>
      <c r="CI397" s="167"/>
      <c r="CJ397" s="167"/>
      <c r="CK397" s="167"/>
      <c r="CL397" s="167"/>
      <c r="CM397" s="167"/>
      <c r="CN397" s="167"/>
      <c r="CO397" s="167"/>
      <c r="CP397" s="167"/>
      <c r="CQ397" s="167"/>
      <c r="CR397" s="167"/>
      <c r="CS397" s="167"/>
      <c r="CT397" s="167"/>
      <c r="CU397" s="167"/>
      <c r="CV397" s="167"/>
      <c r="CW397" s="167"/>
      <c r="CX397" s="167"/>
      <c r="CY397" s="167"/>
      <c r="CZ397" s="167"/>
      <c r="DA397" s="167"/>
      <c r="DB397" s="167"/>
      <c r="DC397" s="167"/>
      <c r="DD397" s="167"/>
      <c r="DE397" s="167"/>
      <c r="DF397" s="167"/>
      <c r="DG397" s="167"/>
      <c r="DH397" s="167"/>
      <c r="DI397" s="167"/>
      <c r="DJ397" s="167"/>
      <c r="DK397" s="167"/>
      <c r="DL397" s="167"/>
      <c r="DM397" s="167"/>
      <c r="DN397" s="167"/>
      <c r="DO397" s="167"/>
      <c r="DP397" s="167"/>
      <c r="DQ397" s="167"/>
      <c r="DR397" s="167"/>
      <c r="DS397" s="167"/>
      <c r="DT397" s="167"/>
      <c r="DU397" s="167"/>
      <c r="DV397" s="167"/>
      <c r="DW397" s="167"/>
      <c r="DX397" s="167"/>
      <c r="DY397" s="167"/>
      <c r="DZ397" s="167"/>
      <c r="EA397" s="167"/>
      <c r="EB397" s="167"/>
      <c r="EC397" s="167"/>
      <c r="ED397" s="167"/>
      <c r="EE397" s="167"/>
      <c r="EF397" s="167"/>
      <c r="EG397" s="167"/>
      <c r="EH397" s="167"/>
      <c r="EI397" s="167"/>
      <c r="EJ397" s="167"/>
      <c r="EK397" s="167"/>
      <c r="EL397" s="167"/>
      <c r="EM397" s="167"/>
      <c r="EN397" s="167"/>
      <c r="EO397" s="167"/>
      <c r="EP397" s="167"/>
      <c r="EQ397" s="167"/>
      <c r="ER397" s="167"/>
      <c r="ES397" s="167"/>
      <c r="ET397" s="167"/>
      <c r="EU397" s="167"/>
      <c r="EV397" s="167"/>
      <c r="EW397" s="167"/>
      <c r="EX397" s="167"/>
      <c r="EY397" s="167"/>
      <c r="EZ397" s="167"/>
      <c r="FA397" s="167"/>
      <c r="FB397" s="167"/>
      <c r="FC397" s="167"/>
      <c r="FD397" s="167"/>
      <c r="FE397" s="167"/>
      <c r="FF397" s="167"/>
      <c r="FG397" s="167"/>
      <c r="FH397" s="167"/>
      <c r="FI397" s="167"/>
      <c r="FJ397" s="167"/>
      <c r="FK397" s="167"/>
      <c r="FL397" s="167"/>
      <c r="FM397" s="167"/>
      <c r="FN397" s="167"/>
      <c r="FO397" s="167"/>
      <c r="FP397" s="167"/>
      <c r="FQ397" s="167"/>
      <c r="FR397" s="167"/>
      <c r="FS397" s="167"/>
      <c r="FT397" s="167"/>
      <c r="FU397" s="167"/>
      <c r="FV397" s="167"/>
      <c r="FW397" s="167"/>
      <c r="FX397" s="167"/>
      <c r="FY397" s="167"/>
      <c r="FZ397" s="167"/>
      <c r="GA397" s="167"/>
      <c r="GB397" s="167"/>
      <c r="GC397" s="167"/>
      <c r="GD397" s="167"/>
      <c r="GE397" s="167"/>
      <c r="GF397" s="167"/>
      <c r="GG397" s="167"/>
      <c r="GH397" s="167"/>
      <c r="GI397" s="167"/>
      <c r="GJ397" s="167"/>
      <c r="GK397" s="167"/>
      <c r="GL397" s="167"/>
      <c r="GM397" s="167"/>
      <c r="GN397" s="167"/>
      <c r="GO397" s="167"/>
      <c r="GP397" s="167"/>
      <c r="GQ397" s="167"/>
      <c r="GR397" s="167"/>
      <c r="GS397" s="167"/>
      <c r="GT397" s="167"/>
      <c r="GU397" s="167"/>
      <c r="GV397" s="167"/>
      <c r="GW397" s="167"/>
      <c r="GX397" s="167"/>
      <c r="GY397" s="167"/>
      <c r="GZ397" s="167"/>
      <c r="HA397" s="167"/>
      <c r="HB397" s="167"/>
      <c r="HC397" s="167"/>
      <c r="HD397" s="167"/>
      <c r="HE397" s="167"/>
      <c r="HF397" s="167"/>
      <c r="HG397" s="167"/>
      <c r="HH397" s="167"/>
      <c r="HI397" s="167"/>
      <c r="HJ397" s="167"/>
      <c r="HK397" s="167"/>
      <c r="HL397" s="167"/>
      <c r="HM397" s="167"/>
      <c r="HN397" s="167"/>
      <c r="HO397" s="167"/>
      <c r="HP397" s="167"/>
      <c r="HQ397" s="167"/>
      <c r="HR397" s="167"/>
      <c r="HS397" s="167"/>
      <c r="HT397" s="167"/>
      <c r="HU397" s="167"/>
      <c r="HV397" s="167"/>
      <c r="HW397" s="167"/>
      <c r="HX397" s="167"/>
      <c r="HY397" s="167"/>
      <c r="HZ397" s="167"/>
      <c r="IA397" s="167"/>
      <c r="IB397" s="167"/>
      <c r="IC397" s="167"/>
      <c r="ID397" s="167"/>
      <c r="IE397" s="167"/>
      <c r="IF397" s="167"/>
      <c r="IG397" s="167"/>
      <c r="IH397" s="167"/>
      <c r="II397" s="167"/>
      <c r="IJ397" s="167"/>
      <c r="IK397" s="167"/>
      <c r="IL397" s="167"/>
      <c r="IM397" s="167"/>
      <c r="IN397" s="167"/>
      <c r="IO397" s="167"/>
      <c r="IP397" s="167"/>
      <c r="IQ397" s="167"/>
      <c r="IR397" s="167"/>
      <c r="IS397" s="167"/>
      <c r="IT397" s="167"/>
      <c r="IU397" s="167"/>
      <c r="IV397" s="167"/>
      <c r="IW397" s="167"/>
      <c r="IX397" s="167"/>
      <c r="IY397" s="167"/>
      <c r="IZ397" s="167"/>
      <c r="JA397" s="167"/>
      <c r="JB397" s="167"/>
      <c r="JC397" s="167"/>
      <c r="JD397" s="167"/>
      <c r="JE397" s="167"/>
      <c r="JF397" s="167"/>
      <c r="JG397" s="167"/>
      <c r="JH397" s="167"/>
      <c r="JI397" s="167"/>
      <c r="JJ397" s="167"/>
      <c r="JK397" s="167"/>
      <c r="JL397" s="167"/>
      <c r="JM397" s="167"/>
      <c r="JN397" s="167"/>
      <c r="JO397" s="167"/>
      <c r="JP397" s="167"/>
      <c r="JQ397" s="167"/>
      <c r="JR397" s="167"/>
      <c r="JS397" s="167"/>
      <c r="JT397" s="167"/>
      <c r="JU397" s="167"/>
      <c r="JV397" s="167"/>
      <c r="JW397" s="167"/>
      <c r="JX397" s="167"/>
      <c r="JY397" s="167"/>
      <c r="JZ397" s="167"/>
      <c r="KA397" s="167"/>
      <c r="KB397" s="167"/>
      <c r="KC397" s="167"/>
      <c r="KD397" s="167"/>
      <c r="KE397" s="167"/>
      <c r="KF397" s="167"/>
      <c r="KG397" s="167"/>
      <c r="KH397" s="167"/>
      <c r="KI397" s="167"/>
      <c r="KJ397" s="167"/>
      <c r="KK397" s="167"/>
      <c r="KL397" s="167"/>
      <c r="KM397" s="167"/>
      <c r="KN397" s="167"/>
      <c r="KO397" s="167"/>
      <c r="KP397" s="167"/>
      <c r="KQ397" s="167"/>
      <c r="KR397" s="167"/>
      <c r="KS397" s="167"/>
      <c r="KT397" s="167"/>
      <c r="KU397" s="167"/>
      <c r="KV397" s="167"/>
      <c r="KW397" s="167"/>
      <c r="KX397" s="167"/>
      <c r="KY397" s="167"/>
      <c r="KZ397" s="167"/>
      <c r="LA397" s="167"/>
      <c r="LB397" s="167"/>
      <c r="LC397" s="167"/>
      <c r="LD397" s="167"/>
      <c r="LE397" s="167"/>
      <c r="LF397" s="167"/>
      <c r="LG397" s="167"/>
      <c r="LH397" s="167"/>
      <c r="LI397" s="167"/>
      <c r="LJ397" s="167"/>
      <c r="LK397" s="167"/>
      <c r="LL397" s="167"/>
      <c r="LM397" s="167"/>
      <c r="LN397" s="167"/>
      <c r="LO397" s="167"/>
      <c r="LP397" s="167"/>
      <c r="LQ397" s="167"/>
      <c r="LR397" s="167"/>
      <c r="LS397" s="167"/>
      <c r="LT397" s="167"/>
      <c r="LU397" s="167"/>
      <c r="LV397" s="167"/>
      <c r="LW397" s="167"/>
      <c r="LX397" s="167"/>
      <c r="LY397" s="167"/>
      <c r="LZ397" s="167"/>
      <c r="MA397" s="167"/>
      <c r="MB397" s="167"/>
      <c r="MC397" s="167"/>
      <c r="MD397" s="167"/>
      <c r="ME397" s="167"/>
    </row>
    <row r="398" spans="1:343" s="47" customFormat="1">
      <c r="B398" s="5"/>
      <c r="C398" s="12"/>
      <c r="D398" s="3"/>
      <c r="E398" s="3"/>
      <c r="F398" s="3"/>
      <c r="G398" s="43"/>
      <c r="H398" s="51"/>
      <c r="I398" s="17"/>
      <c r="J398" s="44"/>
      <c r="K398" s="44"/>
      <c r="L398" s="167"/>
      <c r="M398" s="167"/>
      <c r="N398" s="167"/>
      <c r="O398" s="167"/>
      <c r="P398" s="167"/>
      <c r="Q398" s="167"/>
      <c r="R398" s="167"/>
      <c r="S398" s="167"/>
      <c r="T398" s="167"/>
      <c r="U398" s="167"/>
      <c r="V398" s="167"/>
      <c r="W398" s="167"/>
      <c r="X398" s="167"/>
      <c r="Y398" s="167"/>
      <c r="Z398" s="167"/>
      <c r="AA398" s="167"/>
      <c r="AB398" s="167"/>
      <c r="AC398" s="167"/>
      <c r="AD398" s="167"/>
      <c r="AE398" s="167"/>
      <c r="AF398" s="167"/>
      <c r="AG398" s="167"/>
      <c r="AH398" s="167"/>
      <c r="AI398" s="167"/>
      <c r="AJ398" s="167"/>
      <c r="AK398" s="167"/>
      <c r="AL398" s="167"/>
      <c r="AM398" s="167"/>
      <c r="AN398" s="167"/>
      <c r="AO398" s="167"/>
      <c r="AP398" s="167"/>
      <c r="AQ398" s="167"/>
      <c r="AR398" s="167"/>
      <c r="AS398" s="167"/>
      <c r="AT398" s="167"/>
      <c r="AU398" s="167"/>
      <c r="AV398" s="167"/>
      <c r="AW398" s="167"/>
      <c r="AX398" s="167"/>
      <c r="AY398" s="167"/>
      <c r="AZ398" s="167"/>
      <c r="BA398" s="167"/>
      <c r="BB398" s="167"/>
      <c r="BC398" s="167"/>
      <c r="BD398" s="167"/>
      <c r="BE398" s="167"/>
      <c r="BF398" s="167"/>
      <c r="BG398" s="167"/>
      <c r="BH398" s="167"/>
      <c r="BI398" s="167"/>
      <c r="BJ398" s="167"/>
      <c r="BK398" s="167"/>
      <c r="BL398" s="167"/>
      <c r="BM398" s="167"/>
      <c r="BN398" s="167"/>
      <c r="BO398" s="167"/>
      <c r="BP398" s="167"/>
      <c r="BQ398" s="167"/>
      <c r="BR398" s="167"/>
      <c r="BS398" s="167"/>
      <c r="BT398" s="167"/>
      <c r="BU398" s="167"/>
      <c r="BV398" s="167"/>
      <c r="BW398" s="167"/>
      <c r="BX398" s="167"/>
      <c r="BY398" s="167"/>
      <c r="BZ398" s="167"/>
      <c r="CA398" s="167"/>
      <c r="CB398" s="167"/>
      <c r="CC398" s="167"/>
      <c r="CD398" s="167"/>
      <c r="CE398" s="167"/>
      <c r="CF398" s="167"/>
      <c r="CG398" s="167"/>
      <c r="CH398" s="167"/>
      <c r="CI398" s="167"/>
      <c r="CJ398" s="167"/>
      <c r="CK398" s="167"/>
      <c r="CL398" s="167"/>
      <c r="CM398" s="167"/>
      <c r="CN398" s="167"/>
      <c r="CO398" s="167"/>
      <c r="CP398" s="167"/>
      <c r="CQ398" s="167"/>
      <c r="CR398" s="167"/>
      <c r="CS398" s="167"/>
      <c r="CT398" s="167"/>
      <c r="CU398" s="167"/>
      <c r="CV398" s="167"/>
      <c r="CW398" s="167"/>
      <c r="CX398" s="167"/>
      <c r="CY398" s="167"/>
      <c r="CZ398" s="167"/>
      <c r="DA398" s="167"/>
      <c r="DB398" s="167"/>
      <c r="DC398" s="167"/>
      <c r="DD398" s="167"/>
      <c r="DE398" s="167"/>
      <c r="DF398" s="167"/>
      <c r="DG398" s="167"/>
      <c r="DH398" s="167"/>
      <c r="DI398" s="167"/>
      <c r="DJ398" s="167"/>
      <c r="DK398" s="167"/>
      <c r="DL398" s="167"/>
      <c r="DM398" s="167"/>
      <c r="DN398" s="167"/>
      <c r="DO398" s="167"/>
      <c r="DP398" s="167"/>
      <c r="DQ398" s="167"/>
      <c r="DR398" s="167"/>
      <c r="DS398" s="167"/>
      <c r="DT398" s="167"/>
      <c r="DU398" s="167"/>
      <c r="DV398" s="167"/>
      <c r="DW398" s="167"/>
      <c r="DX398" s="167"/>
      <c r="DY398" s="167"/>
      <c r="DZ398" s="167"/>
      <c r="EA398" s="167"/>
      <c r="EB398" s="167"/>
      <c r="EC398" s="167"/>
      <c r="ED398" s="167"/>
      <c r="EE398" s="167"/>
      <c r="EF398" s="167"/>
      <c r="EG398" s="167"/>
      <c r="EH398" s="167"/>
      <c r="EI398" s="167"/>
      <c r="EJ398" s="167"/>
      <c r="EK398" s="167"/>
      <c r="EL398" s="167"/>
      <c r="EM398" s="167"/>
      <c r="EN398" s="167"/>
      <c r="EO398" s="167"/>
      <c r="EP398" s="167"/>
      <c r="EQ398" s="167"/>
      <c r="ER398" s="167"/>
      <c r="ES398" s="167"/>
      <c r="ET398" s="167"/>
      <c r="EU398" s="167"/>
      <c r="EV398" s="167"/>
      <c r="EW398" s="167"/>
      <c r="EX398" s="167"/>
      <c r="EY398" s="167"/>
      <c r="EZ398" s="167"/>
      <c r="FA398" s="167"/>
      <c r="FB398" s="167"/>
      <c r="FC398" s="167"/>
      <c r="FD398" s="167"/>
      <c r="FE398" s="167"/>
      <c r="FF398" s="167"/>
      <c r="FG398" s="167"/>
      <c r="FH398" s="167"/>
      <c r="FI398" s="167"/>
      <c r="FJ398" s="167"/>
      <c r="FK398" s="167"/>
      <c r="FL398" s="167"/>
      <c r="FM398" s="167"/>
      <c r="FN398" s="167"/>
      <c r="FO398" s="167"/>
      <c r="FP398" s="167"/>
      <c r="FQ398" s="167"/>
      <c r="FR398" s="167"/>
      <c r="FS398" s="167"/>
      <c r="FT398" s="167"/>
      <c r="FU398" s="167"/>
      <c r="FV398" s="167"/>
      <c r="FW398" s="167"/>
      <c r="FX398" s="167"/>
      <c r="FY398" s="167"/>
      <c r="FZ398" s="167"/>
      <c r="GA398" s="167"/>
      <c r="GB398" s="167"/>
      <c r="GC398" s="167"/>
      <c r="GD398" s="167"/>
      <c r="GE398" s="167"/>
      <c r="GF398" s="167"/>
      <c r="GG398" s="167"/>
      <c r="GH398" s="167"/>
      <c r="GI398" s="167"/>
      <c r="GJ398" s="167"/>
      <c r="GK398" s="167"/>
      <c r="GL398" s="167"/>
      <c r="GM398" s="167"/>
      <c r="GN398" s="167"/>
      <c r="GO398" s="167"/>
      <c r="GP398" s="167"/>
      <c r="GQ398" s="167"/>
      <c r="GR398" s="167"/>
      <c r="GS398" s="167"/>
      <c r="GT398" s="167"/>
      <c r="GU398" s="167"/>
      <c r="GV398" s="167"/>
      <c r="GW398" s="167"/>
      <c r="GX398" s="167"/>
      <c r="GY398" s="167"/>
      <c r="GZ398" s="167"/>
      <c r="HA398" s="167"/>
      <c r="HB398" s="167"/>
      <c r="HC398" s="167"/>
      <c r="HD398" s="167"/>
      <c r="HE398" s="167"/>
      <c r="HF398" s="167"/>
      <c r="HG398" s="167"/>
      <c r="HH398" s="167"/>
      <c r="HI398" s="167"/>
      <c r="HJ398" s="167"/>
      <c r="HK398" s="167"/>
      <c r="HL398" s="167"/>
      <c r="HM398" s="167"/>
      <c r="HN398" s="167"/>
      <c r="HO398" s="167"/>
      <c r="HP398" s="167"/>
      <c r="HQ398" s="167"/>
      <c r="HR398" s="167"/>
      <c r="HS398" s="167"/>
      <c r="HT398" s="167"/>
      <c r="HU398" s="167"/>
      <c r="HV398" s="167"/>
      <c r="HW398" s="167"/>
      <c r="HX398" s="167"/>
      <c r="HY398" s="167"/>
      <c r="HZ398" s="167"/>
      <c r="IA398" s="167"/>
      <c r="IB398" s="167"/>
      <c r="IC398" s="167"/>
      <c r="ID398" s="167"/>
      <c r="IE398" s="167"/>
      <c r="IF398" s="167"/>
      <c r="IG398" s="167"/>
      <c r="IH398" s="167"/>
      <c r="II398" s="167"/>
      <c r="IJ398" s="167"/>
      <c r="IK398" s="167"/>
      <c r="IL398" s="167"/>
      <c r="IM398" s="167"/>
      <c r="IN398" s="167"/>
      <c r="IO398" s="167"/>
      <c r="IP398" s="167"/>
      <c r="IQ398" s="167"/>
      <c r="IR398" s="167"/>
      <c r="IS398" s="167"/>
      <c r="IT398" s="167"/>
      <c r="IU398" s="167"/>
      <c r="IV398" s="167"/>
      <c r="IW398" s="167"/>
      <c r="IX398" s="167"/>
      <c r="IY398" s="167"/>
      <c r="IZ398" s="167"/>
      <c r="JA398" s="167"/>
      <c r="JB398" s="167"/>
      <c r="JC398" s="167"/>
      <c r="JD398" s="167"/>
      <c r="JE398" s="167"/>
      <c r="JF398" s="167"/>
      <c r="JG398" s="167"/>
      <c r="JH398" s="167"/>
      <c r="JI398" s="167"/>
      <c r="JJ398" s="167"/>
      <c r="JK398" s="167"/>
      <c r="JL398" s="167"/>
      <c r="JM398" s="167"/>
      <c r="JN398" s="167"/>
      <c r="JO398" s="167"/>
      <c r="JP398" s="167"/>
      <c r="JQ398" s="167"/>
      <c r="JR398" s="167"/>
      <c r="JS398" s="167"/>
      <c r="JT398" s="167"/>
      <c r="JU398" s="167"/>
      <c r="JV398" s="167"/>
      <c r="JW398" s="167"/>
      <c r="JX398" s="167"/>
      <c r="JY398" s="167"/>
      <c r="JZ398" s="167"/>
      <c r="KA398" s="167"/>
      <c r="KB398" s="167"/>
      <c r="KC398" s="167"/>
      <c r="KD398" s="167"/>
      <c r="KE398" s="167"/>
      <c r="KF398" s="167"/>
      <c r="KG398" s="167"/>
      <c r="KH398" s="167"/>
      <c r="KI398" s="167"/>
      <c r="KJ398" s="167"/>
      <c r="KK398" s="167"/>
      <c r="KL398" s="167"/>
      <c r="KM398" s="167"/>
      <c r="KN398" s="167"/>
      <c r="KO398" s="167"/>
      <c r="KP398" s="167"/>
      <c r="KQ398" s="167"/>
      <c r="KR398" s="167"/>
      <c r="KS398" s="167"/>
      <c r="KT398" s="167"/>
      <c r="KU398" s="167"/>
      <c r="KV398" s="167"/>
      <c r="KW398" s="167"/>
      <c r="KX398" s="167"/>
      <c r="KY398" s="167"/>
      <c r="KZ398" s="167"/>
      <c r="LA398" s="167"/>
      <c r="LB398" s="167"/>
      <c r="LC398" s="167"/>
      <c r="LD398" s="167"/>
      <c r="LE398" s="167"/>
      <c r="LF398" s="167"/>
      <c r="LG398" s="167"/>
      <c r="LH398" s="167"/>
      <c r="LI398" s="167"/>
      <c r="LJ398" s="167"/>
      <c r="LK398" s="167"/>
      <c r="LL398" s="167"/>
      <c r="LM398" s="167"/>
      <c r="LN398" s="167"/>
      <c r="LO398" s="167"/>
      <c r="LP398" s="167"/>
      <c r="LQ398" s="167"/>
      <c r="LR398" s="167"/>
      <c r="LS398" s="167"/>
      <c r="LT398" s="167"/>
      <c r="LU398" s="167"/>
      <c r="LV398" s="167"/>
      <c r="LW398" s="167"/>
      <c r="LX398" s="167"/>
      <c r="LY398" s="167"/>
      <c r="LZ398" s="167"/>
      <c r="MA398" s="167"/>
      <c r="MB398" s="167"/>
      <c r="MC398" s="167"/>
      <c r="MD398" s="167"/>
      <c r="ME398" s="167"/>
    </row>
    <row r="399" spans="1:343" s="47" customFormat="1">
      <c r="A399" s="11"/>
      <c r="B399" s="5"/>
      <c r="C399" s="12"/>
      <c r="D399" s="3"/>
      <c r="E399" s="3"/>
      <c r="F399" s="3"/>
      <c r="G399" s="43"/>
      <c r="H399" s="51"/>
      <c r="I399" s="17"/>
      <c r="J399" s="44"/>
      <c r="K399" s="44"/>
      <c r="L399" s="167"/>
      <c r="M399" s="167"/>
      <c r="N399" s="167"/>
      <c r="O399" s="167"/>
      <c r="P399" s="167"/>
      <c r="Q399" s="167"/>
      <c r="R399" s="167"/>
      <c r="S399" s="167"/>
      <c r="T399" s="167"/>
      <c r="U399" s="167"/>
      <c r="V399" s="167"/>
      <c r="W399" s="167"/>
      <c r="X399" s="167"/>
      <c r="Y399" s="167"/>
      <c r="Z399" s="167"/>
      <c r="AA399" s="167"/>
      <c r="AB399" s="167"/>
      <c r="AC399" s="167"/>
      <c r="AD399" s="167"/>
      <c r="AE399" s="167"/>
      <c r="AF399" s="167"/>
      <c r="AG399" s="167"/>
      <c r="AH399" s="167"/>
      <c r="AI399" s="167"/>
      <c r="AJ399" s="167"/>
      <c r="AK399" s="167"/>
      <c r="AL399" s="167"/>
      <c r="AM399" s="167"/>
      <c r="AN399" s="167"/>
      <c r="AO399" s="167"/>
      <c r="AP399" s="167"/>
      <c r="AQ399" s="167"/>
      <c r="AR399" s="167"/>
      <c r="AS399" s="167"/>
      <c r="AT399" s="167"/>
      <c r="AU399" s="167"/>
      <c r="AV399" s="167"/>
      <c r="AW399" s="167"/>
      <c r="AX399" s="167"/>
      <c r="AY399" s="167"/>
      <c r="AZ399" s="167"/>
      <c r="BA399" s="167"/>
      <c r="BB399" s="167"/>
      <c r="BC399" s="167"/>
      <c r="BD399" s="167"/>
      <c r="BE399" s="167"/>
      <c r="BF399" s="167"/>
      <c r="BG399" s="167"/>
      <c r="BH399" s="167"/>
      <c r="BI399" s="167"/>
      <c r="BJ399" s="167"/>
      <c r="BK399" s="167"/>
      <c r="BL399" s="167"/>
      <c r="BM399" s="167"/>
      <c r="BN399" s="167"/>
      <c r="BO399" s="167"/>
      <c r="BP399" s="167"/>
      <c r="BQ399" s="167"/>
      <c r="BR399" s="167"/>
      <c r="BS399" s="167"/>
      <c r="BT399" s="167"/>
      <c r="BU399" s="167"/>
      <c r="BV399" s="167"/>
      <c r="BW399" s="167"/>
      <c r="BX399" s="167"/>
      <c r="BY399" s="167"/>
      <c r="BZ399" s="167"/>
      <c r="CA399" s="167"/>
      <c r="CB399" s="167"/>
      <c r="CC399" s="167"/>
      <c r="CD399" s="167"/>
      <c r="CE399" s="167"/>
      <c r="CF399" s="167"/>
      <c r="CG399" s="167"/>
      <c r="CH399" s="167"/>
      <c r="CI399" s="167"/>
      <c r="CJ399" s="167"/>
      <c r="CK399" s="167"/>
      <c r="CL399" s="167"/>
      <c r="CM399" s="167"/>
      <c r="CN399" s="167"/>
      <c r="CO399" s="167"/>
      <c r="CP399" s="167"/>
      <c r="CQ399" s="167"/>
      <c r="CR399" s="167"/>
      <c r="CS399" s="167"/>
      <c r="CT399" s="167"/>
      <c r="CU399" s="167"/>
      <c r="CV399" s="167"/>
      <c r="CW399" s="167"/>
      <c r="CX399" s="167"/>
      <c r="CY399" s="167"/>
      <c r="CZ399" s="167"/>
      <c r="DA399" s="167"/>
      <c r="DB399" s="167"/>
      <c r="DC399" s="167"/>
      <c r="DD399" s="167"/>
      <c r="DE399" s="167"/>
      <c r="DF399" s="167"/>
      <c r="DG399" s="167"/>
      <c r="DH399" s="167"/>
      <c r="DI399" s="167"/>
      <c r="DJ399" s="167"/>
      <c r="DK399" s="167"/>
      <c r="DL399" s="167"/>
      <c r="DM399" s="167"/>
      <c r="DN399" s="167"/>
      <c r="DO399" s="167"/>
      <c r="DP399" s="167"/>
      <c r="DQ399" s="167"/>
      <c r="DR399" s="167"/>
      <c r="DS399" s="167"/>
      <c r="DT399" s="167"/>
      <c r="DU399" s="167"/>
      <c r="DV399" s="167"/>
      <c r="DW399" s="167"/>
      <c r="DX399" s="167"/>
      <c r="DY399" s="167"/>
      <c r="DZ399" s="167"/>
      <c r="EA399" s="167"/>
      <c r="EB399" s="167"/>
      <c r="EC399" s="167"/>
      <c r="ED399" s="167"/>
      <c r="EE399" s="167"/>
      <c r="EF399" s="167"/>
      <c r="EG399" s="167"/>
      <c r="EH399" s="167"/>
      <c r="EI399" s="167"/>
      <c r="EJ399" s="167"/>
      <c r="EK399" s="167"/>
      <c r="EL399" s="167"/>
      <c r="EM399" s="167"/>
      <c r="EN399" s="167"/>
      <c r="EO399" s="167"/>
      <c r="EP399" s="167"/>
      <c r="EQ399" s="167"/>
      <c r="ER399" s="167"/>
      <c r="ES399" s="167"/>
      <c r="ET399" s="167"/>
      <c r="EU399" s="167"/>
      <c r="EV399" s="167"/>
      <c r="EW399" s="167"/>
      <c r="EX399" s="167"/>
      <c r="EY399" s="167"/>
      <c r="EZ399" s="167"/>
      <c r="FA399" s="167"/>
      <c r="FB399" s="167"/>
      <c r="FC399" s="167"/>
      <c r="FD399" s="167"/>
      <c r="FE399" s="167"/>
      <c r="FF399" s="167"/>
      <c r="FG399" s="167"/>
      <c r="FH399" s="167"/>
      <c r="FI399" s="167"/>
      <c r="FJ399" s="167"/>
      <c r="FK399" s="167"/>
      <c r="FL399" s="167"/>
      <c r="FM399" s="167"/>
      <c r="FN399" s="167"/>
      <c r="FO399" s="167"/>
      <c r="FP399" s="167"/>
      <c r="FQ399" s="167"/>
      <c r="FR399" s="167"/>
      <c r="FS399" s="167"/>
      <c r="FT399" s="167"/>
      <c r="FU399" s="167"/>
      <c r="FV399" s="167"/>
      <c r="FW399" s="167"/>
      <c r="FX399" s="167"/>
      <c r="FY399" s="167"/>
      <c r="FZ399" s="167"/>
      <c r="GA399" s="167"/>
      <c r="GB399" s="167"/>
      <c r="GC399" s="167"/>
      <c r="GD399" s="167"/>
      <c r="GE399" s="167"/>
      <c r="GF399" s="167"/>
      <c r="GG399" s="167"/>
      <c r="GH399" s="167"/>
      <c r="GI399" s="167"/>
      <c r="GJ399" s="167"/>
      <c r="GK399" s="167"/>
      <c r="GL399" s="167"/>
      <c r="GM399" s="167"/>
      <c r="GN399" s="167"/>
      <c r="GO399" s="167"/>
      <c r="GP399" s="167"/>
      <c r="GQ399" s="167"/>
      <c r="GR399" s="167"/>
      <c r="GS399" s="167"/>
      <c r="GT399" s="167"/>
      <c r="GU399" s="167"/>
      <c r="GV399" s="167"/>
      <c r="GW399" s="167"/>
      <c r="GX399" s="167"/>
      <c r="GY399" s="167"/>
      <c r="GZ399" s="167"/>
      <c r="HA399" s="167"/>
      <c r="HB399" s="167"/>
      <c r="HC399" s="167"/>
      <c r="HD399" s="167"/>
      <c r="HE399" s="167"/>
      <c r="HF399" s="167"/>
      <c r="HG399" s="167"/>
      <c r="HH399" s="167"/>
      <c r="HI399" s="167"/>
      <c r="HJ399" s="167"/>
      <c r="HK399" s="167"/>
      <c r="HL399" s="167"/>
      <c r="HM399" s="167"/>
      <c r="HN399" s="167"/>
      <c r="HO399" s="167"/>
      <c r="HP399" s="167"/>
      <c r="HQ399" s="167"/>
      <c r="HR399" s="167"/>
      <c r="HS399" s="167"/>
      <c r="HT399" s="167"/>
      <c r="HU399" s="167"/>
      <c r="HV399" s="167"/>
      <c r="HW399" s="167"/>
      <c r="HX399" s="167"/>
      <c r="HY399" s="167"/>
      <c r="HZ399" s="167"/>
      <c r="IA399" s="167"/>
      <c r="IB399" s="167"/>
      <c r="IC399" s="167"/>
      <c r="ID399" s="167"/>
      <c r="IE399" s="167"/>
      <c r="IF399" s="167"/>
      <c r="IG399" s="167"/>
      <c r="IH399" s="167"/>
      <c r="II399" s="167"/>
      <c r="IJ399" s="167"/>
      <c r="IK399" s="167"/>
      <c r="IL399" s="167"/>
      <c r="IM399" s="167"/>
      <c r="IN399" s="167"/>
      <c r="IO399" s="167"/>
      <c r="IP399" s="167"/>
      <c r="IQ399" s="167"/>
      <c r="IR399" s="167"/>
      <c r="IS399" s="167"/>
      <c r="IT399" s="167"/>
      <c r="IU399" s="167"/>
      <c r="IV399" s="167"/>
      <c r="IW399" s="167"/>
      <c r="IX399" s="167"/>
      <c r="IY399" s="167"/>
      <c r="IZ399" s="167"/>
      <c r="JA399" s="167"/>
      <c r="JB399" s="167"/>
      <c r="JC399" s="167"/>
      <c r="JD399" s="167"/>
      <c r="JE399" s="167"/>
      <c r="JF399" s="167"/>
      <c r="JG399" s="167"/>
      <c r="JH399" s="167"/>
      <c r="JI399" s="167"/>
      <c r="JJ399" s="167"/>
      <c r="JK399" s="167"/>
      <c r="JL399" s="167"/>
      <c r="JM399" s="167"/>
      <c r="JN399" s="167"/>
      <c r="JO399" s="167"/>
      <c r="JP399" s="167"/>
      <c r="JQ399" s="167"/>
      <c r="JR399" s="167"/>
      <c r="JS399" s="167"/>
      <c r="JT399" s="167"/>
      <c r="JU399" s="167"/>
      <c r="JV399" s="167"/>
      <c r="JW399" s="167"/>
      <c r="JX399" s="167"/>
      <c r="JY399" s="167"/>
      <c r="JZ399" s="167"/>
      <c r="KA399" s="167"/>
      <c r="KB399" s="167"/>
      <c r="KC399" s="167"/>
      <c r="KD399" s="167"/>
      <c r="KE399" s="167"/>
      <c r="KF399" s="167"/>
      <c r="KG399" s="167"/>
      <c r="KH399" s="167"/>
      <c r="KI399" s="167"/>
      <c r="KJ399" s="167"/>
      <c r="KK399" s="167"/>
      <c r="KL399" s="167"/>
      <c r="KM399" s="167"/>
      <c r="KN399" s="167"/>
      <c r="KO399" s="167"/>
      <c r="KP399" s="167"/>
      <c r="KQ399" s="167"/>
      <c r="KR399" s="167"/>
      <c r="KS399" s="167"/>
      <c r="KT399" s="167"/>
      <c r="KU399" s="167"/>
      <c r="KV399" s="167"/>
      <c r="KW399" s="167"/>
      <c r="KX399" s="167"/>
      <c r="KY399" s="167"/>
      <c r="KZ399" s="167"/>
      <c r="LA399" s="167"/>
      <c r="LB399" s="167"/>
      <c r="LC399" s="167"/>
      <c r="LD399" s="167"/>
      <c r="LE399" s="167"/>
      <c r="LF399" s="167"/>
      <c r="LG399" s="167"/>
      <c r="LH399" s="167"/>
      <c r="LI399" s="167"/>
      <c r="LJ399" s="167"/>
      <c r="LK399" s="167"/>
      <c r="LL399" s="167"/>
      <c r="LM399" s="167"/>
      <c r="LN399" s="167"/>
      <c r="LO399" s="167"/>
      <c r="LP399" s="167"/>
      <c r="LQ399" s="167"/>
      <c r="LR399" s="167"/>
      <c r="LS399" s="167"/>
      <c r="LT399" s="167"/>
      <c r="LU399" s="167"/>
      <c r="LV399" s="167"/>
      <c r="LW399" s="167"/>
      <c r="LX399" s="167"/>
      <c r="LY399" s="167"/>
      <c r="LZ399" s="167"/>
      <c r="MA399" s="167"/>
      <c r="MB399" s="167"/>
      <c r="MC399" s="167"/>
      <c r="MD399" s="167"/>
      <c r="ME399" s="167"/>
    </row>
    <row r="400" spans="1:343">
      <c r="A400" s="160"/>
      <c r="B400" s="161" t="s">
        <v>17</v>
      </c>
      <c r="C400" s="161"/>
      <c r="D400" s="161"/>
      <c r="E400" s="161"/>
      <c r="F400" s="161"/>
      <c r="G400" s="162">
        <f>SUM(G153:G399)</f>
        <v>899326.50000000012</v>
      </c>
      <c r="H400" s="163">
        <f>SUM(H153:H399)</f>
        <v>3350.3100000000013</v>
      </c>
      <c r="I400" s="162">
        <f>SUM(I153:I399)</f>
        <v>895976.19000000006</v>
      </c>
      <c r="J400" s="162"/>
      <c r="K400" s="288"/>
      <c r="L400" s="167"/>
      <c r="M400" s="167"/>
      <c r="N400" s="167"/>
      <c r="O400" s="167"/>
      <c r="P400" s="167"/>
      <c r="Q400" s="167"/>
      <c r="R400" s="167"/>
      <c r="S400" s="167"/>
      <c r="T400" s="167"/>
      <c r="U400" s="167"/>
      <c r="V400" s="167"/>
      <c r="W400" s="167"/>
      <c r="X400" s="167"/>
      <c r="Y400" s="167"/>
      <c r="Z400" s="167"/>
      <c r="AA400" s="167"/>
      <c r="AB400" s="167"/>
      <c r="AC400" s="167"/>
      <c r="AD400" s="167"/>
      <c r="AE400" s="167"/>
      <c r="AF400" s="167"/>
      <c r="AG400" s="167"/>
      <c r="AH400" s="167"/>
      <c r="AI400" s="167"/>
      <c r="AJ400" s="167"/>
      <c r="AK400" s="167"/>
      <c r="AL400" s="167"/>
      <c r="AM400" s="167"/>
      <c r="AN400" s="167"/>
      <c r="AO400" s="167"/>
      <c r="AP400" s="167"/>
      <c r="AQ400" s="167"/>
      <c r="AR400" s="167"/>
      <c r="AS400" s="167"/>
      <c r="AT400" s="167"/>
    </row>
    <row r="401" spans="1:26" ht="58.5">
      <c r="A401" s="11" t="s">
        <v>555</v>
      </c>
      <c r="B401" s="57" t="s">
        <v>557</v>
      </c>
      <c r="C401" s="58"/>
      <c r="D401" s="14" t="s">
        <v>18</v>
      </c>
      <c r="E401" s="14" t="s">
        <v>28</v>
      </c>
      <c r="F401" s="14" t="s">
        <v>26</v>
      </c>
      <c r="G401" s="50">
        <v>1000</v>
      </c>
      <c r="H401" s="51"/>
      <c r="I401" s="17">
        <f t="shared" ref="I401:I467" si="7">G401-H401+J401-K401</f>
        <v>1000</v>
      </c>
      <c r="J401" s="52"/>
      <c r="K401" s="52"/>
      <c r="M401" s="167"/>
      <c r="N401" s="167"/>
      <c r="O401" s="167"/>
      <c r="P401" s="167"/>
      <c r="Q401" s="167"/>
      <c r="R401" s="167"/>
      <c r="S401" s="167"/>
      <c r="T401" s="167"/>
      <c r="U401" s="167"/>
      <c r="V401" s="167"/>
      <c r="W401" s="167"/>
      <c r="X401" s="167"/>
      <c r="Y401" s="167"/>
      <c r="Z401" s="167"/>
    </row>
    <row r="402" spans="1:26" ht="58.5">
      <c r="A402" s="11" t="s">
        <v>556</v>
      </c>
      <c r="B402" s="57" t="s">
        <v>558</v>
      </c>
      <c r="C402" s="58"/>
      <c r="D402" s="14" t="s">
        <v>18</v>
      </c>
      <c r="E402" s="14" t="s">
        <v>28</v>
      </c>
      <c r="F402" s="14" t="s">
        <v>26</v>
      </c>
      <c r="G402" s="50">
        <v>7000</v>
      </c>
      <c r="H402" s="51"/>
      <c r="I402" s="17">
        <f t="shared" si="7"/>
        <v>7000</v>
      </c>
      <c r="J402" s="52"/>
      <c r="K402" s="52"/>
      <c r="M402" s="167"/>
      <c r="N402" s="167"/>
      <c r="O402" s="167"/>
      <c r="P402" s="167"/>
      <c r="Q402" s="167"/>
    </row>
    <row r="403" spans="1:26" ht="72.75">
      <c r="A403" s="11" t="s">
        <v>560</v>
      </c>
      <c r="B403" s="57" t="s">
        <v>559</v>
      </c>
      <c r="C403" s="59"/>
      <c r="D403" s="14" t="s">
        <v>18</v>
      </c>
      <c r="E403" s="14" t="s">
        <v>28</v>
      </c>
      <c r="F403" s="14" t="s">
        <v>26</v>
      </c>
      <c r="G403" s="50">
        <v>2000</v>
      </c>
      <c r="H403" s="51"/>
      <c r="I403" s="17">
        <f t="shared" si="7"/>
        <v>2000</v>
      </c>
      <c r="J403" s="52"/>
      <c r="K403" s="52"/>
    </row>
    <row r="404" spans="1:26" ht="72.75">
      <c r="A404" s="11" t="s">
        <v>561</v>
      </c>
      <c r="B404" s="57" t="s">
        <v>562</v>
      </c>
      <c r="C404" s="59"/>
      <c r="D404" s="14" t="s">
        <v>18</v>
      </c>
      <c r="E404" s="14" t="s">
        <v>28</v>
      </c>
      <c r="F404" s="14" t="s">
        <v>26</v>
      </c>
      <c r="G404" s="50">
        <v>1990</v>
      </c>
      <c r="H404" s="51"/>
      <c r="I404" s="17">
        <f t="shared" si="7"/>
        <v>1990</v>
      </c>
      <c r="J404" s="56"/>
      <c r="K404" s="56"/>
    </row>
    <row r="405" spans="1:26" ht="72.75">
      <c r="A405" s="11" t="s">
        <v>564</v>
      </c>
      <c r="B405" s="57" t="s">
        <v>563</v>
      </c>
      <c r="C405" s="59"/>
      <c r="D405" s="14" t="s">
        <v>18</v>
      </c>
      <c r="E405" s="14" t="s">
        <v>28</v>
      </c>
      <c r="F405" s="14" t="s">
        <v>26</v>
      </c>
      <c r="G405" s="50">
        <v>3000</v>
      </c>
      <c r="H405" s="51"/>
      <c r="I405" s="17">
        <f t="shared" si="7"/>
        <v>3000</v>
      </c>
      <c r="J405" s="52"/>
      <c r="K405" s="52"/>
    </row>
    <row r="406" spans="1:26" ht="72.75">
      <c r="A406" s="11" t="s">
        <v>566</v>
      </c>
      <c r="B406" s="57" t="s">
        <v>567</v>
      </c>
      <c r="C406" s="59"/>
      <c r="D406" s="14" t="s">
        <v>18</v>
      </c>
      <c r="E406" s="14" t="s">
        <v>28</v>
      </c>
      <c r="F406" s="14" t="s">
        <v>26</v>
      </c>
      <c r="G406" s="50">
        <v>30000</v>
      </c>
      <c r="H406" s="51"/>
      <c r="I406" s="17">
        <f t="shared" si="7"/>
        <v>30000</v>
      </c>
      <c r="J406" s="52"/>
      <c r="K406" s="52"/>
    </row>
    <row r="407" spans="1:26" ht="72.75">
      <c r="A407" s="11" t="s">
        <v>565</v>
      </c>
      <c r="B407" s="57" t="s">
        <v>568</v>
      </c>
      <c r="C407" s="59"/>
      <c r="D407" s="14" t="s">
        <v>18</v>
      </c>
      <c r="E407" s="14" t="s">
        <v>28</v>
      </c>
      <c r="F407" s="14" t="s">
        <v>26</v>
      </c>
      <c r="G407" s="50">
        <v>5000</v>
      </c>
      <c r="H407" s="51"/>
      <c r="I407" s="17">
        <f t="shared" si="7"/>
        <v>5000</v>
      </c>
      <c r="J407" s="52"/>
      <c r="K407" s="52"/>
    </row>
    <row r="408" spans="1:26" ht="72.75">
      <c r="A408" s="11" t="s">
        <v>569</v>
      </c>
      <c r="B408" s="57" t="s">
        <v>570</v>
      </c>
      <c r="C408" s="59"/>
      <c r="D408" s="14" t="s">
        <v>18</v>
      </c>
      <c r="E408" s="14" t="s">
        <v>28</v>
      </c>
      <c r="F408" s="14" t="s">
        <v>26</v>
      </c>
      <c r="G408" s="50">
        <v>10000</v>
      </c>
      <c r="H408" s="51"/>
      <c r="I408" s="17">
        <f t="shared" si="7"/>
        <v>10000</v>
      </c>
      <c r="J408" s="52"/>
      <c r="K408" s="52"/>
    </row>
    <row r="409" spans="1:26" ht="72.75">
      <c r="A409" s="11" t="s">
        <v>571</v>
      </c>
      <c r="B409" s="57" t="s">
        <v>572</v>
      </c>
      <c r="C409" s="59"/>
      <c r="D409" s="14" t="s">
        <v>18</v>
      </c>
      <c r="E409" s="14" t="s">
        <v>28</v>
      </c>
      <c r="F409" s="14" t="s">
        <v>26</v>
      </c>
      <c r="G409" s="50">
        <v>15000</v>
      </c>
      <c r="H409" s="51"/>
      <c r="I409" s="17">
        <f t="shared" si="7"/>
        <v>15000</v>
      </c>
      <c r="J409" s="52"/>
      <c r="K409" s="52"/>
    </row>
    <row r="410" spans="1:26" ht="72.75">
      <c r="A410" s="11" t="s">
        <v>969</v>
      </c>
      <c r="B410" s="57" t="s">
        <v>970</v>
      </c>
      <c r="C410" s="59"/>
      <c r="D410" s="14" t="s">
        <v>18</v>
      </c>
      <c r="E410" s="14" t="s">
        <v>28</v>
      </c>
      <c r="F410" s="14" t="s">
        <v>26</v>
      </c>
      <c r="G410" s="50">
        <v>10</v>
      </c>
      <c r="H410" s="51">
        <f>1.3</f>
        <v>1.3</v>
      </c>
      <c r="I410" s="17">
        <f t="shared" si="7"/>
        <v>8.6999999999999993</v>
      </c>
      <c r="J410" s="52"/>
      <c r="K410" s="52"/>
    </row>
    <row r="411" spans="1:26" ht="20.25" customHeight="1">
      <c r="A411" s="11" t="s">
        <v>573</v>
      </c>
      <c r="B411" s="54" t="s">
        <v>52</v>
      </c>
      <c r="C411" s="13"/>
      <c r="D411" s="14" t="s">
        <v>18</v>
      </c>
      <c r="E411" s="14" t="s">
        <v>28</v>
      </c>
      <c r="F411" s="14" t="s">
        <v>26</v>
      </c>
      <c r="G411" s="50">
        <v>7990</v>
      </c>
      <c r="H411" s="51"/>
      <c r="I411" s="17">
        <f t="shared" si="7"/>
        <v>7990</v>
      </c>
      <c r="J411" s="52"/>
      <c r="K411" s="52"/>
    </row>
    <row r="412" spans="1:26" ht="60">
      <c r="A412" s="11" t="s">
        <v>574</v>
      </c>
      <c r="B412" s="54" t="s">
        <v>575</v>
      </c>
      <c r="C412" s="13"/>
      <c r="D412" s="14" t="s">
        <v>18</v>
      </c>
      <c r="E412" s="14" t="s">
        <v>28</v>
      </c>
      <c r="F412" s="14" t="s">
        <v>26</v>
      </c>
      <c r="G412" s="50">
        <v>6000</v>
      </c>
      <c r="H412" s="51"/>
      <c r="I412" s="17">
        <f t="shared" si="7"/>
        <v>6000</v>
      </c>
      <c r="J412" s="52"/>
      <c r="K412" s="52"/>
    </row>
    <row r="413" spans="1:26" ht="75">
      <c r="A413" s="11" t="s">
        <v>212</v>
      </c>
      <c r="B413" s="54" t="s">
        <v>576</v>
      </c>
      <c r="C413" s="13"/>
      <c r="D413" s="14" t="s">
        <v>18</v>
      </c>
      <c r="E413" s="14" t="s">
        <v>28</v>
      </c>
      <c r="F413" s="14" t="s">
        <v>26</v>
      </c>
      <c r="G413" s="50">
        <v>16000</v>
      </c>
      <c r="H413" s="51"/>
      <c r="I413" s="17">
        <f t="shared" si="7"/>
        <v>16000</v>
      </c>
      <c r="J413" s="52"/>
      <c r="K413" s="52"/>
    </row>
    <row r="414" spans="1:26" ht="74.25">
      <c r="A414" s="11" t="s">
        <v>577</v>
      </c>
      <c r="B414" s="54" t="s">
        <v>578</v>
      </c>
      <c r="C414" s="13"/>
      <c r="D414" s="14" t="s">
        <v>18</v>
      </c>
      <c r="E414" s="14" t="s">
        <v>28</v>
      </c>
      <c r="F414" s="14" t="s">
        <v>26</v>
      </c>
      <c r="G414" s="50">
        <v>15000</v>
      </c>
      <c r="H414" s="51"/>
      <c r="I414" s="17">
        <f t="shared" si="7"/>
        <v>15000</v>
      </c>
      <c r="J414" s="56"/>
      <c r="K414" s="56"/>
    </row>
    <row r="415" spans="1:26" ht="30">
      <c r="A415" s="11" t="s">
        <v>218</v>
      </c>
      <c r="B415" s="54" t="s">
        <v>579</v>
      </c>
      <c r="C415" s="13"/>
      <c r="D415" s="14" t="s">
        <v>18</v>
      </c>
      <c r="E415" s="14" t="s">
        <v>28</v>
      </c>
      <c r="F415" s="14" t="s">
        <v>26</v>
      </c>
      <c r="G415" s="50">
        <v>10</v>
      </c>
      <c r="H415" s="51"/>
      <c r="I415" s="17">
        <f t="shared" si="7"/>
        <v>10</v>
      </c>
      <c r="J415" s="56"/>
      <c r="K415" s="56"/>
    </row>
    <row r="416" spans="1:26" ht="44.25">
      <c r="A416" s="11" t="s">
        <v>580</v>
      </c>
      <c r="B416" s="54" t="s">
        <v>581</v>
      </c>
      <c r="C416" s="13"/>
      <c r="D416" s="14" t="s">
        <v>18</v>
      </c>
      <c r="E416" s="14" t="s">
        <v>28</v>
      </c>
      <c r="F416" s="14" t="s">
        <v>27</v>
      </c>
      <c r="G416" s="50">
        <v>21990</v>
      </c>
      <c r="H416" s="51"/>
      <c r="I416" s="17">
        <f t="shared" si="7"/>
        <v>21990</v>
      </c>
      <c r="J416" s="56"/>
      <c r="K416" s="56"/>
    </row>
    <row r="417" spans="1:11" ht="30">
      <c r="A417" s="11" t="s">
        <v>235</v>
      </c>
      <c r="B417" s="54" t="s">
        <v>582</v>
      </c>
      <c r="C417" s="13"/>
      <c r="D417" s="14" t="s">
        <v>18</v>
      </c>
      <c r="E417" s="14" t="s">
        <v>28</v>
      </c>
      <c r="F417" s="14" t="s">
        <v>27</v>
      </c>
      <c r="G417" s="50">
        <v>10</v>
      </c>
      <c r="H417" s="51">
        <f>1.3</f>
        <v>1.3</v>
      </c>
      <c r="I417" s="17">
        <f t="shared" si="7"/>
        <v>8.6999999999999993</v>
      </c>
      <c r="J417" s="56"/>
      <c r="K417" s="56"/>
    </row>
    <row r="418" spans="1:11" ht="96" customHeight="1">
      <c r="A418" s="11" t="s">
        <v>200</v>
      </c>
      <c r="B418" s="53" t="s">
        <v>584</v>
      </c>
      <c r="C418" s="13"/>
      <c r="D418" s="14"/>
      <c r="E418" s="14"/>
      <c r="F418" s="14"/>
      <c r="G418" s="50"/>
      <c r="H418" s="51"/>
      <c r="I418" s="17"/>
      <c r="J418" s="56"/>
      <c r="K418" s="56"/>
    </row>
    <row r="419" spans="1:11" ht="30">
      <c r="A419" s="11">
        <v>54111</v>
      </c>
      <c r="B419" s="54" t="s">
        <v>583</v>
      </c>
      <c r="C419" s="13"/>
      <c r="D419" s="14" t="s">
        <v>18</v>
      </c>
      <c r="E419" s="14" t="s">
        <v>28</v>
      </c>
      <c r="F419" s="14" t="s">
        <v>27</v>
      </c>
      <c r="G419" s="50">
        <v>139.35</v>
      </c>
      <c r="H419" s="51"/>
      <c r="I419" s="17">
        <f t="shared" si="7"/>
        <v>139.35</v>
      </c>
      <c r="J419" s="56"/>
      <c r="K419" s="56"/>
    </row>
    <row r="420" spans="1:11" ht="75">
      <c r="A420" s="141" t="s">
        <v>201</v>
      </c>
      <c r="B420" s="53" t="s">
        <v>585</v>
      </c>
      <c r="C420" s="13"/>
      <c r="D420" s="14"/>
      <c r="E420" s="14"/>
      <c r="F420" s="14"/>
      <c r="G420" s="50"/>
      <c r="H420" s="51"/>
      <c r="I420" s="17"/>
      <c r="J420" s="56"/>
      <c r="K420" s="56"/>
    </row>
    <row r="421" spans="1:11" ht="29.25">
      <c r="A421" s="11">
        <v>54110</v>
      </c>
      <c r="B421" s="54" t="s">
        <v>586</v>
      </c>
      <c r="C421" s="13"/>
      <c r="D421" s="14" t="s">
        <v>18</v>
      </c>
      <c r="E421" s="14" t="s">
        <v>28</v>
      </c>
      <c r="F421" s="14" t="s">
        <v>27</v>
      </c>
      <c r="G421" s="50">
        <v>50</v>
      </c>
      <c r="H421" s="51">
        <f>20</f>
        <v>20</v>
      </c>
      <c r="I421" s="17">
        <f t="shared" si="7"/>
        <v>30</v>
      </c>
      <c r="J421" s="56"/>
      <c r="K421" s="56"/>
    </row>
    <row r="422" spans="1:11" ht="30">
      <c r="A422" s="11">
        <v>54111</v>
      </c>
      <c r="B422" s="54" t="s">
        <v>587</v>
      </c>
      <c r="C422" s="13"/>
      <c r="D422" s="14" t="s">
        <v>18</v>
      </c>
      <c r="E422" s="14" t="s">
        <v>28</v>
      </c>
      <c r="F422" s="14" t="s">
        <v>27</v>
      </c>
      <c r="G422" s="50">
        <v>2688.56</v>
      </c>
      <c r="H422" s="51">
        <f>2345+165</f>
        <v>2510</v>
      </c>
      <c r="I422" s="17">
        <f t="shared" si="7"/>
        <v>178.55999999999995</v>
      </c>
      <c r="J422" s="56"/>
      <c r="K422" s="56"/>
    </row>
    <row r="423" spans="1:11" ht="29.25">
      <c r="A423" s="11">
        <v>54112</v>
      </c>
      <c r="B423" s="54" t="s">
        <v>588</v>
      </c>
      <c r="C423" s="59"/>
      <c r="D423" s="14" t="s">
        <v>18</v>
      </c>
      <c r="E423" s="14" t="s">
        <v>28</v>
      </c>
      <c r="F423" s="14" t="s">
        <v>27</v>
      </c>
      <c r="G423" s="50">
        <v>0</v>
      </c>
      <c r="H423" s="51"/>
      <c r="I423" s="17">
        <f t="shared" si="7"/>
        <v>0</v>
      </c>
      <c r="J423" s="56"/>
      <c r="K423" s="56"/>
    </row>
    <row r="424" spans="1:11" ht="29.25">
      <c r="A424" s="11">
        <v>55603</v>
      </c>
      <c r="B424" s="54" t="s">
        <v>974</v>
      </c>
      <c r="C424" s="55"/>
      <c r="D424" s="14" t="s">
        <v>18</v>
      </c>
      <c r="E424" s="14" t="s">
        <v>28</v>
      </c>
      <c r="F424" s="14" t="s">
        <v>27</v>
      </c>
      <c r="G424" s="50">
        <v>2</v>
      </c>
      <c r="H424" s="51">
        <v>1.7</v>
      </c>
      <c r="I424" s="17">
        <f t="shared" si="7"/>
        <v>0.30000000000000004</v>
      </c>
      <c r="J424" s="11"/>
      <c r="K424" s="54"/>
    </row>
    <row r="425" spans="1:11" ht="90">
      <c r="A425" s="11" t="s">
        <v>220</v>
      </c>
      <c r="B425" s="53" t="s">
        <v>966</v>
      </c>
      <c r="C425" s="55"/>
      <c r="D425" s="14"/>
      <c r="E425" s="14"/>
      <c r="F425" s="14"/>
      <c r="G425" s="50"/>
      <c r="H425" s="51"/>
      <c r="I425" s="17"/>
      <c r="J425" s="11"/>
      <c r="K425" s="54"/>
    </row>
    <row r="426" spans="1:11" ht="29.25">
      <c r="A426" s="11">
        <v>51202</v>
      </c>
      <c r="B426" s="54" t="s">
        <v>589</v>
      </c>
      <c r="C426" s="55"/>
      <c r="D426" s="14" t="s">
        <v>18</v>
      </c>
      <c r="E426" s="14" t="s">
        <v>28</v>
      </c>
      <c r="F426" s="14" t="s">
        <v>27</v>
      </c>
      <c r="G426" s="50">
        <v>200</v>
      </c>
      <c r="H426" s="51"/>
      <c r="I426" s="17">
        <f t="shared" si="7"/>
        <v>200</v>
      </c>
      <c r="J426" s="11"/>
      <c r="K426" s="54"/>
    </row>
    <row r="427" spans="1:11" ht="29.25" customHeight="1">
      <c r="A427" s="11">
        <v>54110</v>
      </c>
      <c r="B427" s="54" t="s">
        <v>590</v>
      </c>
      <c r="C427" s="55"/>
      <c r="D427" s="14" t="s">
        <v>18</v>
      </c>
      <c r="E427" s="14" t="s">
        <v>28</v>
      </c>
      <c r="F427" s="14" t="s">
        <v>27</v>
      </c>
      <c r="G427" s="50">
        <v>175</v>
      </c>
      <c r="H427" s="51"/>
      <c r="I427" s="17">
        <f t="shared" si="7"/>
        <v>175</v>
      </c>
      <c r="J427" s="11"/>
      <c r="K427" s="54"/>
    </row>
    <row r="428" spans="1:11" ht="30">
      <c r="A428" s="11">
        <v>54111</v>
      </c>
      <c r="B428" s="54" t="s">
        <v>591</v>
      </c>
      <c r="C428" s="55"/>
      <c r="D428" s="14" t="s">
        <v>18</v>
      </c>
      <c r="E428" s="14" t="s">
        <v>28</v>
      </c>
      <c r="F428" s="14" t="s">
        <v>27</v>
      </c>
      <c r="G428" s="50">
        <v>215.07</v>
      </c>
      <c r="H428" s="51"/>
      <c r="I428" s="17">
        <f t="shared" si="7"/>
        <v>215.07</v>
      </c>
      <c r="J428" s="11"/>
      <c r="K428" s="54"/>
    </row>
    <row r="429" spans="1:11" ht="29.25">
      <c r="A429" s="11">
        <v>54112</v>
      </c>
      <c r="B429" s="54" t="s">
        <v>592</v>
      </c>
      <c r="C429" s="55"/>
      <c r="D429" s="14" t="s">
        <v>18</v>
      </c>
      <c r="E429" s="14" t="s">
        <v>28</v>
      </c>
      <c r="F429" s="14" t="s">
        <v>27</v>
      </c>
      <c r="G429" s="50">
        <v>100</v>
      </c>
      <c r="H429" s="51"/>
      <c r="I429" s="17">
        <f t="shared" si="7"/>
        <v>100</v>
      </c>
      <c r="J429" s="11"/>
      <c r="K429" s="54"/>
    </row>
    <row r="430" spans="1:11" ht="29.25">
      <c r="A430" s="11">
        <v>54313</v>
      </c>
      <c r="B430" s="54" t="s">
        <v>593</v>
      </c>
      <c r="C430" s="55"/>
      <c r="D430" s="14" t="s">
        <v>18</v>
      </c>
      <c r="E430" s="14" t="s">
        <v>28</v>
      </c>
      <c r="F430" s="14" t="s">
        <v>27</v>
      </c>
      <c r="G430" s="50">
        <v>300</v>
      </c>
      <c r="H430" s="51">
        <f>242</f>
        <v>242</v>
      </c>
      <c r="I430" s="17">
        <f t="shared" si="7"/>
        <v>58</v>
      </c>
      <c r="J430" s="11"/>
      <c r="K430" s="54"/>
    </row>
    <row r="431" spans="1:11" ht="100.5" customHeight="1">
      <c r="A431" s="11" t="s">
        <v>238</v>
      </c>
      <c r="B431" s="53" t="s">
        <v>595</v>
      </c>
      <c r="C431" s="55"/>
      <c r="D431" s="14"/>
      <c r="E431" s="14"/>
      <c r="F431" s="14"/>
      <c r="G431" s="50"/>
      <c r="H431" s="51"/>
      <c r="I431" s="17"/>
      <c r="J431" s="11"/>
      <c r="K431" s="54"/>
    </row>
    <row r="432" spans="1:11" ht="29.25">
      <c r="A432" s="11">
        <v>51202</v>
      </c>
      <c r="B432" s="54" t="s">
        <v>594</v>
      </c>
      <c r="C432" s="55"/>
      <c r="D432" s="14" t="s">
        <v>18</v>
      </c>
      <c r="E432" s="14" t="s">
        <v>28</v>
      </c>
      <c r="F432" s="14" t="s">
        <v>27</v>
      </c>
      <c r="G432" s="50">
        <v>8000</v>
      </c>
      <c r="H432" s="51">
        <f>233.33+133.33+133.33+124.46</f>
        <v>624.45000000000005</v>
      </c>
      <c r="I432" s="17">
        <f t="shared" si="7"/>
        <v>7375.55</v>
      </c>
      <c r="J432" s="11"/>
      <c r="K432" s="54"/>
    </row>
    <row r="433" spans="1:11" ht="29.25">
      <c r="A433" s="11">
        <v>54110</v>
      </c>
      <c r="B433" s="54" t="s">
        <v>596</v>
      </c>
      <c r="C433" s="55"/>
      <c r="D433" s="14" t="s">
        <v>18</v>
      </c>
      <c r="E433" s="14" t="s">
        <v>28</v>
      </c>
      <c r="F433" s="14" t="s">
        <v>27</v>
      </c>
      <c r="G433" s="50">
        <v>500</v>
      </c>
      <c r="H433" s="51"/>
      <c r="I433" s="17">
        <f t="shared" si="7"/>
        <v>500</v>
      </c>
      <c r="J433" s="11"/>
      <c r="K433" s="54"/>
    </row>
    <row r="434" spans="1:11" ht="29.25">
      <c r="A434" s="11">
        <v>54111</v>
      </c>
      <c r="B434" s="54" t="s">
        <v>597</v>
      </c>
      <c r="C434" s="55"/>
      <c r="D434" s="14" t="s">
        <v>18</v>
      </c>
      <c r="E434" s="14" t="s">
        <v>28</v>
      </c>
      <c r="F434" s="14" t="s">
        <v>27</v>
      </c>
      <c r="G434" s="50">
        <v>11090</v>
      </c>
      <c r="H434" s="51"/>
      <c r="I434" s="17">
        <f t="shared" si="7"/>
        <v>11090</v>
      </c>
      <c r="J434" s="11"/>
      <c r="K434" s="54"/>
    </row>
    <row r="435" spans="1:11" ht="29.25">
      <c r="A435" s="11">
        <v>54112</v>
      </c>
      <c r="B435" s="54" t="s">
        <v>598</v>
      </c>
      <c r="C435" s="55"/>
      <c r="D435" s="14" t="s">
        <v>18</v>
      </c>
      <c r="E435" s="14" t="s">
        <v>28</v>
      </c>
      <c r="F435" s="14" t="s">
        <v>27</v>
      </c>
      <c r="G435" s="50">
        <v>5000</v>
      </c>
      <c r="H435" s="51"/>
      <c r="I435" s="17">
        <f t="shared" si="7"/>
        <v>5000</v>
      </c>
      <c r="J435" s="11"/>
      <c r="K435" s="54"/>
    </row>
    <row r="436" spans="1:11" ht="29.25">
      <c r="A436" s="11">
        <v>54118</v>
      </c>
      <c r="B436" s="54" t="s">
        <v>599</v>
      </c>
      <c r="C436" s="55"/>
      <c r="D436" s="14" t="s">
        <v>18</v>
      </c>
      <c r="E436" s="14" t="s">
        <v>28</v>
      </c>
      <c r="F436" s="14" t="s">
        <v>27</v>
      </c>
      <c r="G436" s="50">
        <v>6000</v>
      </c>
      <c r="H436" s="51"/>
      <c r="I436" s="17">
        <f t="shared" si="7"/>
        <v>6000</v>
      </c>
      <c r="J436" s="56"/>
      <c r="K436" s="56"/>
    </row>
    <row r="437" spans="1:11" ht="29.25">
      <c r="A437" s="11">
        <v>54304</v>
      </c>
      <c r="B437" s="54" t="s">
        <v>600</v>
      </c>
      <c r="C437" s="55"/>
      <c r="D437" s="14" t="s">
        <v>18</v>
      </c>
      <c r="E437" s="14" t="s">
        <v>28</v>
      </c>
      <c r="F437" s="14" t="s">
        <v>27</v>
      </c>
      <c r="G437" s="50">
        <v>4500</v>
      </c>
      <c r="H437" s="51"/>
      <c r="I437" s="17">
        <f t="shared" si="7"/>
        <v>4500</v>
      </c>
      <c r="J437" s="56"/>
      <c r="K437" s="56"/>
    </row>
    <row r="438" spans="1:11" ht="29.25">
      <c r="A438" s="11">
        <v>54313</v>
      </c>
      <c r="B438" s="54" t="s">
        <v>601</v>
      </c>
      <c r="C438" s="55"/>
      <c r="D438" s="14" t="s">
        <v>18</v>
      </c>
      <c r="E438" s="14" t="s">
        <v>28</v>
      </c>
      <c r="F438" s="14" t="s">
        <v>27</v>
      </c>
      <c r="G438" s="50">
        <v>300</v>
      </c>
      <c r="H438" s="51"/>
      <c r="I438" s="17">
        <f t="shared" si="7"/>
        <v>300</v>
      </c>
      <c r="J438" s="56"/>
      <c r="K438" s="56"/>
    </row>
    <row r="439" spans="1:11" ht="29.25">
      <c r="A439" s="11">
        <v>54399</v>
      </c>
      <c r="B439" s="54" t="s">
        <v>602</v>
      </c>
      <c r="C439" s="13"/>
      <c r="D439" s="14" t="s">
        <v>18</v>
      </c>
      <c r="E439" s="14" t="s">
        <v>28</v>
      </c>
      <c r="F439" s="14" t="s">
        <v>27</v>
      </c>
      <c r="G439" s="50">
        <v>500</v>
      </c>
      <c r="H439" s="51"/>
      <c r="I439" s="17">
        <f t="shared" si="7"/>
        <v>500</v>
      </c>
      <c r="J439" s="56"/>
      <c r="K439" s="56"/>
    </row>
    <row r="440" spans="1:11" ht="29.25">
      <c r="A440" s="11">
        <v>55603</v>
      </c>
      <c r="B440" s="54" t="s">
        <v>603</v>
      </c>
      <c r="C440" s="55"/>
      <c r="D440" s="14" t="s">
        <v>18</v>
      </c>
      <c r="E440" s="14" t="s">
        <v>28</v>
      </c>
      <c r="F440" s="14" t="s">
        <v>27</v>
      </c>
      <c r="G440" s="50">
        <v>10</v>
      </c>
      <c r="H440" s="51"/>
      <c r="I440" s="17">
        <f t="shared" si="7"/>
        <v>10</v>
      </c>
      <c r="J440" s="56"/>
      <c r="K440" s="56"/>
    </row>
    <row r="441" spans="1:11" ht="102.75" customHeight="1">
      <c r="A441" s="11" t="s">
        <v>256</v>
      </c>
      <c r="B441" s="53" t="s">
        <v>604</v>
      </c>
      <c r="C441" s="13"/>
      <c r="D441" s="14"/>
      <c r="E441" s="14"/>
      <c r="F441" s="14"/>
      <c r="G441" s="50"/>
      <c r="H441" s="51"/>
      <c r="I441" s="17"/>
      <c r="J441" s="56"/>
      <c r="K441" s="56"/>
    </row>
    <row r="442" spans="1:11" ht="29.25">
      <c r="A442" s="11">
        <v>51202</v>
      </c>
      <c r="B442" s="53" t="s">
        <v>605</v>
      </c>
      <c r="C442" s="13"/>
      <c r="D442" s="14" t="s">
        <v>18</v>
      </c>
      <c r="E442" s="14" t="s">
        <v>28</v>
      </c>
      <c r="F442" s="14" t="s">
        <v>27</v>
      </c>
      <c r="G442" s="50">
        <v>5000</v>
      </c>
      <c r="H442" s="51">
        <f>233.33+186.67+186.67+124.44+233.33+186.67+186.67+124.44</f>
        <v>1462.22</v>
      </c>
      <c r="I442" s="17">
        <f t="shared" si="7"/>
        <v>3537.7799999999997</v>
      </c>
      <c r="J442" s="56"/>
      <c r="K442" s="56"/>
    </row>
    <row r="443" spans="1:11" ht="29.25">
      <c r="A443" s="11">
        <v>54110</v>
      </c>
      <c r="B443" s="53" t="s">
        <v>606</v>
      </c>
      <c r="C443" s="13"/>
      <c r="D443" s="14" t="s">
        <v>18</v>
      </c>
      <c r="E443" s="14" t="s">
        <v>28</v>
      </c>
      <c r="F443" s="14" t="s">
        <v>27</v>
      </c>
      <c r="G443" s="50">
        <v>300</v>
      </c>
      <c r="H443" s="51">
        <f>42.55</f>
        <v>42.55</v>
      </c>
      <c r="I443" s="17">
        <f t="shared" si="7"/>
        <v>257.45</v>
      </c>
      <c r="J443" s="56"/>
      <c r="K443" s="56"/>
    </row>
    <row r="444" spans="1:11" ht="30">
      <c r="A444" s="11">
        <v>54111</v>
      </c>
      <c r="B444" s="53" t="s">
        <v>607</v>
      </c>
      <c r="C444" s="13"/>
      <c r="D444" s="14" t="s">
        <v>18</v>
      </c>
      <c r="E444" s="14" t="s">
        <v>28</v>
      </c>
      <c r="F444" s="14" t="s">
        <v>27</v>
      </c>
      <c r="G444" s="50">
        <v>8546.7900000000009</v>
      </c>
      <c r="H444" s="51">
        <f>829.5+330+4570</f>
        <v>5729.5</v>
      </c>
      <c r="I444" s="17">
        <f t="shared" si="7"/>
        <v>2817.2900000000009</v>
      </c>
      <c r="J444" s="56"/>
      <c r="K444" s="56"/>
    </row>
    <row r="445" spans="1:11" ht="29.25">
      <c r="A445" s="11">
        <v>54112</v>
      </c>
      <c r="B445" s="53" t="s">
        <v>608</v>
      </c>
      <c r="C445" s="13"/>
      <c r="D445" s="14" t="s">
        <v>18</v>
      </c>
      <c r="E445" s="14" t="s">
        <v>28</v>
      </c>
      <c r="F445" s="14" t="s">
        <v>27</v>
      </c>
      <c r="G445" s="50">
        <v>1000</v>
      </c>
      <c r="H445" s="51"/>
      <c r="I445" s="17">
        <f t="shared" si="7"/>
        <v>1000</v>
      </c>
      <c r="J445" s="56"/>
      <c r="K445" s="56"/>
    </row>
    <row r="446" spans="1:11" ht="29.25">
      <c r="A446" s="11">
        <v>54118</v>
      </c>
      <c r="B446" s="53" t="s">
        <v>609</v>
      </c>
      <c r="C446" s="13"/>
      <c r="D446" s="14" t="s">
        <v>18</v>
      </c>
      <c r="E446" s="14" t="s">
        <v>28</v>
      </c>
      <c r="F446" s="14" t="s">
        <v>27</v>
      </c>
      <c r="G446" s="50">
        <v>1000</v>
      </c>
      <c r="H446" s="51"/>
      <c r="I446" s="17">
        <f t="shared" si="7"/>
        <v>1000</v>
      </c>
      <c r="J446" s="56"/>
      <c r="K446" s="56"/>
    </row>
    <row r="447" spans="1:11" ht="29.25">
      <c r="A447" s="11">
        <v>54304</v>
      </c>
      <c r="B447" s="53" t="s">
        <v>610</v>
      </c>
      <c r="C447" s="13"/>
      <c r="D447" s="14" t="s">
        <v>18</v>
      </c>
      <c r="E447" s="14" t="s">
        <v>28</v>
      </c>
      <c r="F447" s="14" t="s">
        <v>27</v>
      </c>
      <c r="G447" s="50">
        <v>200</v>
      </c>
      <c r="H447" s="51"/>
      <c r="I447" s="17">
        <f t="shared" si="7"/>
        <v>200</v>
      </c>
      <c r="J447" s="56"/>
      <c r="K447" s="56"/>
    </row>
    <row r="448" spans="1:11" ht="29.25">
      <c r="A448" s="11">
        <v>54313</v>
      </c>
      <c r="B448" s="53" t="s">
        <v>611</v>
      </c>
      <c r="C448" s="13"/>
      <c r="D448" s="14" t="s">
        <v>18</v>
      </c>
      <c r="E448" s="14" t="s">
        <v>28</v>
      </c>
      <c r="F448" s="14" t="s">
        <v>27</v>
      </c>
      <c r="G448" s="50">
        <v>300</v>
      </c>
      <c r="H448" s="51"/>
      <c r="I448" s="17">
        <f t="shared" si="7"/>
        <v>300</v>
      </c>
      <c r="J448" s="56"/>
      <c r="K448" s="56"/>
    </row>
    <row r="449" spans="1:11" ht="105">
      <c r="A449" s="11" t="s">
        <v>264</v>
      </c>
      <c r="B449" s="53" t="s">
        <v>612</v>
      </c>
      <c r="C449" s="13"/>
      <c r="D449" s="14"/>
      <c r="E449" s="14"/>
      <c r="F449" s="14"/>
      <c r="G449" s="50"/>
      <c r="H449" s="51"/>
      <c r="I449" s="17"/>
      <c r="J449" s="56"/>
      <c r="K449" s="56"/>
    </row>
    <row r="450" spans="1:11" ht="29.25">
      <c r="A450" s="11">
        <v>51202</v>
      </c>
      <c r="B450" s="53" t="s">
        <v>613</v>
      </c>
      <c r="C450" s="13"/>
      <c r="D450" s="14" t="s">
        <v>18</v>
      </c>
      <c r="E450" s="14" t="s">
        <v>28</v>
      </c>
      <c r="F450" s="14" t="s">
        <v>27</v>
      </c>
      <c r="G450" s="50">
        <v>3500</v>
      </c>
      <c r="H450" s="51">
        <f>233.33+186.67+186.67+124.44+186.67+233.33+186.67+186.67+124.44+186.67</f>
        <v>1835.5600000000002</v>
      </c>
      <c r="I450" s="17">
        <f t="shared" si="7"/>
        <v>1664.4399999999998</v>
      </c>
      <c r="J450" s="56"/>
      <c r="K450" s="56"/>
    </row>
    <row r="451" spans="1:11" ht="29.25">
      <c r="A451" s="11">
        <v>54110</v>
      </c>
      <c r="B451" s="53" t="s">
        <v>614</v>
      </c>
      <c r="C451" s="13"/>
      <c r="D451" s="14" t="s">
        <v>18</v>
      </c>
      <c r="E451" s="14" t="s">
        <v>28</v>
      </c>
      <c r="F451" s="14" t="s">
        <v>27</v>
      </c>
      <c r="G451" s="50">
        <v>300</v>
      </c>
      <c r="H451" s="51">
        <f>48.24</f>
        <v>48.24</v>
      </c>
      <c r="I451" s="17">
        <f t="shared" si="7"/>
        <v>251.76</v>
      </c>
      <c r="J451" s="56"/>
      <c r="K451" s="56"/>
    </row>
    <row r="452" spans="1:11" ht="43.5">
      <c r="A452" s="11">
        <v>54111</v>
      </c>
      <c r="B452" s="53" t="s">
        <v>615</v>
      </c>
      <c r="C452" s="13"/>
      <c r="D452" s="14" t="s">
        <v>18</v>
      </c>
      <c r="E452" s="14" t="s">
        <v>28</v>
      </c>
      <c r="F452" s="14" t="s">
        <v>27</v>
      </c>
      <c r="G452" s="50">
        <v>8900</v>
      </c>
      <c r="H452" s="51">
        <f>127.5+2681.75+2212+925+241.5</f>
        <v>6187.75</v>
      </c>
      <c r="I452" s="17">
        <f t="shared" si="7"/>
        <v>2712.25</v>
      </c>
      <c r="J452" s="56"/>
      <c r="K452" s="56"/>
    </row>
    <row r="453" spans="1:11" ht="43.5">
      <c r="A453" s="11">
        <v>54112</v>
      </c>
      <c r="B453" s="53" t="s">
        <v>616</v>
      </c>
      <c r="C453" s="13"/>
      <c r="D453" s="14" t="s">
        <v>18</v>
      </c>
      <c r="E453" s="14" t="s">
        <v>28</v>
      </c>
      <c r="F453" s="14" t="s">
        <v>27</v>
      </c>
      <c r="G453" s="50">
        <v>50</v>
      </c>
      <c r="H453" s="51"/>
      <c r="I453" s="17">
        <f t="shared" si="7"/>
        <v>50</v>
      </c>
      <c r="J453" s="56"/>
      <c r="K453" s="56"/>
    </row>
    <row r="454" spans="1:11" ht="43.5">
      <c r="A454" s="11">
        <v>54118</v>
      </c>
      <c r="B454" s="53" t="s">
        <v>617</v>
      </c>
      <c r="C454" s="13"/>
      <c r="D454" s="14" t="s">
        <v>18</v>
      </c>
      <c r="E454" s="14" t="s">
        <v>28</v>
      </c>
      <c r="F454" s="14" t="s">
        <v>27</v>
      </c>
      <c r="G454" s="50">
        <v>30.63</v>
      </c>
      <c r="H454" s="51"/>
      <c r="I454" s="17">
        <f t="shared" si="7"/>
        <v>30.63</v>
      </c>
      <c r="J454" s="56"/>
      <c r="K454" s="56"/>
    </row>
    <row r="455" spans="1:11" ht="43.5">
      <c r="A455" s="11">
        <v>54304</v>
      </c>
      <c r="B455" s="53" t="s">
        <v>618</v>
      </c>
      <c r="C455" s="13"/>
      <c r="D455" s="14" t="s">
        <v>18</v>
      </c>
      <c r="E455" s="14" t="s">
        <v>28</v>
      </c>
      <c r="F455" s="14" t="s">
        <v>27</v>
      </c>
      <c r="G455" s="50">
        <v>50</v>
      </c>
      <c r="H455" s="51"/>
      <c r="I455" s="17">
        <f t="shared" si="7"/>
        <v>50</v>
      </c>
      <c r="J455" s="56"/>
      <c r="K455" s="56"/>
    </row>
    <row r="456" spans="1:11" ht="43.5">
      <c r="A456" s="11">
        <v>54313</v>
      </c>
      <c r="B456" s="53" t="s">
        <v>619</v>
      </c>
      <c r="C456" s="13"/>
      <c r="D456" s="14" t="s">
        <v>18</v>
      </c>
      <c r="E456" s="14" t="s">
        <v>28</v>
      </c>
      <c r="F456" s="14" t="s">
        <v>27</v>
      </c>
      <c r="G456" s="50">
        <v>300</v>
      </c>
      <c r="H456" s="51"/>
      <c r="I456" s="17">
        <f t="shared" si="7"/>
        <v>300</v>
      </c>
      <c r="J456" s="56"/>
      <c r="K456" s="56"/>
    </row>
    <row r="457" spans="1:11" ht="105">
      <c r="A457" s="144" t="s">
        <v>269</v>
      </c>
      <c r="B457" s="53" t="s">
        <v>967</v>
      </c>
      <c r="C457" s="13"/>
      <c r="D457" s="14"/>
      <c r="E457" s="14"/>
      <c r="F457" s="14"/>
      <c r="G457" s="50"/>
      <c r="H457" s="51"/>
      <c r="I457" s="17"/>
      <c r="J457" s="56"/>
      <c r="K457" s="56"/>
    </row>
    <row r="458" spans="1:11" ht="29.25">
      <c r="A458" s="11">
        <v>51202</v>
      </c>
      <c r="B458" s="54" t="s">
        <v>620</v>
      </c>
      <c r="C458" s="13"/>
      <c r="D458" s="14" t="s">
        <v>18</v>
      </c>
      <c r="E458" s="14" t="s">
        <v>28</v>
      </c>
      <c r="F458" s="14" t="s">
        <v>27</v>
      </c>
      <c r="G458" s="50">
        <v>6000</v>
      </c>
      <c r="H458" s="51"/>
      <c r="I458" s="17">
        <f t="shared" si="7"/>
        <v>6000</v>
      </c>
      <c r="J458" s="56"/>
      <c r="K458" s="56"/>
    </row>
    <row r="459" spans="1:11" ht="35.25" customHeight="1">
      <c r="A459" s="11">
        <v>54110</v>
      </c>
      <c r="B459" s="54" t="s">
        <v>622</v>
      </c>
      <c r="C459" s="13"/>
      <c r="D459" s="14" t="s">
        <v>18</v>
      </c>
      <c r="E459" s="14" t="s">
        <v>28</v>
      </c>
      <c r="F459" s="14" t="s">
        <v>27</v>
      </c>
      <c r="G459" s="50">
        <v>300</v>
      </c>
      <c r="H459" s="51"/>
      <c r="I459" s="17">
        <f t="shared" si="7"/>
        <v>300</v>
      </c>
      <c r="J459" s="56"/>
      <c r="K459" s="56"/>
    </row>
    <row r="460" spans="1:11" ht="43.5">
      <c r="A460" s="11">
        <v>54111</v>
      </c>
      <c r="B460" s="54" t="s">
        <v>621</v>
      </c>
      <c r="C460" s="13"/>
      <c r="D460" s="14" t="s">
        <v>18</v>
      </c>
      <c r="E460" s="14" t="s">
        <v>28</v>
      </c>
      <c r="F460" s="14" t="s">
        <v>27</v>
      </c>
      <c r="G460" s="50">
        <v>10000</v>
      </c>
      <c r="H460" s="51"/>
      <c r="I460" s="17">
        <f t="shared" si="7"/>
        <v>10000</v>
      </c>
      <c r="J460" s="56"/>
      <c r="K460" s="56"/>
    </row>
    <row r="461" spans="1:11" ht="43.5">
      <c r="A461" s="11">
        <v>54112</v>
      </c>
      <c r="B461" s="54" t="s">
        <v>623</v>
      </c>
      <c r="C461" s="13"/>
      <c r="D461" s="14" t="s">
        <v>18</v>
      </c>
      <c r="E461" s="14" t="s">
        <v>28</v>
      </c>
      <c r="F461" s="14" t="s">
        <v>27</v>
      </c>
      <c r="G461" s="50">
        <v>2695.87</v>
      </c>
      <c r="H461" s="51"/>
      <c r="I461" s="17">
        <f t="shared" si="7"/>
        <v>2695.87</v>
      </c>
      <c r="J461" s="56"/>
      <c r="K461" s="56"/>
    </row>
    <row r="462" spans="1:11" ht="43.5">
      <c r="A462" s="11">
        <v>54118</v>
      </c>
      <c r="B462" s="54" t="s">
        <v>624</v>
      </c>
      <c r="C462" s="13"/>
      <c r="D462" s="14" t="s">
        <v>18</v>
      </c>
      <c r="E462" s="14" t="s">
        <v>28</v>
      </c>
      <c r="F462" s="14" t="s">
        <v>27</v>
      </c>
      <c r="G462" s="50">
        <v>200</v>
      </c>
      <c r="H462" s="51"/>
      <c r="I462" s="17">
        <f t="shared" si="7"/>
        <v>200</v>
      </c>
      <c r="J462" s="56"/>
      <c r="K462" s="56"/>
    </row>
    <row r="463" spans="1:11" ht="43.5">
      <c r="A463" s="11">
        <v>54304</v>
      </c>
      <c r="B463" s="54" t="s">
        <v>625</v>
      </c>
      <c r="C463" s="13"/>
      <c r="D463" s="14" t="s">
        <v>18</v>
      </c>
      <c r="E463" s="14" t="s">
        <v>28</v>
      </c>
      <c r="F463" s="14" t="s">
        <v>27</v>
      </c>
      <c r="G463" s="50">
        <v>500</v>
      </c>
      <c r="H463" s="51"/>
      <c r="I463" s="17">
        <f t="shared" si="7"/>
        <v>500</v>
      </c>
      <c r="J463" s="56"/>
      <c r="K463" s="56"/>
    </row>
    <row r="464" spans="1:11" ht="43.5">
      <c r="A464" s="11">
        <v>54313</v>
      </c>
      <c r="B464" s="54" t="s">
        <v>626</v>
      </c>
      <c r="C464" s="13"/>
      <c r="D464" s="14" t="s">
        <v>18</v>
      </c>
      <c r="E464" s="14" t="s">
        <v>28</v>
      </c>
      <c r="F464" s="14" t="s">
        <v>27</v>
      </c>
      <c r="G464" s="50">
        <v>300</v>
      </c>
      <c r="H464" s="51"/>
      <c r="I464" s="17">
        <f t="shared" si="7"/>
        <v>300</v>
      </c>
      <c r="J464" s="56"/>
      <c r="K464" s="56"/>
    </row>
    <row r="465" spans="1:11" ht="105">
      <c r="A465" s="11" t="s">
        <v>289</v>
      </c>
      <c r="B465" s="53" t="s">
        <v>627</v>
      </c>
      <c r="C465" s="13"/>
      <c r="D465" s="14"/>
      <c r="E465" s="14"/>
      <c r="F465" s="14"/>
      <c r="G465" s="50"/>
      <c r="H465" s="51"/>
      <c r="I465" s="17"/>
      <c r="J465" s="56"/>
      <c r="K465" s="56"/>
    </row>
    <row r="466" spans="1:11" ht="29.25">
      <c r="A466" s="11">
        <v>51202</v>
      </c>
      <c r="B466" s="53" t="s">
        <v>628</v>
      </c>
      <c r="C466" s="13"/>
      <c r="D466" s="14" t="s">
        <v>18</v>
      </c>
      <c r="E466" s="14" t="s">
        <v>28</v>
      </c>
      <c r="F466" s="14" t="s">
        <v>27</v>
      </c>
      <c r="G466" s="50">
        <v>1218.3599999999999</v>
      </c>
      <c r="H466" s="108"/>
      <c r="I466" s="17">
        <f t="shared" si="7"/>
        <v>1218.3599999999999</v>
      </c>
      <c r="J466" s="56"/>
      <c r="K466" s="56"/>
    </row>
    <row r="467" spans="1:11" ht="29.25">
      <c r="A467" s="11">
        <v>54110</v>
      </c>
      <c r="B467" s="53" t="s">
        <v>629</v>
      </c>
      <c r="C467" s="13"/>
      <c r="D467" s="14" t="s">
        <v>18</v>
      </c>
      <c r="E467" s="14" t="s">
        <v>28</v>
      </c>
      <c r="F467" s="14" t="s">
        <v>27</v>
      </c>
      <c r="G467" s="50">
        <v>200</v>
      </c>
      <c r="H467" s="51">
        <v>69.3</v>
      </c>
      <c r="I467" s="17">
        <f t="shared" si="7"/>
        <v>130.69999999999999</v>
      </c>
      <c r="J467" s="56"/>
      <c r="K467" s="56"/>
    </row>
    <row r="468" spans="1:11" ht="29.25">
      <c r="A468" s="11">
        <v>54111</v>
      </c>
      <c r="B468" s="53" t="s">
        <v>630</v>
      </c>
      <c r="C468" s="13"/>
      <c r="D468" s="14" t="s">
        <v>18</v>
      </c>
      <c r="E468" s="14" t="s">
        <v>28</v>
      </c>
      <c r="F468" s="14" t="s">
        <v>27</v>
      </c>
      <c r="G468" s="50">
        <v>4000</v>
      </c>
      <c r="H468" s="51">
        <f>2288+850</f>
        <v>3138</v>
      </c>
      <c r="I468" s="17">
        <f t="shared" ref="I468:I531" si="8">G468-H468+J468-K468</f>
        <v>862</v>
      </c>
      <c r="J468" s="56"/>
      <c r="K468" s="56"/>
    </row>
    <row r="469" spans="1:11" ht="29.25">
      <c r="A469" s="11">
        <v>54112</v>
      </c>
      <c r="B469" s="53" t="s">
        <v>631</v>
      </c>
      <c r="C469" s="13"/>
      <c r="D469" s="14" t="s">
        <v>18</v>
      </c>
      <c r="E469" s="14" t="s">
        <v>28</v>
      </c>
      <c r="F469" s="14" t="s">
        <v>27</v>
      </c>
      <c r="G469" s="50">
        <v>100</v>
      </c>
      <c r="H469" s="51">
        <f>10.5</f>
        <v>10.5</v>
      </c>
      <c r="I469" s="17">
        <f t="shared" si="8"/>
        <v>89.5</v>
      </c>
      <c r="J469" s="56"/>
      <c r="K469" s="56"/>
    </row>
    <row r="470" spans="1:11" ht="29.25">
      <c r="A470" s="11">
        <v>54118</v>
      </c>
      <c r="B470" s="53" t="s">
        <v>632</v>
      </c>
      <c r="C470" s="13"/>
      <c r="D470" s="14" t="s">
        <v>18</v>
      </c>
      <c r="E470" s="14" t="s">
        <v>28</v>
      </c>
      <c r="F470" s="14" t="s">
        <v>27</v>
      </c>
      <c r="G470" s="50">
        <v>100</v>
      </c>
      <c r="H470" s="51"/>
      <c r="I470" s="17">
        <f t="shared" si="8"/>
        <v>100</v>
      </c>
      <c r="J470" s="56"/>
      <c r="K470" s="56"/>
    </row>
    <row r="471" spans="1:11" ht="29.25">
      <c r="A471" s="11">
        <v>54304</v>
      </c>
      <c r="B471" s="53" t="s">
        <v>633</v>
      </c>
      <c r="C471" s="13"/>
      <c r="D471" s="14" t="s">
        <v>18</v>
      </c>
      <c r="E471" s="14" t="s">
        <v>28</v>
      </c>
      <c r="F471" s="14" t="s">
        <v>27</v>
      </c>
      <c r="G471" s="50">
        <v>500</v>
      </c>
      <c r="H471" s="51"/>
      <c r="I471" s="17">
        <f t="shared" si="8"/>
        <v>500</v>
      </c>
      <c r="J471" s="56"/>
      <c r="K471" s="56"/>
    </row>
    <row r="472" spans="1:11" ht="29.25">
      <c r="A472" s="11">
        <v>54313</v>
      </c>
      <c r="B472" s="53" t="s">
        <v>634</v>
      </c>
      <c r="C472" s="13"/>
      <c r="D472" s="14" t="s">
        <v>18</v>
      </c>
      <c r="E472" s="14" t="s">
        <v>28</v>
      </c>
      <c r="F472" s="14" t="s">
        <v>27</v>
      </c>
      <c r="G472" s="50">
        <v>300</v>
      </c>
      <c r="H472" s="51"/>
      <c r="I472" s="17">
        <f t="shared" si="8"/>
        <v>300</v>
      </c>
      <c r="J472" s="56"/>
      <c r="K472" s="56"/>
    </row>
    <row r="473" spans="1:11" ht="90">
      <c r="A473" s="11" t="s">
        <v>300</v>
      </c>
      <c r="B473" s="53" t="s">
        <v>635</v>
      </c>
      <c r="C473" s="13"/>
      <c r="D473" s="14"/>
      <c r="E473" s="14"/>
      <c r="F473" s="14"/>
      <c r="G473" s="50"/>
      <c r="H473" s="51"/>
      <c r="I473" s="17"/>
      <c r="J473" s="56"/>
      <c r="K473" s="56"/>
    </row>
    <row r="474" spans="1:11" ht="29.25">
      <c r="A474" s="11">
        <v>51202</v>
      </c>
      <c r="B474" s="53" t="s">
        <v>636</v>
      </c>
      <c r="C474" s="13"/>
      <c r="D474" s="14" t="s">
        <v>18</v>
      </c>
      <c r="E474" s="14" t="s">
        <v>28</v>
      </c>
      <c r="F474" s="14" t="s">
        <v>27</v>
      </c>
      <c r="G474" s="50">
        <v>3000</v>
      </c>
      <c r="H474" s="51">
        <f>233.33+186.67+186.67+124.44+124.44+233.33+186.67+186.67+124.44+124.44+35.56+116.67+93.33+93.33+62.22+62.22</f>
        <v>2174.4299999999998</v>
      </c>
      <c r="I474" s="17">
        <f t="shared" si="8"/>
        <v>825.57000000000016</v>
      </c>
      <c r="J474" s="56"/>
      <c r="K474" s="237"/>
    </row>
    <row r="475" spans="1:11" ht="29.25">
      <c r="A475" s="11">
        <v>54110</v>
      </c>
      <c r="B475" s="53" t="s">
        <v>637</v>
      </c>
      <c r="C475" s="13"/>
      <c r="D475" s="14" t="s">
        <v>18</v>
      </c>
      <c r="E475" s="14" t="s">
        <v>28</v>
      </c>
      <c r="F475" s="14" t="s">
        <v>27</v>
      </c>
      <c r="G475" s="50">
        <v>300</v>
      </c>
      <c r="H475" s="51">
        <f>68.95</f>
        <v>68.95</v>
      </c>
      <c r="I475" s="17">
        <f t="shared" si="8"/>
        <v>231.05</v>
      </c>
      <c r="J475" s="56"/>
      <c r="K475" s="142"/>
    </row>
    <row r="476" spans="1:11" ht="29.25">
      <c r="A476" s="11">
        <v>54111</v>
      </c>
      <c r="B476" s="53" t="s">
        <v>638</v>
      </c>
      <c r="C476" s="13"/>
      <c r="D476" s="14" t="s">
        <v>18</v>
      </c>
      <c r="E476" s="14" t="s">
        <v>28</v>
      </c>
      <c r="F476" s="14" t="s">
        <v>27</v>
      </c>
      <c r="G476" s="50">
        <v>10100</v>
      </c>
      <c r="H476" s="51">
        <f>1491+792+1234.2+3336</f>
        <v>6853.2</v>
      </c>
      <c r="I476" s="17">
        <f t="shared" si="8"/>
        <v>3246.8</v>
      </c>
      <c r="J476" s="56"/>
      <c r="K476" s="56"/>
    </row>
    <row r="477" spans="1:11" ht="29.25">
      <c r="A477" s="11">
        <v>54304</v>
      </c>
      <c r="B477" s="53" t="s">
        <v>639</v>
      </c>
      <c r="C477" s="55"/>
      <c r="D477" s="14" t="s">
        <v>18</v>
      </c>
      <c r="E477" s="14" t="s">
        <v>28</v>
      </c>
      <c r="F477" s="14" t="s">
        <v>27</v>
      </c>
      <c r="G477" s="50">
        <v>167.38</v>
      </c>
      <c r="H477" s="51"/>
      <c r="I477" s="17">
        <f t="shared" si="8"/>
        <v>167.38</v>
      </c>
      <c r="J477" s="56"/>
      <c r="K477" s="56"/>
    </row>
    <row r="478" spans="1:11" ht="38.25" customHeight="1">
      <c r="A478" s="11">
        <v>54313</v>
      </c>
      <c r="B478" s="53" t="s">
        <v>640</v>
      </c>
      <c r="C478" s="60"/>
      <c r="D478" s="14" t="s">
        <v>18</v>
      </c>
      <c r="E478" s="14" t="s">
        <v>28</v>
      </c>
      <c r="F478" s="14" t="s">
        <v>27</v>
      </c>
      <c r="G478" s="50">
        <v>300</v>
      </c>
      <c r="H478" s="51"/>
      <c r="I478" s="17">
        <f t="shared" si="8"/>
        <v>300</v>
      </c>
      <c r="J478" s="56"/>
      <c r="K478" s="56"/>
    </row>
    <row r="479" spans="1:11" ht="86.25" customHeight="1">
      <c r="A479" s="11" t="s">
        <v>316</v>
      </c>
      <c r="B479" s="53" t="s">
        <v>641</v>
      </c>
      <c r="C479" s="60"/>
      <c r="D479" s="14"/>
      <c r="E479" s="14"/>
      <c r="F479" s="14"/>
      <c r="G479" s="50"/>
      <c r="H479" s="51"/>
      <c r="I479" s="17"/>
      <c r="J479" s="56"/>
      <c r="K479" s="56"/>
    </row>
    <row r="480" spans="1:11" ht="38.25" customHeight="1">
      <c r="A480" s="11">
        <v>51202</v>
      </c>
      <c r="B480" s="53" t="s">
        <v>642</v>
      </c>
      <c r="C480" s="60"/>
      <c r="D480" s="14" t="s">
        <v>18</v>
      </c>
      <c r="E480" s="14" t="s">
        <v>28</v>
      </c>
      <c r="F480" s="14" t="s">
        <v>27</v>
      </c>
      <c r="G480" s="50">
        <v>2200</v>
      </c>
      <c r="H480" s="51">
        <f>233.33+186.67+186.67+124.44+233.33+186.67+186.67+124.44</f>
        <v>1462.22</v>
      </c>
      <c r="I480" s="17">
        <f t="shared" si="8"/>
        <v>737.78</v>
      </c>
      <c r="J480" s="56"/>
      <c r="K480" s="56"/>
    </row>
    <row r="481" spans="1:11" ht="38.25" customHeight="1">
      <c r="A481" s="11">
        <v>54110</v>
      </c>
      <c r="B481" s="53" t="s">
        <v>643</v>
      </c>
      <c r="C481" s="60"/>
      <c r="D481" s="14" t="s">
        <v>18</v>
      </c>
      <c r="E481" s="14" t="s">
        <v>28</v>
      </c>
      <c r="F481" s="14" t="s">
        <v>27</v>
      </c>
      <c r="G481" s="50">
        <v>300</v>
      </c>
      <c r="H481" s="51">
        <f>48</f>
        <v>48</v>
      </c>
      <c r="I481" s="17">
        <f t="shared" si="8"/>
        <v>252</v>
      </c>
      <c r="J481" s="56"/>
      <c r="K481" s="56"/>
    </row>
    <row r="482" spans="1:11" ht="38.25" customHeight="1">
      <c r="A482" s="11">
        <v>54111</v>
      </c>
      <c r="B482" s="53" t="s">
        <v>644</v>
      </c>
      <c r="C482" s="60"/>
      <c r="D482" s="14" t="s">
        <v>18</v>
      </c>
      <c r="E482" s="14" t="s">
        <v>28</v>
      </c>
      <c r="F482" s="14" t="s">
        <v>27</v>
      </c>
      <c r="G482" s="50">
        <v>6007.16</v>
      </c>
      <c r="H482" s="51">
        <f>832.5+132+415+144+985.14+2298</f>
        <v>4806.6399999999994</v>
      </c>
      <c r="I482" s="17">
        <f t="shared" si="8"/>
        <v>1200.5200000000004</v>
      </c>
      <c r="J482" s="56"/>
      <c r="K482" s="56"/>
    </row>
    <row r="483" spans="1:11" ht="38.25" customHeight="1">
      <c r="A483" s="11">
        <v>54304</v>
      </c>
      <c r="B483" s="53" t="s">
        <v>645</v>
      </c>
      <c r="C483" s="60"/>
      <c r="D483" s="14" t="s">
        <v>18</v>
      </c>
      <c r="E483" s="14" t="s">
        <v>28</v>
      </c>
      <c r="F483" s="14" t="s">
        <v>27</v>
      </c>
      <c r="G483" s="50">
        <v>100</v>
      </c>
      <c r="H483" s="51"/>
      <c r="I483" s="17">
        <f t="shared" si="8"/>
        <v>100</v>
      </c>
      <c r="J483" s="56"/>
      <c r="K483" s="56"/>
    </row>
    <row r="484" spans="1:11" ht="38.25" customHeight="1">
      <c r="A484" s="11">
        <v>54313</v>
      </c>
      <c r="B484" s="53" t="s">
        <v>646</v>
      </c>
      <c r="C484" s="60"/>
      <c r="D484" s="14" t="s">
        <v>18</v>
      </c>
      <c r="E484" s="14" t="s">
        <v>28</v>
      </c>
      <c r="F484" s="14" t="s">
        <v>27</v>
      </c>
      <c r="G484" s="50">
        <v>300</v>
      </c>
      <c r="H484" s="51"/>
      <c r="I484" s="17">
        <f t="shared" si="8"/>
        <v>300</v>
      </c>
      <c r="J484" s="56"/>
      <c r="K484" s="56"/>
    </row>
    <row r="485" spans="1:11" ht="73.5" customHeight="1">
      <c r="A485" s="1" t="s">
        <v>326</v>
      </c>
      <c r="B485" s="53" t="s">
        <v>647</v>
      </c>
      <c r="C485" s="60"/>
      <c r="D485" s="14"/>
      <c r="E485" s="14"/>
      <c r="F485" s="14"/>
      <c r="G485" s="50"/>
      <c r="H485" s="51"/>
      <c r="I485" s="17"/>
      <c r="J485" s="56"/>
      <c r="K485" s="56"/>
    </row>
    <row r="486" spans="1:11" ht="38.25" customHeight="1">
      <c r="A486" s="11">
        <v>51202</v>
      </c>
      <c r="B486" s="53" t="s">
        <v>648</v>
      </c>
      <c r="C486" s="60"/>
      <c r="D486" s="14" t="s">
        <v>18</v>
      </c>
      <c r="E486" s="14" t="s">
        <v>28</v>
      </c>
      <c r="F486" s="14" t="s">
        <v>27</v>
      </c>
      <c r="G486" s="50">
        <v>10000</v>
      </c>
      <c r="H486" s="51">
        <f>233.33+106.67+93.33+124.44</f>
        <v>557.77</v>
      </c>
      <c r="I486" s="17">
        <f t="shared" si="8"/>
        <v>9442.23</v>
      </c>
      <c r="J486" s="56"/>
      <c r="K486" s="56"/>
    </row>
    <row r="487" spans="1:11" ht="38.25" customHeight="1">
      <c r="A487" s="11">
        <v>54110</v>
      </c>
      <c r="B487" s="53" t="s">
        <v>649</v>
      </c>
      <c r="C487" s="60"/>
      <c r="D487" s="14" t="s">
        <v>18</v>
      </c>
      <c r="E487" s="14" t="s">
        <v>28</v>
      </c>
      <c r="F487" s="14" t="s">
        <v>27</v>
      </c>
      <c r="G487" s="50">
        <v>300</v>
      </c>
      <c r="H487" s="51"/>
      <c r="I487" s="17">
        <f t="shared" si="8"/>
        <v>300</v>
      </c>
      <c r="J487" s="56"/>
      <c r="K487" s="56"/>
    </row>
    <row r="488" spans="1:11" ht="38.25" customHeight="1">
      <c r="A488" s="11">
        <v>54111</v>
      </c>
      <c r="B488" s="53" t="s">
        <v>650</v>
      </c>
      <c r="C488" s="60"/>
      <c r="D488" s="14" t="s">
        <v>18</v>
      </c>
      <c r="E488" s="14" t="s">
        <v>28</v>
      </c>
      <c r="F488" s="14" t="s">
        <v>27</v>
      </c>
      <c r="G488" s="50">
        <v>10000</v>
      </c>
      <c r="H488" s="51"/>
      <c r="I488" s="17">
        <f t="shared" si="8"/>
        <v>10000</v>
      </c>
      <c r="J488" s="56"/>
      <c r="K488" s="56"/>
    </row>
    <row r="489" spans="1:11" ht="29.25">
      <c r="A489" s="11">
        <v>54112</v>
      </c>
      <c r="B489" s="53" t="s">
        <v>651</v>
      </c>
      <c r="C489" s="13"/>
      <c r="D489" s="14" t="s">
        <v>18</v>
      </c>
      <c r="E489" s="14" t="s">
        <v>28</v>
      </c>
      <c r="F489" s="14" t="s">
        <v>27</v>
      </c>
      <c r="G489" s="50">
        <v>3000</v>
      </c>
      <c r="H489" s="51"/>
      <c r="I489" s="17">
        <f t="shared" si="8"/>
        <v>3000</v>
      </c>
      <c r="J489" s="56"/>
      <c r="K489" s="56"/>
    </row>
    <row r="490" spans="1:11" ht="29.25">
      <c r="A490" s="11">
        <v>54118</v>
      </c>
      <c r="B490" s="53" t="s">
        <v>652</v>
      </c>
      <c r="C490" s="13"/>
      <c r="D490" s="14" t="s">
        <v>18</v>
      </c>
      <c r="E490" s="14" t="s">
        <v>28</v>
      </c>
      <c r="F490" s="14" t="s">
        <v>27</v>
      </c>
      <c r="G490" s="50">
        <v>2000</v>
      </c>
      <c r="H490" s="51"/>
      <c r="I490" s="17">
        <f t="shared" si="8"/>
        <v>2000</v>
      </c>
      <c r="J490" s="56"/>
      <c r="K490" s="56"/>
    </row>
    <row r="491" spans="1:11" ht="29.25">
      <c r="A491" s="11">
        <v>54304</v>
      </c>
      <c r="B491" s="53" t="s">
        <v>653</v>
      </c>
      <c r="C491" s="13"/>
      <c r="D491" s="14" t="s">
        <v>18</v>
      </c>
      <c r="E491" s="14" t="s">
        <v>28</v>
      </c>
      <c r="F491" s="14" t="s">
        <v>27</v>
      </c>
      <c r="G491" s="50">
        <v>1395.87</v>
      </c>
      <c r="H491" s="51"/>
      <c r="I491" s="17">
        <f t="shared" si="8"/>
        <v>1395.87</v>
      </c>
      <c r="J491" s="56"/>
      <c r="K491" s="56"/>
    </row>
    <row r="492" spans="1:11" ht="29.25">
      <c r="A492" s="11">
        <v>54313</v>
      </c>
      <c r="B492" s="53" t="s">
        <v>654</v>
      </c>
      <c r="C492" s="13"/>
      <c r="D492" s="14" t="s">
        <v>18</v>
      </c>
      <c r="E492" s="14" t="s">
        <v>28</v>
      </c>
      <c r="F492" s="14" t="s">
        <v>27</v>
      </c>
      <c r="G492" s="50">
        <v>300</v>
      </c>
      <c r="H492" s="51"/>
      <c r="I492" s="17">
        <f t="shared" si="8"/>
        <v>300</v>
      </c>
      <c r="J492" s="56"/>
      <c r="K492" s="56"/>
    </row>
    <row r="493" spans="1:11" ht="29.25">
      <c r="A493" s="11">
        <v>54399</v>
      </c>
      <c r="B493" s="53" t="s">
        <v>655</v>
      </c>
      <c r="C493" s="13"/>
      <c r="D493" s="14" t="s">
        <v>18</v>
      </c>
      <c r="E493" s="14" t="s">
        <v>28</v>
      </c>
      <c r="F493" s="14" t="s">
        <v>27</v>
      </c>
      <c r="G493" s="50">
        <v>200</v>
      </c>
      <c r="H493" s="51"/>
      <c r="I493" s="17">
        <f t="shared" si="8"/>
        <v>200</v>
      </c>
      <c r="J493" s="56"/>
      <c r="K493" s="56"/>
    </row>
    <row r="494" spans="1:11" ht="75">
      <c r="A494" s="11" t="s">
        <v>338</v>
      </c>
      <c r="B494" s="53" t="s">
        <v>656</v>
      </c>
      <c r="C494" s="13"/>
      <c r="D494" s="14"/>
      <c r="E494" s="14"/>
      <c r="F494" s="14"/>
      <c r="G494" s="50"/>
      <c r="H494" s="51"/>
      <c r="I494" s="17"/>
      <c r="J494" s="56"/>
      <c r="K494" s="56"/>
    </row>
    <row r="495" spans="1:11" ht="29.25">
      <c r="A495" s="11">
        <v>51202</v>
      </c>
      <c r="B495" s="54" t="s">
        <v>657</v>
      </c>
      <c r="C495" s="13"/>
      <c r="D495" s="14" t="s">
        <v>18</v>
      </c>
      <c r="E495" s="14" t="s">
        <v>28</v>
      </c>
      <c r="F495" s="14" t="s">
        <v>27</v>
      </c>
      <c r="G495" s="50">
        <v>6290</v>
      </c>
      <c r="H495" s="51"/>
      <c r="I495" s="17">
        <f t="shared" si="8"/>
        <v>6290</v>
      </c>
      <c r="J495" s="56"/>
      <c r="K495" s="56"/>
    </row>
    <row r="496" spans="1:11" ht="29.25">
      <c r="A496" s="11">
        <v>54110</v>
      </c>
      <c r="B496" s="54" t="s">
        <v>658</v>
      </c>
      <c r="C496" s="13"/>
      <c r="D496" s="14" t="s">
        <v>18</v>
      </c>
      <c r="E496" s="14" t="s">
        <v>28</v>
      </c>
      <c r="F496" s="14" t="s">
        <v>27</v>
      </c>
      <c r="G496" s="50">
        <v>300</v>
      </c>
      <c r="H496" s="51"/>
      <c r="I496" s="17">
        <f t="shared" si="8"/>
        <v>300</v>
      </c>
      <c r="J496" s="56"/>
      <c r="K496" s="56"/>
    </row>
    <row r="497" spans="1:11" ht="44.25">
      <c r="A497" s="11">
        <v>54111</v>
      </c>
      <c r="B497" s="54" t="s">
        <v>659</v>
      </c>
      <c r="C497" s="13"/>
      <c r="D497" s="14" t="s">
        <v>18</v>
      </c>
      <c r="E497" s="14" t="s">
        <v>28</v>
      </c>
      <c r="F497" s="14" t="s">
        <v>27</v>
      </c>
      <c r="G497" s="50">
        <v>10000</v>
      </c>
      <c r="H497" s="51"/>
      <c r="I497" s="17">
        <f t="shared" si="8"/>
        <v>10000</v>
      </c>
      <c r="J497" s="56"/>
      <c r="K497" s="56"/>
    </row>
    <row r="498" spans="1:11" ht="44.25">
      <c r="A498" s="11">
        <v>54112</v>
      </c>
      <c r="B498" s="54" t="s">
        <v>660</v>
      </c>
      <c r="C498" s="13"/>
      <c r="D498" s="14" t="s">
        <v>18</v>
      </c>
      <c r="E498" s="14" t="s">
        <v>28</v>
      </c>
      <c r="F498" s="14" t="s">
        <v>27</v>
      </c>
      <c r="G498" s="50">
        <v>2000</v>
      </c>
      <c r="H498" s="51"/>
      <c r="I498" s="17">
        <f t="shared" si="8"/>
        <v>2000</v>
      </c>
      <c r="J498" s="56"/>
      <c r="K498" s="56"/>
    </row>
    <row r="499" spans="1:11" ht="44.25">
      <c r="A499" s="11">
        <v>54304</v>
      </c>
      <c r="B499" s="54" t="s">
        <v>661</v>
      </c>
      <c r="C499" s="13"/>
      <c r="D499" s="14" t="s">
        <v>18</v>
      </c>
      <c r="E499" s="14" t="s">
        <v>28</v>
      </c>
      <c r="F499" s="14" t="s">
        <v>27</v>
      </c>
      <c r="G499" s="50">
        <v>1000</v>
      </c>
      <c r="H499" s="51"/>
      <c r="I499" s="17">
        <f t="shared" si="8"/>
        <v>1000</v>
      </c>
      <c r="J499" s="56"/>
      <c r="K499" s="56"/>
    </row>
    <row r="500" spans="1:11" ht="44.25">
      <c r="A500" s="11">
        <v>54313</v>
      </c>
      <c r="B500" s="54" t="s">
        <v>662</v>
      </c>
      <c r="C500" s="13"/>
      <c r="D500" s="14" t="s">
        <v>18</v>
      </c>
      <c r="E500" s="14" t="s">
        <v>28</v>
      </c>
      <c r="F500" s="14" t="s">
        <v>27</v>
      </c>
      <c r="G500" s="50">
        <v>300</v>
      </c>
      <c r="H500" s="51"/>
      <c r="I500" s="17">
        <f t="shared" si="8"/>
        <v>300</v>
      </c>
      <c r="J500" s="56"/>
      <c r="K500" s="56"/>
    </row>
    <row r="501" spans="1:11" ht="44.25">
      <c r="A501" s="11">
        <v>54399</v>
      </c>
      <c r="B501" s="54" t="s">
        <v>663</v>
      </c>
      <c r="C501" s="13"/>
      <c r="D501" s="14" t="s">
        <v>18</v>
      </c>
      <c r="E501" s="14" t="s">
        <v>28</v>
      </c>
      <c r="F501" s="14" t="s">
        <v>27</v>
      </c>
      <c r="G501" s="50">
        <v>100</v>
      </c>
      <c r="H501" s="51"/>
      <c r="I501" s="17">
        <f t="shared" si="8"/>
        <v>100</v>
      </c>
      <c r="J501" s="56"/>
      <c r="K501" s="56"/>
    </row>
    <row r="502" spans="1:11" ht="29.25">
      <c r="A502" s="11">
        <v>55603</v>
      </c>
      <c r="B502" s="54" t="s">
        <v>664</v>
      </c>
      <c r="C502" s="13"/>
      <c r="D502" s="14" t="s">
        <v>18</v>
      </c>
      <c r="E502" s="14" t="s">
        <v>28</v>
      </c>
      <c r="F502" s="14" t="s">
        <v>27</v>
      </c>
      <c r="G502" s="50">
        <v>10</v>
      </c>
      <c r="H502" s="51"/>
      <c r="I502" s="17">
        <f t="shared" si="8"/>
        <v>10</v>
      </c>
      <c r="J502" s="56"/>
      <c r="K502" s="56"/>
    </row>
    <row r="503" spans="1:11" ht="90">
      <c r="A503" s="11" t="s">
        <v>348</v>
      </c>
      <c r="B503" s="53" t="s">
        <v>665</v>
      </c>
      <c r="C503" s="13"/>
      <c r="D503" s="14"/>
      <c r="E503" s="14"/>
      <c r="F503" s="14"/>
      <c r="G503" s="50"/>
      <c r="H503" s="51"/>
      <c r="I503" s="17"/>
      <c r="J503" s="56"/>
      <c r="K503" s="56"/>
    </row>
    <row r="504" spans="1:11" ht="29.25">
      <c r="A504" s="11">
        <v>51202</v>
      </c>
      <c r="B504" s="54" t="s">
        <v>666</v>
      </c>
      <c r="C504" s="13"/>
      <c r="D504" s="14" t="s">
        <v>18</v>
      </c>
      <c r="E504" s="14" t="s">
        <v>28</v>
      </c>
      <c r="F504" s="14" t="s">
        <v>27</v>
      </c>
      <c r="G504" s="50">
        <v>3790</v>
      </c>
      <c r="H504" s="51"/>
      <c r="I504" s="17">
        <f t="shared" si="8"/>
        <v>3790</v>
      </c>
      <c r="J504" s="56"/>
      <c r="K504" s="56"/>
    </row>
    <row r="505" spans="1:11" ht="29.25">
      <c r="A505" s="11">
        <v>54110</v>
      </c>
      <c r="B505" s="54" t="s">
        <v>667</v>
      </c>
      <c r="C505" s="13"/>
      <c r="D505" s="14" t="s">
        <v>18</v>
      </c>
      <c r="E505" s="14" t="s">
        <v>28</v>
      </c>
      <c r="F505" s="14" t="s">
        <v>27</v>
      </c>
      <c r="G505" s="50">
        <v>200</v>
      </c>
      <c r="H505" s="51"/>
      <c r="I505" s="17">
        <f t="shared" si="8"/>
        <v>200</v>
      </c>
      <c r="J505" s="56"/>
      <c r="K505" s="56"/>
    </row>
    <row r="506" spans="1:11" ht="44.25">
      <c r="A506" s="11">
        <v>54111</v>
      </c>
      <c r="B506" s="54" t="s">
        <v>668</v>
      </c>
      <c r="C506" s="13"/>
      <c r="D506" s="14" t="s">
        <v>18</v>
      </c>
      <c r="E506" s="14" t="s">
        <v>28</v>
      </c>
      <c r="F506" s="14" t="s">
        <v>27</v>
      </c>
      <c r="G506" s="50">
        <v>5200</v>
      </c>
      <c r="H506" s="51"/>
      <c r="I506" s="17">
        <f t="shared" si="8"/>
        <v>5200</v>
      </c>
      <c r="J506" s="56"/>
      <c r="K506" s="56"/>
    </row>
    <row r="507" spans="1:11" ht="44.25">
      <c r="A507" s="11">
        <v>54112</v>
      </c>
      <c r="B507" s="54" t="s">
        <v>669</v>
      </c>
      <c r="C507" s="13"/>
      <c r="D507" s="14" t="s">
        <v>18</v>
      </c>
      <c r="E507" s="14" t="s">
        <v>28</v>
      </c>
      <c r="F507" s="14" t="s">
        <v>27</v>
      </c>
      <c r="G507" s="50">
        <v>200</v>
      </c>
      <c r="H507" s="51"/>
      <c r="I507" s="17">
        <f t="shared" si="8"/>
        <v>200</v>
      </c>
      <c r="J507" s="56"/>
      <c r="K507" s="56"/>
    </row>
    <row r="508" spans="1:11" ht="44.25">
      <c r="A508" s="11">
        <v>54313</v>
      </c>
      <c r="B508" s="54" t="s">
        <v>670</v>
      </c>
      <c r="C508" s="13"/>
      <c r="D508" s="14" t="s">
        <v>18</v>
      </c>
      <c r="E508" s="14" t="s">
        <v>28</v>
      </c>
      <c r="F508" s="14" t="s">
        <v>27</v>
      </c>
      <c r="G508" s="50">
        <v>300</v>
      </c>
      <c r="H508" s="51"/>
      <c r="I508" s="17">
        <f t="shared" si="8"/>
        <v>300</v>
      </c>
      <c r="J508" s="56"/>
      <c r="K508" s="56"/>
    </row>
    <row r="509" spans="1:11" ht="44.25">
      <c r="A509" s="11">
        <v>54399</v>
      </c>
      <c r="B509" s="54" t="s">
        <v>671</v>
      </c>
      <c r="C509" s="13"/>
      <c r="D509" s="14" t="s">
        <v>18</v>
      </c>
      <c r="E509" s="14" t="s">
        <v>28</v>
      </c>
      <c r="F509" s="14" t="s">
        <v>27</v>
      </c>
      <c r="G509" s="50">
        <v>300</v>
      </c>
      <c r="H509" s="51"/>
      <c r="I509" s="17">
        <f t="shared" si="8"/>
        <v>300</v>
      </c>
      <c r="J509" s="56"/>
      <c r="K509" s="56"/>
    </row>
    <row r="510" spans="1:11" ht="29.25">
      <c r="A510" s="11">
        <v>55603</v>
      </c>
      <c r="B510" s="54" t="s">
        <v>672</v>
      </c>
      <c r="C510" s="13"/>
      <c r="D510" s="14" t="s">
        <v>18</v>
      </c>
      <c r="E510" s="14" t="s">
        <v>28</v>
      </c>
      <c r="F510" s="14" t="s">
        <v>27</v>
      </c>
      <c r="G510" s="50">
        <v>10</v>
      </c>
      <c r="H510" s="51"/>
      <c r="I510" s="17">
        <f t="shared" si="8"/>
        <v>10</v>
      </c>
      <c r="J510" s="56"/>
      <c r="K510" s="56"/>
    </row>
    <row r="511" spans="1:11" ht="101.25" customHeight="1">
      <c r="A511" s="11" t="s">
        <v>358</v>
      </c>
      <c r="B511" s="53" t="s">
        <v>673</v>
      </c>
      <c r="C511" s="13"/>
      <c r="D511" s="14"/>
      <c r="E511" s="14"/>
      <c r="F511" s="14"/>
      <c r="G511" s="50"/>
      <c r="H511" s="51"/>
      <c r="I511" s="17"/>
      <c r="J511" s="56"/>
      <c r="K511" s="56"/>
    </row>
    <row r="512" spans="1:11" ht="29.25">
      <c r="A512" s="11">
        <v>51202</v>
      </c>
      <c r="B512" s="54" t="s">
        <v>674</v>
      </c>
      <c r="C512" s="13"/>
      <c r="D512" s="14" t="s">
        <v>18</v>
      </c>
      <c r="E512" s="14" t="s">
        <v>28</v>
      </c>
      <c r="F512" s="14" t="s">
        <v>27</v>
      </c>
      <c r="G512" s="50">
        <v>8000</v>
      </c>
      <c r="H512" s="51"/>
      <c r="I512" s="17">
        <f t="shared" si="8"/>
        <v>8000</v>
      </c>
      <c r="J512" s="56"/>
      <c r="K512" s="56"/>
    </row>
    <row r="513" spans="1:11" ht="29.25">
      <c r="A513" s="11">
        <v>54110</v>
      </c>
      <c r="B513" s="54" t="s">
        <v>675</v>
      </c>
      <c r="C513" s="13"/>
      <c r="D513" s="14" t="s">
        <v>18</v>
      </c>
      <c r="E513" s="14" t="s">
        <v>28</v>
      </c>
      <c r="F513" s="14" t="s">
        <v>27</v>
      </c>
      <c r="G513" s="50">
        <v>300</v>
      </c>
      <c r="H513" s="51"/>
      <c r="I513" s="17">
        <f t="shared" si="8"/>
        <v>300</v>
      </c>
      <c r="J513" s="56"/>
      <c r="K513" s="56"/>
    </row>
    <row r="514" spans="1:11" ht="29.25">
      <c r="A514" s="11">
        <v>54111</v>
      </c>
      <c r="B514" s="54" t="s">
        <v>677</v>
      </c>
      <c r="C514" s="13"/>
      <c r="D514" s="14" t="s">
        <v>18</v>
      </c>
      <c r="E514" s="14" t="s">
        <v>28</v>
      </c>
      <c r="F514" s="14" t="s">
        <v>27</v>
      </c>
      <c r="G514" s="50">
        <v>10000</v>
      </c>
      <c r="H514" s="51"/>
      <c r="I514" s="17">
        <f t="shared" si="8"/>
        <v>10000</v>
      </c>
      <c r="J514" s="56"/>
      <c r="K514" s="56"/>
    </row>
    <row r="515" spans="1:11" ht="29.25">
      <c r="A515" s="11">
        <v>54112</v>
      </c>
      <c r="B515" s="54" t="s">
        <v>676</v>
      </c>
      <c r="C515" s="13"/>
      <c r="D515" s="14" t="s">
        <v>18</v>
      </c>
      <c r="E515" s="14" t="s">
        <v>28</v>
      </c>
      <c r="F515" s="14" t="s">
        <v>27</v>
      </c>
      <c r="G515" s="50">
        <v>2000</v>
      </c>
      <c r="H515" s="51"/>
      <c r="I515" s="17">
        <f t="shared" si="8"/>
        <v>2000</v>
      </c>
      <c r="J515" s="56"/>
      <c r="K515" s="56"/>
    </row>
    <row r="516" spans="1:11" ht="29.25">
      <c r="A516" s="11">
        <v>54118</v>
      </c>
      <c r="B516" s="54" t="s">
        <v>678</v>
      </c>
      <c r="C516" s="13"/>
      <c r="D516" s="14" t="s">
        <v>18</v>
      </c>
      <c r="E516" s="14" t="s">
        <v>28</v>
      </c>
      <c r="F516" s="14" t="s">
        <v>27</v>
      </c>
      <c r="G516" s="50">
        <v>1290</v>
      </c>
      <c r="H516" s="51"/>
      <c r="I516" s="17">
        <f t="shared" si="8"/>
        <v>1290</v>
      </c>
      <c r="J516" s="56"/>
      <c r="K516" s="56"/>
    </row>
    <row r="517" spans="1:11" ht="29.25">
      <c r="A517" s="11">
        <v>54313</v>
      </c>
      <c r="B517" s="54" t="s">
        <v>679</v>
      </c>
      <c r="C517" s="13"/>
      <c r="D517" s="14" t="s">
        <v>18</v>
      </c>
      <c r="E517" s="14" t="s">
        <v>28</v>
      </c>
      <c r="F517" s="14" t="s">
        <v>27</v>
      </c>
      <c r="G517" s="50">
        <v>300</v>
      </c>
      <c r="H517" s="51"/>
      <c r="I517" s="17">
        <f t="shared" si="8"/>
        <v>300</v>
      </c>
      <c r="J517" s="56"/>
      <c r="K517" s="56"/>
    </row>
    <row r="518" spans="1:11" ht="36.75" customHeight="1">
      <c r="A518" s="11">
        <v>54399</v>
      </c>
      <c r="B518" s="54" t="s">
        <v>680</v>
      </c>
      <c r="C518" s="13"/>
      <c r="D518" s="14" t="s">
        <v>18</v>
      </c>
      <c r="E518" s="14" t="s">
        <v>28</v>
      </c>
      <c r="F518" s="14" t="s">
        <v>27</v>
      </c>
      <c r="G518" s="50">
        <v>200</v>
      </c>
      <c r="H518" s="51"/>
      <c r="I518" s="17">
        <f t="shared" si="8"/>
        <v>200</v>
      </c>
      <c r="J518" s="56"/>
      <c r="K518" s="56"/>
    </row>
    <row r="519" spans="1:11" ht="29.25">
      <c r="A519" s="11">
        <v>55603</v>
      </c>
      <c r="B519" s="54" t="s">
        <v>681</v>
      </c>
      <c r="C519" s="13"/>
      <c r="D519" s="14" t="s">
        <v>18</v>
      </c>
      <c r="E519" s="14" t="s">
        <v>28</v>
      </c>
      <c r="F519" s="14" t="s">
        <v>27</v>
      </c>
      <c r="G519" s="50">
        <v>10</v>
      </c>
      <c r="H519" s="51"/>
      <c r="I519" s="17">
        <f t="shared" si="8"/>
        <v>10</v>
      </c>
      <c r="J519" s="56"/>
      <c r="K519" s="56"/>
    </row>
    <row r="520" spans="1:11" ht="74.25">
      <c r="A520" s="11" t="s">
        <v>374</v>
      </c>
      <c r="B520" s="53" t="s">
        <v>690</v>
      </c>
      <c r="C520" s="13"/>
      <c r="D520" s="14"/>
      <c r="E520" s="14"/>
      <c r="F520" s="14"/>
      <c r="G520" s="50"/>
      <c r="H520" s="51"/>
      <c r="I520" s="17"/>
      <c r="J520" s="56"/>
      <c r="K520" s="56"/>
    </row>
    <row r="521" spans="1:11">
      <c r="A521" s="11">
        <v>51202</v>
      </c>
      <c r="B521" s="54" t="s">
        <v>682</v>
      </c>
      <c r="C521" s="13"/>
      <c r="D521" s="14" t="s">
        <v>18</v>
      </c>
      <c r="E521" s="14" t="s">
        <v>28</v>
      </c>
      <c r="F521" s="14" t="s">
        <v>27</v>
      </c>
      <c r="G521" s="50">
        <v>8900</v>
      </c>
      <c r="H521" s="51"/>
      <c r="I521" s="17">
        <f t="shared" si="8"/>
        <v>8900</v>
      </c>
      <c r="J521" s="56"/>
      <c r="K521" s="56"/>
    </row>
    <row r="522" spans="1:11" ht="29.25">
      <c r="A522" s="11">
        <v>54110</v>
      </c>
      <c r="B522" s="54" t="s">
        <v>683</v>
      </c>
      <c r="C522" s="13"/>
      <c r="D522" s="14" t="s">
        <v>18</v>
      </c>
      <c r="E522" s="14" t="s">
        <v>28</v>
      </c>
      <c r="F522" s="14" t="s">
        <v>27</v>
      </c>
      <c r="G522" s="50">
        <v>300</v>
      </c>
      <c r="H522" s="51"/>
      <c r="I522" s="17">
        <f t="shared" si="8"/>
        <v>300</v>
      </c>
      <c r="J522" s="56"/>
      <c r="K522" s="56"/>
    </row>
    <row r="523" spans="1:11" ht="30">
      <c r="A523" s="11">
        <v>54111</v>
      </c>
      <c r="B523" s="53" t="s">
        <v>689</v>
      </c>
      <c r="C523" s="13"/>
      <c r="D523" s="14" t="s">
        <v>18</v>
      </c>
      <c r="E523" s="14" t="s">
        <v>28</v>
      </c>
      <c r="F523" s="14" t="s">
        <v>27</v>
      </c>
      <c r="G523" s="50">
        <v>12000</v>
      </c>
      <c r="H523" s="51"/>
      <c r="I523" s="17">
        <f t="shared" si="8"/>
        <v>12000</v>
      </c>
      <c r="J523" s="56"/>
      <c r="K523" s="56"/>
    </row>
    <row r="524" spans="1:11" ht="29.25">
      <c r="A524" s="11">
        <v>54112</v>
      </c>
      <c r="B524" s="53" t="s">
        <v>684</v>
      </c>
      <c r="C524" s="13"/>
      <c r="D524" s="14" t="s">
        <v>18</v>
      </c>
      <c r="E524" s="14" t="s">
        <v>28</v>
      </c>
      <c r="F524" s="14" t="s">
        <v>27</v>
      </c>
      <c r="G524" s="50">
        <v>2000</v>
      </c>
      <c r="H524" s="51"/>
      <c r="I524" s="17">
        <f t="shared" si="8"/>
        <v>2000</v>
      </c>
      <c r="J524" s="56"/>
      <c r="K524" s="56"/>
    </row>
    <row r="525" spans="1:11" ht="29.25">
      <c r="A525" s="11">
        <v>54118</v>
      </c>
      <c r="B525" s="53" t="s">
        <v>685</v>
      </c>
      <c r="C525" s="13"/>
      <c r="D525" s="14" t="s">
        <v>18</v>
      </c>
      <c r="E525" s="14" t="s">
        <v>28</v>
      </c>
      <c r="F525" s="14" t="s">
        <v>27</v>
      </c>
      <c r="G525" s="50">
        <v>1290</v>
      </c>
      <c r="H525" s="51"/>
      <c r="I525" s="17">
        <f t="shared" si="8"/>
        <v>1290</v>
      </c>
      <c r="J525" s="56"/>
      <c r="K525" s="56"/>
    </row>
    <row r="526" spans="1:11" ht="29.25">
      <c r="A526" s="11">
        <v>54313</v>
      </c>
      <c r="B526" s="53" t="s">
        <v>686</v>
      </c>
      <c r="C526" s="13"/>
      <c r="D526" s="14" t="s">
        <v>18</v>
      </c>
      <c r="E526" s="14" t="s">
        <v>28</v>
      </c>
      <c r="F526" s="14" t="s">
        <v>27</v>
      </c>
      <c r="G526" s="50">
        <v>300</v>
      </c>
      <c r="H526" s="51"/>
      <c r="I526" s="17">
        <f t="shared" si="8"/>
        <v>300</v>
      </c>
      <c r="J526" s="56"/>
      <c r="K526" s="56"/>
    </row>
    <row r="527" spans="1:11" ht="29.25">
      <c r="A527" s="11">
        <v>54399</v>
      </c>
      <c r="B527" s="54" t="s">
        <v>687</v>
      </c>
      <c r="C527" s="13"/>
      <c r="D527" s="14" t="s">
        <v>18</v>
      </c>
      <c r="E527" s="14" t="s">
        <v>28</v>
      </c>
      <c r="F527" s="14" t="s">
        <v>27</v>
      </c>
      <c r="G527" s="50">
        <v>200</v>
      </c>
      <c r="H527" s="51"/>
      <c r="I527" s="17">
        <f t="shared" si="8"/>
        <v>200</v>
      </c>
      <c r="J527" s="56"/>
      <c r="K527" s="56"/>
    </row>
    <row r="528" spans="1:11" ht="29.25">
      <c r="A528" s="11">
        <v>55603</v>
      </c>
      <c r="B528" s="53" t="s">
        <v>688</v>
      </c>
      <c r="C528" s="13"/>
      <c r="D528" s="14" t="s">
        <v>18</v>
      </c>
      <c r="E528" s="14" t="s">
        <v>28</v>
      </c>
      <c r="F528" s="14" t="s">
        <v>27</v>
      </c>
      <c r="G528" s="50">
        <v>10</v>
      </c>
      <c r="H528" s="51"/>
      <c r="I528" s="17">
        <f t="shared" si="8"/>
        <v>10</v>
      </c>
      <c r="J528" s="56"/>
      <c r="K528" s="56"/>
    </row>
    <row r="529" spans="1:11" ht="60">
      <c r="A529" s="11" t="s">
        <v>388</v>
      </c>
      <c r="B529" s="53" t="s">
        <v>699</v>
      </c>
      <c r="C529" s="13"/>
      <c r="D529" s="14"/>
      <c r="E529" s="14"/>
      <c r="F529" s="14"/>
      <c r="G529" s="50"/>
      <c r="H529" s="51"/>
      <c r="I529" s="17"/>
      <c r="J529" s="56"/>
      <c r="K529" s="56"/>
    </row>
    <row r="530" spans="1:11" ht="29.25">
      <c r="A530" s="11">
        <v>51202</v>
      </c>
      <c r="B530" s="54" t="s">
        <v>691</v>
      </c>
      <c r="C530" s="13"/>
      <c r="D530" s="14" t="s">
        <v>18</v>
      </c>
      <c r="E530" s="14" t="s">
        <v>28</v>
      </c>
      <c r="F530" s="14" t="s">
        <v>27</v>
      </c>
      <c r="G530" s="50">
        <v>8900</v>
      </c>
      <c r="H530" s="51"/>
      <c r="I530" s="17">
        <f t="shared" si="8"/>
        <v>8900</v>
      </c>
      <c r="J530" s="56"/>
      <c r="K530" s="56"/>
    </row>
    <row r="531" spans="1:11" ht="29.25">
      <c r="A531" s="11">
        <v>54110</v>
      </c>
      <c r="B531" s="54" t="s">
        <v>692</v>
      </c>
      <c r="C531" s="13"/>
      <c r="D531" s="14" t="s">
        <v>18</v>
      </c>
      <c r="E531" s="14" t="s">
        <v>28</v>
      </c>
      <c r="F531" s="14" t="s">
        <v>27</v>
      </c>
      <c r="G531" s="50">
        <v>300</v>
      </c>
      <c r="H531" s="51"/>
      <c r="I531" s="17">
        <f t="shared" si="8"/>
        <v>300</v>
      </c>
      <c r="J531" s="56"/>
      <c r="K531" s="56"/>
    </row>
    <row r="532" spans="1:11" ht="44.25">
      <c r="A532" s="11">
        <v>54111</v>
      </c>
      <c r="B532" s="53" t="s">
        <v>693</v>
      </c>
      <c r="C532" s="13"/>
      <c r="D532" s="14" t="s">
        <v>18</v>
      </c>
      <c r="E532" s="14" t="s">
        <v>28</v>
      </c>
      <c r="F532" s="14" t="s">
        <v>27</v>
      </c>
      <c r="G532" s="50">
        <v>12000</v>
      </c>
      <c r="H532" s="51"/>
      <c r="I532" s="17">
        <f t="shared" ref="I532:I542" si="9">G532-H532+J532-K532</f>
        <v>12000</v>
      </c>
      <c r="J532" s="56"/>
      <c r="K532" s="56"/>
    </row>
    <row r="533" spans="1:11" ht="29.25">
      <c r="A533" s="11">
        <v>54112</v>
      </c>
      <c r="B533" s="54" t="s">
        <v>694</v>
      </c>
      <c r="C533" s="13"/>
      <c r="D533" s="14" t="s">
        <v>18</v>
      </c>
      <c r="E533" s="14" t="s">
        <v>28</v>
      </c>
      <c r="F533" s="14" t="s">
        <v>27</v>
      </c>
      <c r="G533" s="50">
        <v>2000</v>
      </c>
      <c r="H533" s="51"/>
      <c r="I533" s="17">
        <f t="shared" si="9"/>
        <v>2000</v>
      </c>
      <c r="J533" s="56"/>
      <c r="K533" s="56"/>
    </row>
    <row r="534" spans="1:11" ht="29.25">
      <c r="A534" s="11">
        <v>54118</v>
      </c>
      <c r="B534" s="54" t="s">
        <v>695</v>
      </c>
      <c r="C534" s="13"/>
      <c r="D534" s="14" t="s">
        <v>18</v>
      </c>
      <c r="E534" s="14" t="s">
        <v>28</v>
      </c>
      <c r="F534" s="14" t="s">
        <v>27</v>
      </c>
      <c r="G534" s="50">
        <v>1290</v>
      </c>
      <c r="H534" s="51"/>
      <c r="I534" s="17">
        <f t="shared" si="9"/>
        <v>1290</v>
      </c>
      <c r="J534" s="56"/>
      <c r="K534" s="56"/>
    </row>
    <row r="535" spans="1:11" ht="44.25">
      <c r="A535" s="11">
        <v>54313</v>
      </c>
      <c r="B535" s="53" t="s">
        <v>696</v>
      </c>
      <c r="C535" s="13"/>
      <c r="D535" s="14" t="s">
        <v>18</v>
      </c>
      <c r="E535" s="14" t="s">
        <v>28</v>
      </c>
      <c r="F535" s="14" t="s">
        <v>27</v>
      </c>
      <c r="G535" s="50">
        <v>300</v>
      </c>
      <c r="H535" s="51"/>
      <c r="I535" s="17">
        <f t="shared" si="9"/>
        <v>300</v>
      </c>
      <c r="J535" s="56"/>
      <c r="K535" s="56"/>
    </row>
    <row r="536" spans="1:11" ht="29.25">
      <c r="A536" s="11">
        <v>54399</v>
      </c>
      <c r="B536" s="54" t="s">
        <v>697</v>
      </c>
      <c r="C536" s="13"/>
      <c r="D536" s="14" t="s">
        <v>18</v>
      </c>
      <c r="E536" s="14" t="s">
        <v>28</v>
      </c>
      <c r="F536" s="14" t="s">
        <v>27</v>
      </c>
      <c r="G536" s="50">
        <v>200</v>
      </c>
      <c r="H536" s="51"/>
      <c r="I536" s="17">
        <f t="shared" si="9"/>
        <v>200</v>
      </c>
      <c r="J536" s="56"/>
      <c r="K536" s="56"/>
    </row>
    <row r="537" spans="1:11" ht="29.25">
      <c r="A537" s="11">
        <v>55603</v>
      </c>
      <c r="B537" s="54" t="s">
        <v>698</v>
      </c>
      <c r="C537" s="13"/>
      <c r="D537" s="14" t="s">
        <v>18</v>
      </c>
      <c r="E537" s="14" t="s">
        <v>28</v>
      </c>
      <c r="F537" s="14" t="s">
        <v>27</v>
      </c>
      <c r="G537" s="50">
        <v>10</v>
      </c>
      <c r="H537" s="51"/>
      <c r="I537" s="17">
        <f t="shared" si="9"/>
        <v>10</v>
      </c>
      <c r="J537" s="56"/>
      <c r="K537" s="56"/>
    </row>
    <row r="538" spans="1:11" ht="60">
      <c r="A538" s="11" t="s">
        <v>392</v>
      </c>
      <c r="B538" s="53" t="s">
        <v>700</v>
      </c>
      <c r="C538" s="13"/>
      <c r="D538" s="14"/>
      <c r="E538" s="14"/>
      <c r="F538" s="14"/>
      <c r="G538" s="50"/>
      <c r="H538" s="51"/>
      <c r="I538" s="17"/>
      <c r="J538" s="56"/>
      <c r="K538" s="56"/>
    </row>
    <row r="539" spans="1:11" ht="29.25">
      <c r="A539" s="11">
        <v>51202</v>
      </c>
      <c r="B539" s="54" t="s">
        <v>701</v>
      </c>
      <c r="C539" s="13"/>
      <c r="D539" s="14" t="s">
        <v>18</v>
      </c>
      <c r="E539" s="14" t="s">
        <v>28</v>
      </c>
      <c r="F539" s="14" t="s">
        <v>27</v>
      </c>
      <c r="G539" s="50">
        <v>4640</v>
      </c>
      <c r="H539" s="51"/>
      <c r="I539" s="17">
        <f t="shared" si="9"/>
        <v>4640</v>
      </c>
      <c r="J539" s="56"/>
      <c r="K539" s="56"/>
    </row>
    <row r="540" spans="1:11" ht="29.25">
      <c r="A540" s="11">
        <v>54110</v>
      </c>
      <c r="B540" s="53" t="s">
        <v>702</v>
      </c>
      <c r="C540" s="13"/>
      <c r="D540" s="14" t="s">
        <v>18</v>
      </c>
      <c r="E540" s="14" t="s">
        <v>28</v>
      </c>
      <c r="F540" s="14" t="s">
        <v>27</v>
      </c>
      <c r="G540" s="50">
        <v>100</v>
      </c>
      <c r="H540" s="51"/>
      <c r="I540" s="17">
        <f t="shared" si="9"/>
        <v>100</v>
      </c>
      <c r="J540" s="56"/>
      <c r="K540" s="56"/>
    </row>
    <row r="541" spans="1:11" ht="44.25">
      <c r="A541" s="11">
        <v>54111</v>
      </c>
      <c r="B541" s="53" t="s">
        <v>703</v>
      </c>
      <c r="C541" s="13"/>
      <c r="D541" s="14" t="s">
        <v>18</v>
      </c>
      <c r="E541" s="14" t="s">
        <v>28</v>
      </c>
      <c r="F541" s="14" t="s">
        <v>27</v>
      </c>
      <c r="G541" s="50">
        <v>5000</v>
      </c>
      <c r="H541" s="51"/>
      <c r="I541" s="17">
        <f t="shared" si="9"/>
        <v>5000</v>
      </c>
      <c r="J541" s="56"/>
      <c r="K541" s="56"/>
    </row>
    <row r="542" spans="1:11" ht="44.25">
      <c r="A542" s="11">
        <v>54313</v>
      </c>
      <c r="B542" s="53" t="s">
        <v>704</v>
      </c>
      <c r="C542" s="13"/>
      <c r="D542" s="14" t="s">
        <v>18</v>
      </c>
      <c r="E542" s="14" t="s">
        <v>28</v>
      </c>
      <c r="F542" s="14" t="s">
        <v>27</v>
      </c>
      <c r="G542" s="50">
        <v>250</v>
      </c>
      <c r="H542" s="51"/>
      <c r="I542" s="17">
        <f t="shared" si="9"/>
        <v>250</v>
      </c>
      <c r="J542" s="56"/>
      <c r="K542" s="56"/>
    </row>
    <row r="543" spans="1:11" ht="29.25">
      <c r="A543" s="11">
        <v>55603</v>
      </c>
      <c r="B543" s="53" t="s">
        <v>705</v>
      </c>
      <c r="C543" s="13"/>
      <c r="D543" s="14" t="s">
        <v>18</v>
      </c>
      <c r="E543" s="14" t="s">
        <v>28</v>
      </c>
      <c r="F543" s="14" t="s">
        <v>27</v>
      </c>
      <c r="G543" s="50">
        <v>10</v>
      </c>
      <c r="H543" s="51"/>
      <c r="I543" s="17">
        <f>G543-H543+J543-K543</f>
        <v>10</v>
      </c>
      <c r="J543" s="56"/>
      <c r="K543" s="56"/>
    </row>
    <row r="544" spans="1:11" ht="105">
      <c r="A544" s="11" t="s">
        <v>401</v>
      </c>
      <c r="B544" s="53" t="s">
        <v>706</v>
      </c>
      <c r="C544" s="13"/>
      <c r="D544" s="14"/>
      <c r="E544" s="14"/>
      <c r="F544" s="14"/>
      <c r="G544" s="50"/>
      <c r="H544" s="51"/>
      <c r="I544" s="17"/>
      <c r="J544" s="56"/>
      <c r="K544" s="56"/>
    </row>
    <row r="545" spans="1:11" ht="29.25">
      <c r="A545" s="11">
        <v>51202</v>
      </c>
      <c r="B545" s="54" t="s">
        <v>707</v>
      </c>
      <c r="C545" s="13"/>
      <c r="D545" s="14" t="s">
        <v>18</v>
      </c>
      <c r="E545" s="14" t="s">
        <v>28</v>
      </c>
      <c r="F545" s="14" t="s">
        <v>27</v>
      </c>
      <c r="G545" s="50">
        <v>7000</v>
      </c>
      <c r="H545" s="51"/>
      <c r="I545" s="17">
        <f>G545-H545+J545-K545</f>
        <v>7000</v>
      </c>
      <c r="J545" s="56"/>
      <c r="K545" s="56"/>
    </row>
    <row r="546" spans="1:11" ht="43.5">
      <c r="A546" s="11">
        <v>54110</v>
      </c>
      <c r="B546" s="54" t="s">
        <v>708</v>
      </c>
      <c r="C546" s="13"/>
      <c r="D546" s="14" t="s">
        <v>18</v>
      </c>
      <c r="E546" s="14" t="s">
        <v>28</v>
      </c>
      <c r="F546" s="14" t="s">
        <v>27</v>
      </c>
      <c r="G546" s="50">
        <v>200</v>
      </c>
      <c r="H546" s="51"/>
      <c r="I546" s="17">
        <f t="shared" ref="I546:I586" si="10">G546-H546+J546-K546</f>
        <v>200</v>
      </c>
      <c r="J546" s="56"/>
      <c r="K546" s="56"/>
    </row>
    <row r="547" spans="1:11" ht="44.25">
      <c r="A547" s="11">
        <v>54111</v>
      </c>
      <c r="B547" s="54" t="s">
        <v>709</v>
      </c>
      <c r="C547" s="13"/>
      <c r="D547" s="14" t="s">
        <v>18</v>
      </c>
      <c r="E547" s="14" t="s">
        <v>28</v>
      </c>
      <c r="F547" s="14" t="s">
        <v>27</v>
      </c>
      <c r="G547" s="50">
        <v>9290</v>
      </c>
      <c r="H547" s="51"/>
      <c r="I547" s="17">
        <f t="shared" si="10"/>
        <v>9290</v>
      </c>
      <c r="J547" s="56"/>
      <c r="K547" s="56"/>
    </row>
    <row r="548" spans="1:11" ht="43.5">
      <c r="A548" s="11">
        <v>54118</v>
      </c>
      <c r="B548" s="54" t="s">
        <v>710</v>
      </c>
      <c r="C548" s="13"/>
      <c r="D548" s="14" t="s">
        <v>18</v>
      </c>
      <c r="E548" s="14" t="s">
        <v>28</v>
      </c>
      <c r="F548" s="14" t="s">
        <v>27</v>
      </c>
      <c r="G548" s="50">
        <v>3000</v>
      </c>
      <c r="H548" s="51"/>
      <c r="I548" s="17">
        <f t="shared" si="10"/>
        <v>3000</v>
      </c>
      <c r="J548" s="56"/>
      <c r="K548" s="56"/>
    </row>
    <row r="549" spans="1:11" ht="43.5">
      <c r="A549" s="11">
        <v>54313</v>
      </c>
      <c r="B549" s="54" t="s">
        <v>711</v>
      </c>
      <c r="C549" s="13"/>
      <c r="D549" s="14" t="s">
        <v>18</v>
      </c>
      <c r="E549" s="14" t="s">
        <v>28</v>
      </c>
      <c r="F549" s="14" t="s">
        <v>27</v>
      </c>
      <c r="G549" s="50">
        <v>300</v>
      </c>
      <c r="H549" s="51"/>
      <c r="I549" s="17">
        <f t="shared" si="10"/>
        <v>300</v>
      </c>
      <c r="J549" s="56"/>
      <c r="K549" s="56"/>
    </row>
    <row r="550" spans="1:11" ht="44.25">
      <c r="A550" s="11">
        <v>54399</v>
      </c>
      <c r="B550" s="54" t="s">
        <v>712</v>
      </c>
      <c r="C550" s="13"/>
      <c r="D550" s="14" t="s">
        <v>18</v>
      </c>
      <c r="E550" s="14" t="s">
        <v>28</v>
      </c>
      <c r="F550" s="14" t="s">
        <v>27</v>
      </c>
      <c r="G550" s="50">
        <v>200</v>
      </c>
      <c r="H550" s="51"/>
      <c r="I550" s="17">
        <f t="shared" si="10"/>
        <v>200</v>
      </c>
      <c r="J550" s="56"/>
      <c r="K550" s="56"/>
    </row>
    <row r="551" spans="1:11" ht="43.5">
      <c r="A551" s="11">
        <v>55603</v>
      </c>
      <c r="B551" s="53" t="s">
        <v>713</v>
      </c>
      <c r="C551" s="13"/>
      <c r="D551" s="14" t="s">
        <v>18</v>
      </c>
      <c r="E551" s="14" t="s">
        <v>28</v>
      </c>
      <c r="F551" s="14" t="s">
        <v>27</v>
      </c>
      <c r="G551" s="50">
        <v>10</v>
      </c>
      <c r="H551" s="51"/>
      <c r="I551" s="17">
        <f t="shared" si="10"/>
        <v>10</v>
      </c>
      <c r="J551" s="56"/>
      <c r="K551" s="56"/>
    </row>
    <row r="552" spans="1:11" ht="59.25">
      <c r="A552" s="11" t="s">
        <v>408</v>
      </c>
      <c r="B552" s="53" t="s">
        <v>714</v>
      </c>
      <c r="C552" s="13"/>
      <c r="D552" s="14"/>
      <c r="E552" s="14"/>
      <c r="F552" s="14"/>
      <c r="G552" s="50"/>
      <c r="H552" s="51"/>
      <c r="I552" s="17"/>
      <c r="J552" s="56"/>
      <c r="K552" s="56"/>
    </row>
    <row r="553" spans="1:11" ht="29.25">
      <c r="A553" s="11">
        <v>51202</v>
      </c>
      <c r="B553" s="54" t="s">
        <v>715</v>
      </c>
      <c r="C553" s="13"/>
      <c r="D553" s="14" t="s">
        <v>18</v>
      </c>
      <c r="E553" s="14" t="s">
        <v>28</v>
      </c>
      <c r="F553" s="14" t="s">
        <v>27</v>
      </c>
      <c r="G553" s="50">
        <v>6190</v>
      </c>
      <c r="H553" s="51"/>
      <c r="I553" s="17">
        <f t="shared" si="10"/>
        <v>6190</v>
      </c>
      <c r="J553" s="56"/>
      <c r="K553" s="56"/>
    </row>
    <row r="554" spans="1:11" ht="29.25">
      <c r="A554" s="11">
        <v>54110</v>
      </c>
      <c r="B554" s="54" t="s">
        <v>716</v>
      </c>
      <c r="C554" s="13"/>
      <c r="D554" s="14" t="s">
        <v>18</v>
      </c>
      <c r="E554" s="14" t="s">
        <v>28</v>
      </c>
      <c r="F554" s="14" t="s">
        <v>27</v>
      </c>
      <c r="G554" s="50">
        <v>300</v>
      </c>
      <c r="H554" s="51"/>
      <c r="I554" s="17">
        <f t="shared" si="10"/>
        <v>300</v>
      </c>
      <c r="J554" s="56"/>
      <c r="K554" s="56"/>
    </row>
    <row r="555" spans="1:11" ht="44.25">
      <c r="A555" s="11">
        <v>54111</v>
      </c>
      <c r="B555" s="54" t="s">
        <v>717</v>
      </c>
      <c r="C555" s="13"/>
      <c r="D555" s="14" t="s">
        <v>18</v>
      </c>
      <c r="E555" s="14" t="s">
        <v>28</v>
      </c>
      <c r="F555" s="14" t="s">
        <v>27</v>
      </c>
      <c r="G555" s="50">
        <v>10000</v>
      </c>
      <c r="H555" s="51"/>
      <c r="I555" s="17">
        <f t="shared" si="10"/>
        <v>10000</v>
      </c>
      <c r="J555" s="56"/>
      <c r="K555" s="56"/>
    </row>
    <row r="556" spans="1:11" ht="43.5">
      <c r="A556" s="11">
        <v>54112</v>
      </c>
      <c r="B556" s="53" t="s">
        <v>718</v>
      </c>
      <c r="C556" s="13"/>
      <c r="D556" s="14" t="s">
        <v>18</v>
      </c>
      <c r="E556" s="14" t="s">
        <v>28</v>
      </c>
      <c r="F556" s="14" t="s">
        <v>27</v>
      </c>
      <c r="G556" s="50">
        <v>2000</v>
      </c>
      <c r="H556" s="51"/>
      <c r="I556" s="17">
        <f t="shared" si="10"/>
        <v>2000</v>
      </c>
      <c r="J556" s="56"/>
      <c r="K556" s="56"/>
    </row>
    <row r="557" spans="1:11" ht="29.25">
      <c r="A557" s="11">
        <v>54118</v>
      </c>
      <c r="B557" s="54" t="s">
        <v>719</v>
      </c>
      <c r="C557" s="13"/>
      <c r="D557" s="14" t="s">
        <v>18</v>
      </c>
      <c r="E557" s="14" t="s">
        <v>28</v>
      </c>
      <c r="F557" s="14" t="s">
        <v>27</v>
      </c>
      <c r="G557" s="50">
        <v>1000</v>
      </c>
      <c r="H557" s="51"/>
      <c r="I557" s="17">
        <f t="shared" si="10"/>
        <v>1000</v>
      </c>
      <c r="J557" s="56"/>
      <c r="K557" s="56"/>
    </row>
    <row r="558" spans="1:11" ht="44.25">
      <c r="A558" s="11">
        <v>54313</v>
      </c>
      <c r="B558" s="54" t="s">
        <v>720</v>
      </c>
      <c r="C558" s="13"/>
      <c r="D558" s="14" t="s">
        <v>18</v>
      </c>
      <c r="E558" s="14" t="s">
        <v>28</v>
      </c>
      <c r="F558" s="14" t="s">
        <v>27</v>
      </c>
      <c r="G558" s="50">
        <v>300</v>
      </c>
      <c r="H558" s="51"/>
      <c r="I558" s="17">
        <f t="shared" si="10"/>
        <v>300</v>
      </c>
      <c r="J558" s="56"/>
      <c r="K558" s="56"/>
    </row>
    <row r="559" spans="1:11" ht="44.25">
      <c r="A559" s="11">
        <v>54399</v>
      </c>
      <c r="B559" s="53" t="s">
        <v>721</v>
      </c>
      <c r="C559" s="13"/>
      <c r="D559" s="14" t="s">
        <v>18</v>
      </c>
      <c r="E559" s="14" t="s">
        <v>28</v>
      </c>
      <c r="F559" s="14" t="s">
        <v>27</v>
      </c>
      <c r="G559" s="50">
        <v>200</v>
      </c>
      <c r="H559" s="51"/>
      <c r="I559" s="17">
        <f t="shared" si="10"/>
        <v>200</v>
      </c>
      <c r="J559" s="56"/>
      <c r="K559" s="56"/>
    </row>
    <row r="560" spans="1:11" ht="29.25">
      <c r="A560" s="11">
        <v>55603</v>
      </c>
      <c r="B560" s="53" t="s">
        <v>722</v>
      </c>
      <c r="C560" s="13"/>
      <c r="D560" s="14" t="s">
        <v>18</v>
      </c>
      <c r="E560" s="14" t="s">
        <v>28</v>
      </c>
      <c r="F560" s="14" t="s">
        <v>27</v>
      </c>
      <c r="G560" s="50">
        <v>10</v>
      </c>
      <c r="H560" s="51"/>
      <c r="I560" s="17">
        <f t="shared" si="10"/>
        <v>10</v>
      </c>
      <c r="J560" s="56"/>
      <c r="K560" s="56"/>
    </row>
    <row r="561" spans="1:11" ht="89.25">
      <c r="A561" s="11" t="s">
        <v>418</v>
      </c>
      <c r="B561" s="53" t="s">
        <v>723</v>
      </c>
      <c r="C561" s="13"/>
      <c r="D561" s="14"/>
      <c r="E561" s="14"/>
      <c r="F561" s="14"/>
      <c r="G561" s="50"/>
      <c r="H561" s="51"/>
      <c r="I561" s="17"/>
      <c r="J561" s="56"/>
      <c r="K561" s="56"/>
    </row>
    <row r="562" spans="1:11" ht="29.25">
      <c r="A562" s="11">
        <v>51202</v>
      </c>
      <c r="B562" s="53" t="s">
        <v>724</v>
      </c>
      <c r="C562" s="13"/>
      <c r="D562" s="14" t="s">
        <v>18</v>
      </c>
      <c r="E562" s="14" t="s">
        <v>28</v>
      </c>
      <c r="F562" s="14" t="s">
        <v>27</v>
      </c>
      <c r="G562" s="50">
        <v>7000</v>
      </c>
      <c r="H562" s="51"/>
      <c r="I562" s="17">
        <f t="shared" si="10"/>
        <v>7000</v>
      </c>
      <c r="J562" s="56"/>
      <c r="K562" s="56"/>
    </row>
    <row r="563" spans="1:11" ht="29.25">
      <c r="A563" s="11">
        <v>54110</v>
      </c>
      <c r="B563" s="53" t="s">
        <v>725</v>
      </c>
      <c r="C563" s="13"/>
      <c r="D563" s="14" t="s">
        <v>18</v>
      </c>
      <c r="E563" s="14" t="s">
        <v>28</v>
      </c>
      <c r="F563" s="14" t="s">
        <v>27</v>
      </c>
      <c r="G563" s="50">
        <v>200</v>
      </c>
      <c r="H563" s="51"/>
      <c r="I563" s="17">
        <f t="shared" si="10"/>
        <v>200</v>
      </c>
      <c r="J563" s="56"/>
      <c r="K563" s="56"/>
    </row>
    <row r="564" spans="1:11" ht="29.25">
      <c r="A564" s="11">
        <v>54111</v>
      </c>
      <c r="B564" s="53" t="s">
        <v>726</v>
      </c>
      <c r="C564" s="13"/>
      <c r="D564" s="14" t="s">
        <v>18</v>
      </c>
      <c r="E564" s="14" t="s">
        <v>28</v>
      </c>
      <c r="F564" s="14" t="s">
        <v>27</v>
      </c>
      <c r="G564" s="50">
        <v>9290</v>
      </c>
      <c r="H564" s="51"/>
      <c r="I564" s="17">
        <f t="shared" si="10"/>
        <v>9290</v>
      </c>
      <c r="J564" s="56"/>
      <c r="K564" s="56"/>
    </row>
    <row r="565" spans="1:11" ht="29.25">
      <c r="A565" s="11">
        <v>54118</v>
      </c>
      <c r="B565" s="53" t="s">
        <v>727</v>
      </c>
      <c r="C565" s="13"/>
      <c r="D565" s="14" t="s">
        <v>18</v>
      </c>
      <c r="E565" s="14" t="s">
        <v>28</v>
      </c>
      <c r="F565" s="14" t="s">
        <v>27</v>
      </c>
      <c r="G565" s="50">
        <v>3000</v>
      </c>
      <c r="H565" s="51"/>
      <c r="I565" s="17">
        <f t="shared" si="10"/>
        <v>3000</v>
      </c>
      <c r="J565" s="56"/>
      <c r="K565" s="56"/>
    </row>
    <row r="566" spans="1:11" ht="29.25">
      <c r="A566" s="11">
        <v>54313</v>
      </c>
      <c r="B566" s="53" t="s">
        <v>728</v>
      </c>
      <c r="C566" s="13"/>
      <c r="D566" s="14" t="s">
        <v>18</v>
      </c>
      <c r="E566" s="14" t="s">
        <v>28</v>
      </c>
      <c r="F566" s="14" t="s">
        <v>27</v>
      </c>
      <c r="G566" s="50">
        <v>300</v>
      </c>
      <c r="H566" s="51"/>
      <c r="I566" s="17">
        <f t="shared" si="10"/>
        <v>300</v>
      </c>
      <c r="J566" s="56"/>
      <c r="K566" s="56"/>
    </row>
    <row r="567" spans="1:11" ht="30">
      <c r="A567" s="11">
        <v>54399</v>
      </c>
      <c r="B567" s="53" t="s">
        <v>729</v>
      </c>
      <c r="C567" s="13"/>
      <c r="D567" s="14" t="s">
        <v>18</v>
      </c>
      <c r="E567" s="14" t="s">
        <v>28</v>
      </c>
      <c r="F567" s="14" t="s">
        <v>27</v>
      </c>
      <c r="G567" s="50">
        <v>200</v>
      </c>
      <c r="H567" s="51"/>
      <c r="I567" s="17">
        <f t="shared" si="10"/>
        <v>200</v>
      </c>
      <c r="J567" s="56"/>
      <c r="K567" s="56"/>
    </row>
    <row r="568" spans="1:11" ht="29.25">
      <c r="A568" s="11">
        <v>55603</v>
      </c>
      <c r="B568" s="53" t="s">
        <v>730</v>
      </c>
      <c r="C568" s="13"/>
      <c r="D568" s="14" t="s">
        <v>18</v>
      </c>
      <c r="E568" s="14" t="s">
        <v>28</v>
      </c>
      <c r="F568" s="14" t="s">
        <v>27</v>
      </c>
      <c r="G568" s="50">
        <v>10</v>
      </c>
      <c r="H568" s="51"/>
      <c r="I568" s="17">
        <f t="shared" si="10"/>
        <v>10</v>
      </c>
      <c r="J568" s="56"/>
      <c r="K568" s="56"/>
    </row>
    <row r="569" spans="1:11" ht="90">
      <c r="A569" s="11" t="s">
        <v>429</v>
      </c>
      <c r="B569" s="53" t="s">
        <v>731</v>
      </c>
      <c r="C569" s="13"/>
      <c r="D569" s="14"/>
      <c r="E569" s="14"/>
      <c r="F569" s="14"/>
      <c r="G569" s="50"/>
      <c r="H569" s="51"/>
      <c r="I569" s="17"/>
      <c r="J569" s="56"/>
      <c r="K569" s="56"/>
    </row>
    <row r="570" spans="1:11">
      <c r="A570" s="11">
        <v>51202</v>
      </c>
      <c r="B570" s="53" t="s">
        <v>732</v>
      </c>
      <c r="C570" s="13"/>
      <c r="D570" s="14" t="s">
        <v>18</v>
      </c>
      <c r="E570" s="14" t="s">
        <v>28</v>
      </c>
      <c r="F570" s="14" t="s">
        <v>27</v>
      </c>
      <c r="G570" s="50">
        <v>12190</v>
      </c>
      <c r="H570" s="51"/>
      <c r="I570" s="17">
        <f t="shared" si="10"/>
        <v>12190</v>
      </c>
      <c r="J570" s="56"/>
      <c r="K570" s="56"/>
    </row>
    <row r="571" spans="1:11" ht="29.25">
      <c r="A571" s="11">
        <v>54110</v>
      </c>
      <c r="B571" s="53" t="s">
        <v>733</v>
      </c>
      <c r="C571" s="13"/>
      <c r="D571" s="14" t="s">
        <v>18</v>
      </c>
      <c r="E571" s="14" t="s">
        <v>28</v>
      </c>
      <c r="F571" s="14" t="s">
        <v>27</v>
      </c>
      <c r="G571" s="50">
        <v>300</v>
      </c>
      <c r="H571" s="51"/>
      <c r="I571" s="17">
        <f t="shared" si="10"/>
        <v>300</v>
      </c>
      <c r="J571" s="56"/>
      <c r="K571" s="56"/>
    </row>
    <row r="572" spans="1:11" ht="29.25">
      <c r="A572" s="11">
        <v>54111</v>
      </c>
      <c r="B572" s="53" t="s">
        <v>734</v>
      </c>
      <c r="C572" s="13"/>
      <c r="D572" s="14" t="s">
        <v>18</v>
      </c>
      <c r="E572" s="14" t="s">
        <v>28</v>
      </c>
      <c r="F572" s="14" t="s">
        <v>27</v>
      </c>
      <c r="G572" s="50">
        <v>15000</v>
      </c>
      <c r="H572" s="51"/>
      <c r="I572" s="17">
        <f t="shared" si="10"/>
        <v>15000</v>
      </c>
      <c r="J572" s="56"/>
      <c r="K572" s="56"/>
    </row>
    <row r="573" spans="1:11" ht="29.25">
      <c r="A573" s="11">
        <v>54112</v>
      </c>
      <c r="B573" s="53" t="s">
        <v>735</v>
      </c>
      <c r="C573" s="13"/>
      <c r="D573" s="14" t="s">
        <v>18</v>
      </c>
      <c r="E573" s="14" t="s">
        <v>28</v>
      </c>
      <c r="F573" s="14" t="s">
        <v>27</v>
      </c>
      <c r="G573" s="50">
        <v>8000</v>
      </c>
      <c r="H573" s="51"/>
      <c r="I573" s="17">
        <f t="shared" si="10"/>
        <v>8000</v>
      </c>
      <c r="J573" s="56"/>
      <c r="K573" s="56"/>
    </row>
    <row r="574" spans="1:11" ht="29.25">
      <c r="A574" s="11">
        <v>54118</v>
      </c>
      <c r="B574" s="53" t="s">
        <v>736</v>
      </c>
      <c r="C574" s="13"/>
      <c r="D574" s="14" t="s">
        <v>18</v>
      </c>
      <c r="E574" s="14" t="s">
        <v>28</v>
      </c>
      <c r="F574" s="14" t="s">
        <v>27</v>
      </c>
      <c r="G574" s="50">
        <v>7000</v>
      </c>
      <c r="H574" s="51"/>
      <c r="I574" s="17">
        <f t="shared" si="10"/>
        <v>7000</v>
      </c>
      <c r="J574" s="56"/>
      <c r="K574" s="56"/>
    </row>
    <row r="575" spans="1:11" ht="29.25">
      <c r="A575" s="11">
        <v>54304</v>
      </c>
      <c r="B575" s="53" t="s">
        <v>737</v>
      </c>
      <c r="C575" s="13"/>
      <c r="D575" s="14" t="s">
        <v>18</v>
      </c>
      <c r="E575" s="14" t="s">
        <v>28</v>
      </c>
      <c r="F575" s="14" t="s">
        <v>27</v>
      </c>
      <c r="G575" s="50">
        <v>2000</v>
      </c>
      <c r="H575" s="51"/>
      <c r="I575" s="17">
        <f t="shared" si="10"/>
        <v>2000</v>
      </c>
      <c r="J575" s="56"/>
      <c r="K575" s="56"/>
    </row>
    <row r="576" spans="1:11" ht="30">
      <c r="A576" s="11">
        <v>54313</v>
      </c>
      <c r="B576" s="53" t="s">
        <v>738</v>
      </c>
      <c r="C576" s="13"/>
      <c r="D576" s="14" t="s">
        <v>18</v>
      </c>
      <c r="E576" s="14" t="s">
        <v>28</v>
      </c>
      <c r="F576" s="14" t="s">
        <v>27</v>
      </c>
      <c r="G576" s="50">
        <v>300</v>
      </c>
      <c r="H576" s="51"/>
      <c r="I576" s="17">
        <f t="shared" si="10"/>
        <v>300</v>
      </c>
      <c r="J576" s="56"/>
      <c r="K576" s="56"/>
    </row>
    <row r="577" spans="1:11" ht="29.25">
      <c r="A577" s="11">
        <v>54399</v>
      </c>
      <c r="B577" s="53" t="s">
        <v>739</v>
      </c>
      <c r="C577" s="13"/>
      <c r="D577" s="14" t="s">
        <v>18</v>
      </c>
      <c r="E577" s="14" t="s">
        <v>28</v>
      </c>
      <c r="F577" s="14" t="s">
        <v>27</v>
      </c>
      <c r="G577" s="50">
        <v>200</v>
      </c>
      <c r="H577" s="51"/>
      <c r="I577" s="17">
        <f t="shared" si="10"/>
        <v>200</v>
      </c>
      <c r="J577" s="56"/>
      <c r="K577" s="56"/>
    </row>
    <row r="578" spans="1:11" ht="29.25">
      <c r="A578" s="11">
        <v>55603</v>
      </c>
      <c r="B578" s="53" t="s">
        <v>740</v>
      </c>
      <c r="C578" s="13"/>
      <c r="D578" s="14" t="s">
        <v>18</v>
      </c>
      <c r="E578" s="14" t="s">
        <v>28</v>
      </c>
      <c r="F578" s="14" t="s">
        <v>27</v>
      </c>
      <c r="G578" s="50">
        <v>10</v>
      </c>
      <c r="H578" s="51"/>
      <c r="I578" s="17">
        <f t="shared" si="10"/>
        <v>10</v>
      </c>
      <c r="J578" s="56"/>
      <c r="K578" s="56"/>
    </row>
    <row r="579" spans="1:11" ht="75">
      <c r="A579" s="144" t="s">
        <v>437</v>
      </c>
      <c r="B579" s="53" t="s">
        <v>742</v>
      </c>
      <c r="C579" s="13"/>
      <c r="D579" s="14"/>
      <c r="E579" s="14"/>
      <c r="F579" s="14"/>
      <c r="G579" s="50"/>
      <c r="H579" s="51"/>
      <c r="I579" s="17"/>
      <c r="J579" s="56"/>
      <c r="K579" s="56"/>
    </row>
    <row r="580" spans="1:11" ht="29.25">
      <c r="A580" s="11">
        <v>51202</v>
      </c>
      <c r="B580" s="53" t="s">
        <v>743</v>
      </c>
      <c r="C580" s="13"/>
      <c r="D580" s="14" t="s">
        <v>18</v>
      </c>
      <c r="E580" s="14" t="s">
        <v>28</v>
      </c>
      <c r="F580" s="14" t="s">
        <v>27</v>
      </c>
      <c r="G580" s="50">
        <v>7000</v>
      </c>
      <c r="H580" s="51"/>
      <c r="I580" s="17">
        <f t="shared" si="10"/>
        <v>7000</v>
      </c>
      <c r="J580" s="56"/>
      <c r="K580" s="56"/>
    </row>
    <row r="581" spans="1:11" ht="29.25">
      <c r="A581" s="11">
        <v>54110</v>
      </c>
      <c r="B581" s="53" t="s">
        <v>744</v>
      </c>
      <c r="C581" s="13"/>
      <c r="D581" s="14" t="s">
        <v>18</v>
      </c>
      <c r="E581" s="14" t="s">
        <v>28</v>
      </c>
      <c r="F581" s="14" t="s">
        <v>27</v>
      </c>
      <c r="G581" s="50">
        <v>200</v>
      </c>
      <c r="H581" s="51"/>
      <c r="I581" s="17">
        <f t="shared" si="10"/>
        <v>200</v>
      </c>
      <c r="J581" s="56"/>
      <c r="K581" s="56"/>
    </row>
    <row r="582" spans="1:11" ht="43.5">
      <c r="A582" s="11">
        <v>54111</v>
      </c>
      <c r="B582" s="53" t="s">
        <v>745</v>
      </c>
      <c r="C582" s="13"/>
      <c r="D582" s="14" t="s">
        <v>18</v>
      </c>
      <c r="E582" s="14" t="s">
        <v>28</v>
      </c>
      <c r="F582" s="14" t="s">
        <v>27</v>
      </c>
      <c r="G582" s="50">
        <v>9290</v>
      </c>
      <c r="H582" s="51"/>
      <c r="I582" s="17">
        <f t="shared" si="10"/>
        <v>9290</v>
      </c>
      <c r="J582" s="56"/>
      <c r="K582" s="56"/>
    </row>
    <row r="583" spans="1:11" ht="43.5">
      <c r="A583" s="11">
        <v>54118</v>
      </c>
      <c r="B583" s="53" t="s">
        <v>746</v>
      </c>
      <c r="C583" s="13"/>
      <c r="D583" s="14" t="s">
        <v>18</v>
      </c>
      <c r="E583" s="14" t="s">
        <v>28</v>
      </c>
      <c r="F583" s="14" t="s">
        <v>27</v>
      </c>
      <c r="G583" s="50">
        <v>3000</v>
      </c>
      <c r="H583" s="51"/>
      <c r="I583" s="17">
        <f t="shared" si="10"/>
        <v>3000</v>
      </c>
      <c r="J583" s="56"/>
      <c r="K583" s="56"/>
    </row>
    <row r="584" spans="1:11" ht="43.5">
      <c r="A584" s="11">
        <v>54313</v>
      </c>
      <c r="B584" s="53" t="s">
        <v>747</v>
      </c>
      <c r="C584" s="13"/>
      <c r="D584" s="14" t="s">
        <v>18</v>
      </c>
      <c r="E584" s="14" t="s">
        <v>28</v>
      </c>
      <c r="F584" s="14" t="s">
        <v>27</v>
      </c>
      <c r="G584" s="50">
        <v>300</v>
      </c>
      <c r="H584" s="51"/>
      <c r="I584" s="17">
        <f t="shared" si="10"/>
        <v>300</v>
      </c>
      <c r="J584" s="56"/>
      <c r="K584" s="56"/>
    </row>
    <row r="585" spans="1:11" ht="44.25">
      <c r="A585" s="11">
        <v>54399</v>
      </c>
      <c r="B585" s="53" t="s">
        <v>748</v>
      </c>
      <c r="C585" s="13"/>
      <c r="D585" s="14" t="s">
        <v>18</v>
      </c>
      <c r="E585" s="14" t="s">
        <v>28</v>
      </c>
      <c r="F585" s="14" t="s">
        <v>27</v>
      </c>
      <c r="G585" s="50">
        <v>200</v>
      </c>
      <c r="H585" s="51"/>
      <c r="I585" s="17">
        <f t="shared" si="10"/>
        <v>200</v>
      </c>
      <c r="J585" s="56"/>
      <c r="K585" s="56"/>
    </row>
    <row r="586" spans="1:11" ht="29.25">
      <c r="A586" s="11">
        <v>55603</v>
      </c>
      <c r="B586" s="53" t="s">
        <v>749</v>
      </c>
      <c r="C586" s="13"/>
      <c r="D586" s="14" t="s">
        <v>18</v>
      </c>
      <c r="E586" s="14" t="s">
        <v>28</v>
      </c>
      <c r="F586" s="14" t="s">
        <v>27</v>
      </c>
      <c r="G586" s="50">
        <v>10</v>
      </c>
      <c r="H586" s="51"/>
      <c r="I586" s="17">
        <f t="shared" si="10"/>
        <v>10</v>
      </c>
      <c r="J586" s="56"/>
      <c r="K586" s="56"/>
    </row>
    <row r="587" spans="1:11">
      <c r="A587" s="11"/>
      <c r="B587" s="54"/>
      <c r="C587" s="13"/>
      <c r="D587" s="14"/>
      <c r="E587" s="14"/>
      <c r="F587" s="14"/>
      <c r="G587" s="50"/>
      <c r="H587" s="51"/>
      <c r="I587" s="17"/>
      <c r="J587" s="56"/>
      <c r="K587" s="56"/>
    </row>
    <row r="588" spans="1:11" ht="60">
      <c r="A588" s="11" t="s">
        <v>443</v>
      </c>
      <c r="B588" s="53" t="s">
        <v>750</v>
      </c>
      <c r="C588" s="13"/>
      <c r="D588" s="14"/>
      <c r="E588" s="14"/>
      <c r="F588" s="14"/>
      <c r="G588" s="50"/>
      <c r="H588" s="51"/>
      <c r="I588" s="17"/>
      <c r="J588" s="56"/>
      <c r="K588" s="56"/>
    </row>
    <row r="589" spans="1:11" ht="29.25">
      <c r="A589" s="11">
        <v>51202</v>
      </c>
      <c r="B589" s="53" t="s">
        <v>741</v>
      </c>
      <c r="C589" s="13"/>
      <c r="D589" s="14" t="s">
        <v>18</v>
      </c>
      <c r="E589" s="14" t="s">
        <v>28</v>
      </c>
      <c r="F589" s="14" t="s">
        <v>27</v>
      </c>
      <c r="G589" s="50">
        <v>3000</v>
      </c>
      <c r="H589" s="51"/>
      <c r="I589" s="17">
        <f t="shared" ref="I589:I655" si="11">G589-H589+J589-K589</f>
        <v>3000</v>
      </c>
      <c r="J589" s="56"/>
      <c r="K589" s="56"/>
    </row>
    <row r="590" spans="1:11" ht="29.25">
      <c r="A590" s="11">
        <v>54110</v>
      </c>
      <c r="B590" s="53" t="s">
        <v>751</v>
      </c>
      <c r="C590" s="13"/>
      <c r="D590" s="14" t="s">
        <v>18</v>
      </c>
      <c r="E590" s="14" t="s">
        <v>28</v>
      </c>
      <c r="F590" s="14" t="s">
        <v>27</v>
      </c>
      <c r="G590" s="50">
        <v>100</v>
      </c>
      <c r="H590" s="51"/>
      <c r="I590" s="17">
        <f t="shared" si="11"/>
        <v>100</v>
      </c>
      <c r="J590" s="56"/>
      <c r="K590" s="56"/>
    </row>
    <row r="591" spans="1:11" ht="43.5">
      <c r="A591" s="11">
        <v>54111</v>
      </c>
      <c r="B591" s="53" t="s">
        <v>752</v>
      </c>
      <c r="C591" s="13"/>
      <c r="D591" s="14" t="s">
        <v>18</v>
      </c>
      <c r="E591" s="14" t="s">
        <v>28</v>
      </c>
      <c r="F591" s="14" t="s">
        <v>27</v>
      </c>
      <c r="G591" s="50">
        <v>2000</v>
      </c>
      <c r="H591" s="51"/>
      <c r="I591" s="17">
        <f t="shared" si="11"/>
        <v>2000</v>
      </c>
      <c r="J591" s="56"/>
      <c r="K591" s="56"/>
    </row>
    <row r="592" spans="1:11" ht="29.25">
      <c r="A592" s="11">
        <v>54118</v>
      </c>
      <c r="B592" s="53" t="s">
        <v>753</v>
      </c>
      <c r="C592" s="13"/>
      <c r="D592" s="14" t="s">
        <v>18</v>
      </c>
      <c r="E592" s="14" t="s">
        <v>28</v>
      </c>
      <c r="F592" s="14" t="s">
        <v>27</v>
      </c>
      <c r="G592" s="50">
        <v>290</v>
      </c>
      <c r="H592" s="51"/>
      <c r="I592" s="17">
        <f t="shared" si="11"/>
        <v>290</v>
      </c>
      <c r="J592" s="56"/>
      <c r="K592" s="56"/>
    </row>
    <row r="593" spans="1:11" ht="29.25">
      <c r="A593" s="11">
        <v>54304</v>
      </c>
      <c r="B593" s="53" t="s">
        <v>754</v>
      </c>
      <c r="C593" s="13"/>
      <c r="D593" s="14" t="s">
        <v>18</v>
      </c>
      <c r="E593" s="14" t="s">
        <v>28</v>
      </c>
      <c r="F593" s="14" t="s">
        <v>27</v>
      </c>
      <c r="G593" s="50">
        <v>100</v>
      </c>
      <c r="H593" s="51"/>
      <c r="I593" s="17">
        <f t="shared" si="11"/>
        <v>100</v>
      </c>
      <c r="J593" s="56"/>
      <c r="K593" s="56"/>
    </row>
    <row r="594" spans="1:11" ht="29.25">
      <c r="A594" s="11">
        <v>54313</v>
      </c>
      <c r="B594" s="53" t="s">
        <v>755</v>
      </c>
      <c r="C594" s="13"/>
      <c r="D594" s="14" t="s">
        <v>18</v>
      </c>
      <c r="E594" s="14" t="s">
        <v>28</v>
      </c>
      <c r="F594" s="14" t="s">
        <v>27</v>
      </c>
      <c r="G594" s="50">
        <v>300</v>
      </c>
      <c r="H594" s="17"/>
      <c r="I594" s="17">
        <f t="shared" si="11"/>
        <v>300</v>
      </c>
      <c r="J594" s="56"/>
      <c r="K594" s="56"/>
    </row>
    <row r="595" spans="1:11" ht="43.5">
      <c r="A595" s="11">
        <v>54399</v>
      </c>
      <c r="B595" s="53" t="s">
        <v>756</v>
      </c>
      <c r="C595" s="13"/>
      <c r="D595" s="14" t="s">
        <v>18</v>
      </c>
      <c r="E595" s="14" t="s">
        <v>28</v>
      </c>
      <c r="F595" s="14" t="s">
        <v>27</v>
      </c>
      <c r="G595" s="50">
        <v>200</v>
      </c>
      <c r="H595" s="51"/>
      <c r="I595" s="17">
        <f t="shared" si="11"/>
        <v>200</v>
      </c>
      <c r="J595" s="56"/>
      <c r="K595" s="56"/>
    </row>
    <row r="596" spans="1:11" ht="29.25">
      <c r="A596" s="11">
        <v>55603</v>
      </c>
      <c r="B596" s="53" t="s">
        <v>757</v>
      </c>
      <c r="C596" s="13"/>
      <c r="D596" s="14" t="s">
        <v>18</v>
      </c>
      <c r="E596" s="14" t="s">
        <v>28</v>
      </c>
      <c r="F596" s="14" t="s">
        <v>27</v>
      </c>
      <c r="G596" s="50">
        <v>10</v>
      </c>
      <c r="H596" s="51"/>
      <c r="I596" s="17">
        <f t="shared" si="11"/>
        <v>10</v>
      </c>
      <c r="J596" s="56"/>
      <c r="K596" s="56"/>
    </row>
    <row r="597" spans="1:11" ht="60">
      <c r="A597" s="11" t="s">
        <v>451</v>
      </c>
      <c r="B597" s="53" t="s">
        <v>758</v>
      </c>
      <c r="C597" s="13"/>
      <c r="D597" s="14"/>
      <c r="E597" s="14"/>
      <c r="F597" s="14"/>
      <c r="G597" s="50"/>
      <c r="H597" s="51"/>
      <c r="I597" s="17"/>
      <c r="J597" s="56"/>
      <c r="K597" s="56"/>
    </row>
    <row r="598" spans="1:11" ht="29.25">
      <c r="A598" s="11">
        <v>51202</v>
      </c>
      <c r="B598" s="54" t="s">
        <v>759</v>
      </c>
      <c r="C598" s="13"/>
      <c r="D598" s="14" t="s">
        <v>18</v>
      </c>
      <c r="E598" s="14" t="s">
        <v>28</v>
      </c>
      <c r="F598" s="14" t="s">
        <v>27</v>
      </c>
      <c r="G598" s="50">
        <v>5000</v>
      </c>
      <c r="H598" s="51"/>
      <c r="I598" s="17">
        <f t="shared" si="11"/>
        <v>5000</v>
      </c>
      <c r="J598" s="56"/>
      <c r="K598" s="56"/>
    </row>
    <row r="599" spans="1:11" ht="29.25">
      <c r="A599" s="11">
        <v>54110</v>
      </c>
      <c r="B599" s="54" t="s">
        <v>760</v>
      </c>
      <c r="C599" s="13"/>
      <c r="D599" s="14" t="s">
        <v>18</v>
      </c>
      <c r="E599" s="14" t="s">
        <v>28</v>
      </c>
      <c r="F599" s="14" t="s">
        <v>27</v>
      </c>
      <c r="G599" s="50">
        <v>200</v>
      </c>
      <c r="H599" s="51"/>
      <c r="I599" s="17">
        <f t="shared" si="11"/>
        <v>200</v>
      </c>
      <c r="J599" s="56"/>
      <c r="K599" s="56"/>
    </row>
    <row r="600" spans="1:11" ht="41.25" customHeight="1">
      <c r="A600" s="11">
        <v>54111</v>
      </c>
      <c r="B600" s="54" t="s">
        <v>761</v>
      </c>
      <c r="C600" s="13"/>
      <c r="D600" s="14" t="s">
        <v>18</v>
      </c>
      <c r="E600" s="14" t="s">
        <v>28</v>
      </c>
      <c r="F600" s="14" t="s">
        <v>27</v>
      </c>
      <c r="G600" s="50">
        <v>7290</v>
      </c>
      <c r="H600" s="51"/>
      <c r="I600" s="17">
        <f t="shared" si="11"/>
        <v>7290</v>
      </c>
      <c r="J600" s="56"/>
      <c r="K600" s="56"/>
    </row>
    <row r="601" spans="1:11" ht="29.25">
      <c r="A601" s="11">
        <v>54118</v>
      </c>
      <c r="B601" s="54" t="s">
        <v>762</v>
      </c>
      <c r="C601" s="13"/>
      <c r="D601" s="14" t="s">
        <v>18</v>
      </c>
      <c r="E601" s="14" t="s">
        <v>28</v>
      </c>
      <c r="F601" s="14" t="s">
        <v>27</v>
      </c>
      <c r="G601" s="50">
        <v>2000</v>
      </c>
      <c r="H601" s="51"/>
      <c r="I601" s="17">
        <f t="shared" si="11"/>
        <v>2000</v>
      </c>
      <c r="J601" s="56"/>
      <c r="K601" s="56"/>
    </row>
    <row r="602" spans="1:11" ht="29.25">
      <c r="A602" s="11">
        <v>54313</v>
      </c>
      <c r="B602" s="54" t="s">
        <v>763</v>
      </c>
      <c r="C602" s="13"/>
      <c r="D602" s="14" t="s">
        <v>18</v>
      </c>
      <c r="E602" s="14" t="s">
        <v>28</v>
      </c>
      <c r="F602" s="14" t="s">
        <v>27</v>
      </c>
      <c r="G602" s="50">
        <v>300</v>
      </c>
      <c r="H602" s="51"/>
      <c r="I602" s="17">
        <f t="shared" si="11"/>
        <v>300</v>
      </c>
      <c r="J602" s="56"/>
      <c r="K602" s="56"/>
    </row>
    <row r="603" spans="1:11" ht="44.25">
      <c r="A603" s="11">
        <v>54399</v>
      </c>
      <c r="B603" s="54" t="s">
        <v>764</v>
      </c>
      <c r="C603" s="13"/>
      <c r="D603" s="14" t="s">
        <v>18</v>
      </c>
      <c r="E603" s="14" t="s">
        <v>28</v>
      </c>
      <c r="F603" s="14" t="s">
        <v>27</v>
      </c>
      <c r="G603" s="50">
        <v>200</v>
      </c>
      <c r="H603" s="51"/>
      <c r="I603" s="17">
        <f t="shared" si="11"/>
        <v>200</v>
      </c>
      <c r="J603" s="56"/>
      <c r="K603" s="56"/>
    </row>
    <row r="604" spans="1:11" ht="29.25">
      <c r="A604" s="11">
        <v>55603</v>
      </c>
      <c r="B604" s="54" t="s">
        <v>765</v>
      </c>
      <c r="C604" s="13"/>
      <c r="D604" s="14" t="s">
        <v>18</v>
      </c>
      <c r="E604" s="14" t="s">
        <v>28</v>
      </c>
      <c r="F604" s="14" t="s">
        <v>27</v>
      </c>
      <c r="G604" s="50">
        <v>10</v>
      </c>
      <c r="H604" s="51"/>
      <c r="I604" s="17">
        <f t="shared" si="11"/>
        <v>10</v>
      </c>
      <c r="J604" s="56"/>
      <c r="K604" s="56"/>
    </row>
    <row r="605" spans="1:11" ht="66.75" customHeight="1">
      <c r="A605" s="11" t="s">
        <v>459</v>
      </c>
      <c r="B605" s="53" t="s">
        <v>766</v>
      </c>
      <c r="C605" s="13"/>
      <c r="D605" s="14"/>
      <c r="E605" s="14"/>
      <c r="F605" s="14"/>
      <c r="G605" s="50"/>
      <c r="H605" s="51"/>
      <c r="I605" s="17"/>
      <c r="J605" s="56"/>
      <c r="K605" s="56"/>
    </row>
    <row r="606" spans="1:11" ht="29.25">
      <c r="A606" s="11">
        <v>51202</v>
      </c>
      <c r="B606" s="54" t="s">
        <v>767</v>
      </c>
      <c r="C606" s="13"/>
      <c r="D606" s="14" t="s">
        <v>18</v>
      </c>
      <c r="E606" s="14" t="s">
        <v>28</v>
      </c>
      <c r="F606" s="14" t="s">
        <v>27</v>
      </c>
      <c r="G606" s="50">
        <v>5000</v>
      </c>
      <c r="H606" s="51"/>
      <c r="I606" s="17">
        <f t="shared" si="11"/>
        <v>5000</v>
      </c>
      <c r="J606" s="56"/>
      <c r="K606" s="56"/>
    </row>
    <row r="607" spans="1:11" ht="29.25">
      <c r="A607" s="11">
        <v>54110</v>
      </c>
      <c r="B607" s="54" t="s">
        <v>768</v>
      </c>
      <c r="C607" s="13"/>
      <c r="D607" s="14" t="s">
        <v>18</v>
      </c>
      <c r="E607" s="14" t="s">
        <v>28</v>
      </c>
      <c r="F607" s="14" t="s">
        <v>27</v>
      </c>
      <c r="G607" s="50">
        <v>200</v>
      </c>
      <c r="H607" s="51"/>
      <c r="I607" s="17">
        <f t="shared" si="11"/>
        <v>200</v>
      </c>
      <c r="J607" s="56"/>
      <c r="K607" s="56"/>
    </row>
    <row r="608" spans="1:11" ht="43.5">
      <c r="A608" s="11">
        <v>54111</v>
      </c>
      <c r="B608" s="54" t="s">
        <v>769</v>
      </c>
      <c r="C608" s="13"/>
      <c r="D608" s="14" t="s">
        <v>18</v>
      </c>
      <c r="E608" s="14" t="s">
        <v>28</v>
      </c>
      <c r="F608" s="14" t="s">
        <v>27</v>
      </c>
      <c r="G608" s="50">
        <v>7290</v>
      </c>
      <c r="H608" s="51"/>
      <c r="I608" s="17">
        <f t="shared" si="11"/>
        <v>7290</v>
      </c>
      <c r="J608" s="56"/>
      <c r="K608" s="56"/>
    </row>
    <row r="609" spans="1:11" ht="43.5">
      <c r="A609" s="11">
        <v>54118</v>
      </c>
      <c r="B609" s="54" t="s">
        <v>770</v>
      </c>
      <c r="C609" s="13"/>
      <c r="D609" s="14" t="s">
        <v>18</v>
      </c>
      <c r="E609" s="14" t="s">
        <v>28</v>
      </c>
      <c r="F609" s="14" t="s">
        <v>27</v>
      </c>
      <c r="G609" s="50">
        <v>2000</v>
      </c>
      <c r="H609" s="51"/>
      <c r="I609" s="17">
        <f t="shared" si="11"/>
        <v>2000</v>
      </c>
      <c r="J609" s="56"/>
      <c r="K609" s="56"/>
    </row>
    <row r="610" spans="1:11" ht="44.25">
      <c r="A610" s="11">
        <v>54313</v>
      </c>
      <c r="B610" s="54" t="s">
        <v>771</v>
      </c>
      <c r="C610" s="13"/>
      <c r="D610" s="14" t="s">
        <v>18</v>
      </c>
      <c r="E610" s="14" t="s">
        <v>28</v>
      </c>
      <c r="F610" s="14" t="s">
        <v>27</v>
      </c>
      <c r="G610" s="50">
        <v>300</v>
      </c>
      <c r="H610" s="51"/>
      <c r="I610" s="17">
        <f t="shared" si="11"/>
        <v>300</v>
      </c>
      <c r="J610" s="56"/>
      <c r="K610" s="56"/>
    </row>
    <row r="611" spans="1:11" ht="43.5">
      <c r="A611" s="11">
        <v>54399</v>
      </c>
      <c r="B611" s="54" t="s">
        <v>772</v>
      </c>
      <c r="C611" s="13"/>
      <c r="D611" s="14" t="s">
        <v>18</v>
      </c>
      <c r="E611" s="14" t="s">
        <v>28</v>
      </c>
      <c r="F611" s="14" t="s">
        <v>27</v>
      </c>
      <c r="G611" s="50">
        <v>200</v>
      </c>
      <c r="H611" s="51"/>
      <c r="I611" s="17">
        <f t="shared" si="11"/>
        <v>200</v>
      </c>
      <c r="J611" s="56"/>
      <c r="K611" s="56"/>
    </row>
    <row r="612" spans="1:11" ht="43.5">
      <c r="A612" s="11">
        <v>55603</v>
      </c>
      <c r="B612" s="54" t="s">
        <v>773</v>
      </c>
      <c r="C612" s="13"/>
      <c r="D612" s="14" t="s">
        <v>18</v>
      </c>
      <c r="E612" s="14" t="s">
        <v>28</v>
      </c>
      <c r="F612" s="14" t="s">
        <v>27</v>
      </c>
      <c r="G612" s="50">
        <v>10</v>
      </c>
      <c r="H612" s="51"/>
      <c r="I612" s="17">
        <f t="shared" si="11"/>
        <v>10</v>
      </c>
      <c r="J612" s="56"/>
      <c r="K612" s="56"/>
    </row>
    <row r="613" spans="1:11" ht="74.25">
      <c r="A613" s="11" t="s">
        <v>461</v>
      </c>
      <c r="B613" s="53" t="s">
        <v>774</v>
      </c>
      <c r="C613" s="13"/>
      <c r="D613" s="14"/>
      <c r="E613" s="14"/>
      <c r="F613" s="14"/>
      <c r="G613" s="50"/>
      <c r="H613" s="51"/>
      <c r="I613" s="17"/>
      <c r="J613" s="56"/>
      <c r="K613" s="56"/>
    </row>
    <row r="614" spans="1:11" ht="29.25">
      <c r="A614" s="11">
        <v>51202</v>
      </c>
      <c r="B614" s="54" t="s">
        <v>775</v>
      </c>
      <c r="C614" s="13"/>
      <c r="D614" s="14" t="s">
        <v>18</v>
      </c>
      <c r="E614" s="14" t="s">
        <v>28</v>
      </c>
      <c r="F614" s="14" t="s">
        <v>27</v>
      </c>
      <c r="G614" s="50">
        <v>7000</v>
      </c>
      <c r="H614" s="51"/>
      <c r="I614" s="17">
        <f t="shared" si="11"/>
        <v>7000</v>
      </c>
      <c r="J614" s="56"/>
      <c r="K614" s="56"/>
    </row>
    <row r="615" spans="1:11" ht="29.25">
      <c r="A615" s="11">
        <v>54110</v>
      </c>
      <c r="B615" s="54" t="s">
        <v>776</v>
      </c>
      <c r="C615" s="13"/>
      <c r="D615" s="14" t="s">
        <v>18</v>
      </c>
      <c r="E615" s="14" t="s">
        <v>28</v>
      </c>
      <c r="F615" s="14" t="s">
        <v>27</v>
      </c>
      <c r="G615" s="50">
        <v>200</v>
      </c>
      <c r="H615" s="51"/>
      <c r="I615" s="17">
        <f t="shared" si="11"/>
        <v>200</v>
      </c>
      <c r="J615" s="56"/>
      <c r="K615" s="56"/>
    </row>
    <row r="616" spans="1:11" ht="44.25">
      <c r="A616" s="11">
        <v>54111</v>
      </c>
      <c r="B616" s="54" t="s">
        <v>777</v>
      </c>
      <c r="C616" s="13"/>
      <c r="D616" s="14" t="s">
        <v>18</v>
      </c>
      <c r="E616" s="14" t="s">
        <v>28</v>
      </c>
      <c r="F616" s="14" t="s">
        <v>27</v>
      </c>
      <c r="G616" s="50">
        <v>9290</v>
      </c>
      <c r="H616" s="51"/>
      <c r="I616" s="17">
        <f t="shared" si="11"/>
        <v>9290</v>
      </c>
      <c r="J616" s="56"/>
      <c r="K616" s="56"/>
    </row>
    <row r="617" spans="1:11" ht="43.5">
      <c r="A617" s="11">
        <v>54118</v>
      </c>
      <c r="B617" s="54" t="s">
        <v>778</v>
      </c>
      <c r="C617" s="13"/>
      <c r="D617" s="14" t="s">
        <v>18</v>
      </c>
      <c r="E617" s="14" t="s">
        <v>28</v>
      </c>
      <c r="F617" s="14" t="s">
        <v>27</v>
      </c>
      <c r="G617" s="50">
        <v>3000</v>
      </c>
      <c r="H617" s="51"/>
      <c r="I617" s="17">
        <f t="shared" si="11"/>
        <v>3000</v>
      </c>
      <c r="J617" s="56"/>
      <c r="K617" s="56"/>
    </row>
    <row r="618" spans="1:11" ht="43.5">
      <c r="A618" s="11">
        <v>54313</v>
      </c>
      <c r="B618" s="54" t="s">
        <v>779</v>
      </c>
      <c r="C618" s="13"/>
      <c r="D618" s="14" t="s">
        <v>18</v>
      </c>
      <c r="E618" s="14" t="s">
        <v>28</v>
      </c>
      <c r="F618" s="14" t="s">
        <v>27</v>
      </c>
      <c r="G618" s="50">
        <v>300</v>
      </c>
      <c r="H618" s="51"/>
      <c r="I618" s="17">
        <f t="shared" si="11"/>
        <v>300</v>
      </c>
      <c r="J618" s="56"/>
      <c r="K618" s="56"/>
    </row>
    <row r="619" spans="1:11" ht="43.5">
      <c r="A619" s="11">
        <v>54399</v>
      </c>
      <c r="B619" s="54" t="s">
        <v>780</v>
      </c>
      <c r="C619" s="13"/>
      <c r="D619" s="14" t="s">
        <v>18</v>
      </c>
      <c r="E619" s="14" t="s">
        <v>28</v>
      </c>
      <c r="F619" s="14" t="s">
        <v>27</v>
      </c>
      <c r="G619" s="50">
        <v>200</v>
      </c>
      <c r="H619" s="51"/>
      <c r="I619" s="17">
        <f t="shared" si="11"/>
        <v>200</v>
      </c>
      <c r="J619" s="56"/>
      <c r="K619" s="56"/>
    </row>
    <row r="620" spans="1:11" ht="43.5">
      <c r="A620" s="11">
        <v>55603</v>
      </c>
      <c r="B620" s="54" t="s">
        <v>781</v>
      </c>
      <c r="C620" s="13"/>
      <c r="D620" s="14" t="s">
        <v>18</v>
      </c>
      <c r="E620" s="14" t="s">
        <v>28</v>
      </c>
      <c r="F620" s="14" t="s">
        <v>27</v>
      </c>
      <c r="G620" s="50">
        <v>10</v>
      </c>
      <c r="H620" s="51"/>
      <c r="I620" s="17">
        <f t="shared" si="11"/>
        <v>10</v>
      </c>
      <c r="J620" s="56"/>
      <c r="K620" s="56"/>
    </row>
    <row r="621" spans="1:11" ht="89.25">
      <c r="A621" s="11" t="s">
        <v>468</v>
      </c>
      <c r="B621" s="53" t="s">
        <v>782</v>
      </c>
      <c r="C621" s="13"/>
      <c r="D621" s="14"/>
      <c r="E621" s="14"/>
      <c r="F621" s="14"/>
      <c r="G621" s="50"/>
      <c r="H621" s="51"/>
      <c r="I621" s="17"/>
      <c r="J621" s="56"/>
      <c r="K621" s="56"/>
    </row>
    <row r="622" spans="1:11" ht="29.25">
      <c r="A622" s="11">
        <v>51202</v>
      </c>
      <c r="B622" s="54" t="s">
        <v>783</v>
      </c>
      <c r="C622" s="13"/>
      <c r="D622" s="14" t="s">
        <v>18</v>
      </c>
      <c r="E622" s="14" t="s">
        <v>28</v>
      </c>
      <c r="F622" s="14" t="s">
        <v>27</v>
      </c>
      <c r="G622" s="50">
        <v>7000</v>
      </c>
      <c r="H622" s="51"/>
      <c r="I622" s="17">
        <f t="shared" si="11"/>
        <v>7000</v>
      </c>
      <c r="J622" s="56"/>
      <c r="K622" s="56"/>
    </row>
    <row r="623" spans="1:11" ht="43.5">
      <c r="A623" s="11">
        <v>54110</v>
      </c>
      <c r="B623" s="54" t="s">
        <v>784</v>
      </c>
      <c r="C623" s="13"/>
      <c r="D623" s="14" t="s">
        <v>18</v>
      </c>
      <c r="E623" s="14" t="s">
        <v>28</v>
      </c>
      <c r="F623" s="14" t="s">
        <v>27</v>
      </c>
      <c r="G623" s="50">
        <v>200</v>
      </c>
      <c r="H623" s="51"/>
      <c r="I623" s="17">
        <f t="shared" si="11"/>
        <v>200</v>
      </c>
      <c r="J623" s="56"/>
      <c r="K623" s="56"/>
    </row>
    <row r="624" spans="1:11" ht="44.25">
      <c r="A624" s="11">
        <v>54111</v>
      </c>
      <c r="B624" s="53" t="s">
        <v>785</v>
      </c>
      <c r="C624" s="13"/>
      <c r="D624" s="14" t="s">
        <v>18</v>
      </c>
      <c r="E624" s="14" t="s">
        <v>28</v>
      </c>
      <c r="F624" s="14" t="s">
        <v>27</v>
      </c>
      <c r="G624" s="50">
        <v>9290</v>
      </c>
      <c r="H624" s="51"/>
      <c r="I624" s="17">
        <f t="shared" si="11"/>
        <v>9290</v>
      </c>
      <c r="J624" s="56"/>
      <c r="K624" s="56"/>
    </row>
    <row r="625" spans="1:11" ht="43.5">
      <c r="A625" s="11">
        <v>54118</v>
      </c>
      <c r="B625" s="54" t="s">
        <v>786</v>
      </c>
      <c r="C625" s="13"/>
      <c r="D625" s="14" t="s">
        <v>18</v>
      </c>
      <c r="E625" s="14" t="s">
        <v>28</v>
      </c>
      <c r="F625" s="14" t="s">
        <v>27</v>
      </c>
      <c r="G625" s="50">
        <v>3000</v>
      </c>
      <c r="H625" s="51"/>
      <c r="I625" s="17">
        <f t="shared" si="11"/>
        <v>3000</v>
      </c>
      <c r="J625" s="56"/>
      <c r="K625" s="56"/>
    </row>
    <row r="626" spans="1:11" ht="44.25">
      <c r="A626" s="11">
        <v>54313</v>
      </c>
      <c r="B626" s="54" t="s">
        <v>787</v>
      </c>
      <c r="C626" s="13"/>
      <c r="D626" s="14" t="s">
        <v>18</v>
      </c>
      <c r="E626" s="14" t="s">
        <v>28</v>
      </c>
      <c r="F626" s="14" t="s">
        <v>27</v>
      </c>
      <c r="G626" s="50">
        <v>300</v>
      </c>
      <c r="H626" s="51"/>
      <c r="I626" s="17">
        <f t="shared" si="11"/>
        <v>300</v>
      </c>
      <c r="J626" s="56"/>
      <c r="K626" s="56"/>
    </row>
    <row r="627" spans="1:11" ht="44.25">
      <c r="A627" s="11">
        <v>54399</v>
      </c>
      <c r="B627" s="54" t="s">
        <v>788</v>
      </c>
      <c r="C627" s="13"/>
      <c r="D627" s="14" t="s">
        <v>18</v>
      </c>
      <c r="E627" s="14" t="s">
        <v>28</v>
      </c>
      <c r="F627" s="14" t="s">
        <v>27</v>
      </c>
      <c r="G627" s="50">
        <v>200</v>
      </c>
      <c r="H627" s="51"/>
      <c r="I627" s="17">
        <f t="shared" si="11"/>
        <v>200</v>
      </c>
      <c r="J627" s="56"/>
      <c r="K627" s="56"/>
    </row>
    <row r="628" spans="1:11" ht="40.5" customHeight="1">
      <c r="A628" s="11">
        <v>55603</v>
      </c>
      <c r="B628" s="54" t="s">
        <v>789</v>
      </c>
      <c r="C628" s="13"/>
      <c r="D628" s="14" t="s">
        <v>18</v>
      </c>
      <c r="E628" s="14" t="s">
        <v>28</v>
      </c>
      <c r="F628" s="14" t="s">
        <v>27</v>
      </c>
      <c r="G628" s="50">
        <v>10</v>
      </c>
      <c r="H628" s="51"/>
      <c r="I628" s="17">
        <f t="shared" si="11"/>
        <v>10</v>
      </c>
      <c r="J628" s="56"/>
      <c r="K628" s="56"/>
    </row>
    <row r="629" spans="1:11" ht="60">
      <c r="A629" s="144" t="s">
        <v>477</v>
      </c>
      <c r="B629" s="53" t="s">
        <v>791</v>
      </c>
      <c r="C629" s="13"/>
      <c r="D629" s="14"/>
      <c r="E629" s="14"/>
      <c r="F629" s="14"/>
      <c r="G629" s="50"/>
      <c r="H629" s="51"/>
      <c r="I629" s="17"/>
      <c r="J629" s="56"/>
      <c r="K629" s="56"/>
    </row>
    <row r="630" spans="1:11" ht="30">
      <c r="A630" s="11">
        <v>51202</v>
      </c>
      <c r="B630" s="54" t="s">
        <v>792</v>
      </c>
      <c r="C630" s="13"/>
      <c r="D630" s="14" t="s">
        <v>18</v>
      </c>
      <c r="E630" s="14" t="s">
        <v>28</v>
      </c>
      <c r="F630" s="14" t="s">
        <v>27</v>
      </c>
      <c r="G630" s="50">
        <v>9000</v>
      </c>
      <c r="H630" s="51"/>
      <c r="I630" s="17">
        <f t="shared" si="11"/>
        <v>9000</v>
      </c>
      <c r="J630" s="56"/>
      <c r="K630" s="56"/>
    </row>
    <row r="631" spans="1:11" ht="30">
      <c r="A631" s="11">
        <v>54110</v>
      </c>
      <c r="B631" s="54" t="s">
        <v>793</v>
      </c>
      <c r="C631" s="13"/>
      <c r="D631" s="14" t="s">
        <v>18</v>
      </c>
      <c r="E631" s="14" t="s">
        <v>28</v>
      </c>
      <c r="F631" s="14" t="s">
        <v>27</v>
      </c>
      <c r="G631" s="50">
        <v>200</v>
      </c>
      <c r="H631" s="51"/>
      <c r="I631" s="17">
        <f t="shared" si="11"/>
        <v>200</v>
      </c>
      <c r="J631" s="56"/>
      <c r="K631" s="56"/>
    </row>
    <row r="632" spans="1:11" ht="30">
      <c r="A632" s="11">
        <v>54111</v>
      </c>
      <c r="B632" s="54" t="s">
        <v>794</v>
      </c>
      <c r="C632" s="13"/>
      <c r="D632" s="14" t="s">
        <v>18</v>
      </c>
      <c r="E632" s="14" t="s">
        <v>28</v>
      </c>
      <c r="F632" s="14" t="s">
        <v>27</v>
      </c>
      <c r="G632" s="50">
        <v>11290</v>
      </c>
      <c r="H632" s="51"/>
      <c r="I632" s="17">
        <f t="shared" si="11"/>
        <v>11290</v>
      </c>
      <c r="J632" s="56"/>
      <c r="K632" s="56"/>
    </row>
    <row r="633" spans="1:11" ht="30">
      <c r="A633" s="11">
        <v>54118</v>
      </c>
      <c r="B633" s="54" t="s">
        <v>795</v>
      </c>
      <c r="C633" s="13"/>
      <c r="D633" s="14" t="s">
        <v>18</v>
      </c>
      <c r="E633" s="14" t="s">
        <v>28</v>
      </c>
      <c r="F633" s="14" t="s">
        <v>27</v>
      </c>
      <c r="G633" s="50">
        <v>3000</v>
      </c>
      <c r="H633" s="51"/>
      <c r="I633" s="17">
        <f t="shared" si="11"/>
        <v>3000</v>
      </c>
      <c r="J633" s="56"/>
      <c r="K633" s="56"/>
    </row>
    <row r="634" spans="1:11" ht="45">
      <c r="A634" s="11">
        <v>54313</v>
      </c>
      <c r="B634" s="54" t="s">
        <v>796</v>
      </c>
      <c r="C634" s="13"/>
      <c r="D634" s="14" t="s">
        <v>18</v>
      </c>
      <c r="E634" s="14" t="s">
        <v>28</v>
      </c>
      <c r="F634" s="14" t="s">
        <v>27</v>
      </c>
      <c r="G634" s="50">
        <v>300</v>
      </c>
      <c r="H634" s="51"/>
      <c r="I634" s="17">
        <f t="shared" si="11"/>
        <v>300</v>
      </c>
      <c r="J634" s="56"/>
      <c r="K634" s="56"/>
    </row>
    <row r="635" spans="1:11" ht="30">
      <c r="A635" s="11">
        <v>54399</v>
      </c>
      <c r="B635" s="54" t="s">
        <v>797</v>
      </c>
      <c r="C635" s="13"/>
      <c r="D635" s="14" t="s">
        <v>18</v>
      </c>
      <c r="E635" s="14" t="s">
        <v>28</v>
      </c>
      <c r="F635" s="14" t="s">
        <v>27</v>
      </c>
      <c r="G635" s="50">
        <v>1200</v>
      </c>
      <c r="H635" s="51"/>
      <c r="I635" s="17">
        <f t="shared" si="11"/>
        <v>1200</v>
      </c>
      <c r="J635" s="56"/>
      <c r="K635" s="56"/>
    </row>
    <row r="636" spans="1:11" ht="30">
      <c r="A636" s="11">
        <v>55603</v>
      </c>
      <c r="B636" s="54" t="s">
        <v>798</v>
      </c>
      <c r="C636" s="13"/>
      <c r="D636" s="14" t="s">
        <v>18</v>
      </c>
      <c r="E636" s="14" t="s">
        <v>28</v>
      </c>
      <c r="F636" s="14" t="s">
        <v>27</v>
      </c>
      <c r="G636" s="50">
        <v>10</v>
      </c>
      <c r="H636" s="51"/>
      <c r="I636" s="17">
        <f t="shared" si="11"/>
        <v>10</v>
      </c>
      <c r="J636" s="56"/>
      <c r="K636" s="56"/>
    </row>
    <row r="637" spans="1:11" ht="60">
      <c r="A637" s="11" t="s">
        <v>486</v>
      </c>
      <c r="B637" s="53" t="s">
        <v>790</v>
      </c>
      <c r="C637" s="13"/>
      <c r="D637" s="14"/>
      <c r="E637" s="14"/>
      <c r="F637" s="14"/>
      <c r="G637" s="50"/>
      <c r="H637" s="51"/>
      <c r="I637" s="17"/>
      <c r="J637" s="56"/>
      <c r="K637" s="56"/>
    </row>
    <row r="638" spans="1:11" ht="29.25">
      <c r="A638" s="11">
        <v>51202</v>
      </c>
      <c r="B638" s="54" t="s">
        <v>799</v>
      </c>
      <c r="C638" s="13"/>
      <c r="D638" s="14" t="s">
        <v>18</v>
      </c>
      <c r="E638" s="14" t="s">
        <v>28</v>
      </c>
      <c r="F638" s="14" t="s">
        <v>27</v>
      </c>
      <c r="G638" s="50">
        <v>9000</v>
      </c>
      <c r="H638" s="51"/>
      <c r="I638" s="17">
        <f t="shared" si="11"/>
        <v>9000</v>
      </c>
      <c r="J638" s="56"/>
      <c r="K638" s="56"/>
    </row>
    <row r="639" spans="1:11" ht="29.25">
      <c r="A639" s="11">
        <v>54110</v>
      </c>
      <c r="B639" s="54" t="s">
        <v>800</v>
      </c>
      <c r="C639" s="13"/>
      <c r="D639" s="14" t="s">
        <v>18</v>
      </c>
      <c r="E639" s="14" t="s">
        <v>28</v>
      </c>
      <c r="F639" s="14" t="s">
        <v>27</v>
      </c>
      <c r="G639" s="50">
        <v>200</v>
      </c>
      <c r="H639" s="51"/>
      <c r="I639" s="17">
        <f t="shared" si="11"/>
        <v>200</v>
      </c>
      <c r="J639" s="56"/>
      <c r="K639" s="56"/>
    </row>
    <row r="640" spans="1:11" ht="44.25">
      <c r="A640" s="11">
        <v>54111</v>
      </c>
      <c r="B640" s="54" t="s">
        <v>801</v>
      </c>
      <c r="C640" s="13"/>
      <c r="D640" s="14" t="s">
        <v>18</v>
      </c>
      <c r="E640" s="14" t="s">
        <v>28</v>
      </c>
      <c r="F640" s="14" t="s">
        <v>27</v>
      </c>
      <c r="G640" s="50">
        <v>12290</v>
      </c>
      <c r="H640" s="51"/>
      <c r="I640" s="17">
        <f t="shared" si="11"/>
        <v>12290</v>
      </c>
      <c r="J640" s="56"/>
      <c r="K640" s="56"/>
    </row>
    <row r="641" spans="1:11" ht="29.25">
      <c r="A641" s="11">
        <v>54118</v>
      </c>
      <c r="B641" s="54" t="s">
        <v>802</v>
      </c>
      <c r="C641" s="13"/>
      <c r="D641" s="14" t="s">
        <v>18</v>
      </c>
      <c r="E641" s="14" t="s">
        <v>28</v>
      </c>
      <c r="F641" s="14" t="s">
        <v>27</v>
      </c>
      <c r="G641" s="50">
        <v>3000</v>
      </c>
      <c r="H641" s="51"/>
      <c r="I641" s="17">
        <f t="shared" si="11"/>
        <v>3000</v>
      </c>
      <c r="J641" s="56"/>
      <c r="K641" s="56"/>
    </row>
    <row r="642" spans="1:11" ht="43.5">
      <c r="A642" s="11">
        <v>54313</v>
      </c>
      <c r="B642" s="54" t="s">
        <v>803</v>
      </c>
      <c r="C642" s="13"/>
      <c r="D642" s="14" t="s">
        <v>18</v>
      </c>
      <c r="E642" s="14" t="s">
        <v>28</v>
      </c>
      <c r="F642" s="14" t="s">
        <v>27</v>
      </c>
      <c r="G642" s="50">
        <v>300</v>
      </c>
      <c r="H642" s="51"/>
      <c r="I642" s="17">
        <f t="shared" si="11"/>
        <v>300</v>
      </c>
      <c r="J642" s="56"/>
      <c r="K642" s="56"/>
    </row>
    <row r="643" spans="1:11" ht="43.5">
      <c r="A643" s="11">
        <v>54399</v>
      </c>
      <c r="B643" s="54" t="s">
        <v>804</v>
      </c>
      <c r="C643" s="13"/>
      <c r="D643" s="14" t="s">
        <v>18</v>
      </c>
      <c r="E643" s="14" t="s">
        <v>28</v>
      </c>
      <c r="F643" s="14" t="s">
        <v>27</v>
      </c>
      <c r="G643" s="50">
        <v>200</v>
      </c>
      <c r="H643" s="51"/>
      <c r="I643" s="17">
        <f t="shared" si="11"/>
        <v>200</v>
      </c>
      <c r="J643" s="56"/>
      <c r="K643" s="56"/>
    </row>
    <row r="644" spans="1:11" ht="29.25">
      <c r="A644" s="11">
        <v>55603</v>
      </c>
      <c r="B644" s="54" t="s">
        <v>805</v>
      </c>
      <c r="C644" s="13"/>
      <c r="D644" s="14" t="s">
        <v>18</v>
      </c>
      <c r="E644" s="14" t="s">
        <v>28</v>
      </c>
      <c r="F644" s="14" t="s">
        <v>27</v>
      </c>
      <c r="G644" s="50">
        <v>10</v>
      </c>
      <c r="H644" s="51"/>
      <c r="I644" s="17">
        <f t="shared" si="11"/>
        <v>10</v>
      </c>
      <c r="J644" s="56"/>
      <c r="K644" s="56"/>
    </row>
    <row r="645" spans="1:11" ht="75">
      <c r="A645" s="11" t="s">
        <v>504</v>
      </c>
      <c r="B645" s="53" t="s">
        <v>806</v>
      </c>
      <c r="C645" s="13"/>
      <c r="D645" s="14"/>
      <c r="E645" s="14"/>
      <c r="F645" s="14"/>
      <c r="G645" s="50"/>
      <c r="H645" s="51"/>
      <c r="I645" s="17"/>
      <c r="J645" s="56"/>
      <c r="K645" s="56"/>
    </row>
    <row r="646" spans="1:11" ht="29.25">
      <c r="A646" s="11">
        <v>51202</v>
      </c>
      <c r="B646" s="54" t="s">
        <v>807</v>
      </c>
      <c r="C646" s="13"/>
      <c r="D646" s="14" t="s">
        <v>18</v>
      </c>
      <c r="E646" s="14" t="s">
        <v>28</v>
      </c>
      <c r="F646" s="14" t="s">
        <v>27</v>
      </c>
      <c r="G646" s="50">
        <v>7000</v>
      </c>
      <c r="H646" s="51"/>
      <c r="I646" s="17">
        <f t="shared" si="11"/>
        <v>7000</v>
      </c>
      <c r="J646" s="56"/>
      <c r="K646" s="56"/>
    </row>
    <row r="647" spans="1:11" ht="29.25">
      <c r="A647" s="11">
        <v>54110</v>
      </c>
      <c r="B647" s="54" t="s">
        <v>808</v>
      </c>
      <c r="C647" s="13"/>
      <c r="D647" s="14" t="s">
        <v>18</v>
      </c>
      <c r="E647" s="14" t="s">
        <v>28</v>
      </c>
      <c r="F647" s="14" t="s">
        <v>27</v>
      </c>
      <c r="G647" s="50">
        <v>200</v>
      </c>
      <c r="H647" s="51"/>
      <c r="I647" s="17">
        <f t="shared" si="11"/>
        <v>200</v>
      </c>
      <c r="J647" s="56"/>
      <c r="K647" s="56"/>
    </row>
    <row r="648" spans="1:11" ht="29.25">
      <c r="A648" s="11">
        <v>54111</v>
      </c>
      <c r="B648" s="54" t="s">
        <v>809</v>
      </c>
      <c r="C648" s="13"/>
      <c r="D648" s="14" t="s">
        <v>18</v>
      </c>
      <c r="E648" s="14" t="s">
        <v>28</v>
      </c>
      <c r="F648" s="14" t="s">
        <v>27</v>
      </c>
      <c r="G648" s="50">
        <v>10290</v>
      </c>
      <c r="H648" s="51"/>
      <c r="I648" s="17">
        <f t="shared" si="11"/>
        <v>10290</v>
      </c>
      <c r="J648" s="56"/>
      <c r="K648" s="56"/>
    </row>
    <row r="649" spans="1:11" ht="29.25">
      <c r="A649" s="11">
        <v>54118</v>
      </c>
      <c r="B649" s="54" t="s">
        <v>810</v>
      </c>
      <c r="C649" s="13"/>
      <c r="D649" s="14" t="s">
        <v>18</v>
      </c>
      <c r="E649" s="14" t="s">
        <v>28</v>
      </c>
      <c r="F649" s="14" t="s">
        <v>27</v>
      </c>
      <c r="G649" s="50">
        <v>1500</v>
      </c>
      <c r="H649" s="51"/>
      <c r="I649" s="17">
        <f t="shared" si="11"/>
        <v>1500</v>
      </c>
      <c r="J649" s="56"/>
      <c r="K649" s="56"/>
    </row>
    <row r="650" spans="1:11" ht="44.25">
      <c r="A650" s="11">
        <v>54313</v>
      </c>
      <c r="B650" s="54" t="s">
        <v>811</v>
      </c>
      <c r="C650" s="13"/>
      <c r="D650" s="14" t="s">
        <v>18</v>
      </c>
      <c r="E650" s="14" t="s">
        <v>28</v>
      </c>
      <c r="F650" s="14" t="s">
        <v>27</v>
      </c>
      <c r="G650" s="50">
        <v>300</v>
      </c>
      <c r="H650" s="51"/>
      <c r="I650" s="17">
        <f t="shared" si="11"/>
        <v>300</v>
      </c>
      <c r="J650" s="56"/>
      <c r="K650" s="56"/>
    </row>
    <row r="651" spans="1:11" ht="29.25">
      <c r="A651" s="11">
        <v>54399</v>
      </c>
      <c r="B651" s="54" t="s">
        <v>812</v>
      </c>
      <c r="C651" s="13"/>
      <c r="D651" s="14" t="s">
        <v>18</v>
      </c>
      <c r="E651" s="14" t="s">
        <v>28</v>
      </c>
      <c r="F651" s="14" t="s">
        <v>27</v>
      </c>
      <c r="G651" s="50">
        <v>700</v>
      </c>
      <c r="H651" s="51"/>
      <c r="I651" s="17">
        <f t="shared" si="11"/>
        <v>700</v>
      </c>
      <c r="J651" s="56"/>
      <c r="K651" s="56"/>
    </row>
    <row r="652" spans="1:11" ht="29.25">
      <c r="A652" s="11">
        <v>55603</v>
      </c>
      <c r="B652" s="54" t="s">
        <v>813</v>
      </c>
      <c r="C652" s="13"/>
      <c r="D652" s="14" t="s">
        <v>18</v>
      </c>
      <c r="E652" s="14" t="s">
        <v>28</v>
      </c>
      <c r="F652" s="14" t="s">
        <v>27</v>
      </c>
      <c r="G652" s="50">
        <v>10</v>
      </c>
      <c r="H652" s="51"/>
      <c r="I652" s="17">
        <f t="shared" si="11"/>
        <v>10</v>
      </c>
      <c r="J652" s="56"/>
      <c r="K652" s="56"/>
    </row>
    <row r="653" spans="1:11" ht="88.5">
      <c r="A653" s="11" t="s">
        <v>505</v>
      </c>
      <c r="B653" s="53" t="s">
        <v>821</v>
      </c>
      <c r="C653" s="13"/>
      <c r="D653" s="14"/>
      <c r="E653" s="14"/>
      <c r="F653" s="14"/>
      <c r="G653" s="50"/>
      <c r="H653" s="51"/>
      <c r="I653" s="17"/>
      <c r="J653" s="56"/>
      <c r="K653" s="56"/>
    </row>
    <row r="654" spans="1:11" ht="29.25">
      <c r="A654" s="11">
        <v>51202</v>
      </c>
      <c r="B654" s="54" t="s">
        <v>814</v>
      </c>
      <c r="C654" s="13"/>
      <c r="D654" s="14" t="s">
        <v>18</v>
      </c>
      <c r="E654" s="14" t="s">
        <v>28</v>
      </c>
      <c r="F654" s="14" t="s">
        <v>27</v>
      </c>
      <c r="G654" s="50">
        <v>9000</v>
      </c>
      <c r="H654" s="51"/>
      <c r="I654" s="17">
        <f t="shared" si="11"/>
        <v>9000</v>
      </c>
      <c r="J654" s="56"/>
      <c r="K654" s="56"/>
    </row>
    <row r="655" spans="1:11" ht="29.25">
      <c r="A655" s="11">
        <v>54110</v>
      </c>
      <c r="B655" s="54" t="s">
        <v>815</v>
      </c>
      <c r="C655" s="13"/>
      <c r="D655" s="14" t="s">
        <v>18</v>
      </c>
      <c r="E655" s="14" t="s">
        <v>28</v>
      </c>
      <c r="F655" s="14" t="s">
        <v>27</v>
      </c>
      <c r="G655" s="50">
        <v>200</v>
      </c>
      <c r="H655" s="51"/>
      <c r="I655" s="17">
        <f t="shared" si="11"/>
        <v>200</v>
      </c>
      <c r="J655" s="56"/>
      <c r="K655" s="56"/>
    </row>
    <row r="656" spans="1:11" ht="44.25">
      <c r="A656" s="11">
        <v>54111</v>
      </c>
      <c r="B656" s="53" t="s">
        <v>816</v>
      </c>
      <c r="C656" s="13"/>
      <c r="D656" s="14" t="s">
        <v>18</v>
      </c>
      <c r="E656" s="14" t="s">
        <v>28</v>
      </c>
      <c r="F656" s="14" t="s">
        <v>27</v>
      </c>
      <c r="G656" s="50">
        <v>12290</v>
      </c>
      <c r="H656" s="51"/>
      <c r="I656" s="17">
        <f t="shared" ref="I656:I719" si="12">G656-H656+J656-K656</f>
        <v>12290</v>
      </c>
      <c r="J656" s="56"/>
      <c r="K656" s="56"/>
    </row>
    <row r="657" spans="1:11" ht="29.25">
      <c r="A657" s="11">
        <v>54118</v>
      </c>
      <c r="B657" s="54" t="s">
        <v>817</v>
      </c>
      <c r="C657" s="13"/>
      <c r="D657" s="14" t="s">
        <v>18</v>
      </c>
      <c r="E657" s="14" t="s">
        <v>28</v>
      </c>
      <c r="F657" s="14" t="s">
        <v>27</v>
      </c>
      <c r="G657" s="50">
        <v>3000</v>
      </c>
      <c r="H657" s="51"/>
      <c r="I657" s="17">
        <f t="shared" si="12"/>
        <v>3000</v>
      </c>
      <c r="J657" s="56"/>
      <c r="K657" s="56"/>
    </row>
    <row r="658" spans="1:11" ht="44.25">
      <c r="A658" s="11">
        <v>54313</v>
      </c>
      <c r="B658" s="54" t="s">
        <v>818</v>
      </c>
      <c r="C658" s="13"/>
      <c r="D658" s="14" t="s">
        <v>18</v>
      </c>
      <c r="E658" s="14" t="s">
        <v>28</v>
      </c>
      <c r="F658" s="14" t="s">
        <v>27</v>
      </c>
      <c r="G658" s="50">
        <v>300</v>
      </c>
      <c r="H658" s="51"/>
      <c r="I658" s="17">
        <f t="shared" si="12"/>
        <v>300</v>
      </c>
      <c r="J658" s="56"/>
      <c r="K658" s="56"/>
    </row>
    <row r="659" spans="1:11" ht="43.5">
      <c r="A659" s="11">
        <v>54399</v>
      </c>
      <c r="B659" s="54" t="s">
        <v>819</v>
      </c>
      <c r="C659" s="13"/>
      <c r="D659" s="14" t="s">
        <v>18</v>
      </c>
      <c r="E659" s="14" t="s">
        <v>28</v>
      </c>
      <c r="F659" s="14" t="s">
        <v>27</v>
      </c>
      <c r="G659" s="50">
        <v>200</v>
      </c>
      <c r="H659" s="51"/>
      <c r="I659" s="17">
        <f t="shared" si="12"/>
        <v>200</v>
      </c>
      <c r="J659" s="56"/>
      <c r="K659" s="56"/>
    </row>
    <row r="660" spans="1:11" ht="29.25">
      <c r="A660" s="11">
        <v>55603</v>
      </c>
      <c r="B660" s="54" t="s">
        <v>820</v>
      </c>
      <c r="C660" s="13"/>
      <c r="D660" s="14" t="s">
        <v>18</v>
      </c>
      <c r="E660" s="14" t="s">
        <v>28</v>
      </c>
      <c r="F660" s="14" t="s">
        <v>27</v>
      </c>
      <c r="G660" s="50">
        <v>10</v>
      </c>
      <c r="H660" s="51"/>
      <c r="I660" s="17">
        <f t="shared" si="12"/>
        <v>10</v>
      </c>
      <c r="J660" s="56"/>
      <c r="K660" s="56"/>
    </row>
    <row r="661" spans="1:11" ht="75">
      <c r="A661" s="11" t="s">
        <v>511</v>
      </c>
      <c r="B661" s="53" t="s">
        <v>824</v>
      </c>
      <c r="C661" s="13"/>
      <c r="D661" s="14"/>
      <c r="E661" s="14"/>
      <c r="F661" s="14"/>
      <c r="G661" s="50"/>
      <c r="H661" s="51"/>
      <c r="I661" s="17"/>
      <c r="J661" s="56"/>
      <c r="K661" s="56"/>
    </row>
    <row r="662" spans="1:11" ht="29.25">
      <c r="A662" s="11">
        <v>51202</v>
      </c>
      <c r="B662" s="54" t="s">
        <v>823</v>
      </c>
      <c r="C662" s="13"/>
      <c r="D662" s="14" t="s">
        <v>18</v>
      </c>
      <c r="E662" s="14" t="s">
        <v>28</v>
      </c>
      <c r="F662" s="14" t="s">
        <v>27</v>
      </c>
      <c r="G662" s="50">
        <v>3000</v>
      </c>
      <c r="H662" s="51"/>
      <c r="I662" s="17">
        <f t="shared" si="12"/>
        <v>3000</v>
      </c>
      <c r="J662" s="56"/>
      <c r="K662" s="56"/>
    </row>
    <row r="663" spans="1:11" ht="29.25">
      <c r="A663" s="11">
        <v>54110</v>
      </c>
      <c r="B663" s="54" t="s">
        <v>825</v>
      </c>
      <c r="C663" s="13"/>
      <c r="D663" s="14" t="s">
        <v>18</v>
      </c>
      <c r="E663" s="14" t="s">
        <v>28</v>
      </c>
      <c r="F663" s="14" t="s">
        <v>27</v>
      </c>
      <c r="G663" s="50">
        <v>200</v>
      </c>
      <c r="H663" s="51"/>
      <c r="I663" s="17">
        <f t="shared" si="12"/>
        <v>200</v>
      </c>
      <c r="J663" s="56"/>
      <c r="K663" s="56"/>
    </row>
    <row r="664" spans="1:11" ht="44.25">
      <c r="A664" s="11">
        <v>54111</v>
      </c>
      <c r="B664" s="54" t="s">
        <v>826</v>
      </c>
      <c r="C664" s="13"/>
      <c r="D664" s="14" t="s">
        <v>18</v>
      </c>
      <c r="E664" s="14" t="s">
        <v>28</v>
      </c>
      <c r="F664" s="14" t="s">
        <v>27</v>
      </c>
      <c r="G664" s="50">
        <v>4990</v>
      </c>
      <c r="H664" s="51"/>
      <c r="I664" s="17">
        <f t="shared" si="12"/>
        <v>4990</v>
      </c>
      <c r="J664" s="56"/>
      <c r="K664" s="56"/>
    </row>
    <row r="665" spans="1:11" ht="29.25">
      <c r="A665" s="11">
        <v>54118</v>
      </c>
      <c r="B665" s="54" t="s">
        <v>827</v>
      </c>
      <c r="C665" s="13"/>
      <c r="D665" s="14" t="s">
        <v>18</v>
      </c>
      <c r="E665" s="14" t="s">
        <v>28</v>
      </c>
      <c r="F665" s="14" t="s">
        <v>27</v>
      </c>
      <c r="G665" s="50">
        <v>800</v>
      </c>
      <c r="H665" s="51"/>
      <c r="I665" s="17">
        <f t="shared" si="12"/>
        <v>800</v>
      </c>
      <c r="J665" s="56"/>
      <c r="K665" s="56"/>
    </row>
    <row r="666" spans="1:11" ht="44.25">
      <c r="A666" s="11">
        <v>54313</v>
      </c>
      <c r="B666" s="54" t="s">
        <v>828</v>
      </c>
      <c r="C666" s="13"/>
      <c r="D666" s="14" t="s">
        <v>18</v>
      </c>
      <c r="E666" s="14" t="s">
        <v>28</v>
      </c>
      <c r="F666" s="14" t="s">
        <v>27</v>
      </c>
      <c r="G666" s="50">
        <v>300</v>
      </c>
      <c r="H666" s="51"/>
      <c r="I666" s="17">
        <f t="shared" si="12"/>
        <v>300</v>
      </c>
      <c r="J666" s="56"/>
      <c r="K666" s="56"/>
    </row>
    <row r="667" spans="1:11" ht="44.25">
      <c r="A667" s="11">
        <v>54399</v>
      </c>
      <c r="B667" s="54" t="s">
        <v>829</v>
      </c>
      <c r="C667" s="13"/>
      <c r="D667" s="14" t="s">
        <v>18</v>
      </c>
      <c r="E667" s="14" t="s">
        <v>28</v>
      </c>
      <c r="F667" s="14" t="s">
        <v>27</v>
      </c>
      <c r="G667" s="50">
        <v>700</v>
      </c>
      <c r="H667" s="51"/>
      <c r="I667" s="17">
        <f t="shared" si="12"/>
        <v>700</v>
      </c>
      <c r="J667" s="56"/>
      <c r="K667" s="56"/>
    </row>
    <row r="668" spans="1:11" ht="29.25">
      <c r="A668" s="11">
        <v>55603</v>
      </c>
      <c r="B668" s="54" t="s">
        <v>830</v>
      </c>
      <c r="C668" s="13"/>
      <c r="D668" s="14" t="s">
        <v>18</v>
      </c>
      <c r="E668" s="14" t="s">
        <v>28</v>
      </c>
      <c r="F668" s="14" t="s">
        <v>27</v>
      </c>
      <c r="G668" s="50">
        <v>10</v>
      </c>
      <c r="H668" s="51"/>
      <c r="I668" s="17">
        <f t="shared" si="12"/>
        <v>10</v>
      </c>
      <c r="J668" s="56"/>
      <c r="K668" s="56"/>
    </row>
    <row r="669" spans="1:11" ht="74.25">
      <c r="A669" s="11" t="s">
        <v>517</v>
      </c>
      <c r="B669" s="53" t="s">
        <v>822</v>
      </c>
      <c r="C669" s="13"/>
      <c r="D669" s="14"/>
      <c r="E669" s="14"/>
      <c r="F669" s="14"/>
      <c r="G669" s="50"/>
      <c r="H669" s="51"/>
      <c r="I669" s="17"/>
      <c r="J669" s="56"/>
      <c r="K669" s="56"/>
    </row>
    <row r="670" spans="1:11" ht="29.25">
      <c r="A670" s="11">
        <v>51202</v>
      </c>
      <c r="B670" s="54" t="s">
        <v>831</v>
      </c>
      <c r="C670" s="13"/>
      <c r="D670" s="14" t="s">
        <v>18</v>
      </c>
      <c r="E670" s="14" t="s">
        <v>28</v>
      </c>
      <c r="F670" s="14" t="s">
        <v>27</v>
      </c>
      <c r="G670" s="50">
        <v>9000</v>
      </c>
      <c r="H670" s="51"/>
      <c r="I670" s="17">
        <f t="shared" si="12"/>
        <v>9000</v>
      </c>
      <c r="J670" s="56"/>
      <c r="K670" s="56"/>
    </row>
    <row r="671" spans="1:11" ht="29.25">
      <c r="A671" s="11">
        <v>54110</v>
      </c>
      <c r="B671" s="54" t="s">
        <v>832</v>
      </c>
      <c r="C671" s="13"/>
      <c r="D671" s="14" t="s">
        <v>18</v>
      </c>
      <c r="E671" s="14" t="s">
        <v>28</v>
      </c>
      <c r="F671" s="14" t="s">
        <v>27</v>
      </c>
      <c r="G671" s="50">
        <v>200</v>
      </c>
      <c r="H671" s="51"/>
      <c r="I671" s="17">
        <f t="shared" si="12"/>
        <v>200</v>
      </c>
      <c r="J671" s="56"/>
      <c r="K671" s="56"/>
    </row>
    <row r="672" spans="1:11" ht="29.25">
      <c r="A672" s="11">
        <v>54111</v>
      </c>
      <c r="B672" s="54" t="s">
        <v>833</v>
      </c>
      <c r="C672" s="13"/>
      <c r="D672" s="14" t="s">
        <v>18</v>
      </c>
      <c r="E672" s="14" t="s">
        <v>28</v>
      </c>
      <c r="F672" s="14" t="s">
        <v>27</v>
      </c>
      <c r="G672" s="50">
        <v>12290</v>
      </c>
      <c r="H672" s="51"/>
      <c r="I672" s="17">
        <f t="shared" si="12"/>
        <v>12290</v>
      </c>
      <c r="J672" s="56"/>
      <c r="K672" s="56"/>
    </row>
    <row r="673" spans="1:11" ht="29.25">
      <c r="A673" s="11">
        <v>54118</v>
      </c>
      <c r="B673" s="54" t="s">
        <v>834</v>
      </c>
      <c r="C673" s="13"/>
      <c r="D673" s="14" t="s">
        <v>18</v>
      </c>
      <c r="E673" s="14" t="s">
        <v>28</v>
      </c>
      <c r="F673" s="14" t="s">
        <v>27</v>
      </c>
      <c r="G673" s="50">
        <v>3000</v>
      </c>
      <c r="H673" s="51"/>
      <c r="I673" s="17">
        <f t="shared" si="12"/>
        <v>3000</v>
      </c>
      <c r="J673" s="56"/>
      <c r="K673" s="56"/>
    </row>
    <row r="674" spans="1:11" ht="29.25">
      <c r="A674" s="11">
        <v>54313</v>
      </c>
      <c r="B674" s="54" t="s">
        <v>835</v>
      </c>
      <c r="C674" s="13"/>
      <c r="D674" s="14" t="s">
        <v>18</v>
      </c>
      <c r="E674" s="14" t="s">
        <v>28</v>
      </c>
      <c r="F674" s="14" t="s">
        <v>27</v>
      </c>
      <c r="G674" s="50">
        <v>300</v>
      </c>
      <c r="H674" s="51"/>
      <c r="I674" s="17">
        <f t="shared" si="12"/>
        <v>300</v>
      </c>
      <c r="J674" s="56"/>
      <c r="K674" s="56"/>
    </row>
    <row r="675" spans="1:11" ht="29.25">
      <c r="A675" s="11">
        <v>54399</v>
      </c>
      <c r="B675" s="54" t="s">
        <v>836</v>
      </c>
      <c r="C675" s="13"/>
      <c r="D675" s="14" t="s">
        <v>18</v>
      </c>
      <c r="E675" s="14" t="s">
        <v>28</v>
      </c>
      <c r="F675" s="14" t="s">
        <v>27</v>
      </c>
      <c r="G675" s="50">
        <v>200</v>
      </c>
      <c r="H675" s="51"/>
      <c r="I675" s="17">
        <f t="shared" si="12"/>
        <v>200</v>
      </c>
      <c r="J675" s="56"/>
      <c r="K675" s="56"/>
    </row>
    <row r="676" spans="1:11" ht="29.25">
      <c r="A676" s="11">
        <v>55603</v>
      </c>
      <c r="B676" s="53" t="s">
        <v>837</v>
      </c>
      <c r="C676" s="13"/>
      <c r="D676" s="14" t="s">
        <v>18</v>
      </c>
      <c r="E676" s="14" t="s">
        <v>28</v>
      </c>
      <c r="F676" s="14" t="s">
        <v>27</v>
      </c>
      <c r="G676" s="50">
        <v>10</v>
      </c>
      <c r="H676" s="51"/>
      <c r="I676" s="17">
        <f t="shared" si="12"/>
        <v>10</v>
      </c>
      <c r="J676" s="56"/>
      <c r="K676" s="56"/>
    </row>
    <row r="677" spans="1:11" ht="75">
      <c r="A677" s="11" t="s">
        <v>838</v>
      </c>
      <c r="B677" s="53" t="s">
        <v>840</v>
      </c>
      <c r="C677" s="13"/>
      <c r="D677" s="14"/>
      <c r="E677" s="14"/>
      <c r="F677" s="14"/>
      <c r="G677" s="50"/>
      <c r="H677" s="51"/>
      <c r="I677" s="17"/>
      <c r="J677" s="56"/>
      <c r="K677" s="56"/>
    </row>
    <row r="678" spans="1:11" ht="29.25">
      <c r="A678" s="11">
        <v>51202</v>
      </c>
      <c r="B678" s="54" t="s">
        <v>842</v>
      </c>
      <c r="C678" s="13"/>
      <c r="D678" s="14" t="s">
        <v>18</v>
      </c>
      <c r="E678" s="14" t="s">
        <v>28</v>
      </c>
      <c r="F678" s="14" t="s">
        <v>27</v>
      </c>
      <c r="G678" s="50">
        <v>9000</v>
      </c>
      <c r="H678" s="51"/>
      <c r="I678" s="17">
        <f t="shared" si="12"/>
        <v>9000</v>
      </c>
      <c r="J678" s="56"/>
      <c r="K678" s="56"/>
    </row>
    <row r="679" spans="1:11" ht="43.5">
      <c r="A679" s="11">
        <v>54110</v>
      </c>
      <c r="B679" s="53" t="s">
        <v>844</v>
      </c>
      <c r="C679" s="13"/>
      <c r="D679" s="14" t="s">
        <v>18</v>
      </c>
      <c r="E679" s="14" t="s">
        <v>28</v>
      </c>
      <c r="F679" s="14" t="s">
        <v>27</v>
      </c>
      <c r="G679" s="50">
        <v>200</v>
      </c>
      <c r="H679" s="51"/>
      <c r="I679" s="17">
        <f t="shared" si="12"/>
        <v>200</v>
      </c>
      <c r="J679" s="56"/>
      <c r="K679" s="56"/>
    </row>
    <row r="680" spans="1:11" ht="44.25">
      <c r="A680" s="11">
        <v>54111</v>
      </c>
      <c r="B680" s="53" t="s">
        <v>845</v>
      </c>
      <c r="C680" s="13"/>
      <c r="D680" s="14" t="s">
        <v>18</v>
      </c>
      <c r="E680" s="14" t="s">
        <v>28</v>
      </c>
      <c r="F680" s="14" t="s">
        <v>27</v>
      </c>
      <c r="G680" s="50">
        <v>12290</v>
      </c>
      <c r="H680" s="51"/>
      <c r="I680" s="17">
        <f t="shared" si="12"/>
        <v>12290</v>
      </c>
      <c r="J680" s="56"/>
      <c r="K680" s="56"/>
    </row>
    <row r="681" spans="1:11" ht="43.5">
      <c r="A681" s="11">
        <v>54118</v>
      </c>
      <c r="B681" s="53" t="s">
        <v>846</v>
      </c>
      <c r="C681" s="13"/>
      <c r="D681" s="14" t="s">
        <v>18</v>
      </c>
      <c r="E681" s="14" t="s">
        <v>28</v>
      </c>
      <c r="F681" s="14" t="s">
        <v>27</v>
      </c>
      <c r="G681" s="50">
        <v>3000</v>
      </c>
      <c r="H681" s="51"/>
      <c r="I681" s="17">
        <f t="shared" si="12"/>
        <v>3000</v>
      </c>
      <c r="J681" s="56"/>
      <c r="K681" s="56"/>
    </row>
    <row r="682" spans="1:11" ht="44.25">
      <c r="A682" s="11">
        <v>54313</v>
      </c>
      <c r="B682" s="53" t="s">
        <v>847</v>
      </c>
      <c r="C682" s="13"/>
      <c r="D682" s="14" t="s">
        <v>18</v>
      </c>
      <c r="E682" s="14" t="s">
        <v>28</v>
      </c>
      <c r="F682" s="14" t="s">
        <v>27</v>
      </c>
      <c r="G682" s="50">
        <v>300</v>
      </c>
      <c r="H682" s="51"/>
      <c r="I682" s="17">
        <f t="shared" si="12"/>
        <v>300</v>
      </c>
      <c r="J682" s="56"/>
      <c r="K682" s="56"/>
    </row>
    <row r="683" spans="1:11" ht="44.25">
      <c r="A683" s="11">
        <v>54399</v>
      </c>
      <c r="B683" s="53" t="s">
        <v>848</v>
      </c>
      <c r="C683" s="13"/>
      <c r="D683" s="14" t="s">
        <v>18</v>
      </c>
      <c r="E683" s="14" t="s">
        <v>28</v>
      </c>
      <c r="F683" s="14" t="s">
        <v>27</v>
      </c>
      <c r="G683" s="50">
        <v>200</v>
      </c>
      <c r="H683" s="51"/>
      <c r="I683" s="17">
        <f t="shared" si="12"/>
        <v>200</v>
      </c>
      <c r="J683" s="56"/>
      <c r="K683" s="56"/>
    </row>
    <row r="684" spans="1:11" ht="43.5">
      <c r="A684" s="11">
        <v>55603</v>
      </c>
      <c r="B684" s="53" t="s">
        <v>849</v>
      </c>
      <c r="C684" s="13"/>
      <c r="D684" s="14" t="s">
        <v>18</v>
      </c>
      <c r="E684" s="14" t="s">
        <v>28</v>
      </c>
      <c r="F684" s="14" t="s">
        <v>27</v>
      </c>
      <c r="G684" s="50">
        <v>10</v>
      </c>
      <c r="H684" s="51"/>
      <c r="I684" s="17">
        <f t="shared" si="12"/>
        <v>10</v>
      </c>
      <c r="J684" s="56"/>
      <c r="K684" s="56"/>
    </row>
    <row r="685" spans="1:11" ht="60">
      <c r="A685" s="11" t="s">
        <v>839</v>
      </c>
      <c r="B685" s="53" t="s">
        <v>841</v>
      </c>
      <c r="C685" s="13"/>
      <c r="D685" s="14"/>
      <c r="E685" s="14"/>
      <c r="F685" s="14"/>
      <c r="G685" s="50"/>
      <c r="H685" s="51"/>
      <c r="I685" s="17"/>
      <c r="J685" s="56"/>
      <c r="K685" s="56"/>
    </row>
    <row r="686" spans="1:11" ht="29.25">
      <c r="A686" s="11">
        <v>51202</v>
      </c>
      <c r="B686" s="54" t="s">
        <v>843</v>
      </c>
      <c r="C686" s="13"/>
      <c r="D686" s="14" t="s">
        <v>18</v>
      </c>
      <c r="E686" s="14" t="s">
        <v>28</v>
      </c>
      <c r="F686" s="14" t="s">
        <v>27</v>
      </c>
      <c r="G686" s="50">
        <v>9000</v>
      </c>
      <c r="H686" s="51"/>
      <c r="I686" s="17">
        <f t="shared" si="12"/>
        <v>9000</v>
      </c>
      <c r="J686" s="56"/>
      <c r="K686" s="56"/>
    </row>
    <row r="687" spans="1:11" ht="29.25">
      <c r="A687" s="11">
        <v>54110</v>
      </c>
      <c r="B687" s="53" t="s">
        <v>850</v>
      </c>
      <c r="C687" s="13"/>
      <c r="D687" s="14" t="s">
        <v>18</v>
      </c>
      <c r="E687" s="14" t="s">
        <v>28</v>
      </c>
      <c r="F687" s="14" t="s">
        <v>27</v>
      </c>
      <c r="G687" s="50">
        <v>200</v>
      </c>
      <c r="H687" s="51"/>
      <c r="I687" s="17">
        <f t="shared" si="12"/>
        <v>200</v>
      </c>
      <c r="J687" s="56"/>
      <c r="K687" s="56"/>
    </row>
    <row r="688" spans="1:11" ht="29.25">
      <c r="A688" s="11">
        <v>54111</v>
      </c>
      <c r="B688" s="54" t="s">
        <v>851</v>
      </c>
      <c r="C688" s="13"/>
      <c r="D688" s="14" t="s">
        <v>18</v>
      </c>
      <c r="E688" s="14" t="s">
        <v>28</v>
      </c>
      <c r="F688" s="14" t="s">
        <v>27</v>
      </c>
      <c r="G688" s="50">
        <v>12290</v>
      </c>
      <c r="H688" s="51"/>
      <c r="I688" s="17">
        <f t="shared" si="12"/>
        <v>12290</v>
      </c>
      <c r="J688" s="56"/>
      <c r="K688" s="56"/>
    </row>
    <row r="689" spans="1:11" ht="29.25">
      <c r="A689" s="11">
        <v>54118</v>
      </c>
      <c r="B689" s="53" t="s">
        <v>852</v>
      </c>
      <c r="C689" s="13"/>
      <c r="D689" s="14" t="s">
        <v>18</v>
      </c>
      <c r="E689" s="14" t="s">
        <v>28</v>
      </c>
      <c r="F689" s="14" t="s">
        <v>27</v>
      </c>
      <c r="G689" s="50">
        <v>3000</v>
      </c>
      <c r="H689" s="51"/>
      <c r="I689" s="17">
        <f t="shared" si="12"/>
        <v>3000</v>
      </c>
      <c r="J689" s="56"/>
      <c r="K689" s="56"/>
    </row>
    <row r="690" spans="1:11" ht="29.25">
      <c r="A690" s="11">
        <v>54313</v>
      </c>
      <c r="B690" s="54" t="s">
        <v>853</v>
      </c>
      <c r="C690" s="13"/>
      <c r="D690" s="14" t="s">
        <v>18</v>
      </c>
      <c r="E690" s="14" t="s">
        <v>28</v>
      </c>
      <c r="F690" s="14" t="s">
        <v>27</v>
      </c>
      <c r="G690" s="50">
        <v>300</v>
      </c>
      <c r="H690" s="51"/>
      <c r="I690" s="17">
        <f t="shared" si="12"/>
        <v>300</v>
      </c>
      <c r="J690" s="56"/>
      <c r="K690" s="56"/>
    </row>
    <row r="691" spans="1:11" ht="37.5" customHeight="1">
      <c r="A691" s="11">
        <v>54399</v>
      </c>
      <c r="B691" s="54" t="s">
        <v>854</v>
      </c>
      <c r="C691" s="13"/>
      <c r="D691" s="14" t="s">
        <v>18</v>
      </c>
      <c r="E691" s="14" t="s">
        <v>28</v>
      </c>
      <c r="F691" s="14" t="s">
        <v>27</v>
      </c>
      <c r="G691" s="50">
        <v>200</v>
      </c>
      <c r="H691" s="51"/>
      <c r="I691" s="17">
        <f t="shared" si="12"/>
        <v>200</v>
      </c>
      <c r="J691" s="56"/>
      <c r="K691" s="56"/>
    </row>
    <row r="692" spans="1:11" ht="29.25">
      <c r="A692" s="11">
        <v>55603</v>
      </c>
      <c r="B692" s="54" t="s">
        <v>855</v>
      </c>
      <c r="C692" s="13"/>
      <c r="D692" s="14" t="s">
        <v>18</v>
      </c>
      <c r="E692" s="14" t="s">
        <v>28</v>
      </c>
      <c r="F692" s="14" t="s">
        <v>27</v>
      </c>
      <c r="G692" s="50">
        <v>10</v>
      </c>
      <c r="H692" s="51"/>
      <c r="I692" s="17">
        <f t="shared" si="12"/>
        <v>10</v>
      </c>
      <c r="J692" s="56"/>
      <c r="K692" s="56"/>
    </row>
    <row r="693" spans="1:11" ht="60">
      <c r="A693" s="11" t="s">
        <v>872</v>
      </c>
      <c r="B693" s="53" t="s">
        <v>856</v>
      </c>
      <c r="C693" s="13"/>
      <c r="D693" s="14"/>
      <c r="E693" s="14"/>
      <c r="F693" s="14"/>
      <c r="G693" s="50"/>
      <c r="H693" s="51"/>
      <c r="I693" s="17"/>
      <c r="J693" s="56"/>
      <c r="K693" s="56"/>
    </row>
    <row r="694" spans="1:11" ht="29.25">
      <c r="A694" s="11">
        <v>51202</v>
      </c>
      <c r="B694" s="54" t="s">
        <v>857</v>
      </c>
      <c r="C694" s="13"/>
      <c r="D694" s="14" t="s">
        <v>18</v>
      </c>
      <c r="E694" s="14" t="s">
        <v>28</v>
      </c>
      <c r="F694" s="14" t="s">
        <v>27</v>
      </c>
      <c r="G694" s="50">
        <v>1800</v>
      </c>
      <c r="H694" s="51"/>
      <c r="I694" s="17">
        <f t="shared" si="12"/>
        <v>1800</v>
      </c>
      <c r="J694" s="56"/>
      <c r="K694" s="56"/>
    </row>
    <row r="695" spans="1:11" ht="29.25">
      <c r="A695" s="11">
        <v>54110</v>
      </c>
      <c r="B695" s="53" t="s">
        <v>858</v>
      </c>
      <c r="C695" s="13"/>
      <c r="D695" s="14" t="s">
        <v>18</v>
      </c>
      <c r="E695" s="14" t="s">
        <v>28</v>
      </c>
      <c r="F695" s="14" t="s">
        <v>27</v>
      </c>
      <c r="G695" s="50">
        <v>100</v>
      </c>
      <c r="H695" s="51"/>
      <c r="I695" s="17">
        <f t="shared" si="12"/>
        <v>100</v>
      </c>
      <c r="J695" s="56"/>
      <c r="K695" s="56"/>
    </row>
    <row r="696" spans="1:11" ht="44.25">
      <c r="A696" s="11">
        <v>54111</v>
      </c>
      <c r="B696" s="53" t="s">
        <v>859</v>
      </c>
      <c r="C696" s="13"/>
      <c r="D696" s="14" t="s">
        <v>18</v>
      </c>
      <c r="E696" s="14" t="s">
        <v>28</v>
      </c>
      <c r="F696" s="14" t="s">
        <v>27</v>
      </c>
      <c r="G696" s="50">
        <v>2590</v>
      </c>
      <c r="H696" s="51"/>
      <c r="I696" s="17">
        <f t="shared" si="12"/>
        <v>2590</v>
      </c>
      <c r="J696" s="56"/>
      <c r="K696" s="56"/>
    </row>
    <row r="697" spans="1:11" ht="29.25">
      <c r="A697" s="11">
        <v>54118</v>
      </c>
      <c r="B697" s="53" t="s">
        <v>860</v>
      </c>
      <c r="C697" s="13"/>
      <c r="D697" s="14" t="s">
        <v>18</v>
      </c>
      <c r="E697" s="14" t="s">
        <v>28</v>
      </c>
      <c r="F697" s="14" t="s">
        <v>27</v>
      </c>
      <c r="G697" s="50">
        <v>100</v>
      </c>
      <c r="H697" s="51"/>
      <c r="I697" s="17">
        <f t="shared" si="12"/>
        <v>100</v>
      </c>
      <c r="J697" s="56"/>
      <c r="K697" s="56"/>
    </row>
    <row r="698" spans="1:11" ht="44.25">
      <c r="A698" s="11">
        <v>54313</v>
      </c>
      <c r="B698" s="53" t="s">
        <v>861</v>
      </c>
      <c r="C698" s="13"/>
      <c r="D698" s="14" t="s">
        <v>18</v>
      </c>
      <c r="E698" s="14" t="s">
        <v>28</v>
      </c>
      <c r="F698" s="14" t="s">
        <v>27</v>
      </c>
      <c r="G698" s="50">
        <v>200</v>
      </c>
      <c r="H698" s="51"/>
      <c r="I698" s="17">
        <f t="shared" si="12"/>
        <v>200</v>
      </c>
      <c r="J698" s="56"/>
      <c r="K698" s="56"/>
    </row>
    <row r="699" spans="1:11" ht="44.25">
      <c r="A699" s="11">
        <v>54399</v>
      </c>
      <c r="B699" s="53" t="s">
        <v>862</v>
      </c>
      <c r="C699" s="13"/>
      <c r="D699" s="14" t="s">
        <v>18</v>
      </c>
      <c r="E699" s="14" t="s">
        <v>28</v>
      </c>
      <c r="F699" s="14" t="s">
        <v>27</v>
      </c>
      <c r="G699" s="50">
        <v>200</v>
      </c>
      <c r="H699" s="51"/>
      <c r="I699" s="17">
        <f t="shared" si="12"/>
        <v>200</v>
      </c>
      <c r="J699" s="56"/>
      <c r="K699" s="56"/>
    </row>
    <row r="700" spans="1:11" ht="29.25">
      <c r="A700" s="11">
        <v>55603</v>
      </c>
      <c r="B700" s="53" t="s">
        <v>863</v>
      </c>
      <c r="C700" s="13"/>
      <c r="D700" s="14" t="s">
        <v>18</v>
      </c>
      <c r="E700" s="14" t="s">
        <v>28</v>
      </c>
      <c r="F700" s="14" t="s">
        <v>27</v>
      </c>
      <c r="G700" s="50">
        <v>10</v>
      </c>
      <c r="H700" s="51"/>
      <c r="I700" s="17">
        <f t="shared" si="12"/>
        <v>10</v>
      </c>
      <c r="J700" s="56"/>
      <c r="K700" s="56"/>
    </row>
    <row r="701" spans="1:11" ht="59.25">
      <c r="A701" s="11" t="s">
        <v>873</v>
      </c>
      <c r="B701" s="53" t="s">
        <v>864</v>
      </c>
      <c r="C701" s="13"/>
      <c r="D701" s="14"/>
      <c r="E701" s="14"/>
      <c r="F701" s="14"/>
      <c r="G701" s="50"/>
      <c r="H701" s="51"/>
      <c r="I701" s="17"/>
      <c r="J701" s="56"/>
      <c r="K701" s="56"/>
    </row>
    <row r="702" spans="1:11" ht="29.25">
      <c r="A702" s="11">
        <v>51202</v>
      </c>
      <c r="B702" s="53" t="s">
        <v>865</v>
      </c>
      <c r="C702" s="13"/>
      <c r="D702" s="14" t="s">
        <v>18</v>
      </c>
      <c r="E702" s="14" t="s">
        <v>28</v>
      </c>
      <c r="F702" s="14" t="s">
        <v>27</v>
      </c>
      <c r="G702" s="50">
        <v>7000</v>
      </c>
      <c r="H702" s="51"/>
      <c r="I702" s="17">
        <f t="shared" si="12"/>
        <v>7000</v>
      </c>
      <c r="J702" s="56"/>
      <c r="K702" s="56"/>
    </row>
    <row r="703" spans="1:11" ht="29.25">
      <c r="A703" s="11">
        <v>54110</v>
      </c>
      <c r="B703" s="53" t="s">
        <v>866</v>
      </c>
      <c r="C703" s="13"/>
      <c r="D703" s="14" t="s">
        <v>18</v>
      </c>
      <c r="E703" s="14" t="s">
        <v>28</v>
      </c>
      <c r="F703" s="14" t="s">
        <v>27</v>
      </c>
      <c r="G703" s="50">
        <v>200</v>
      </c>
      <c r="H703" s="51"/>
      <c r="I703" s="17">
        <f t="shared" si="12"/>
        <v>200</v>
      </c>
      <c r="J703" s="56"/>
      <c r="K703" s="56"/>
    </row>
    <row r="704" spans="1:11" ht="30">
      <c r="A704" s="11">
        <v>54111</v>
      </c>
      <c r="B704" s="53" t="s">
        <v>867</v>
      </c>
      <c r="C704" s="13"/>
      <c r="D704" s="14" t="s">
        <v>18</v>
      </c>
      <c r="E704" s="14" t="s">
        <v>28</v>
      </c>
      <c r="F704" s="14" t="s">
        <v>27</v>
      </c>
      <c r="G704" s="50">
        <v>10290</v>
      </c>
      <c r="H704" s="51"/>
      <c r="I704" s="17">
        <f t="shared" si="12"/>
        <v>10290</v>
      </c>
      <c r="J704" s="56"/>
      <c r="K704" s="56"/>
    </row>
    <row r="705" spans="1:11" ht="29.25">
      <c r="A705" s="11">
        <v>54118</v>
      </c>
      <c r="B705" s="53" t="s">
        <v>868</v>
      </c>
      <c r="C705" s="13"/>
      <c r="D705" s="14" t="s">
        <v>18</v>
      </c>
      <c r="E705" s="14" t="s">
        <v>28</v>
      </c>
      <c r="F705" s="14" t="s">
        <v>27</v>
      </c>
      <c r="G705" s="50">
        <v>2000</v>
      </c>
      <c r="H705" s="51"/>
      <c r="I705" s="17">
        <f t="shared" si="12"/>
        <v>2000</v>
      </c>
      <c r="J705" s="56"/>
      <c r="K705" s="56"/>
    </row>
    <row r="706" spans="1:11" ht="44.25">
      <c r="A706" s="11">
        <v>54313</v>
      </c>
      <c r="B706" s="53" t="s">
        <v>869</v>
      </c>
      <c r="C706" s="13"/>
      <c r="D706" s="14" t="s">
        <v>18</v>
      </c>
      <c r="E706" s="14" t="s">
        <v>28</v>
      </c>
      <c r="F706" s="14" t="s">
        <v>27</v>
      </c>
      <c r="G706" s="50">
        <v>300</v>
      </c>
      <c r="H706" s="51"/>
      <c r="I706" s="17">
        <f t="shared" si="12"/>
        <v>300</v>
      </c>
      <c r="J706" s="56"/>
      <c r="K706" s="56"/>
    </row>
    <row r="707" spans="1:11" ht="30">
      <c r="A707" s="11">
        <v>54399</v>
      </c>
      <c r="B707" s="53" t="s">
        <v>870</v>
      </c>
      <c r="C707" s="13"/>
      <c r="D707" s="14" t="s">
        <v>18</v>
      </c>
      <c r="E707" s="14" t="s">
        <v>28</v>
      </c>
      <c r="F707" s="14" t="s">
        <v>27</v>
      </c>
      <c r="G707" s="50">
        <v>200</v>
      </c>
      <c r="H707" s="51"/>
      <c r="I707" s="17">
        <f t="shared" si="12"/>
        <v>200</v>
      </c>
      <c r="J707" s="56"/>
      <c r="K707" s="56"/>
    </row>
    <row r="708" spans="1:11" ht="29.25">
      <c r="A708" s="11">
        <v>55603</v>
      </c>
      <c r="B708" s="53" t="s">
        <v>871</v>
      </c>
      <c r="C708" s="13"/>
      <c r="D708" s="14" t="s">
        <v>18</v>
      </c>
      <c r="E708" s="14" t="s">
        <v>28</v>
      </c>
      <c r="F708" s="14" t="s">
        <v>27</v>
      </c>
      <c r="G708" s="50">
        <v>10</v>
      </c>
      <c r="H708" s="51"/>
      <c r="I708" s="17">
        <f t="shared" si="12"/>
        <v>10</v>
      </c>
      <c r="J708" s="56"/>
      <c r="K708" s="56"/>
    </row>
    <row r="709" spans="1:11" ht="60">
      <c r="A709" s="11" t="s">
        <v>532</v>
      </c>
      <c r="B709" s="53" t="s">
        <v>874</v>
      </c>
      <c r="C709" s="13"/>
      <c r="D709" s="14"/>
      <c r="E709" s="14"/>
      <c r="F709" s="14"/>
      <c r="G709" s="50"/>
      <c r="H709" s="51"/>
      <c r="I709" s="17"/>
      <c r="J709" s="56"/>
      <c r="K709" s="56"/>
    </row>
    <row r="710" spans="1:11" ht="29.25">
      <c r="A710" s="11">
        <v>51202</v>
      </c>
      <c r="B710" s="53" t="s">
        <v>875</v>
      </c>
      <c r="C710" s="13"/>
      <c r="D710" s="14" t="s">
        <v>18</v>
      </c>
      <c r="E710" s="14" t="s">
        <v>28</v>
      </c>
      <c r="F710" s="14" t="s">
        <v>27</v>
      </c>
      <c r="G710" s="50">
        <v>6990</v>
      </c>
      <c r="H710" s="51"/>
      <c r="I710" s="17">
        <f t="shared" si="12"/>
        <v>6990</v>
      </c>
      <c r="J710" s="56"/>
      <c r="K710" s="56"/>
    </row>
    <row r="711" spans="1:11" ht="29.25">
      <c r="A711" s="11">
        <v>54110</v>
      </c>
      <c r="B711" s="53" t="s">
        <v>876</v>
      </c>
      <c r="C711" s="13"/>
      <c r="D711" s="14" t="s">
        <v>18</v>
      </c>
      <c r="E711" s="14" t="s">
        <v>28</v>
      </c>
      <c r="F711" s="14" t="s">
        <v>27</v>
      </c>
      <c r="G711" s="50">
        <v>200</v>
      </c>
      <c r="H711" s="51"/>
      <c r="I711" s="17">
        <f t="shared" si="12"/>
        <v>200</v>
      </c>
      <c r="J711" s="56"/>
      <c r="K711" s="56"/>
    </row>
    <row r="712" spans="1:11" ht="44.25">
      <c r="A712" s="11">
        <v>54111</v>
      </c>
      <c r="B712" s="53" t="s">
        <v>881</v>
      </c>
      <c r="C712" s="13"/>
      <c r="D712" s="14" t="s">
        <v>18</v>
      </c>
      <c r="E712" s="14" t="s">
        <v>28</v>
      </c>
      <c r="F712" s="14" t="s">
        <v>27</v>
      </c>
      <c r="G712" s="50">
        <v>10000</v>
      </c>
      <c r="H712" s="51"/>
      <c r="I712" s="17">
        <f t="shared" si="12"/>
        <v>10000</v>
      </c>
      <c r="J712" s="56"/>
      <c r="K712" s="56"/>
    </row>
    <row r="713" spans="1:11" ht="29.25">
      <c r="A713" s="11">
        <v>54118</v>
      </c>
      <c r="B713" s="53" t="s">
        <v>877</v>
      </c>
      <c r="C713" s="13"/>
      <c r="D713" s="14" t="s">
        <v>18</v>
      </c>
      <c r="E713" s="14" t="s">
        <v>28</v>
      </c>
      <c r="F713" s="14" t="s">
        <v>27</v>
      </c>
      <c r="G713" s="50">
        <v>2000</v>
      </c>
      <c r="H713" s="51"/>
      <c r="I713" s="17">
        <f t="shared" si="12"/>
        <v>2000</v>
      </c>
      <c r="J713" s="56"/>
      <c r="K713" s="56"/>
    </row>
    <row r="714" spans="1:11" ht="44.25">
      <c r="A714" s="11">
        <v>54313</v>
      </c>
      <c r="B714" s="53" t="s">
        <v>878</v>
      </c>
      <c r="C714" s="13"/>
      <c r="D714" s="14" t="s">
        <v>18</v>
      </c>
      <c r="E714" s="14" t="s">
        <v>28</v>
      </c>
      <c r="F714" s="14" t="s">
        <v>27</v>
      </c>
      <c r="G714" s="50">
        <v>300</v>
      </c>
      <c r="H714" s="51"/>
      <c r="I714" s="17">
        <f t="shared" si="12"/>
        <v>300</v>
      </c>
      <c r="J714" s="56"/>
      <c r="K714" s="56"/>
    </row>
    <row r="715" spans="1:11" ht="43.5">
      <c r="A715" s="11">
        <v>54399</v>
      </c>
      <c r="B715" s="53" t="s">
        <v>879</v>
      </c>
      <c r="C715" s="13"/>
      <c r="D715" s="14" t="s">
        <v>18</v>
      </c>
      <c r="E715" s="14" t="s">
        <v>28</v>
      </c>
      <c r="F715" s="14" t="s">
        <v>27</v>
      </c>
      <c r="G715" s="50">
        <v>500</v>
      </c>
      <c r="H715" s="51"/>
      <c r="I715" s="17">
        <f t="shared" si="12"/>
        <v>500</v>
      </c>
      <c r="J715" s="56"/>
      <c r="K715" s="56"/>
    </row>
    <row r="716" spans="1:11" ht="29.25">
      <c r="A716" s="11">
        <v>55603</v>
      </c>
      <c r="B716" s="53" t="s">
        <v>880</v>
      </c>
      <c r="C716" s="13"/>
      <c r="D716" s="14" t="s">
        <v>18</v>
      </c>
      <c r="E716" s="14" t="s">
        <v>28</v>
      </c>
      <c r="F716" s="14" t="s">
        <v>27</v>
      </c>
      <c r="G716" s="50">
        <v>10</v>
      </c>
      <c r="H716" s="51"/>
      <c r="I716" s="17">
        <f t="shared" si="12"/>
        <v>10</v>
      </c>
      <c r="J716" s="56"/>
      <c r="K716" s="56"/>
    </row>
    <row r="717" spans="1:11" ht="72.75">
      <c r="A717" s="144" t="s">
        <v>540</v>
      </c>
      <c r="B717" s="53" t="s">
        <v>882</v>
      </c>
      <c r="C717" s="13"/>
      <c r="D717" s="14"/>
      <c r="E717" s="14"/>
      <c r="F717" s="14"/>
      <c r="G717" s="50"/>
      <c r="H717" s="51"/>
      <c r="I717" s="17"/>
      <c r="J717" s="56"/>
      <c r="K717" s="56"/>
    </row>
    <row r="718" spans="1:11" ht="43.5">
      <c r="A718" s="11">
        <v>51202</v>
      </c>
      <c r="B718" s="53" t="s">
        <v>883</v>
      </c>
      <c r="C718" s="13"/>
      <c r="D718" s="14" t="s">
        <v>18</v>
      </c>
      <c r="E718" s="14" t="s">
        <v>28</v>
      </c>
      <c r="F718" s="14" t="s">
        <v>27</v>
      </c>
      <c r="G718" s="50">
        <v>10000</v>
      </c>
      <c r="H718" s="51"/>
      <c r="I718" s="17">
        <f t="shared" si="12"/>
        <v>10000</v>
      </c>
      <c r="J718" s="56"/>
      <c r="K718" s="56"/>
    </row>
    <row r="719" spans="1:11" ht="43.5">
      <c r="A719" s="11">
        <v>54110</v>
      </c>
      <c r="B719" s="53" t="s">
        <v>968</v>
      </c>
      <c r="C719" s="13"/>
      <c r="D719" s="14" t="s">
        <v>18</v>
      </c>
      <c r="E719" s="14" t="s">
        <v>28</v>
      </c>
      <c r="F719" s="14" t="s">
        <v>27</v>
      </c>
      <c r="G719" s="50">
        <v>500</v>
      </c>
      <c r="H719" s="51"/>
      <c r="I719" s="17">
        <f t="shared" si="12"/>
        <v>500</v>
      </c>
      <c r="J719" s="56"/>
      <c r="K719" s="56"/>
    </row>
    <row r="720" spans="1:11" ht="44.25">
      <c r="A720" s="11">
        <v>54111</v>
      </c>
      <c r="B720" s="53" t="s">
        <v>884</v>
      </c>
      <c r="C720" s="13"/>
      <c r="D720" s="14" t="s">
        <v>18</v>
      </c>
      <c r="E720" s="14" t="s">
        <v>28</v>
      </c>
      <c r="F720" s="14" t="s">
        <v>27</v>
      </c>
      <c r="G720" s="50">
        <v>15000</v>
      </c>
      <c r="H720" s="51"/>
      <c r="I720" s="17">
        <f t="shared" ref="I720:I765" si="13">G720-H720+J720-K720</f>
        <v>15000</v>
      </c>
      <c r="J720" s="56"/>
      <c r="K720" s="56"/>
    </row>
    <row r="721" spans="1:11" ht="43.5">
      <c r="A721" s="11">
        <v>54118</v>
      </c>
      <c r="B721" s="53" t="s">
        <v>885</v>
      </c>
      <c r="C721" s="13"/>
      <c r="D721" s="14" t="s">
        <v>18</v>
      </c>
      <c r="E721" s="14" t="s">
        <v>28</v>
      </c>
      <c r="F721" s="14" t="s">
        <v>27</v>
      </c>
      <c r="G721" s="50">
        <v>5000</v>
      </c>
      <c r="H721" s="51"/>
      <c r="I721" s="17">
        <f t="shared" si="13"/>
        <v>5000</v>
      </c>
      <c r="J721" s="56"/>
      <c r="K721" s="56"/>
    </row>
    <row r="722" spans="1:11" ht="43.5">
      <c r="A722" s="11">
        <v>54304</v>
      </c>
      <c r="B722" s="53" t="s">
        <v>889</v>
      </c>
      <c r="C722" s="13"/>
      <c r="D722" s="14" t="s">
        <v>18</v>
      </c>
      <c r="E722" s="14" t="s">
        <v>28</v>
      </c>
      <c r="F722" s="14" t="s">
        <v>27</v>
      </c>
      <c r="G722" s="50">
        <v>2690</v>
      </c>
      <c r="H722" s="51"/>
      <c r="I722" s="17">
        <f t="shared" si="13"/>
        <v>2690</v>
      </c>
      <c r="J722" s="56"/>
      <c r="K722" s="56"/>
    </row>
    <row r="723" spans="1:11" ht="44.25">
      <c r="A723" s="11">
        <v>54313</v>
      </c>
      <c r="B723" s="53" t="s">
        <v>886</v>
      </c>
      <c r="C723" s="13"/>
      <c r="D723" s="14" t="s">
        <v>18</v>
      </c>
      <c r="E723" s="14" t="s">
        <v>28</v>
      </c>
      <c r="F723" s="14" t="s">
        <v>27</v>
      </c>
      <c r="G723" s="50">
        <v>300</v>
      </c>
      <c r="H723" s="51"/>
      <c r="I723" s="17">
        <f t="shared" si="13"/>
        <v>300</v>
      </c>
      <c r="J723" s="56"/>
      <c r="K723" s="56"/>
    </row>
    <row r="724" spans="1:11" ht="44.25">
      <c r="A724" s="11">
        <v>54399</v>
      </c>
      <c r="B724" s="53" t="s">
        <v>887</v>
      </c>
      <c r="C724" s="13"/>
      <c r="D724" s="14" t="s">
        <v>18</v>
      </c>
      <c r="E724" s="14" t="s">
        <v>28</v>
      </c>
      <c r="F724" s="14" t="s">
        <v>27</v>
      </c>
      <c r="G724" s="50">
        <v>1500</v>
      </c>
      <c r="H724" s="51"/>
      <c r="I724" s="17">
        <f t="shared" si="13"/>
        <v>1500</v>
      </c>
      <c r="J724" s="56"/>
      <c r="K724" s="56"/>
    </row>
    <row r="725" spans="1:11" ht="43.5">
      <c r="A725" s="11">
        <v>55603</v>
      </c>
      <c r="B725" s="53" t="s">
        <v>888</v>
      </c>
      <c r="C725" s="13"/>
      <c r="D725" s="14" t="s">
        <v>18</v>
      </c>
      <c r="E725" s="14" t="s">
        <v>28</v>
      </c>
      <c r="F725" s="14" t="s">
        <v>27</v>
      </c>
      <c r="G725" s="50">
        <v>10</v>
      </c>
      <c r="H725" s="51"/>
      <c r="I725" s="17">
        <f t="shared" si="13"/>
        <v>10</v>
      </c>
      <c r="J725" s="56"/>
      <c r="K725" s="56"/>
    </row>
    <row r="726" spans="1:11" ht="60">
      <c r="A726" s="11" t="s">
        <v>901</v>
      </c>
      <c r="B726" s="53" t="s">
        <v>890</v>
      </c>
      <c r="C726" s="13"/>
      <c r="D726" s="14"/>
      <c r="E726" s="14"/>
      <c r="F726" s="14"/>
      <c r="G726" s="50"/>
      <c r="H726" s="51"/>
      <c r="I726" s="17"/>
      <c r="J726" s="56"/>
      <c r="K726" s="56"/>
    </row>
    <row r="727" spans="1:11" ht="29.25">
      <c r="A727" s="11">
        <v>51202</v>
      </c>
      <c r="B727" s="53" t="s">
        <v>894</v>
      </c>
      <c r="C727" s="13"/>
      <c r="D727" s="14" t="s">
        <v>18</v>
      </c>
      <c r="E727" s="14" t="s">
        <v>28</v>
      </c>
      <c r="F727" s="14" t="s">
        <v>27</v>
      </c>
      <c r="G727" s="50">
        <v>8000</v>
      </c>
      <c r="H727" s="51"/>
      <c r="I727" s="17">
        <f t="shared" si="13"/>
        <v>8000</v>
      </c>
      <c r="J727" s="56"/>
      <c r="K727" s="56"/>
    </row>
    <row r="728" spans="1:11" ht="29.25">
      <c r="A728" s="11">
        <v>51999</v>
      </c>
      <c r="B728" s="53" t="s">
        <v>900</v>
      </c>
      <c r="C728" s="13"/>
      <c r="D728" s="14" t="s">
        <v>18</v>
      </c>
      <c r="E728" s="14" t="s">
        <v>28</v>
      </c>
      <c r="F728" s="14" t="s">
        <v>27</v>
      </c>
      <c r="G728" s="50">
        <v>3000</v>
      </c>
      <c r="H728" s="51"/>
      <c r="I728" s="17">
        <f t="shared" si="13"/>
        <v>3000</v>
      </c>
      <c r="J728" s="56"/>
      <c r="K728" s="56"/>
    </row>
    <row r="729" spans="1:11" ht="29.25">
      <c r="A729" s="11">
        <v>54110</v>
      </c>
      <c r="B729" s="53" t="s">
        <v>891</v>
      </c>
      <c r="C729" s="13"/>
      <c r="D729" s="14" t="s">
        <v>18</v>
      </c>
      <c r="E729" s="14" t="s">
        <v>28</v>
      </c>
      <c r="F729" s="14" t="s">
        <v>27</v>
      </c>
      <c r="G729" s="50">
        <v>500</v>
      </c>
      <c r="H729" s="51"/>
      <c r="I729" s="17">
        <f t="shared" si="13"/>
        <v>500</v>
      </c>
      <c r="J729" s="56"/>
      <c r="K729" s="56"/>
    </row>
    <row r="730" spans="1:11" ht="29.25">
      <c r="A730" s="11">
        <v>54111</v>
      </c>
      <c r="B730" s="53" t="s">
        <v>899</v>
      </c>
      <c r="C730" s="13"/>
      <c r="D730" s="14" t="s">
        <v>18</v>
      </c>
      <c r="E730" s="14" t="s">
        <v>28</v>
      </c>
      <c r="F730" s="14" t="s">
        <v>27</v>
      </c>
      <c r="G730" s="50">
        <v>12000</v>
      </c>
      <c r="H730" s="51"/>
      <c r="I730" s="17">
        <f t="shared" si="13"/>
        <v>12000</v>
      </c>
      <c r="J730" s="56"/>
      <c r="K730" s="56"/>
    </row>
    <row r="731" spans="1:11" ht="44.25">
      <c r="A731" s="11">
        <v>54112</v>
      </c>
      <c r="B731" s="53" t="s">
        <v>895</v>
      </c>
      <c r="C731" s="13"/>
      <c r="D731" s="14" t="s">
        <v>18</v>
      </c>
      <c r="E731" s="14" t="s">
        <v>28</v>
      </c>
      <c r="F731" s="14" t="s">
        <v>27</v>
      </c>
      <c r="G731" s="50">
        <v>3000</v>
      </c>
      <c r="H731" s="51"/>
      <c r="I731" s="17">
        <f t="shared" si="13"/>
        <v>3000</v>
      </c>
      <c r="J731" s="56"/>
      <c r="K731" s="56"/>
    </row>
    <row r="732" spans="1:11" ht="29.25">
      <c r="A732" s="11">
        <v>54118</v>
      </c>
      <c r="B732" s="53" t="s">
        <v>893</v>
      </c>
      <c r="C732" s="13"/>
      <c r="D732" s="14" t="s">
        <v>18</v>
      </c>
      <c r="E732" s="14" t="s">
        <v>28</v>
      </c>
      <c r="F732" s="14" t="s">
        <v>27</v>
      </c>
      <c r="G732" s="50">
        <v>3000</v>
      </c>
      <c r="H732" s="51"/>
      <c r="I732" s="17">
        <f t="shared" si="13"/>
        <v>3000</v>
      </c>
      <c r="J732" s="56"/>
      <c r="K732" s="56"/>
    </row>
    <row r="733" spans="1:11" ht="29.25">
      <c r="A733" s="11">
        <v>54199</v>
      </c>
      <c r="B733" s="53" t="s">
        <v>892</v>
      </c>
      <c r="C733" s="13"/>
      <c r="D733" s="14" t="s">
        <v>18</v>
      </c>
      <c r="E733" s="14" t="s">
        <v>28</v>
      </c>
      <c r="F733" s="14" t="s">
        <v>27</v>
      </c>
      <c r="G733" s="50">
        <v>3000</v>
      </c>
      <c r="H733" s="51"/>
      <c r="I733" s="17">
        <f t="shared" si="13"/>
        <v>3000</v>
      </c>
      <c r="J733" s="56"/>
      <c r="K733" s="56"/>
    </row>
    <row r="734" spans="1:11" ht="29.25">
      <c r="A734" s="11">
        <v>54313</v>
      </c>
      <c r="B734" s="53" t="s">
        <v>896</v>
      </c>
      <c r="C734" s="13"/>
      <c r="D734" s="14" t="s">
        <v>18</v>
      </c>
      <c r="E734" s="14" t="s">
        <v>28</v>
      </c>
      <c r="F734" s="14" t="s">
        <v>27</v>
      </c>
      <c r="G734" s="50">
        <v>2190</v>
      </c>
      <c r="H734" s="51"/>
      <c r="I734" s="17">
        <f t="shared" si="13"/>
        <v>2190</v>
      </c>
      <c r="J734" s="56"/>
      <c r="K734" s="56"/>
    </row>
    <row r="735" spans="1:11" ht="44.25">
      <c r="A735" s="11">
        <v>54399</v>
      </c>
      <c r="B735" s="53" t="s">
        <v>897</v>
      </c>
      <c r="C735" s="13"/>
      <c r="D735" s="14" t="s">
        <v>18</v>
      </c>
      <c r="E735" s="14" t="s">
        <v>28</v>
      </c>
      <c r="F735" s="14" t="s">
        <v>27</v>
      </c>
      <c r="G735" s="50">
        <v>300</v>
      </c>
      <c r="H735" s="51"/>
      <c r="I735" s="17">
        <f t="shared" si="13"/>
        <v>300</v>
      </c>
      <c r="J735" s="56"/>
      <c r="K735" s="56"/>
    </row>
    <row r="736" spans="1:11" ht="29.25">
      <c r="A736" s="11">
        <v>55603</v>
      </c>
      <c r="B736" s="53" t="s">
        <v>898</v>
      </c>
      <c r="C736" s="13"/>
      <c r="D736" s="14" t="s">
        <v>18</v>
      </c>
      <c r="E736" s="14" t="s">
        <v>28</v>
      </c>
      <c r="F736" s="14" t="s">
        <v>27</v>
      </c>
      <c r="G736" s="50">
        <v>10</v>
      </c>
      <c r="H736" s="51"/>
      <c r="I736" s="17">
        <f t="shared" si="13"/>
        <v>10</v>
      </c>
      <c r="J736" s="56"/>
      <c r="K736" s="56"/>
    </row>
    <row r="737" spans="1:11" ht="60">
      <c r="A737" s="11">
        <v>41</v>
      </c>
      <c r="B737" s="53" t="s">
        <v>902</v>
      </c>
      <c r="C737" s="13"/>
      <c r="D737" s="14"/>
      <c r="E737" s="14"/>
      <c r="F737" s="14"/>
      <c r="G737" s="50"/>
      <c r="H737" s="51"/>
      <c r="I737" s="17"/>
      <c r="J737" s="56"/>
      <c r="K737" s="56"/>
    </row>
    <row r="738" spans="1:11" ht="29.25">
      <c r="A738" s="11">
        <v>51999</v>
      </c>
      <c r="B738" s="53" t="s">
        <v>903</v>
      </c>
      <c r="C738" s="13"/>
      <c r="D738" s="14" t="s">
        <v>18</v>
      </c>
      <c r="E738" s="14" t="s">
        <v>28</v>
      </c>
      <c r="F738" s="14" t="s">
        <v>27</v>
      </c>
      <c r="G738" s="50">
        <v>1000</v>
      </c>
      <c r="H738" s="51"/>
      <c r="I738" s="17">
        <f t="shared" si="13"/>
        <v>1000</v>
      </c>
      <c r="J738" s="56"/>
      <c r="K738" s="56"/>
    </row>
    <row r="739" spans="1:11" ht="44.25">
      <c r="A739" s="11">
        <v>54111</v>
      </c>
      <c r="B739" s="53" t="s">
        <v>904</v>
      </c>
      <c r="C739" s="13"/>
      <c r="D739" s="14" t="s">
        <v>18</v>
      </c>
      <c r="E739" s="14" t="s">
        <v>28</v>
      </c>
      <c r="F739" s="14" t="s">
        <v>27</v>
      </c>
      <c r="G739" s="50">
        <v>1000</v>
      </c>
      <c r="H739" s="51"/>
      <c r="I739" s="17">
        <f t="shared" si="13"/>
        <v>1000</v>
      </c>
      <c r="J739" s="56"/>
      <c r="K739" s="56"/>
    </row>
    <row r="740" spans="1:11" ht="43.5">
      <c r="A740" s="11">
        <v>54118</v>
      </c>
      <c r="B740" s="53" t="s">
        <v>905</v>
      </c>
      <c r="C740" s="13"/>
      <c r="D740" s="14" t="s">
        <v>18</v>
      </c>
      <c r="E740" s="14" t="s">
        <v>28</v>
      </c>
      <c r="F740" s="14" t="s">
        <v>27</v>
      </c>
      <c r="G740" s="50">
        <v>1000</v>
      </c>
      <c r="H740" s="51"/>
      <c r="I740" s="17">
        <f t="shared" si="13"/>
        <v>1000</v>
      </c>
      <c r="J740" s="56"/>
      <c r="K740" s="56"/>
    </row>
    <row r="741" spans="1:11" ht="44.25">
      <c r="A741" s="11">
        <v>54313</v>
      </c>
      <c r="B741" s="53" t="s">
        <v>906</v>
      </c>
      <c r="C741" s="13"/>
      <c r="D741" s="14" t="s">
        <v>18</v>
      </c>
      <c r="E741" s="14" t="s">
        <v>28</v>
      </c>
      <c r="F741" s="14" t="s">
        <v>27</v>
      </c>
      <c r="G741" s="50">
        <v>100</v>
      </c>
      <c r="H741" s="51"/>
      <c r="I741" s="17">
        <f t="shared" si="13"/>
        <v>100</v>
      </c>
      <c r="J741" s="56"/>
      <c r="K741" s="56"/>
    </row>
    <row r="742" spans="1:11" ht="44.25">
      <c r="A742" s="11">
        <v>54399</v>
      </c>
      <c r="B742" s="53" t="s">
        <v>907</v>
      </c>
      <c r="C742" s="13"/>
      <c r="D742" s="14" t="s">
        <v>18</v>
      </c>
      <c r="E742" s="14" t="s">
        <v>28</v>
      </c>
      <c r="F742" s="14" t="s">
        <v>27</v>
      </c>
      <c r="G742" s="50">
        <v>1890</v>
      </c>
      <c r="H742" s="51"/>
      <c r="I742" s="17">
        <f t="shared" si="13"/>
        <v>1890</v>
      </c>
      <c r="J742" s="56"/>
      <c r="K742" s="56"/>
    </row>
    <row r="743" spans="1:11" ht="29.25">
      <c r="A743" s="11">
        <v>55603</v>
      </c>
      <c r="B743" s="53" t="s">
        <v>908</v>
      </c>
      <c r="C743" s="13"/>
      <c r="D743" s="14" t="s">
        <v>18</v>
      </c>
      <c r="E743" s="14" t="s">
        <v>28</v>
      </c>
      <c r="F743" s="14" t="s">
        <v>27</v>
      </c>
      <c r="G743" s="50">
        <v>10</v>
      </c>
      <c r="H743" s="51"/>
      <c r="I743" s="17">
        <f t="shared" si="13"/>
        <v>10</v>
      </c>
      <c r="J743" s="56"/>
      <c r="K743" s="56"/>
    </row>
    <row r="744" spans="1:11" ht="45">
      <c r="A744" s="11" t="s">
        <v>909</v>
      </c>
      <c r="B744" s="53" t="s">
        <v>910</v>
      </c>
      <c r="C744" s="13"/>
      <c r="D744" s="14"/>
      <c r="E744" s="14"/>
      <c r="F744" s="14"/>
      <c r="G744" s="50"/>
      <c r="H744" s="51"/>
      <c r="I744" s="17"/>
      <c r="J744" s="56"/>
      <c r="K744" s="56"/>
    </row>
    <row r="745" spans="1:11" ht="29.25">
      <c r="A745" s="11">
        <v>51999</v>
      </c>
      <c r="B745" s="54" t="s">
        <v>911</v>
      </c>
      <c r="C745" s="13"/>
      <c r="D745" s="14" t="s">
        <v>18</v>
      </c>
      <c r="E745" s="14" t="s">
        <v>28</v>
      </c>
      <c r="F745" s="14" t="s">
        <v>27</v>
      </c>
      <c r="G745" s="50">
        <v>500</v>
      </c>
      <c r="H745" s="51"/>
      <c r="I745" s="17">
        <f t="shared" si="13"/>
        <v>500</v>
      </c>
      <c r="J745" s="56"/>
      <c r="K745" s="56"/>
    </row>
    <row r="746" spans="1:11" ht="29.25">
      <c r="A746" s="11">
        <v>54110</v>
      </c>
      <c r="B746" s="54" t="s">
        <v>912</v>
      </c>
      <c r="C746" s="13"/>
      <c r="D746" s="14" t="s">
        <v>18</v>
      </c>
      <c r="E746" s="14" t="s">
        <v>28</v>
      </c>
      <c r="F746" s="14" t="s">
        <v>27</v>
      </c>
      <c r="G746" s="50">
        <v>500</v>
      </c>
      <c r="H746" s="51"/>
      <c r="I746" s="17">
        <f t="shared" si="13"/>
        <v>500</v>
      </c>
      <c r="J746" s="56"/>
      <c r="K746" s="56"/>
    </row>
    <row r="747" spans="1:11" ht="30">
      <c r="A747" s="11">
        <v>54111</v>
      </c>
      <c r="B747" s="53" t="s">
        <v>913</v>
      </c>
      <c r="C747" s="13"/>
      <c r="D747" s="14" t="s">
        <v>18</v>
      </c>
      <c r="E747" s="14" t="s">
        <v>28</v>
      </c>
      <c r="F747" s="14" t="s">
        <v>27</v>
      </c>
      <c r="G747" s="50">
        <v>1000</v>
      </c>
      <c r="H747" s="51"/>
      <c r="I747" s="17">
        <f t="shared" si="13"/>
        <v>1000</v>
      </c>
      <c r="J747" s="56"/>
      <c r="K747" s="56"/>
    </row>
    <row r="748" spans="1:11" ht="29.25">
      <c r="A748" s="11">
        <v>54118</v>
      </c>
      <c r="B748" s="53" t="s">
        <v>914</v>
      </c>
      <c r="C748" s="13"/>
      <c r="D748" s="14" t="s">
        <v>18</v>
      </c>
      <c r="E748" s="14" t="s">
        <v>28</v>
      </c>
      <c r="F748" s="14" t="s">
        <v>27</v>
      </c>
      <c r="G748" s="50">
        <v>1000</v>
      </c>
      <c r="H748" s="51"/>
      <c r="I748" s="17">
        <f t="shared" si="13"/>
        <v>1000</v>
      </c>
      <c r="J748" s="56"/>
      <c r="K748" s="56"/>
    </row>
    <row r="749" spans="1:11" ht="29.25">
      <c r="A749" s="11">
        <v>54199</v>
      </c>
      <c r="B749" s="53" t="s">
        <v>915</v>
      </c>
      <c r="C749" s="13"/>
      <c r="D749" s="14" t="s">
        <v>18</v>
      </c>
      <c r="E749" s="14" t="s">
        <v>28</v>
      </c>
      <c r="F749" s="14" t="s">
        <v>27</v>
      </c>
      <c r="G749" s="50">
        <v>500</v>
      </c>
      <c r="H749" s="51"/>
      <c r="I749" s="17">
        <f t="shared" si="13"/>
        <v>500</v>
      </c>
      <c r="J749" s="56"/>
      <c r="K749" s="56"/>
    </row>
    <row r="750" spans="1:11" ht="44.25">
      <c r="A750" s="11">
        <v>54313</v>
      </c>
      <c r="B750" s="53" t="s">
        <v>916</v>
      </c>
      <c r="C750" s="13"/>
      <c r="D750" s="14" t="s">
        <v>18</v>
      </c>
      <c r="E750" s="14" t="s">
        <v>28</v>
      </c>
      <c r="F750" s="14" t="s">
        <v>27</v>
      </c>
      <c r="G750" s="50">
        <v>600</v>
      </c>
      <c r="H750" s="51"/>
      <c r="I750" s="17">
        <f t="shared" si="13"/>
        <v>600</v>
      </c>
      <c r="J750" s="56"/>
      <c r="K750" s="56"/>
    </row>
    <row r="751" spans="1:11" ht="30">
      <c r="A751" s="11">
        <v>54399</v>
      </c>
      <c r="B751" s="53" t="s">
        <v>917</v>
      </c>
      <c r="C751" s="13"/>
      <c r="D751" s="14" t="s">
        <v>18</v>
      </c>
      <c r="E751" s="14" t="s">
        <v>28</v>
      </c>
      <c r="F751" s="14" t="s">
        <v>27</v>
      </c>
      <c r="G751" s="50">
        <v>890</v>
      </c>
      <c r="H751" s="51"/>
      <c r="I751" s="17">
        <f t="shared" si="13"/>
        <v>890</v>
      </c>
      <c r="J751" s="56"/>
      <c r="K751" s="56"/>
    </row>
    <row r="752" spans="1:11" ht="29.25">
      <c r="A752" s="11">
        <v>55603</v>
      </c>
      <c r="B752" s="53" t="s">
        <v>918</v>
      </c>
      <c r="C752" s="13"/>
      <c r="D752" s="14" t="s">
        <v>18</v>
      </c>
      <c r="E752" s="14" t="s">
        <v>28</v>
      </c>
      <c r="F752" s="14" t="s">
        <v>27</v>
      </c>
      <c r="G752" s="50">
        <v>10</v>
      </c>
      <c r="H752" s="51"/>
      <c r="I752" s="17">
        <f t="shared" si="13"/>
        <v>10</v>
      </c>
      <c r="J752" s="56"/>
      <c r="K752" s="56"/>
    </row>
    <row r="753" spans="1:48" ht="74.25">
      <c r="A753" s="11">
        <v>43</v>
      </c>
      <c r="B753" s="53" t="s">
        <v>964</v>
      </c>
      <c r="C753" s="13"/>
      <c r="D753" s="14"/>
      <c r="E753" s="14"/>
      <c r="F753" s="14"/>
      <c r="G753" s="50"/>
      <c r="H753" s="51"/>
      <c r="I753" s="17"/>
      <c r="J753" s="56"/>
      <c r="K753" s="56"/>
    </row>
    <row r="754" spans="1:48" s="178" customFormat="1" ht="45">
      <c r="A754" s="1" t="s">
        <v>19</v>
      </c>
      <c r="B754" s="179" t="s">
        <v>965</v>
      </c>
      <c r="C754" s="180"/>
      <c r="D754" s="14" t="s">
        <v>18</v>
      </c>
      <c r="E754" s="14" t="s">
        <v>28</v>
      </c>
      <c r="F754" s="14" t="s">
        <v>27</v>
      </c>
      <c r="G754" s="170">
        <v>24000</v>
      </c>
      <c r="H754" s="181"/>
      <c r="I754" s="17">
        <f t="shared" si="13"/>
        <v>24000</v>
      </c>
      <c r="J754" s="136"/>
      <c r="K754" s="136"/>
    </row>
    <row r="755" spans="1:48" ht="29.25">
      <c r="A755" s="11">
        <v>54118</v>
      </c>
      <c r="B755" s="53" t="s">
        <v>919</v>
      </c>
      <c r="C755" s="13"/>
      <c r="D755" s="14" t="s">
        <v>18</v>
      </c>
      <c r="E755" s="14" t="s">
        <v>28</v>
      </c>
      <c r="F755" s="14" t="s">
        <v>27</v>
      </c>
      <c r="G755" s="50">
        <v>290</v>
      </c>
      <c r="H755" s="51"/>
      <c r="I755" s="17">
        <f t="shared" si="13"/>
        <v>290</v>
      </c>
      <c r="J755" s="56"/>
      <c r="K755" s="56"/>
    </row>
    <row r="756" spans="1:48" ht="44.25">
      <c r="A756" s="11">
        <v>54313</v>
      </c>
      <c r="B756" s="168" t="s">
        <v>920</v>
      </c>
      <c r="C756" s="13"/>
      <c r="D756" s="14" t="s">
        <v>18</v>
      </c>
      <c r="E756" s="14" t="s">
        <v>28</v>
      </c>
      <c r="F756" s="14" t="s">
        <v>27</v>
      </c>
      <c r="G756" s="50">
        <v>300</v>
      </c>
      <c r="H756" s="51"/>
      <c r="I756" s="17">
        <f t="shared" si="13"/>
        <v>300</v>
      </c>
      <c r="J756" s="56"/>
      <c r="K756" s="56"/>
    </row>
    <row r="757" spans="1:48" ht="29.25">
      <c r="A757" s="11">
        <v>56303</v>
      </c>
      <c r="B757" s="53" t="s">
        <v>921</v>
      </c>
      <c r="C757" s="13"/>
      <c r="D757" s="14" t="s">
        <v>18</v>
      </c>
      <c r="E757" s="14" t="s">
        <v>28</v>
      </c>
      <c r="F757" s="14" t="s">
        <v>27</v>
      </c>
      <c r="G757" s="50">
        <v>400</v>
      </c>
      <c r="H757" s="51"/>
      <c r="I757" s="17">
        <f t="shared" si="13"/>
        <v>400</v>
      </c>
      <c r="J757" s="56"/>
      <c r="K757" s="56"/>
    </row>
    <row r="758" spans="1:48" ht="29.25">
      <c r="A758" s="11">
        <v>55603</v>
      </c>
      <c r="B758" s="53" t="s">
        <v>922</v>
      </c>
      <c r="C758" s="13"/>
      <c r="D758" s="14" t="s">
        <v>18</v>
      </c>
      <c r="E758" s="14" t="s">
        <v>28</v>
      </c>
      <c r="F758" s="14" t="s">
        <v>27</v>
      </c>
      <c r="G758" s="50">
        <v>10</v>
      </c>
      <c r="H758" s="51">
        <f>2.83</f>
        <v>2.83</v>
      </c>
      <c r="I758" s="17">
        <f t="shared" si="13"/>
        <v>7.17</v>
      </c>
      <c r="J758" s="56"/>
      <c r="K758" s="56"/>
    </row>
    <row r="759" spans="1:48" ht="103.5">
      <c r="A759" s="11" t="s">
        <v>923</v>
      </c>
      <c r="B759" s="53" t="s">
        <v>924</v>
      </c>
      <c r="C759" s="13"/>
      <c r="D759" s="14" t="s">
        <v>18</v>
      </c>
      <c r="E759" s="14" t="s">
        <v>28</v>
      </c>
      <c r="F759" s="14" t="s">
        <v>27</v>
      </c>
      <c r="G759" s="50">
        <v>85682.41</v>
      </c>
      <c r="H759" s="51"/>
      <c r="I759" s="17">
        <f t="shared" si="13"/>
        <v>85682.41</v>
      </c>
      <c r="J759" s="56"/>
      <c r="K759" s="56"/>
    </row>
    <row r="760" spans="1:48">
      <c r="A760" s="38"/>
      <c r="B760" s="161" t="s">
        <v>975</v>
      </c>
      <c r="C760" s="39"/>
      <c r="D760" s="39"/>
      <c r="E760" s="39"/>
      <c r="F760" s="39"/>
      <c r="G760" s="40">
        <f>SUM(G401:G759)</f>
        <v>1016414.4500000001</v>
      </c>
      <c r="H760" s="95">
        <f>SUM(H401:H759)</f>
        <v>37898.409999999996</v>
      </c>
      <c r="I760" s="40">
        <f>SUM(I401:I759)</f>
        <v>978516.04</v>
      </c>
      <c r="J760" s="40"/>
      <c r="K760" s="40"/>
    </row>
    <row r="761" spans="1:48" s="198" customFormat="1" ht="42" customHeight="1" thickBot="1">
      <c r="A761" s="191" t="s">
        <v>925</v>
      </c>
      <c r="B761" s="192" t="s">
        <v>926</v>
      </c>
      <c r="C761" s="193"/>
      <c r="D761" s="194" t="s">
        <v>20</v>
      </c>
      <c r="E761" s="194" t="s">
        <v>31</v>
      </c>
      <c r="F761" s="194" t="s">
        <v>27</v>
      </c>
      <c r="G761" s="195">
        <v>55400</v>
      </c>
      <c r="H761" s="195">
        <v>32146.45</v>
      </c>
      <c r="I761" s="196">
        <f t="shared" si="13"/>
        <v>23253.55</v>
      </c>
      <c r="J761" s="197"/>
      <c r="K761" s="197"/>
      <c r="M761" s="199"/>
      <c r="N761" s="199"/>
      <c r="O761" s="199"/>
      <c r="P761" s="199"/>
      <c r="Q761" s="199"/>
      <c r="R761" s="199"/>
      <c r="S761" s="199"/>
      <c r="T761" s="199"/>
      <c r="U761" s="199"/>
      <c r="V761" s="199"/>
      <c r="W761" s="199"/>
      <c r="X761" s="199"/>
      <c r="Y761" s="199"/>
      <c r="Z761" s="199"/>
      <c r="AA761" s="199"/>
      <c r="AB761" s="199"/>
      <c r="AC761" s="199"/>
      <c r="AD761" s="199"/>
      <c r="AE761" s="199"/>
      <c r="AF761" s="199"/>
      <c r="AG761" s="199"/>
      <c r="AH761" s="199"/>
      <c r="AI761" s="199"/>
      <c r="AJ761" s="199"/>
      <c r="AK761" s="199"/>
      <c r="AL761" s="199"/>
      <c r="AM761" s="199"/>
      <c r="AN761" s="199"/>
      <c r="AO761" s="199"/>
      <c r="AP761" s="199"/>
      <c r="AQ761" s="199"/>
      <c r="AR761" s="199"/>
      <c r="AS761" s="199"/>
      <c r="AT761" s="199"/>
      <c r="AU761" s="199"/>
      <c r="AV761" s="199"/>
    </row>
    <row r="762" spans="1:48" s="199" customFormat="1" ht="23.25" customHeight="1" thickBot="1">
      <c r="A762" s="38"/>
      <c r="B762" s="161" t="s">
        <v>21</v>
      </c>
      <c r="C762" s="39"/>
      <c r="D762" s="39"/>
      <c r="E762" s="39"/>
      <c r="F762" s="39"/>
      <c r="G762" s="40">
        <f>SUM(G761)</f>
        <v>55400</v>
      </c>
      <c r="H762" s="95">
        <f>SUM(H761)</f>
        <v>32146.45</v>
      </c>
      <c r="I762" s="196">
        <f t="shared" si="13"/>
        <v>23253.55</v>
      </c>
      <c r="J762" s="40"/>
      <c r="K762" s="40"/>
    </row>
    <row r="763" spans="1:48" s="171" customFormat="1" ht="45">
      <c r="A763" s="184" t="s">
        <v>929</v>
      </c>
      <c r="B763" s="185" t="s">
        <v>928</v>
      </c>
      <c r="C763" s="186"/>
      <c r="D763" s="187" t="s">
        <v>22</v>
      </c>
      <c r="E763" s="187" t="s">
        <v>31</v>
      </c>
      <c r="F763" s="187" t="s">
        <v>27</v>
      </c>
      <c r="G763" s="188">
        <v>1100</v>
      </c>
      <c r="H763" s="188">
        <v>456.61</v>
      </c>
      <c r="I763" s="189">
        <f t="shared" si="13"/>
        <v>643.39</v>
      </c>
      <c r="J763" s="190"/>
      <c r="K763" s="190"/>
    </row>
    <row r="764" spans="1:48" s="171" customFormat="1" ht="63" customHeight="1">
      <c r="A764" s="175" t="s">
        <v>927</v>
      </c>
      <c r="B764" s="174" t="s">
        <v>978</v>
      </c>
      <c r="C764" s="139"/>
      <c r="D764" s="14" t="s">
        <v>22</v>
      </c>
      <c r="E764" s="14" t="s">
        <v>31</v>
      </c>
      <c r="F764" s="14" t="s">
        <v>27</v>
      </c>
      <c r="G764" s="170">
        <v>1500</v>
      </c>
      <c r="H764" s="135">
        <v>403.24</v>
      </c>
      <c r="I764" s="17">
        <f t="shared" si="13"/>
        <v>1096.76</v>
      </c>
      <c r="J764" s="140"/>
      <c r="K764" s="140"/>
    </row>
    <row r="765" spans="1:48">
      <c r="A765" s="38"/>
      <c r="B765" s="161" t="s">
        <v>23</v>
      </c>
      <c r="C765" s="39"/>
      <c r="D765" s="39"/>
      <c r="E765" s="39"/>
      <c r="F765" s="39"/>
      <c r="G765" s="40">
        <f>SUM(G763:G764)</f>
        <v>2600</v>
      </c>
      <c r="H765" s="95">
        <f>SUM(H763:H764)</f>
        <v>859.85</v>
      </c>
      <c r="I765" s="17">
        <f t="shared" si="13"/>
        <v>1740.15</v>
      </c>
      <c r="J765" s="40"/>
      <c r="K765" s="40"/>
    </row>
    <row r="766" spans="1:48" s="171" customFormat="1" ht="98.25" customHeight="1">
      <c r="A766" s="169"/>
      <c r="B766" s="174" t="s">
        <v>930</v>
      </c>
      <c r="C766" s="139"/>
      <c r="D766" s="139"/>
      <c r="E766" s="139"/>
      <c r="F766" s="139"/>
      <c r="G766" s="170"/>
      <c r="H766" s="170"/>
      <c r="I766" s="140"/>
      <c r="J766" s="140"/>
      <c r="K766" s="140"/>
    </row>
    <row r="767" spans="1:48" s="171" customFormat="1" ht="30">
      <c r="A767" s="182">
        <v>51999</v>
      </c>
      <c r="B767" s="173" t="s">
        <v>933</v>
      </c>
      <c r="C767" s="139"/>
      <c r="D767" s="14" t="s">
        <v>11</v>
      </c>
      <c r="E767" s="14" t="s">
        <v>25</v>
      </c>
      <c r="F767" s="14" t="s">
        <v>27</v>
      </c>
      <c r="G767" s="170">
        <v>15000</v>
      </c>
      <c r="H767" s="170">
        <f>1500+550+1300+1500</f>
        <v>4850</v>
      </c>
      <c r="I767" s="17">
        <f t="shared" ref="I767:I802" si="14">G767-H767+J767-K767</f>
        <v>10150</v>
      </c>
      <c r="J767" s="140"/>
      <c r="K767" s="140"/>
    </row>
    <row r="768" spans="1:48" s="171" customFormat="1">
      <c r="A768" s="182">
        <v>54199</v>
      </c>
      <c r="B768" s="173" t="s">
        <v>931</v>
      </c>
      <c r="C768" s="139"/>
      <c r="D768" s="14" t="s">
        <v>11</v>
      </c>
      <c r="E768" s="14" t="s">
        <v>25</v>
      </c>
      <c r="F768" s="14" t="s">
        <v>27</v>
      </c>
      <c r="G768" s="170">
        <v>3000</v>
      </c>
      <c r="H768" s="170"/>
      <c r="I768" s="17">
        <f t="shared" si="14"/>
        <v>3000</v>
      </c>
      <c r="J768" s="140"/>
      <c r="K768" s="140"/>
    </row>
    <row r="769" spans="1:11" s="171" customFormat="1">
      <c r="A769" s="182">
        <v>55799</v>
      </c>
      <c r="B769" s="173" t="s">
        <v>932</v>
      </c>
      <c r="C769" s="139"/>
      <c r="D769" s="14" t="s">
        <v>11</v>
      </c>
      <c r="E769" s="14" t="s">
        <v>25</v>
      </c>
      <c r="F769" s="14" t="s">
        <v>27</v>
      </c>
      <c r="G769" s="170">
        <v>3413.68</v>
      </c>
      <c r="H769" s="170"/>
      <c r="I769" s="17">
        <f t="shared" si="14"/>
        <v>3413.68</v>
      </c>
      <c r="J769" s="140"/>
      <c r="K769" s="140"/>
    </row>
    <row r="770" spans="1:11" s="171" customFormat="1" ht="71.25">
      <c r="A770" s="176"/>
      <c r="B770" s="173" t="s">
        <v>934</v>
      </c>
      <c r="C770" s="139"/>
      <c r="D770" s="139"/>
      <c r="E770" s="139"/>
      <c r="F770" s="139"/>
      <c r="G770" s="140"/>
      <c r="H770" s="170"/>
      <c r="I770" s="17"/>
      <c r="J770" s="140"/>
      <c r="K770" s="140"/>
    </row>
    <row r="771" spans="1:11" s="171" customFormat="1" ht="29.25">
      <c r="A771" s="176">
        <v>51202</v>
      </c>
      <c r="B771" s="173" t="s">
        <v>954</v>
      </c>
      <c r="C771" s="139"/>
      <c r="D771" s="14" t="s">
        <v>11</v>
      </c>
      <c r="E771" s="14" t="s">
        <v>25</v>
      </c>
      <c r="F771" s="14" t="s">
        <v>27</v>
      </c>
      <c r="G771" s="170">
        <v>12000</v>
      </c>
      <c r="H771" s="170">
        <v>802.21</v>
      </c>
      <c r="I771" s="17">
        <f t="shared" si="14"/>
        <v>11197.79</v>
      </c>
      <c r="J771" s="140"/>
      <c r="K771" s="140"/>
    </row>
    <row r="772" spans="1:11" s="171" customFormat="1" ht="29.25">
      <c r="A772" s="176">
        <v>51999</v>
      </c>
      <c r="B772" s="177" t="s">
        <v>935</v>
      </c>
      <c r="C772" s="139"/>
      <c r="D772" s="14" t="s">
        <v>11</v>
      </c>
      <c r="E772" s="14" t="s">
        <v>25</v>
      </c>
      <c r="F772" s="14" t="s">
        <v>27</v>
      </c>
      <c r="G772" s="170">
        <v>1000</v>
      </c>
      <c r="H772" s="170"/>
      <c r="I772" s="17">
        <f t="shared" si="14"/>
        <v>1000</v>
      </c>
      <c r="J772" s="140"/>
      <c r="K772" s="140"/>
    </row>
    <row r="773" spans="1:11" s="171" customFormat="1" ht="29.25">
      <c r="A773" s="176">
        <v>54110</v>
      </c>
      <c r="B773" s="177" t="s">
        <v>936</v>
      </c>
      <c r="C773" s="139"/>
      <c r="D773" s="14" t="s">
        <v>11</v>
      </c>
      <c r="E773" s="14" t="s">
        <v>25</v>
      </c>
      <c r="F773" s="14" t="s">
        <v>27</v>
      </c>
      <c r="G773" s="170">
        <v>2000</v>
      </c>
      <c r="H773" s="170"/>
      <c r="I773" s="17">
        <f t="shared" si="14"/>
        <v>2000</v>
      </c>
      <c r="J773" s="140"/>
      <c r="K773" s="140"/>
    </row>
    <row r="774" spans="1:11" s="171" customFormat="1" ht="44.25">
      <c r="A774" s="176">
        <v>54111</v>
      </c>
      <c r="B774" s="173" t="s">
        <v>937</v>
      </c>
      <c r="C774" s="139"/>
      <c r="D774" s="14" t="s">
        <v>11</v>
      </c>
      <c r="E774" s="14" t="s">
        <v>25</v>
      </c>
      <c r="F774" s="14" t="s">
        <v>27</v>
      </c>
      <c r="G774" s="170">
        <v>15000</v>
      </c>
      <c r="H774" s="170"/>
      <c r="I774" s="17">
        <f t="shared" si="14"/>
        <v>15000</v>
      </c>
      <c r="J774" s="140"/>
      <c r="K774" s="140"/>
    </row>
    <row r="775" spans="1:11" s="171" customFormat="1" ht="44.25">
      <c r="A775" s="176">
        <v>54112</v>
      </c>
      <c r="B775" s="173" t="s">
        <v>938</v>
      </c>
      <c r="C775" s="139"/>
      <c r="D775" s="14" t="s">
        <v>11</v>
      </c>
      <c r="E775" s="14" t="s">
        <v>25</v>
      </c>
      <c r="F775" s="14" t="s">
        <v>27</v>
      </c>
      <c r="G775" s="170">
        <v>6000</v>
      </c>
      <c r="H775" s="170"/>
      <c r="I775" s="17">
        <f t="shared" si="14"/>
        <v>6000</v>
      </c>
      <c r="J775" s="140"/>
      <c r="K775" s="140"/>
    </row>
    <row r="776" spans="1:11" s="171" customFormat="1" ht="29.25">
      <c r="A776" s="176">
        <v>54118</v>
      </c>
      <c r="B776" s="173" t="s">
        <v>939</v>
      </c>
      <c r="C776" s="139"/>
      <c r="D776" s="14" t="s">
        <v>11</v>
      </c>
      <c r="E776" s="14" t="s">
        <v>25</v>
      </c>
      <c r="F776" s="14" t="s">
        <v>27</v>
      </c>
      <c r="G776" s="170">
        <v>3000</v>
      </c>
      <c r="H776" s="170"/>
      <c r="I776" s="17">
        <f t="shared" si="14"/>
        <v>3000</v>
      </c>
      <c r="J776" s="140"/>
      <c r="K776" s="140"/>
    </row>
    <row r="777" spans="1:11" s="171" customFormat="1" ht="29.25">
      <c r="A777" s="176">
        <v>54304</v>
      </c>
      <c r="B777" s="173" t="s">
        <v>940</v>
      </c>
      <c r="C777" s="139"/>
      <c r="D777" s="14" t="s">
        <v>11</v>
      </c>
      <c r="E777" s="14" t="s">
        <v>25</v>
      </c>
      <c r="F777" s="14" t="s">
        <v>27</v>
      </c>
      <c r="G777" s="170">
        <v>8000</v>
      </c>
      <c r="H777" s="170"/>
      <c r="I777" s="17">
        <f t="shared" si="14"/>
        <v>8000</v>
      </c>
      <c r="J777" s="140"/>
      <c r="K777" s="140"/>
    </row>
    <row r="778" spans="1:11" s="171" customFormat="1" ht="44.25">
      <c r="A778" s="176">
        <v>54313</v>
      </c>
      <c r="B778" s="173" t="s">
        <v>941</v>
      </c>
      <c r="C778" s="139"/>
      <c r="D778" s="14" t="s">
        <v>11</v>
      </c>
      <c r="E778" s="14" t="s">
        <v>25</v>
      </c>
      <c r="F778" s="14" t="s">
        <v>27</v>
      </c>
      <c r="G778" s="170">
        <v>1000</v>
      </c>
      <c r="H778" s="170"/>
      <c r="I778" s="17">
        <f t="shared" si="14"/>
        <v>1000</v>
      </c>
      <c r="J778" s="140"/>
      <c r="K778" s="140"/>
    </row>
    <row r="779" spans="1:11" s="171" customFormat="1" ht="44.25">
      <c r="A779" s="176">
        <v>54399</v>
      </c>
      <c r="B779" s="173" t="s">
        <v>942</v>
      </c>
      <c r="C779" s="139"/>
      <c r="D779" s="14" t="s">
        <v>11</v>
      </c>
      <c r="E779" s="14" t="s">
        <v>25</v>
      </c>
      <c r="F779" s="14" t="s">
        <v>27</v>
      </c>
      <c r="G779" s="170">
        <v>1995</v>
      </c>
      <c r="H779" s="170"/>
      <c r="I779" s="17">
        <f t="shared" si="14"/>
        <v>1995</v>
      </c>
      <c r="J779" s="140"/>
      <c r="K779" s="140"/>
    </row>
    <row r="780" spans="1:11" s="171" customFormat="1" ht="29.25">
      <c r="A780" s="176">
        <v>55603</v>
      </c>
      <c r="B780" s="173" t="s">
        <v>943</v>
      </c>
      <c r="C780" s="139"/>
      <c r="D780" s="14" t="s">
        <v>11</v>
      </c>
      <c r="E780" s="14" t="s">
        <v>25</v>
      </c>
      <c r="F780" s="14" t="s">
        <v>27</v>
      </c>
      <c r="G780" s="170">
        <v>5</v>
      </c>
      <c r="H780" s="170"/>
      <c r="I780" s="17">
        <f t="shared" si="14"/>
        <v>5</v>
      </c>
      <c r="J780" s="140"/>
      <c r="K780" s="140"/>
    </row>
    <row r="781" spans="1:11" s="171" customFormat="1" ht="85.5">
      <c r="A781" s="169"/>
      <c r="B781" s="172" t="s">
        <v>973</v>
      </c>
      <c r="C781" s="139"/>
      <c r="D781" s="14"/>
      <c r="E781" s="14"/>
      <c r="F781" s="14"/>
      <c r="G781" s="170"/>
      <c r="H781" s="170"/>
      <c r="I781" s="17"/>
      <c r="J781" s="140"/>
      <c r="K781" s="140"/>
    </row>
    <row r="782" spans="1:11" s="171" customFormat="1" ht="29.25">
      <c r="A782" s="176">
        <v>51202</v>
      </c>
      <c r="B782" s="173" t="s">
        <v>944</v>
      </c>
      <c r="C782" s="139"/>
      <c r="D782" s="14" t="s">
        <v>11</v>
      </c>
      <c r="E782" s="14" t="s">
        <v>25</v>
      </c>
      <c r="F782" s="14" t="s">
        <v>27</v>
      </c>
      <c r="G782" s="170">
        <v>15000</v>
      </c>
      <c r="H782" s="170">
        <v>466.67</v>
      </c>
      <c r="I782" s="17">
        <f t="shared" si="14"/>
        <v>14533.33</v>
      </c>
      <c r="J782" s="140"/>
      <c r="K782" s="140"/>
    </row>
    <row r="783" spans="1:11" s="171" customFormat="1" ht="29.25">
      <c r="A783" s="176">
        <v>51999</v>
      </c>
      <c r="B783" s="173" t="s">
        <v>946</v>
      </c>
      <c r="C783" s="139"/>
      <c r="D783" s="14" t="s">
        <v>11</v>
      </c>
      <c r="E783" s="14" t="s">
        <v>25</v>
      </c>
      <c r="F783" s="14" t="s">
        <v>27</v>
      </c>
      <c r="G783" s="170">
        <v>1000</v>
      </c>
      <c r="H783" s="170"/>
      <c r="I783" s="17">
        <f t="shared" si="14"/>
        <v>1000</v>
      </c>
      <c r="J783" s="140"/>
      <c r="K783" s="140"/>
    </row>
    <row r="784" spans="1:11" s="171" customFormat="1" ht="29.25">
      <c r="A784" s="176">
        <v>54110</v>
      </c>
      <c r="B784" s="173" t="s">
        <v>945</v>
      </c>
      <c r="C784" s="139"/>
      <c r="D784" s="14" t="s">
        <v>11</v>
      </c>
      <c r="E784" s="14" t="s">
        <v>25</v>
      </c>
      <c r="F784" s="14" t="s">
        <v>27</v>
      </c>
      <c r="G784" s="170">
        <v>2000</v>
      </c>
      <c r="H784" s="170"/>
      <c r="I784" s="17">
        <f t="shared" si="14"/>
        <v>2000</v>
      </c>
      <c r="J784" s="140"/>
      <c r="K784" s="140"/>
    </row>
    <row r="785" spans="1:11" s="171" customFormat="1" ht="41.25" customHeight="1">
      <c r="A785" s="176">
        <v>54111</v>
      </c>
      <c r="B785" s="173" t="s">
        <v>947</v>
      </c>
      <c r="C785" s="139"/>
      <c r="D785" s="14" t="s">
        <v>11</v>
      </c>
      <c r="E785" s="14" t="s">
        <v>25</v>
      </c>
      <c r="F785" s="14" t="s">
        <v>27</v>
      </c>
      <c r="G785" s="170">
        <v>18000</v>
      </c>
      <c r="H785" s="170"/>
      <c r="I785" s="17">
        <f t="shared" si="14"/>
        <v>18000</v>
      </c>
      <c r="J785" s="140"/>
      <c r="K785" s="140"/>
    </row>
    <row r="786" spans="1:11" s="171" customFormat="1" ht="35.25" customHeight="1">
      <c r="A786" s="176">
        <v>54112</v>
      </c>
      <c r="B786" s="173" t="s">
        <v>948</v>
      </c>
      <c r="C786" s="139"/>
      <c r="D786" s="14" t="s">
        <v>11</v>
      </c>
      <c r="E786" s="14" t="s">
        <v>25</v>
      </c>
      <c r="F786" s="14" t="s">
        <v>27</v>
      </c>
      <c r="G786" s="170">
        <v>6000</v>
      </c>
      <c r="H786" s="170"/>
      <c r="I786" s="17">
        <f t="shared" si="14"/>
        <v>6000</v>
      </c>
      <c r="J786" s="140"/>
      <c r="K786" s="140"/>
    </row>
    <row r="787" spans="1:11" s="171" customFormat="1" ht="29.25">
      <c r="A787" s="176">
        <v>54118</v>
      </c>
      <c r="B787" s="173" t="s">
        <v>949</v>
      </c>
      <c r="C787" s="139"/>
      <c r="D787" s="14" t="s">
        <v>11</v>
      </c>
      <c r="E787" s="14" t="s">
        <v>25</v>
      </c>
      <c r="F787" s="14" t="s">
        <v>27</v>
      </c>
      <c r="G787" s="170">
        <v>3000</v>
      </c>
      <c r="H787" s="170"/>
      <c r="I787" s="17">
        <f t="shared" si="14"/>
        <v>3000</v>
      </c>
      <c r="J787" s="140"/>
      <c r="K787" s="140"/>
    </row>
    <row r="788" spans="1:11" s="171" customFormat="1" ht="29.25">
      <c r="A788" s="176">
        <v>54304</v>
      </c>
      <c r="B788" s="173" t="s">
        <v>950</v>
      </c>
      <c r="C788" s="139"/>
      <c r="D788" s="14" t="s">
        <v>11</v>
      </c>
      <c r="E788" s="14" t="s">
        <v>25</v>
      </c>
      <c r="F788" s="14" t="s">
        <v>27</v>
      </c>
      <c r="G788" s="170">
        <v>12000</v>
      </c>
      <c r="H788" s="170"/>
      <c r="I788" s="17">
        <f t="shared" si="14"/>
        <v>12000</v>
      </c>
      <c r="J788" s="140"/>
      <c r="K788" s="140"/>
    </row>
    <row r="789" spans="1:11" s="171" customFormat="1" ht="44.25">
      <c r="A789" s="176">
        <v>54313</v>
      </c>
      <c r="B789" s="173" t="s">
        <v>951</v>
      </c>
      <c r="C789" s="139"/>
      <c r="D789" s="14" t="s">
        <v>11</v>
      </c>
      <c r="E789" s="14" t="s">
        <v>25</v>
      </c>
      <c r="F789" s="14" t="s">
        <v>27</v>
      </c>
      <c r="G789" s="170">
        <v>1000</v>
      </c>
      <c r="H789" s="170"/>
      <c r="I789" s="17">
        <f t="shared" si="14"/>
        <v>1000</v>
      </c>
      <c r="J789" s="140"/>
      <c r="K789" s="140"/>
    </row>
    <row r="790" spans="1:11" s="171" customFormat="1" ht="44.25">
      <c r="A790" s="176">
        <v>54399</v>
      </c>
      <c r="B790" s="173" t="s">
        <v>952</v>
      </c>
      <c r="C790" s="139"/>
      <c r="D790" s="14" t="s">
        <v>11</v>
      </c>
      <c r="E790" s="14" t="s">
        <v>25</v>
      </c>
      <c r="F790" s="14" t="s">
        <v>27</v>
      </c>
      <c r="G790" s="170">
        <v>1995</v>
      </c>
      <c r="H790" s="170"/>
      <c r="I790" s="17">
        <f t="shared" si="14"/>
        <v>1995</v>
      </c>
      <c r="J790" s="140"/>
      <c r="K790" s="140"/>
    </row>
    <row r="791" spans="1:11" s="171" customFormat="1" ht="29.25">
      <c r="A791" s="176">
        <v>55603</v>
      </c>
      <c r="B791" s="173" t="s">
        <v>953</v>
      </c>
      <c r="C791" s="139"/>
      <c r="D791" s="14" t="s">
        <v>11</v>
      </c>
      <c r="E791" s="14" t="s">
        <v>25</v>
      </c>
      <c r="F791" s="14" t="s">
        <v>27</v>
      </c>
      <c r="G791" s="170">
        <v>5</v>
      </c>
      <c r="H791" s="170"/>
      <c r="I791" s="17">
        <f t="shared" si="14"/>
        <v>5</v>
      </c>
      <c r="J791" s="140"/>
      <c r="K791" s="140"/>
    </row>
    <row r="792" spans="1:11" s="171" customFormat="1" ht="99.75">
      <c r="A792" s="169"/>
      <c r="B792" s="172" t="s">
        <v>972</v>
      </c>
      <c r="C792" s="139"/>
      <c r="D792" s="14"/>
      <c r="E792" s="14"/>
      <c r="F792" s="14"/>
      <c r="G792" s="170"/>
      <c r="H792" s="170"/>
      <c r="I792" s="17">
        <f t="shared" si="14"/>
        <v>0</v>
      </c>
      <c r="J792" s="140"/>
      <c r="K792" s="140"/>
    </row>
    <row r="793" spans="1:11" s="171" customFormat="1" ht="29.25">
      <c r="A793" s="176">
        <v>51202</v>
      </c>
      <c r="B793" s="173" t="s">
        <v>955</v>
      </c>
      <c r="C793" s="139"/>
      <c r="D793" s="14" t="s">
        <v>11</v>
      </c>
      <c r="E793" s="14" t="s">
        <v>25</v>
      </c>
      <c r="F793" s="14" t="s">
        <v>27</v>
      </c>
      <c r="G793" s="170">
        <v>12000</v>
      </c>
      <c r="H793" s="170">
        <v>483.34</v>
      </c>
      <c r="I793" s="17">
        <f t="shared" si="14"/>
        <v>11516.66</v>
      </c>
      <c r="J793" s="140"/>
      <c r="K793" s="140"/>
    </row>
    <row r="794" spans="1:11" s="171" customFormat="1" ht="43.5">
      <c r="A794" s="176">
        <v>51999</v>
      </c>
      <c r="B794" s="173" t="s">
        <v>956</v>
      </c>
      <c r="C794" s="139"/>
      <c r="D794" s="14" t="s">
        <v>11</v>
      </c>
      <c r="E794" s="14" t="s">
        <v>25</v>
      </c>
      <c r="F794" s="14" t="s">
        <v>27</v>
      </c>
      <c r="G794" s="170">
        <v>1000</v>
      </c>
      <c r="H794" s="170"/>
      <c r="I794" s="17">
        <f t="shared" si="14"/>
        <v>1000</v>
      </c>
      <c r="J794" s="140"/>
      <c r="K794" s="140"/>
    </row>
    <row r="795" spans="1:11" s="171" customFormat="1" ht="43.5">
      <c r="A795" s="176">
        <v>54110</v>
      </c>
      <c r="B795" s="173" t="s">
        <v>957</v>
      </c>
      <c r="C795" s="139"/>
      <c r="D795" s="14" t="s">
        <v>11</v>
      </c>
      <c r="E795" s="14" t="s">
        <v>25</v>
      </c>
      <c r="F795" s="14" t="s">
        <v>27</v>
      </c>
      <c r="G795" s="170">
        <v>2000</v>
      </c>
      <c r="H795" s="170"/>
      <c r="I795" s="17">
        <f t="shared" si="14"/>
        <v>2000</v>
      </c>
      <c r="J795" s="140"/>
      <c r="K795" s="140"/>
    </row>
    <row r="796" spans="1:11" s="171" customFormat="1" ht="44.25">
      <c r="A796" s="176">
        <v>54111</v>
      </c>
      <c r="B796" s="173" t="s">
        <v>958</v>
      </c>
      <c r="C796" s="139"/>
      <c r="D796" s="14" t="s">
        <v>11</v>
      </c>
      <c r="E796" s="14" t="s">
        <v>25</v>
      </c>
      <c r="F796" s="14" t="s">
        <v>27</v>
      </c>
      <c r="G796" s="170">
        <v>15000</v>
      </c>
      <c r="H796" s="170"/>
      <c r="I796" s="17">
        <f t="shared" si="14"/>
        <v>15000</v>
      </c>
      <c r="J796" s="140"/>
      <c r="K796" s="140"/>
    </row>
    <row r="797" spans="1:11" s="171" customFormat="1" ht="44.25">
      <c r="A797" s="176">
        <v>54112</v>
      </c>
      <c r="B797" s="173" t="s">
        <v>959</v>
      </c>
      <c r="C797" s="139"/>
      <c r="D797" s="14" t="s">
        <v>11</v>
      </c>
      <c r="E797" s="14" t="s">
        <v>25</v>
      </c>
      <c r="F797" s="14" t="s">
        <v>27</v>
      </c>
      <c r="G797" s="170">
        <v>6000</v>
      </c>
      <c r="H797" s="170"/>
      <c r="I797" s="17">
        <f t="shared" si="14"/>
        <v>6000</v>
      </c>
      <c r="J797" s="140"/>
      <c r="K797" s="140"/>
    </row>
    <row r="798" spans="1:11" s="171" customFormat="1" ht="43.5">
      <c r="A798" s="176">
        <v>54118</v>
      </c>
      <c r="B798" s="173" t="s">
        <v>960</v>
      </c>
      <c r="C798" s="139"/>
      <c r="D798" s="14" t="s">
        <v>11</v>
      </c>
      <c r="E798" s="14" t="s">
        <v>25</v>
      </c>
      <c r="F798" s="14" t="s">
        <v>27</v>
      </c>
      <c r="G798" s="170">
        <v>3000</v>
      </c>
      <c r="H798" s="170"/>
      <c r="I798" s="17">
        <f t="shared" si="14"/>
        <v>3000</v>
      </c>
      <c r="J798" s="140"/>
      <c r="K798" s="140"/>
    </row>
    <row r="799" spans="1:11" s="171" customFormat="1" ht="43.5">
      <c r="A799" s="176">
        <v>54304</v>
      </c>
      <c r="B799" s="173" t="s">
        <v>961</v>
      </c>
      <c r="C799" s="139"/>
      <c r="D799" s="14" t="s">
        <v>11</v>
      </c>
      <c r="E799" s="14" t="s">
        <v>25</v>
      </c>
      <c r="F799" s="14" t="s">
        <v>27</v>
      </c>
      <c r="G799" s="170">
        <v>8000</v>
      </c>
      <c r="H799" s="170"/>
      <c r="I799" s="17">
        <f t="shared" si="14"/>
        <v>8000</v>
      </c>
      <c r="J799" s="140"/>
      <c r="K799" s="140"/>
    </row>
    <row r="800" spans="1:11" s="171" customFormat="1" ht="44.25">
      <c r="A800" s="176">
        <v>54313</v>
      </c>
      <c r="B800" s="173" t="s">
        <v>962</v>
      </c>
      <c r="C800" s="139"/>
      <c r="D800" s="14" t="s">
        <v>11</v>
      </c>
      <c r="E800" s="14" t="s">
        <v>25</v>
      </c>
      <c r="F800" s="14" t="s">
        <v>27</v>
      </c>
      <c r="G800" s="170">
        <v>1000</v>
      </c>
      <c r="H800" s="170"/>
      <c r="I800" s="17">
        <f t="shared" si="14"/>
        <v>1000</v>
      </c>
      <c r="J800" s="140"/>
      <c r="K800" s="140"/>
    </row>
    <row r="801" spans="1:11" s="171" customFormat="1" ht="44.25">
      <c r="A801" s="176">
        <v>54399</v>
      </c>
      <c r="B801" s="173" t="s">
        <v>963</v>
      </c>
      <c r="C801" s="139"/>
      <c r="D801" s="14" t="s">
        <v>11</v>
      </c>
      <c r="E801" s="14" t="s">
        <v>25</v>
      </c>
      <c r="F801" s="14" t="s">
        <v>27</v>
      </c>
      <c r="G801" s="170">
        <v>1995</v>
      </c>
      <c r="H801" s="170"/>
      <c r="I801" s="17">
        <f t="shared" si="14"/>
        <v>1995</v>
      </c>
      <c r="J801" s="140"/>
      <c r="K801" s="140"/>
    </row>
    <row r="802" spans="1:11" s="171" customFormat="1" ht="57.75">
      <c r="A802" s="176">
        <v>55603</v>
      </c>
      <c r="B802" s="173" t="s">
        <v>971</v>
      </c>
      <c r="C802" s="139"/>
      <c r="D802" s="14" t="s">
        <v>11</v>
      </c>
      <c r="E802" s="14" t="s">
        <v>25</v>
      </c>
      <c r="F802" s="14" t="s">
        <v>27</v>
      </c>
      <c r="G802" s="170">
        <v>5</v>
      </c>
      <c r="H802" s="170"/>
      <c r="I802" s="17">
        <f t="shared" si="14"/>
        <v>5</v>
      </c>
      <c r="J802" s="140"/>
      <c r="K802" s="140"/>
    </row>
    <row r="803" spans="1:11" ht="21">
      <c r="A803" s="38" t="s">
        <v>8</v>
      </c>
      <c r="B803" s="39" t="s">
        <v>24</v>
      </c>
      <c r="C803" s="39"/>
      <c r="D803" s="39" t="s">
        <v>11</v>
      </c>
      <c r="E803" s="39" t="s">
        <v>25</v>
      </c>
      <c r="F803" s="39" t="s">
        <v>32</v>
      </c>
      <c r="G803" s="40">
        <f>SUM(G766:G802)</f>
        <v>181413.68</v>
      </c>
      <c r="H803" s="95">
        <f>SUM(H766:H802)</f>
        <v>6602.22</v>
      </c>
      <c r="I803" s="40">
        <f>G803-H803+J803-K803</f>
        <v>174811.46</v>
      </c>
      <c r="J803" s="40"/>
      <c r="K803" s="40"/>
    </row>
    <row r="804" spans="1:11" ht="20.25" customHeight="1">
      <c r="A804" s="469" t="s">
        <v>124</v>
      </c>
      <c r="B804" s="469"/>
      <c r="C804" s="469"/>
      <c r="D804" s="48"/>
      <c r="E804" s="48"/>
      <c r="F804" s="48"/>
      <c r="G804" s="49">
        <f>G803+G765+G762+G760+G400+G152+G144+G132+G121+G100+G73+G60</f>
        <v>3190714.6300000004</v>
      </c>
      <c r="H804" s="51">
        <f>H803+H765+H762+H760+H400+H152+H144+H132+H121+H100+H73+H60</f>
        <v>127188.86</v>
      </c>
      <c r="I804" s="49">
        <f>I803+I765+I762+I760+I400+I152+I144+I132+I121+I100+I73+I60</f>
        <v>3063525.7700000005</v>
      </c>
      <c r="J804" s="49">
        <f>J803+J765+J760+J400+J152+J144+J132+J121+J100+J73+J60</f>
        <v>0</v>
      </c>
      <c r="K804" s="49">
        <f>K803+K765+K760+K400+K152+K144+K132+K121+K100+K73+K60</f>
        <v>0</v>
      </c>
    </row>
  </sheetData>
  <mergeCells count="3">
    <mergeCell ref="B1:K1"/>
    <mergeCell ref="B2:J2"/>
    <mergeCell ref="A804:C804"/>
  </mergeCells>
  <pageMargins left="0.15748031496062992" right="0.11811023622047245" top="0.19685039370078741" bottom="0.62992125984251968" header="0.15748031496062992" footer="0.11811023622047245"/>
  <pageSetup paperSize="5" scale="82" orientation="landscape" horizontalDpi="4294967293" verticalDpi="4294967293" r:id="rId1"/>
  <headerFooter alignWithMargins="0">
    <oddFooter>&amp;LEjecucion Presupuestaria  ene-dic-18
Página &amp;P&amp;CPágina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AF67D"/>
  </sheetPr>
  <dimension ref="A1:J28"/>
  <sheetViews>
    <sheetView topLeftCell="C8" zoomScaleNormal="100" workbookViewId="0">
      <selection activeCell="J14" sqref="J14"/>
    </sheetView>
  </sheetViews>
  <sheetFormatPr baseColWidth="10" defaultRowHeight="15"/>
  <cols>
    <col min="1" max="1" width="18" customWidth="1"/>
    <col min="2" max="2" width="28.85546875" customWidth="1"/>
    <col min="3" max="3" width="26.5703125" customWidth="1"/>
    <col min="4" max="4" width="23.140625" customWidth="1"/>
    <col min="5" max="5" width="16.28515625" customWidth="1"/>
    <col min="6" max="6" width="23.28515625" customWidth="1"/>
    <col min="7" max="7" width="26.140625" customWidth="1"/>
    <col min="8" max="8" width="24.5703125" customWidth="1"/>
    <col min="9" max="9" width="27" customWidth="1"/>
  </cols>
  <sheetData>
    <row r="1" spans="1:10" ht="36.75">
      <c r="A1" s="467" t="s">
        <v>155</v>
      </c>
      <c r="B1" s="467"/>
      <c r="C1" s="467"/>
      <c r="D1" s="467"/>
      <c r="E1" s="467"/>
      <c r="F1" s="467"/>
      <c r="G1" s="467"/>
      <c r="H1" s="467"/>
      <c r="I1" s="467"/>
      <c r="J1" s="467"/>
    </row>
    <row r="2" spans="1:10" ht="36.75">
      <c r="A2" s="468" t="s">
        <v>1078</v>
      </c>
      <c r="B2" s="468"/>
      <c r="C2" s="468"/>
      <c r="D2" s="468"/>
      <c r="E2" s="468"/>
      <c r="F2" s="468"/>
      <c r="G2" s="468"/>
      <c r="H2" s="468"/>
      <c r="I2" s="468"/>
      <c r="J2" s="310"/>
    </row>
    <row r="3" spans="1:10" ht="66" customHeight="1">
      <c r="A3" s="100" t="s">
        <v>142</v>
      </c>
      <c r="B3" s="100" t="s">
        <v>38</v>
      </c>
      <c r="C3" s="100" t="s">
        <v>144</v>
      </c>
      <c r="D3" s="100" t="s">
        <v>145</v>
      </c>
      <c r="E3" s="100" t="s">
        <v>146</v>
      </c>
      <c r="F3" s="100" t="s">
        <v>147</v>
      </c>
      <c r="G3" s="100" t="s">
        <v>148</v>
      </c>
      <c r="H3" s="100" t="s">
        <v>1082</v>
      </c>
      <c r="I3" s="100" t="s">
        <v>1083</v>
      </c>
    </row>
    <row r="4" spans="1:10" ht="30" customHeight="1">
      <c r="A4" s="101" t="s">
        <v>42</v>
      </c>
      <c r="B4" s="100" t="s">
        <v>149</v>
      </c>
      <c r="C4" s="85">
        <f>'MAYO-18 '!G61</f>
        <v>235773.79999999996</v>
      </c>
      <c r="D4" s="353">
        <f>'MAYO-18 '!J61</f>
        <v>31200</v>
      </c>
      <c r="E4" s="354"/>
      <c r="F4" s="354">
        <f>'MAYO-18 '!K61</f>
        <v>17100</v>
      </c>
      <c r="G4" s="351">
        <f>C4+D4-F4</f>
        <v>249873.79999999993</v>
      </c>
      <c r="H4" s="351">
        <f>'MAYO-18 '!H61</f>
        <v>66129.359999999986</v>
      </c>
      <c r="I4" s="355">
        <f>G4-H4</f>
        <v>183744.43999999994</v>
      </c>
      <c r="J4" s="72"/>
    </row>
    <row r="5" spans="1:10" ht="29.25" customHeight="1">
      <c r="A5" s="101" t="s">
        <v>94</v>
      </c>
      <c r="B5" s="100" t="s">
        <v>149</v>
      </c>
      <c r="C5" s="88">
        <f>'MAYO-18 '!G74</f>
        <v>27084.660000000003</v>
      </c>
      <c r="D5" s="350">
        <f>'MAYO-18 '!J74</f>
        <v>0</v>
      </c>
      <c r="E5" s="89"/>
      <c r="F5" s="350">
        <f>'MAYO-18 '!K74</f>
        <v>6000</v>
      </c>
      <c r="G5" s="85">
        <f t="shared" ref="G5:G21" si="0">C5+D5-F5</f>
        <v>21084.660000000003</v>
      </c>
      <c r="H5" s="90">
        <f>'MAYO-18 '!H74</f>
        <v>688.35</v>
      </c>
      <c r="I5" s="355">
        <f t="shared" ref="I5:I21" si="1">G5-H5</f>
        <v>20396.310000000005</v>
      </c>
      <c r="J5" s="72"/>
    </row>
    <row r="6" spans="1:10" ht="30" customHeight="1">
      <c r="A6" s="101" t="s">
        <v>97</v>
      </c>
      <c r="B6" s="100" t="s">
        <v>149</v>
      </c>
      <c r="C6" s="90">
        <f>'MAYO-18 '!G101</f>
        <v>75563.76999999999</v>
      </c>
      <c r="D6" s="350">
        <f>'MAYO-18 '!J101</f>
        <v>200</v>
      </c>
      <c r="E6" s="89"/>
      <c r="F6" s="350">
        <f>'MAYO-18 '!K101</f>
        <v>8300</v>
      </c>
      <c r="G6" s="85">
        <f t="shared" si="0"/>
        <v>67463.76999999999</v>
      </c>
      <c r="H6" s="90">
        <f>'MAYO-18 '!H101</f>
        <v>3509.06</v>
      </c>
      <c r="I6" s="355">
        <f t="shared" si="1"/>
        <v>63954.709999999992</v>
      </c>
      <c r="J6" s="72"/>
    </row>
    <row r="7" spans="1:10" ht="27.75" customHeight="1">
      <c r="A7" s="101"/>
      <c r="B7" s="100"/>
      <c r="C7" s="90"/>
      <c r="D7" s="350"/>
      <c r="E7" s="89"/>
      <c r="F7" s="350"/>
      <c r="G7" s="359">
        <f>SUM(G4:G6)</f>
        <v>338422.23</v>
      </c>
      <c r="H7" s="360">
        <f>SUM(H4:H6)</f>
        <v>70326.76999999999</v>
      </c>
      <c r="I7" s="361">
        <f>SUM(I4:I6)</f>
        <v>268095.45999999996</v>
      </c>
      <c r="J7" s="72"/>
    </row>
    <row r="8" spans="1:10" ht="27" customHeight="1">
      <c r="A8" s="101" t="s">
        <v>42</v>
      </c>
      <c r="B8" s="100" t="s">
        <v>150</v>
      </c>
      <c r="C8" s="90">
        <f>'MAYO-18 '!G126</f>
        <v>139079.59</v>
      </c>
      <c r="D8" s="350">
        <f>'MAYO-18 '!J126</f>
        <v>31000</v>
      </c>
      <c r="E8" s="89"/>
      <c r="F8" s="350">
        <f>'MAYO-18 '!K126</f>
        <v>31000</v>
      </c>
      <c r="G8" s="351">
        <f t="shared" si="0"/>
        <v>139079.59</v>
      </c>
      <c r="H8" s="352">
        <f>'MAYO-18 '!H126</f>
        <v>22270.639999999999</v>
      </c>
      <c r="I8" s="355">
        <f t="shared" si="1"/>
        <v>116808.95</v>
      </c>
      <c r="J8" s="72"/>
    </row>
    <row r="9" spans="1:10" ht="26.25" customHeight="1">
      <c r="A9" s="101" t="s">
        <v>94</v>
      </c>
      <c r="B9" s="100" t="s">
        <v>150</v>
      </c>
      <c r="C9" s="90">
        <f>'MAYO-18 '!G137</f>
        <v>87722.48000000001</v>
      </c>
      <c r="D9" s="350">
        <f>'MAYO-18 '!J137</f>
        <v>0</v>
      </c>
      <c r="E9" s="89"/>
      <c r="F9" s="350">
        <v>0</v>
      </c>
      <c r="G9" s="85">
        <f t="shared" si="0"/>
        <v>87722.48000000001</v>
      </c>
      <c r="H9" s="90">
        <f>'MAYO-18 '!H137</f>
        <v>6545.1500000000005</v>
      </c>
      <c r="I9" s="355">
        <f t="shared" si="1"/>
        <v>81177.330000000016</v>
      </c>
      <c r="J9" s="72"/>
    </row>
    <row r="10" spans="1:10" ht="30" customHeight="1">
      <c r="A10" s="101" t="s">
        <v>97</v>
      </c>
      <c r="B10" s="100" t="s">
        <v>150</v>
      </c>
      <c r="C10" s="90">
        <f>'MAYO-18 '!G150</f>
        <v>196410.34000000005</v>
      </c>
      <c r="D10" s="350">
        <f>'MAYO-18 '!J150</f>
        <v>0</v>
      </c>
      <c r="E10" s="89"/>
      <c r="F10" s="350">
        <f>'MAYO-18 '!K150</f>
        <v>0</v>
      </c>
      <c r="G10" s="351">
        <f t="shared" si="0"/>
        <v>196410.34000000005</v>
      </c>
      <c r="H10" s="352">
        <f>'MAYO-18 '!H150</f>
        <v>18966.53</v>
      </c>
      <c r="I10" s="355">
        <f t="shared" si="1"/>
        <v>177443.81000000006</v>
      </c>
      <c r="J10" s="72"/>
    </row>
    <row r="11" spans="1:10" ht="30" customHeight="1">
      <c r="A11" s="101"/>
      <c r="B11" s="100"/>
      <c r="C11" s="90"/>
      <c r="D11" s="350"/>
      <c r="E11" s="89"/>
      <c r="F11" s="350"/>
      <c r="G11" s="362">
        <f>SUM(G8:G10)</f>
        <v>423212.41000000003</v>
      </c>
      <c r="H11" s="363">
        <f>SUM(H8:H10)</f>
        <v>47782.32</v>
      </c>
      <c r="I11" s="361">
        <f>SUM(I8:I10)</f>
        <v>375430.09000000008</v>
      </c>
      <c r="J11" s="72"/>
    </row>
    <row r="12" spans="1:10" ht="30" customHeight="1">
      <c r="A12" s="101" t="s">
        <v>1</v>
      </c>
      <c r="B12" s="100" t="s">
        <v>151</v>
      </c>
      <c r="C12" s="90">
        <f>'MAYO-18 '!G158</f>
        <v>8545.9699999999993</v>
      </c>
      <c r="D12" s="350">
        <v>0</v>
      </c>
      <c r="E12" s="89"/>
      <c r="F12" s="350">
        <v>0</v>
      </c>
      <c r="G12" s="85">
        <f t="shared" si="0"/>
        <v>8545.9699999999993</v>
      </c>
      <c r="H12" s="90">
        <f>'MAYO-18 '!H158</f>
        <v>0</v>
      </c>
      <c r="I12" s="109">
        <f t="shared" si="1"/>
        <v>8545.9699999999993</v>
      </c>
      <c r="J12" s="72"/>
    </row>
    <row r="13" spans="1:10" ht="30" customHeight="1">
      <c r="A13" s="101" t="s">
        <v>11</v>
      </c>
      <c r="B13" s="100" t="s">
        <v>151</v>
      </c>
      <c r="C13" s="90">
        <f>'MAYO-18 '!G421</f>
        <v>803316.94000000018</v>
      </c>
      <c r="D13" s="350">
        <f>'MAYO-18 '!J421</f>
        <v>367681.3</v>
      </c>
      <c r="E13" s="89"/>
      <c r="F13" s="350">
        <f>'MAYO-18 '!K421</f>
        <v>185482.02</v>
      </c>
      <c r="G13" s="351">
        <f>C13+D13-F13</f>
        <v>985516.2200000002</v>
      </c>
      <c r="H13" s="352">
        <f>'MAYO-18 '!H421</f>
        <v>3933.86</v>
      </c>
      <c r="I13" s="355">
        <f>G13-H13</f>
        <v>981582.36000000022</v>
      </c>
      <c r="J13" s="72"/>
    </row>
    <row r="14" spans="1:10" ht="30" customHeight="1">
      <c r="A14" s="101" t="s">
        <v>18</v>
      </c>
      <c r="B14" s="100" t="s">
        <v>151</v>
      </c>
      <c r="C14" s="90">
        <f>'MAYO-18 '!G785</f>
        <v>673677.55000000016</v>
      </c>
      <c r="D14" s="350">
        <f>'MAYO-18 '!J785</f>
        <v>25833.13</v>
      </c>
      <c r="E14" s="89"/>
      <c r="F14" s="350">
        <f>'MAYO-18 '!K785</f>
        <v>208032.41</v>
      </c>
      <c r="G14" s="351">
        <f t="shared" si="0"/>
        <v>491478.27000000014</v>
      </c>
      <c r="H14" s="90">
        <f>'MAYO-18 '!H785</f>
        <v>8802.09</v>
      </c>
      <c r="I14" s="355">
        <f t="shared" si="1"/>
        <v>482676.18000000011</v>
      </c>
      <c r="J14" s="72"/>
    </row>
    <row r="15" spans="1:10" ht="21.75" customHeight="1">
      <c r="A15" s="101"/>
      <c r="B15" s="100"/>
      <c r="C15" s="90"/>
      <c r="D15" s="350"/>
      <c r="E15" s="89"/>
      <c r="F15" s="350"/>
      <c r="G15" s="362">
        <f>SUM(G12:G14)</f>
        <v>1485540.4600000004</v>
      </c>
      <c r="H15" s="364">
        <f>SUM(H12:H14)</f>
        <v>12735.95</v>
      </c>
      <c r="I15" s="361">
        <f>SUM(I12:I14)</f>
        <v>1472804.5100000002</v>
      </c>
      <c r="J15" s="72"/>
    </row>
    <row r="16" spans="1:10" ht="27.75" customHeight="1">
      <c r="A16" s="101" t="s">
        <v>20</v>
      </c>
      <c r="B16" s="376" t="s">
        <v>1132</v>
      </c>
      <c r="C16" s="90">
        <f>'ABRIL-18'!G776</f>
        <v>0</v>
      </c>
      <c r="D16" s="89">
        <v>0</v>
      </c>
      <c r="E16" s="89"/>
      <c r="F16" s="89"/>
      <c r="G16" s="85">
        <f t="shared" si="0"/>
        <v>0</v>
      </c>
      <c r="H16" s="91">
        <f>' MARZO-18-1'!H767</f>
        <v>0</v>
      </c>
      <c r="I16" s="109">
        <f t="shared" si="1"/>
        <v>0</v>
      </c>
      <c r="J16" s="72"/>
    </row>
    <row r="17" spans="1:10" ht="27.75" customHeight="1">
      <c r="A17" s="101" t="s">
        <v>22</v>
      </c>
      <c r="B17" s="376" t="s">
        <v>1131</v>
      </c>
      <c r="C17" s="91">
        <f>'MAYO-18 '!G790</f>
        <v>408.2600000000001</v>
      </c>
      <c r="D17" s="92">
        <v>0</v>
      </c>
      <c r="E17" s="92"/>
      <c r="F17" s="92"/>
      <c r="G17" s="93">
        <f t="shared" si="0"/>
        <v>408.2600000000001</v>
      </c>
      <c r="H17" s="91"/>
      <c r="I17" s="109">
        <f t="shared" si="1"/>
        <v>408.2600000000001</v>
      </c>
      <c r="J17" s="72"/>
    </row>
    <row r="18" spans="1:10" ht="33.75" customHeight="1">
      <c r="A18" s="102" t="s">
        <v>11</v>
      </c>
      <c r="B18" s="103" t="s">
        <v>997</v>
      </c>
      <c r="C18" s="96">
        <f>'MAYO-18 '!G829</f>
        <v>102360.81</v>
      </c>
      <c r="D18" s="97">
        <f>'MAYO-18 '!J829</f>
        <v>23500</v>
      </c>
      <c r="E18" s="97"/>
      <c r="F18" s="97">
        <f>'MAYO-18 '!K829</f>
        <v>23500</v>
      </c>
      <c r="G18" s="356">
        <f t="shared" si="0"/>
        <v>102360.81</v>
      </c>
      <c r="H18" s="357">
        <f>'MAYO-18 '!H829</f>
        <v>33396.51</v>
      </c>
      <c r="I18" s="356">
        <f t="shared" si="1"/>
        <v>68964.299999999988</v>
      </c>
      <c r="J18" s="72"/>
    </row>
    <row r="19" spans="1:10" ht="20.25" customHeight="1">
      <c r="A19" s="102"/>
      <c r="B19" s="103"/>
      <c r="C19" s="96"/>
      <c r="D19" s="97"/>
      <c r="E19" s="97"/>
      <c r="F19" s="97"/>
      <c r="G19" s="373">
        <f>SUM(G18)</f>
        <v>102360.81</v>
      </c>
      <c r="H19" s="374">
        <f>SUM(H18)</f>
        <v>33396.51</v>
      </c>
      <c r="I19" s="373">
        <f>SUM(I18)</f>
        <v>68964.299999999988</v>
      </c>
      <c r="J19" s="72"/>
    </row>
    <row r="20" spans="1:10" ht="20.25" customHeight="1">
      <c r="A20" s="236" t="s">
        <v>18</v>
      </c>
      <c r="B20" s="100" t="s">
        <v>994</v>
      </c>
      <c r="C20" s="96">
        <f>'MAYO-18 '!G831</f>
        <v>0</v>
      </c>
      <c r="D20" s="97"/>
      <c r="E20" s="97"/>
      <c r="F20" s="97">
        <v>0</v>
      </c>
      <c r="G20" s="98">
        <f t="shared" si="0"/>
        <v>0</v>
      </c>
      <c r="H20" s="96"/>
      <c r="I20" s="98">
        <f t="shared" si="1"/>
        <v>0</v>
      </c>
      <c r="J20" s="72"/>
    </row>
    <row r="21" spans="1:10" ht="43.5" customHeight="1" thickBot="1">
      <c r="A21" s="236" t="s">
        <v>18</v>
      </c>
      <c r="B21" s="100" t="s">
        <v>1076</v>
      </c>
      <c r="C21" s="96">
        <f>'MAYO-18 '!G833</f>
        <v>10</v>
      </c>
      <c r="D21" s="97"/>
      <c r="E21" s="97"/>
      <c r="F21" s="97">
        <v>0</v>
      </c>
      <c r="G21" s="98">
        <f t="shared" si="0"/>
        <v>10</v>
      </c>
      <c r="H21" s="96"/>
      <c r="I21" s="98">
        <f t="shared" si="1"/>
        <v>10</v>
      </c>
      <c r="J21" s="72"/>
    </row>
    <row r="22" spans="1:10" ht="23.25">
      <c r="A22" s="110" t="s">
        <v>153</v>
      </c>
      <c r="B22" s="110"/>
      <c r="C22" s="111">
        <f>SUM(C4:C21)</f>
        <v>2349954.1700000004</v>
      </c>
      <c r="D22" s="111">
        <f>SUM(D4:D21)</f>
        <v>479414.43</v>
      </c>
      <c r="E22" s="111">
        <f>SUM(E4:E21)</f>
        <v>0</v>
      </c>
      <c r="F22" s="111">
        <f>SUM(F4:F21)</f>
        <v>479414.43</v>
      </c>
      <c r="G22" s="111">
        <f>G7+G11+G15+G17+G18+G21</f>
        <v>2349954.1700000004</v>
      </c>
      <c r="H22" s="111">
        <f>H7+H11+H15+H19</f>
        <v>164241.54999999999</v>
      </c>
      <c r="I22" s="111">
        <f>I7+I11+I15+I17+I18+I21</f>
        <v>2185712.62</v>
      </c>
      <c r="J22" s="72"/>
    </row>
    <row r="23" spans="1:10" ht="15.75" thickBot="1">
      <c r="A23" s="73"/>
      <c r="B23" s="74"/>
      <c r="C23" s="75"/>
      <c r="D23" s="76"/>
      <c r="E23" s="77"/>
      <c r="F23" s="77"/>
      <c r="G23" s="77"/>
      <c r="H23" s="77"/>
      <c r="I23" s="77"/>
      <c r="J23" s="78"/>
    </row>
    <row r="24" spans="1:10" ht="15.75" thickBot="1">
      <c r="A24" s="73" t="s">
        <v>154</v>
      </c>
      <c r="B24" s="74"/>
      <c r="C24" s="79">
        <f ca="1">TODAY()</f>
        <v>43586</v>
      </c>
      <c r="D24" s="80"/>
      <c r="E24" s="81">
        <f>D22-F22</f>
        <v>0</v>
      </c>
      <c r="F24" s="80"/>
      <c r="G24" s="80"/>
      <c r="H24" s="80"/>
      <c r="I24" s="80"/>
      <c r="J24" s="72"/>
    </row>
    <row r="25" spans="1:10">
      <c r="A25" s="83"/>
      <c r="B25" s="84"/>
      <c r="C25" s="84"/>
      <c r="D25" s="84"/>
      <c r="E25" s="263">
        <v>9000</v>
      </c>
      <c r="F25" s="80" t="s">
        <v>1033</v>
      </c>
      <c r="G25" s="80">
        <v>0</v>
      </c>
      <c r="H25" s="80"/>
    </row>
    <row r="26" spans="1:10">
      <c r="A26" s="83"/>
      <c r="B26" s="84"/>
      <c r="C26" s="84"/>
      <c r="D26" s="84"/>
      <c r="E26" s="264">
        <v>4500</v>
      </c>
      <c r="F26" s="80" t="s">
        <v>1032</v>
      </c>
      <c r="G26" s="80"/>
      <c r="H26" s="80"/>
    </row>
    <row r="27" spans="1:10">
      <c r="A27" s="83"/>
      <c r="B27" s="84"/>
      <c r="C27" s="84"/>
      <c r="D27" s="84"/>
      <c r="F27" s="80"/>
      <c r="G27" s="80"/>
      <c r="H27" s="80"/>
    </row>
    <row r="28" spans="1:10">
      <c r="A28" s="83"/>
      <c r="B28" s="84"/>
      <c r="C28" s="84"/>
      <c r="D28" s="84"/>
    </row>
  </sheetData>
  <mergeCells count="2">
    <mergeCell ref="A1:J1"/>
    <mergeCell ref="A2:I2"/>
  </mergeCells>
  <pageMargins left="0.19685039370078741" right="0.19685039370078741" top="0.35433070866141736" bottom="0.31496062992125984" header="0.31496062992125984" footer="0.31496062992125984"/>
  <pageSetup paperSize="5" scale="82" orientation="landscape" horizontalDpi="4294967293" vertic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A838"/>
  <sheetViews>
    <sheetView topLeftCell="A824" zoomScale="85" zoomScaleNormal="85" zoomScaleSheetLayoutView="84" workbookViewId="0">
      <selection activeCell="H137" sqref="H137"/>
    </sheetView>
  </sheetViews>
  <sheetFormatPr baseColWidth="10" defaultRowHeight="15"/>
  <cols>
    <col min="1" max="1" width="11.5703125" customWidth="1"/>
    <col min="2" max="2" width="62" customWidth="1"/>
    <col min="3" max="3" width="18.42578125" customWidth="1"/>
    <col min="4" max="4" width="11" customWidth="1"/>
    <col min="5" max="5" width="10.85546875" customWidth="1"/>
    <col min="6" max="6" width="15.42578125" customWidth="1"/>
    <col min="7" max="7" width="14.7109375" customWidth="1"/>
    <col min="8" max="8" width="13.5703125" customWidth="1"/>
    <col min="9" max="9" width="17" customWidth="1"/>
    <col min="10" max="10" width="12.7109375" bestFit="1" customWidth="1"/>
    <col min="11" max="11" width="14.7109375" customWidth="1"/>
  </cols>
  <sheetData>
    <row r="1" spans="1:11" ht="36.75">
      <c r="A1" s="15"/>
      <c r="B1" s="467" t="s">
        <v>33</v>
      </c>
      <c r="C1" s="467"/>
      <c r="D1" s="467"/>
      <c r="E1" s="467"/>
      <c r="F1" s="467"/>
      <c r="G1" s="467"/>
      <c r="H1" s="467"/>
      <c r="I1" s="467"/>
      <c r="J1" s="467"/>
      <c r="K1" s="467"/>
    </row>
    <row r="2" spans="1:11" ht="36.75">
      <c r="A2" s="16"/>
      <c r="B2" s="468" t="s">
        <v>1119</v>
      </c>
      <c r="C2" s="468"/>
      <c r="D2" s="468"/>
      <c r="E2" s="468"/>
      <c r="F2" s="468"/>
      <c r="G2" s="468"/>
      <c r="H2" s="468"/>
      <c r="I2" s="468"/>
      <c r="J2" s="468"/>
      <c r="K2" s="366"/>
    </row>
    <row r="3" spans="1:11" ht="53.25" customHeight="1">
      <c r="A3" s="41" t="s">
        <v>8</v>
      </c>
      <c r="B3" s="41" t="s">
        <v>34</v>
      </c>
      <c r="C3" s="41" t="s">
        <v>35</v>
      </c>
      <c r="D3" s="41" t="s">
        <v>36</v>
      </c>
      <c r="E3" s="41" t="s">
        <v>37</v>
      </c>
      <c r="F3" s="41" t="s">
        <v>38</v>
      </c>
      <c r="G3" s="42" t="s">
        <v>39</v>
      </c>
      <c r="H3" s="42" t="s">
        <v>1120</v>
      </c>
      <c r="I3" s="42" t="s">
        <v>1121</v>
      </c>
      <c r="J3" s="42" t="s">
        <v>40</v>
      </c>
      <c r="K3" s="42" t="s">
        <v>41</v>
      </c>
    </row>
    <row r="4" spans="1:11" ht="41.25" customHeight="1">
      <c r="A4" s="308">
        <v>51101</v>
      </c>
      <c r="B4" s="306" t="s">
        <v>1110</v>
      </c>
      <c r="C4" s="304"/>
      <c r="D4" s="3" t="s">
        <v>42</v>
      </c>
      <c r="E4" s="3" t="s">
        <v>29</v>
      </c>
      <c r="F4" s="3" t="s">
        <v>43</v>
      </c>
      <c r="G4" s="305">
        <f>'MAYO-18 '!I4</f>
        <v>1672.9899999999998</v>
      </c>
      <c r="H4" s="341">
        <f>121</f>
        <v>121</v>
      </c>
      <c r="I4" s="17">
        <f>G4-H4+J4-K4</f>
        <v>1551.9899999999998</v>
      </c>
      <c r="J4" s="342"/>
      <c r="K4" s="305"/>
    </row>
    <row r="5" spans="1:11">
      <c r="A5" s="4">
        <v>51103</v>
      </c>
      <c r="B5" s="7" t="s">
        <v>164</v>
      </c>
      <c r="C5" s="2"/>
      <c r="D5" s="3" t="s">
        <v>42</v>
      </c>
      <c r="E5" s="3" t="s">
        <v>29</v>
      </c>
      <c r="F5" s="3" t="s">
        <v>43</v>
      </c>
      <c r="G5" s="305">
        <f>'MAYO-18 '!I5</f>
        <v>985.25</v>
      </c>
      <c r="H5" s="51">
        <f>124.65+165+124.65</f>
        <v>414.29999999999995</v>
      </c>
      <c r="I5" s="17">
        <f>G5-H5+J5-K5</f>
        <v>570.95000000000005</v>
      </c>
      <c r="J5" s="18"/>
      <c r="K5" s="18"/>
    </row>
    <row r="6" spans="1:11">
      <c r="A6" s="4">
        <v>51105</v>
      </c>
      <c r="B6" s="7" t="s">
        <v>125</v>
      </c>
      <c r="C6" s="2"/>
      <c r="D6" s="3" t="s">
        <v>42</v>
      </c>
      <c r="E6" s="3" t="s">
        <v>29</v>
      </c>
      <c r="F6" s="3" t="s">
        <v>43</v>
      </c>
      <c r="G6" s="305">
        <f>'MAYO-18 '!I6</f>
        <v>22254.400000000001</v>
      </c>
      <c r="H6" s="51"/>
      <c r="I6" s="17">
        <f>G6-H6+J6-K6</f>
        <v>14254.400000000001</v>
      </c>
      <c r="J6" s="18"/>
      <c r="K6" s="18">
        <v>8000</v>
      </c>
    </row>
    <row r="7" spans="1:11">
      <c r="A7" s="4">
        <v>51107</v>
      </c>
      <c r="B7" s="7" t="s">
        <v>167</v>
      </c>
      <c r="C7" s="2"/>
      <c r="D7" s="3" t="s">
        <v>42</v>
      </c>
      <c r="E7" s="3" t="s">
        <v>29</v>
      </c>
      <c r="F7" s="3" t="s">
        <v>43</v>
      </c>
      <c r="G7" s="305">
        <f>'MAYO-18 '!I7</f>
        <v>820</v>
      </c>
      <c r="H7" s="51">
        <f>1105</f>
        <v>1105</v>
      </c>
      <c r="I7" s="17">
        <f t="shared" ref="I7:I71" si="0">G7-H7+J7-K7</f>
        <v>315</v>
      </c>
      <c r="J7" s="18">
        <v>600</v>
      </c>
      <c r="K7" s="18"/>
    </row>
    <row r="8" spans="1:11">
      <c r="A8" s="4">
        <v>51201</v>
      </c>
      <c r="B8" s="7" t="s">
        <v>44</v>
      </c>
      <c r="C8" s="2"/>
      <c r="D8" s="3" t="s">
        <v>42</v>
      </c>
      <c r="E8" s="3" t="s">
        <v>29</v>
      </c>
      <c r="F8" s="3" t="s">
        <v>43</v>
      </c>
      <c r="G8" s="305">
        <f>'MAYO-18 '!I8</f>
        <v>2000</v>
      </c>
      <c r="H8" s="369">
        <f>1334</f>
        <v>1334</v>
      </c>
      <c r="I8" s="17">
        <f t="shared" si="0"/>
        <v>1666</v>
      </c>
      <c r="J8" s="23">
        <v>1000</v>
      </c>
      <c r="K8" s="18"/>
    </row>
    <row r="9" spans="1:11" ht="36.75" customHeight="1">
      <c r="A9" s="4">
        <v>51401</v>
      </c>
      <c r="B9" s="5" t="s">
        <v>128</v>
      </c>
      <c r="C9" s="2"/>
      <c r="D9" s="3" t="s">
        <v>42</v>
      </c>
      <c r="E9" s="3" t="s">
        <v>29</v>
      </c>
      <c r="F9" s="3" t="s">
        <v>43</v>
      </c>
      <c r="G9" s="305">
        <f>'MAYO-18 '!I9</f>
        <v>2244.1799999999998</v>
      </c>
      <c r="H9" s="108"/>
      <c r="I9" s="17">
        <f t="shared" si="0"/>
        <v>2244.1799999999998</v>
      </c>
      <c r="J9" s="20"/>
      <c r="K9" s="18"/>
    </row>
    <row r="10" spans="1:11" ht="42" customHeight="1">
      <c r="A10" s="4">
        <v>51501</v>
      </c>
      <c r="B10" s="5" t="s">
        <v>168</v>
      </c>
      <c r="C10" s="47"/>
      <c r="D10" s="3" t="s">
        <v>42</v>
      </c>
      <c r="E10" s="3" t="s">
        <v>29</v>
      </c>
      <c r="F10" s="3" t="s">
        <v>43</v>
      </c>
      <c r="G10" s="305">
        <f>'MAYO-18 '!I10</f>
        <v>2829.78</v>
      </c>
      <c r="H10" s="51"/>
      <c r="I10" s="17">
        <f t="shared" si="0"/>
        <v>2829.78</v>
      </c>
      <c r="J10" s="21"/>
      <c r="K10" s="18"/>
    </row>
    <row r="11" spans="1:11" ht="25.5">
      <c r="A11" s="4">
        <v>51701</v>
      </c>
      <c r="B11" s="7" t="s">
        <v>126</v>
      </c>
      <c r="C11" s="2"/>
      <c r="D11" s="3" t="s">
        <v>42</v>
      </c>
      <c r="E11" s="3" t="s">
        <v>29</v>
      </c>
      <c r="F11" s="3" t="s">
        <v>43</v>
      </c>
      <c r="G11" s="305">
        <f>'MAYO-18 '!I11</f>
        <v>1107.3600000000079</v>
      </c>
      <c r="H11" s="51">
        <f>3570.28+1320+3570.27</f>
        <v>8460.5500000000011</v>
      </c>
      <c r="I11" s="18">
        <f t="shared" si="0"/>
        <v>646.81000000000677</v>
      </c>
      <c r="J11" s="22">
        <v>8000</v>
      </c>
      <c r="K11" s="18"/>
    </row>
    <row r="12" spans="1:11" ht="25.5">
      <c r="A12" s="4">
        <v>51601</v>
      </c>
      <c r="B12" s="7" t="s">
        <v>129</v>
      </c>
      <c r="C12" s="2"/>
      <c r="D12" s="3" t="s">
        <v>42</v>
      </c>
      <c r="E12" s="3" t="s">
        <v>29</v>
      </c>
      <c r="F12" s="3" t="s">
        <v>43</v>
      </c>
      <c r="G12" s="305">
        <f>'MAYO-18 '!I12</f>
        <v>7500</v>
      </c>
      <c r="H12" s="51">
        <v>1500</v>
      </c>
      <c r="I12" s="17">
        <f t="shared" si="0"/>
        <v>6000</v>
      </c>
      <c r="J12" s="21"/>
      <c r="K12" s="18"/>
    </row>
    <row r="13" spans="1:11">
      <c r="A13" s="4">
        <v>51602</v>
      </c>
      <c r="B13" s="2" t="s">
        <v>46</v>
      </c>
      <c r="C13" s="2"/>
      <c r="D13" s="3" t="s">
        <v>42</v>
      </c>
      <c r="E13" s="3" t="s">
        <v>29</v>
      </c>
      <c r="F13" s="3" t="s">
        <v>43</v>
      </c>
      <c r="G13" s="305">
        <f>'MAYO-18 '!I13</f>
        <v>1</v>
      </c>
      <c r="H13" s="51"/>
      <c r="I13" s="17">
        <f t="shared" si="0"/>
        <v>1</v>
      </c>
      <c r="J13" s="20"/>
      <c r="K13" s="18"/>
    </row>
    <row r="14" spans="1:11">
      <c r="A14" s="4">
        <v>51999</v>
      </c>
      <c r="B14" s="2" t="s">
        <v>47</v>
      </c>
      <c r="C14" s="2"/>
      <c r="D14" s="3" t="s">
        <v>42</v>
      </c>
      <c r="E14" s="3" t="s">
        <v>29</v>
      </c>
      <c r="F14" s="3" t="s">
        <v>43</v>
      </c>
      <c r="G14" s="305">
        <f>'MAYO-18 '!I14</f>
        <v>55</v>
      </c>
      <c r="H14" s="51"/>
      <c r="I14" s="17">
        <f t="shared" si="0"/>
        <v>55</v>
      </c>
      <c r="J14" s="21"/>
      <c r="K14" s="18"/>
    </row>
    <row r="15" spans="1:11" ht="45" customHeight="1">
      <c r="A15" s="4">
        <v>54101</v>
      </c>
      <c r="B15" s="5" t="s">
        <v>48</v>
      </c>
      <c r="C15" s="2"/>
      <c r="D15" s="3" t="s">
        <v>42</v>
      </c>
      <c r="E15" s="3" t="s">
        <v>29</v>
      </c>
      <c r="F15" s="3" t="s">
        <v>43</v>
      </c>
      <c r="G15" s="305">
        <f>'MAYO-18 '!I15</f>
        <v>26830.85</v>
      </c>
      <c r="H15" s="51">
        <f>53.25+176+100+162.5+100+37.5</f>
        <v>629.25</v>
      </c>
      <c r="I15" s="17">
        <f t="shared" si="0"/>
        <v>25601.599999999999</v>
      </c>
      <c r="J15" s="23"/>
      <c r="K15" s="18">
        <v>600</v>
      </c>
    </row>
    <row r="16" spans="1:11" ht="26.25">
      <c r="A16" s="4">
        <v>54104</v>
      </c>
      <c r="B16" s="5" t="s">
        <v>130</v>
      </c>
      <c r="C16" s="2"/>
      <c r="D16" s="3" t="s">
        <v>42</v>
      </c>
      <c r="E16" s="3" t="s">
        <v>29</v>
      </c>
      <c r="F16" s="3" t="s">
        <v>43</v>
      </c>
      <c r="G16" s="305">
        <f>'MAYO-18 '!I16</f>
        <v>2000</v>
      </c>
      <c r="H16" s="51">
        <f>167.4</f>
        <v>167.4</v>
      </c>
      <c r="I16" s="17">
        <f t="shared" si="0"/>
        <v>1832.6</v>
      </c>
      <c r="J16" s="21"/>
      <c r="K16" s="18"/>
    </row>
    <row r="17" spans="1:11">
      <c r="A17" s="4">
        <v>54105</v>
      </c>
      <c r="B17" s="2" t="s">
        <v>49</v>
      </c>
      <c r="C17" s="2"/>
      <c r="D17" s="3" t="s">
        <v>42</v>
      </c>
      <c r="E17" s="3" t="s">
        <v>29</v>
      </c>
      <c r="F17" s="3" t="s">
        <v>43</v>
      </c>
      <c r="G17" s="305">
        <f>'MAYO-18 '!I17</f>
        <v>1000</v>
      </c>
      <c r="H17" s="51"/>
      <c r="I17" s="17">
        <f t="shared" si="0"/>
        <v>500</v>
      </c>
      <c r="J17" s="20"/>
      <c r="K17" s="18">
        <v>500</v>
      </c>
    </row>
    <row r="18" spans="1:11">
      <c r="A18" s="4">
        <v>54107</v>
      </c>
      <c r="B18" s="2" t="s">
        <v>50</v>
      </c>
      <c r="C18" s="2"/>
      <c r="D18" s="3" t="s">
        <v>42</v>
      </c>
      <c r="E18" s="3" t="s">
        <v>29</v>
      </c>
      <c r="F18" s="3" t="s">
        <v>43</v>
      </c>
      <c r="G18" s="305">
        <f>'MAYO-18 '!I18</f>
        <v>1000</v>
      </c>
      <c r="H18" s="51">
        <f>250</f>
        <v>250</v>
      </c>
      <c r="I18" s="17">
        <f t="shared" si="0"/>
        <v>750</v>
      </c>
      <c r="J18" s="22"/>
      <c r="K18" s="18"/>
    </row>
    <row r="19" spans="1:11">
      <c r="A19" s="4">
        <v>54108</v>
      </c>
      <c r="B19" s="2" t="s">
        <v>51</v>
      </c>
      <c r="C19" s="2"/>
      <c r="D19" s="3" t="s">
        <v>42</v>
      </c>
      <c r="E19" s="3" t="s">
        <v>29</v>
      </c>
      <c r="F19" s="3" t="s">
        <v>43</v>
      </c>
      <c r="G19" s="305">
        <f>'MAYO-18 '!I19</f>
        <v>100</v>
      </c>
      <c r="H19" s="51"/>
      <c r="I19" s="17">
        <f t="shared" si="0"/>
        <v>100</v>
      </c>
      <c r="J19" s="20"/>
      <c r="K19" s="18"/>
    </row>
    <row r="20" spans="1:11">
      <c r="A20" s="4">
        <v>54109</v>
      </c>
      <c r="B20" s="2" t="s">
        <v>131</v>
      </c>
      <c r="C20" s="2"/>
      <c r="D20" s="3" t="s">
        <v>42</v>
      </c>
      <c r="E20" s="3" t="s">
        <v>29</v>
      </c>
      <c r="F20" s="3" t="s">
        <v>43</v>
      </c>
      <c r="G20" s="305">
        <f>'MAYO-18 '!I20</f>
        <v>500</v>
      </c>
      <c r="H20" s="51"/>
      <c r="I20" s="17">
        <f t="shared" si="0"/>
        <v>500</v>
      </c>
      <c r="J20" s="20"/>
      <c r="K20" s="18"/>
    </row>
    <row r="21" spans="1:11">
      <c r="A21" s="4">
        <v>54110</v>
      </c>
      <c r="B21" s="2" t="s">
        <v>132</v>
      </c>
      <c r="C21" s="2"/>
      <c r="D21" s="3" t="s">
        <v>42</v>
      </c>
      <c r="E21" s="3" t="s">
        <v>29</v>
      </c>
      <c r="F21" s="3" t="s">
        <v>43</v>
      </c>
      <c r="G21" s="305">
        <f>'MAYO-18 '!I21</f>
        <v>10156.200000000001</v>
      </c>
      <c r="H21" s="51">
        <f>401.58</f>
        <v>401.58</v>
      </c>
      <c r="I21" s="17">
        <f t="shared" si="0"/>
        <v>9254.6200000000008</v>
      </c>
      <c r="J21" s="24"/>
      <c r="K21" s="18">
        <v>500</v>
      </c>
    </row>
    <row r="22" spans="1:11" ht="30.75" customHeight="1">
      <c r="A22" s="4">
        <v>54111</v>
      </c>
      <c r="B22" s="5" t="s">
        <v>54</v>
      </c>
      <c r="C22" s="2"/>
      <c r="D22" s="3" t="s">
        <v>42</v>
      </c>
      <c r="E22" s="3" t="s">
        <v>29</v>
      </c>
      <c r="F22" s="3" t="s">
        <v>43</v>
      </c>
      <c r="G22" s="305">
        <f>'MAYO-18 '!I22</f>
        <v>349.05000000000018</v>
      </c>
      <c r="H22" s="51"/>
      <c r="I22" s="138">
        <f t="shared" si="0"/>
        <v>349.05000000000018</v>
      </c>
      <c r="J22" s="23"/>
      <c r="K22" s="18"/>
    </row>
    <row r="23" spans="1:11" ht="42.75" customHeight="1">
      <c r="A23" s="4">
        <v>54112</v>
      </c>
      <c r="B23" s="5" t="s">
        <v>55</v>
      </c>
      <c r="C23" s="2"/>
      <c r="D23" s="3" t="s">
        <v>42</v>
      </c>
      <c r="E23" s="3" t="s">
        <v>29</v>
      </c>
      <c r="F23" s="3" t="s">
        <v>43</v>
      </c>
      <c r="G23" s="305">
        <f>'MAYO-18 '!I23</f>
        <v>1000</v>
      </c>
      <c r="H23" s="51"/>
      <c r="I23" s="17">
        <f t="shared" si="0"/>
        <v>1000</v>
      </c>
      <c r="J23" s="21"/>
      <c r="K23" s="18"/>
    </row>
    <row r="24" spans="1:11">
      <c r="A24" s="4">
        <v>54114</v>
      </c>
      <c r="B24" s="2" t="s">
        <v>56</v>
      </c>
      <c r="C24" s="2"/>
      <c r="D24" s="3" t="s">
        <v>42</v>
      </c>
      <c r="E24" s="3" t="s">
        <v>29</v>
      </c>
      <c r="F24" s="3" t="s">
        <v>43</v>
      </c>
      <c r="G24" s="305">
        <f>'MAYO-18 '!I24</f>
        <v>1000</v>
      </c>
      <c r="H24" s="51"/>
      <c r="I24" s="17">
        <f t="shared" si="0"/>
        <v>1000</v>
      </c>
      <c r="J24" s="20"/>
      <c r="K24" s="18"/>
    </row>
    <row r="25" spans="1:11">
      <c r="A25" s="4">
        <v>54115</v>
      </c>
      <c r="B25" s="2" t="s">
        <v>57</v>
      </c>
      <c r="C25" s="2"/>
      <c r="D25" s="3" t="s">
        <v>42</v>
      </c>
      <c r="E25" s="3" t="s">
        <v>29</v>
      </c>
      <c r="F25" s="3" t="s">
        <v>43</v>
      </c>
      <c r="G25" s="305">
        <f>'MAYO-18 '!I25</f>
        <v>1000</v>
      </c>
      <c r="H25" s="51">
        <v>45</v>
      </c>
      <c r="I25" s="17">
        <f t="shared" si="0"/>
        <v>955</v>
      </c>
      <c r="J25" s="20"/>
      <c r="K25" s="18"/>
    </row>
    <row r="26" spans="1:11" ht="30">
      <c r="A26" s="4">
        <v>54116</v>
      </c>
      <c r="B26" s="5" t="s">
        <v>58</v>
      </c>
      <c r="C26" s="2"/>
      <c r="D26" s="3" t="s">
        <v>42</v>
      </c>
      <c r="E26" s="3" t="s">
        <v>29</v>
      </c>
      <c r="F26" s="3" t="s">
        <v>43</v>
      </c>
      <c r="G26" s="305">
        <f>'MAYO-18 '!I26</f>
        <v>500</v>
      </c>
      <c r="H26" s="51">
        <v>40</v>
      </c>
      <c r="I26" s="17">
        <f t="shared" si="0"/>
        <v>460</v>
      </c>
      <c r="J26" s="20"/>
      <c r="K26" s="18"/>
    </row>
    <row r="27" spans="1:11">
      <c r="A27" s="4">
        <v>54117</v>
      </c>
      <c r="B27" s="25" t="s">
        <v>12</v>
      </c>
      <c r="C27" s="25"/>
      <c r="D27" s="3" t="s">
        <v>42</v>
      </c>
      <c r="E27" s="3" t="s">
        <v>29</v>
      </c>
      <c r="F27" s="3" t="s">
        <v>43</v>
      </c>
      <c r="G27" s="305">
        <f>'MAYO-18 '!I27</f>
        <v>1000</v>
      </c>
      <c r="H27" s="51"/>
      <c r="I27" s="17">
        <f t="shared" si="0"/>
        <v>1000</v>
      </c>
      <c r="J27" s="20"/>
      <c r="K27" s="18"/>
    </row>
    <row r="28" spans="1:11">
      <c r="A28" s="4">
        <v>54118</v>
      </c>
      <c r="B28" s="2" t="s">
        <v>59</v>
      </c>
      <c r="C28" s="2"/>
      <c r="D28" s="3" t="s">
        <v>42</v>
      </c>
      <c r="E28" s="3" t="s">
        <v>29</v>
      </c>
      <c r="F28" s="3" t="s">
        <v>43</v>
      </c>
      <c r="G28" s="305">
        <f>'MAYO-18 '!I28</f>
        <v>500</v>
      </c>
      <c r="H28" s="51"/>
      <c r="I28" s="17">
        <f t="shared" si="0"/>
        <v>500</v>
      </c>
      <c r="J28" s="23"/>
      <c r="K28" s="18"/>
    </row>
    <row r="29" spans="1:11">
      <c r="A29" s="4">
        <v>54119</v>
      </c>
      <c r="B29" s="2" t="s">
        <v>60</v>
      </c>
      <c r="C29" s="2"/>
      <c r="D29" s="3" t="s">
        <v>42</v>
      </c>
      <c r="E29" s="3" t="s">
        <v>29</v>
      </c>
      <c r="F29" s="3" t="s">
        <v>43</v>
      </c>
      <c r="G29" s="305">
        <f>'MAYO-18 '!I29</f>
        <v>500</v>
      </c>
      <c r="H29" s="51"/>
      <c r="I29" s="17">
        <f t="shared" si="0"/>
        <v>500</v>
      </c>
      <c r="J29" s="21"/>
      <c r="K29" s="18"/>
    </row>
    <row r="30" spans="1:11">
      <c r="A30" s="4">
        <v>54199</v>
      </c>
      <c r="B30" s="2" t="s">
        <v>61</v>
      </c>
      <c r="C30" s="2"/>
      <c r="D30" s="3" t="s">
        <v>42</v>
      </c>
      <c r="E30" s="3" t="s">
        <v>29</v>
      </c>
      <c r="F30" s="3" t="s">
        <v>43</v>
      </c>
      <c r="G30" s="305">
        <f>'MAYO-18 '!I30</f>
        <v>1431.15</v>
      </c>
      <c r="H30" s="51"/>
      <c r="I30" s="17">
        <f t="shared" si="0"/>
        <v>1431.15</v>
      </c>
      <c r="J30" s="21"/>
      <c r="K30" s="18"/>
    </row>
    <row r="31" spans="1:11">
      <c r="A31" s="4">
        <v>54201</v>
      </c>
      <c r="B31" s="2" t="s">
        <v>62</v>
      </c>
      <c r="C31" s="2"/>
      <c r="D31" s="3" t="s">
        <v>42</v>
      </c>
      <c r="E31" s="3" t="s">
        <v>29</v>
      </c>
      <c r="F31" s="3" t="s">
        <v>43</v>
      </c>
      <c r="G31" s="305">
        <f>'MAYO-18 '!I31</f>
        <v>16779.29</v>
      </c>
      <c r="H31" s="51">
        <v>1169.47</v>
      </c>
      <c r="I31" s="17">
        <f t="shared" si="0"/>
        <v>15609.820000000002</v>
      </c>
      <c r="J31" s="20"/>
      <c r="K31" s="18"/>
    </row>
    <row r="32" spans="1:11">
      <c r="A32" s="4">
        <v>54202</v>
      </c>
      <c r="B32" s="2" t="s">
        <v>63</v>
      </c>
      <c r="C32" s="2"/>
      <c r="D32" s="3" t="s">
        <v>42</v>
      </c>
      <c r="E32" s="3" t="s">
        <v>29</v>
      </c>
      <c r="F32" s="3" t="s">
        <v>43</v>
      </c>
      <c r="G32" s="305">
        <f>'MAYO-18 '!I32</f>
        <v>2763.8</v>
      </c>
      <c r="H32" s="51"/>
      <c r="I32" s="17">
        <f t="shared" si="0"/>
        <v>2763.8</v>
      </c>
      <c r="J32" s="20"/>
      <c r="K32" s="18"/>
    </row>
    <row r="33" spans="1:11" ht="26.25">
      <c r="A33" s="4">
        <v>54203</v>
      </c>
      <c r="B33" s="5" t="s">
        <v>133</v>
      </c>
      <c r="C33" s="2"/>
      <c r="D33" s="3" t="s">
        <v>42</v>
      </c>
      <c r="E33" s="3" t="s">
        <v>29</v>
      </c>
      <c r="F33" s="3" t="s">
        <v>43</v>
      </c>
      <c r="G33" s="305">
        <f>'MAYO-18 '!I33</f>
        <v>13181.54</v>
      </c>
      <c r="H33" s="51">
        <f>242.73+399</f>
        <v>641.73</v>
      </c>
      <c r="I33" s="17">
        <f t="shared" si="0"/>
        <v>12539.810000000001</v>
      </c>
      <c r="J33" s="20"/>
      <c r="K33" s="21"/>
    </row>
    <row r="34" spans="1:11">
      <c r="A34" s="4">
        <v>54204</v>
      </c>
      <c r="B34" s="2" t="s">
        <v>65</v>
      </c>
      <c r="C34" s="2"/>
      <c r="D34" s="3" t="s">
        <v>42</v>
      </c>
      <c r="E34" s="3" t="s">
        <v>29</v>
      </c>
      <c r="F34" s="3" t="s">
        <v>43</v>
      </c>
      <c r="G34" s="305">
        <f>'MAYO-18 '!I34</f>
        <v>100</v>
      </c>
      <c r="H34" s="51"/>
      <c r="I34" s="17">
        <f t="shared" si="0"/>
        <v>100</v>
      </c>
      <c r="J34" s="20"/>
      <c r="K34" s="18"/>
    </row>
    <row r="35" spans="1:11">
      <c r="A35" s="4">
        <v>54301</v>
      </c>
      <c r="B35" s="2" t="s">
        <v>66</v>
      </c>
      <c r="C35" s="2"/>
      <c r="D35" s="3" t="s">
        <v>42</v>
      </c>
      <c r="E35" s="3" t="s">
        <v>29</v>
      </c>
      <c r="F35" s="3" t="s">
        <v>43</v>
      </c>
      <c r="G35" s="305">
        <f>'MAYO-18 '!I35</f>
        <v>198</v>
      </c>
      <c r="H35" s="51"/>
      <c r="I35" s="17">
        <f t="shared" si="0"/>
        <v>198</v>
      </c>
      <c r="J35" s="21"/>
      <c r="K35" s="18"/>
    </row>
    <row r="36" spans="1:11">
      <c r="A36" s="4">
        <v>54302</v>
      </c>
      <c r="B36" s="2" t="s">
        <v>67</v>
      </c>
      <c r="C36" s="2"/>
      <c r="D36" s="3" t="s">
        <v>42</v>
      </c>
      <c r="E36" s="3" t="s">
        <v>29</v>
      </c>
      <c r="F36" s="3" t="s">
        <v>43</v>
      </c>
      <c r="G36" s="305">
        <f>'MAYO-18 '!I36</f>
        <v>500</v>
      </c>
      <c r="H36" s="51"/>
      <c r="I36" s="17">
        <f t="shared" si="0"/>
        <v>500</v>
      </c>
      <c r="J36" s="20"/>
      <c r="K36" s="18"/>
    </row>
    <row r="37" spans="1:11">
      <c r="A37" s="4">
        <v>54303</v>
      </c>
      <c r="B37" s="2" t="s">
        <v>68</v>
      </c>
      <c r="C37" s="2"/>
      <c r="D37" s="3" t="s">
        <v>42</v>
      </c>
      <c r="E37" s="3" t="s">
        <v>29</v>
      </c>
      <c r="F37" s="3" t="s">
        <v>43</v>
      </c>
      <c r="G37" s="305">
        <f>'MAYO-18 '!I37</f>
        <v>1000</v>
      </c>
      <c r="H37" s="51"/>
      <c r="I37" s="17">
        <f t="shared" si="0"/>
        <v>1000</v>
      </c>
      <c r="J37" s="20"/>
      <c r="K37" s="18"/>
    </row>
    <row r="38" spans="1:11">
      <c r="A38" s="4">
        <v>54304</v>
      </c>
      <c r="B38" s="2" t="s">
        <v>69</v>
      </c>
      <c r="C38" s="2"/>
      <c r="D38" s="3" t="s">
        <v>42</v>
      </c>
      <c r="E38" s="3" t="s">
        <v>29</v>
      </c>
      <c r="F38" s="3" t="s">
        <v>43</v>
      </c>
      <c r="G38" s="305">
        <f>'MAYO-18 '!I38</f>
        <v>917.24</v>
      </c>
      <c r="H38" s="51"/>
      <c r="I38" s="17">
        <f t="shared" si="0"/>
        <v>917.24</v>
      </c>
      <c r="J38" s="18"/>
      <c r="K38" s="21"/>
    </row>
    <row r="39" spans="1:11">
      <c r="A39" s="4">
        <v>54305</v>
      </c>
      <c r="B39" s="2" t="s">
        <v>70</v>
      </c>
      <c r="C39" s="2"/>
      <c r="D39" s="3" t="s">
        <v>42</v>
      </c>
      <c r="E39" s="3" t="s">
        <v>29</v>
      </c>
      <c r="F39" s="3" t="s">
        <v>43</v>
      </c>
      <c r="G39" s="305">
        <f>'MAYO-18 '!I39</f>
        <v>1000</v>
      </c>
      <c r="H39" s="51"/>
      <c r="I39" s="17">
        <f t="shared" si="0"/>
        <v>1000</v>
      </c>
      <c r="J39" s="21"/>
      <c r="K39" s="18"/>
    </row>
    <row r="40" spans="1:11">
      <c r="A40" s="4">
        <v>54313</v>
      </c>
      <c r="B40" s="2" t="s">
        <v>71</v>
      </c>
      <c r="C40" s="2"/>
      <c r="D40" s="3" t="s">
        <v>42</v>
      </c>
      <c r="E40" s="3" t="s">
        <v>29</v>
      </c>
      <c r="F40" s="3" t="s">
        <v>43</v>
      </c>
      <c r="G40" s="305">
        <f>'MAYO-18 '!I40</f>
        <v>1611.55</v>
      </c>
      <c r="H40" s="51"/>
      <c r="I40" s="17">
        <f t="shared" si="0"/>
        <v>1611.55</v>
      </c>
      <c r="J40" s="18"/>
      <c r="K40" s="21"/>
    </row>
    <row r="41" spans="1:11">
      <c r="A41" s="4">
        <v>54316</v>
      </c>
      <c r="B41" s="2" t="s">
        <v>72</v>
      </c>
      <c r="C41" s="2"/>
      <c r="D41" s="3" t="s">
        <v>42</v>
      </c>
      <c r="E41" s="3" t="s">
        <v>29</v>
      </c>
      <c r="F41" s="3" t="s">
        <v>43</v>
      </c>
      <c r="G41" s="305">
        <f>'MAYO-18 '!I41</f>
        <v>1000</v>
      </c>
      <c r="H41" s="51"/>
      <c r="I41" s="17">
        <f t="shared" si="0"/>
        <v>1000</v>
      </c>
      <c r="J41" s="20"/>
      <c r="K41" s="18"/>
    </row>
    <row r="42" spans="1:11">
      <c r="A42" s="4">
        <v>54317</v>
      </c>
      <c r="B42" s="2" t="s">
        <v>73</v>
      </c>
      <c r="C42" s="2"/>
      <c r="D42" s="3" t="s">
        <v>42</v>
      </c>
      <c r="E42" s="3" t="s">
        <v>29</v>
      </c>
      <c r="F42" s="3" t="s">
        <v>43</v>
      </c>
      <c r="G42" s="305">
        <f>'MAYO-18 '!I42</f>
        <v>3880</v>
      </c>
      <c r="H42" s="51">
        <f>330+330</f>
        <v>660</v>
      </c>
      <c r="I42" s="17">
        <f t="shared" si="0"/>
        <v>3220</v>
      </c>
      <c r="J42" s="20"/>
      <c r="K42" s="18"/>
    </row>
    <row r="43" spans="1:11">
      <c r="A43" s="4">
        <v>54399</v>
      </c>
      <c r="B43" s="2" t="s">
        <v>74</v>
      </c>
      <c r="C43" s="2"/>
      <c r="D43" s="3" t="s">
        <v>42</v>
      </c>
      <c r="E43" s="3" t="s">
        <v>29</v>
      </c>
      <c r="F43" s="3" t="s">
        <v>43</v>
      </c>
      <c r="G43" s="305">
        <f>'MAYO-18 '!I43</f>
        <v>163.28</v>
      </c>
      <c r="H43" s="51"/>
      <c r="I43" s="17">
        <f t="shared" si="0"/>
        <v>163.28</v>
      </c>
      <c r="J43" s="18"/>
      <c r="K43" s="21"/>
    </row>
    <row r="44" spans="1:11">
      <c r="A44" s="4">
        <v>54401</v>
      </c>
      <c r="B44" s="2" t="s">
        <v>75</v>
      </c>
      <c r="C44" s="2"/>
      <c r="D44" s="3" t="s">
        <v>42</v>
      </c>
      <c r="E44" s="3" t="s">
        <v>29</v>
      </c>
      <c r="F44" s="3" t="s">
        <v>43</v>
      </c>
      <c r="G44" s="305">
        <f>'MAYO-18 '!I44</f>
        <v>200</v>
      </c>
      <c r="H44" s="51"/>
      <c r="I44" s="17">
        <f t="shared" si="0"/>
        <v>200</v>
      </c>
      <c r="J44" s="20"/>
      <c r="K44" s="18"/>
    </row>
    <row r="45" spans="1:11">
      <c r="A45" s="4">
        <v>54403</v>
      </c>
      <c r="B45" s="2" t="s">
        <v>76</v>
      </c>
      <c r="C45" s="2"/>
      <c r="D45" s="3" t="s">
        <v>42</v>
      </c>
      <c r="E45" s="3" t="s">
        <v>29</v>
      </c>
      <c r="F45" s="3" t="s">
        <v>43</v>
      </c>
      <c r="G45" s="305">
        <f>'MAYO-18 '!I45</f>
        <v>300</v>
      </c>
      <c r="H45" s="51"/>
      <c r="I45" s="17">
        <f t="shared" si="0"/>
        <v>300</v>
      </c>
      <c r="J45" s="20"/>
      <c r="K45" s="18"/>
    </row>
    <row r="46" spans="1:11">
      <c r="A46" s="4">
        <v>54501</v>
      </c>
      <c r="B46" s="2" t="s">
        <v>77</v>
      </c>
      <c r="C46" s="2"/>
      <c r="D46" s="3" t="s">
        <v>42</v>
      </c>
      <c r="E46" s="3" t="s">
        <v>29</v>
      </c>
      <c r="F46" s="3" t="s">
        <v>43</v>
      </c>
      <c r="G46" s="305">
        <f>'MAYO-18 '!I46</f>
        <v>3800</v>
      </c>
      <c r="H46" s="51"/>
      <c r="I46" s="17">
        <f t="shared" si="0"/>
        <v>3800</v>
      </c>
      <c r="J46" s="18"/>
      <c r="K46" s="22"/>
    </row>
    <row r="47" spans="1:11">
      <c r="A47" s="4">
        <v>54503</v>
      </c>
      <c r="B47" s="2" t="s">
        <v>78</v>
      </c>
      <c r="C47" s="2"/>
      <c r="D47" s="3" t="s">
        <v>42</v>
      </c>
      <c r="E47" s="3" t="s">
        <v>29</v>
      </c>
      <c r="F47" s="3" t="s">
        <v>43</v>
      </c>
      <c r="G47" s="305">
        <f>'MAYO-18 '!I47</f>
        <v>2000</v>
      </c>
      <c r="H47" s="51"/>
      <c r="I47" s="17">
        <f t="shared" si="0"/>
        <v>2000</v>
      </c>
      <c r="J47" s="18"/>
      <c r="K47" s="18"/>
    </row>
    <row r="48" spans="1:11">
      <c r="A48" s="4">
        <v>54504</v>
      </c>
      <c r="B48" s="2" t="s">
        <v>79</v>
      </c>
      <c r="C48" s="2"/>
      <c r="D48" s="3" t="s">
        <v>80</v>
      </c>
      <c r="E48" s="3" t="s">
        <v>29</v>
      </c>
      <c r="F48" s="3" t="s">
        <v>43</v>
      </c>
      <c r="G48" s="305">
        <f>'MAYO-18 '!I48</f>
        <v>1000</v>
      </c>
      <c r="H48" s="51"/>
      <c r="I48" s="17">
        <f t="shared" si="0"/>
        <v>1000</v>
      </c>
      <c r="J48" s="18"/>
      <c r="K48" s="18"/>
    </row>
    <row r="49" spans="1:11">
      <c r="A49" s="4">
        <v>54505</v>
      </c>
      <c r="B49" s="5" t="s">
        <v>81</v>
      </c>
      <c r="C49" s="2"/>
      <c r="D49" s="3" t="s">
        <v>42</v>
      </c>
      <c r="E49" s="3" t="s">
        <v>29</v>
      </c>
      <c r="F49" s="3" t="s">
        <v>43</v>
      </c>
      <c r="G49" s="305">
        <f>'MAYO-18 '!I49</f>
        <v>1000</v>
      </c>
      <c r="H49" s="51"/>
      <c r="I49" s="17">
        <f t="shared" si="0"/>
        <v>1000</v>
      </c>
      <c r="J49" s="18"/>
      <c r="K49" s="22"/>
    </row>
    <row r="50" spans="1:11" ht="20.25" customHeight="1">
      <c r="A50" s="4">
        <v>54599</v>
      </c>
      <c r="B50" s="5" t="s">
        <v>82</v>
      </c>
      <c r="C50" s="5"/>
      <c r="D50" s="3" t="s">
        <v>42</v>
      </c>
      <c r="E50" s="3" t="s">
        <v>29</v>
      </c>
      <c r="F50" s="3" t="s">
        <v>43</v>
      </c>
      <c r="G50" s="305">
        <f>'MAYO-18 '!I50</f>
        <v>700</v>
      </c>
      <c r="H50" s="51"/>
      <c r="I50" s="17">
        <f t="shared" si="0"/>
        <v>700</v>
      </c>
      <c r="J50" s="18"/>
      <c r="K50" s="18"/>
    </row>
    <row r="51" spans="1:11" ht="30" customHeight="1">
      <c r="A51" s="4">
        <v>55302</v>
      </c>
      <c r="B51" s="5" t="s">
        <v>83</v>
      </c>
      <c r="C51" s="2"/>
      <c r="D51" s="3" t="s">
        <v>42</v>
      </c>
      <c r="E51" s="3" t="s">
        <v>29</v>
      </c>
      <c r="F51" s="3" t="s">
        <v>43</v>
      </c>
      <c r="G51" s="305">
        <f>'MAYO-18 '!I51</f>
        <v>500</v>
      </c>
      <c r="H51" s="51"/>
      <c r="I51" s="17">
        <f t="shared" si="0"/>
        <v>500</v>
      </c>
      <c r="J51" s="18"/>
      <c r="K51" s="21"/>
    </row>
    <row r="52" spans="1:11">
      <c r="A52" s="4">
        <v>55601</v>
      </c>
      <c r="B52" s="2" t="s">
        <v>84</v>
      </c>
      <c r="C52" s="2" t="s">
        <v>85</v>
      </c>
      <c r="D52" s="3" t="s">
        <v>42</v>
      </c>
      <c r="E52" s="3" t="s">
        <v>29</v>
      </c>
      <c r="F52" s="3" t="s">
        <v>43</v>
      </c>
      <c r="G52" s="305">
        <f>'MAYO-18 '!I52</f>
        <v>5000</v>
      </c>
      <c r="H52" s="51"/>
      <c r="I52" s="17">
        <f t="shared" si="0"/>
        <v>5000</v>
      </c>
      <c r="J52" s="18"/>
      <c r="K52" s="22"/>
    </row>
    <row r="53" spans="1:11">
      <c r="A53" s="4">
        <v>55602</v>
      </c>
      <c r="B53" s="2" t="s">
        <v>86</v>
      </c>
      <c r="C53" s="2" t="s">
        <v>87</v>
      </c>
      <c r="D53" s="3" t="s">
        <v>42</v>
      </c>
      <c r="E53" s="3" t="s">
        <v>29</v>
      </c>
      <c r="F53" s="3" t="s">
        <v>43</v>
      </c>
      <c r="G53" s="305">
        <f>'MAYO-18 '!I53</f>
        <v>8000</v>
      </c>
      <c r="H53" s="51"/>
      <c r="I53" s="17">
        <f t="shared" si="0"/>
        <v>8000</v>
      </c>
      <c r="J53" s="18"/>
      <c r="K53" s="22"/>
    </row>
    <row r="54" spans="1:11">
      <c r="A54" s="4">
        <v>55603</v>
      </c>
      <c r="B54" s="2" t="s">
        <v>6</v>
      </c>
      <c r="C54" s="2"/>
      <c r="D54" s="3" t="s">
        <v>42</v>
      </c>
      <c r="E54" s="3" t="s">
        <v>29</v>
      </c>
      <c r="F54" s="3" t="s">
        <v>43</v>
      </c>
      <c r="G54" s="305">
        <f>'MAYO-18 '!I54</f>
        <v>464.23</v>
      </c>
      <c r="H54" s="372">
        <f>1.3+1.3+5.65</f>
        <v>8.25</v>
      </c>
      <c r="I54" s="17">
        <f t="shared" si="0"/>
        <v>455.98</v>
      </c>
      <c r="J54" s="18"/>
      <c r="K54" s="21"/>
    </row>
    <row r="55" spans="1:11" ht="33" customHeight="1">
      <c r="A55" s="4">
        <v>55799</v>
      </c>
      <c r="B55" s="5" t="s">
        <v>169</v>
      </c>
      <c r="C55" s="5"/>
      <c r="D55" s="3" t="s">
        <v>42</v>
      </c>
      <c r="E55" s="3" t="s">
        <v>29</v>
      </c>
      <c r="F55" s="3" t="s">
        <v>43</v>
      </c>
      <c r="G55" s="305">
        <f>'MAYO-18 '!I55</f>
        <v>394.71000000000004</v>
      </c>
      <c r="H55" s="51"/>
      <c r="I55" s="17">
        <f t="shared" si="0"/>
        <v>394.71000000000004</v>
      </c>
      <c r="J55" s="18"/>
      <c r="K55" s="21"/>
    </row>
    <row r="56" spans="1:11" ht="33" customHeight="1">
      <c r="A56" s="4" t="s">
        <v>170</v>
      </c>
      <c r="B56" s="5" t="s">
        <v>1028</v>
      </c>
      <c r="C56" s="5"/>
      <c r="D56" s="3" t="s">
        <v>42</v>
      </c>
      <c r="E56" s="3" t="s">
        <v>29</v>
      </c>
      <c r="F56" s="3" t="s">
        <v>43</v>
      </c>
      <c r="G56" s="305">
        <f>'MAYO-18 '!I56</f>
        <v>700</v>
      </c>
      <c r="H56" s="51"/>
      <c r="I56" s="17">
        <f t="shared" si="0"/>
        <v>700</v>
      </c>
      <c r="J56" s="18"/>
      <c r="K56" s="21"/>
    </row>
    <row r="57" spans="1:11" ht="39">
      <c r="A57" s="4" t="s">
        <v>171</v>
      </c>
      <c r="B57" s="5" t="s">
        <v>88</v>
      </c>
      <c r="C57" s="5"/>
      <c r="D57" s="3" t="s">
        <v>42</v>
      </c>
      <c r="E57" s="3" t="s">
        <v>29</v>
      </c>
      <c r="F57" s="3" t="s">
        <v>43</v>
      </c>
      <c r="G57" s="305">
        <f>'MAYO-18 '!I57</f>
        <v>1995.9200000000003</v>
      </c>
      <c r="H57" s="51">
        <v>374.14</v>
      </c>
      <c r="I57" s="17">
        <f t="shared" si="0"/>
        <v>1621.7800000000002</v>
      </c>
      <c r="J57" s="18"/>
      <c r="K57" s="18"/>
    </row>
    <row r="58" spans="1:11" ht="27">
      <c r="A58" s="4" t="s">
        <v>161</v>
      </c>
      <c r="B58" s="5" t="s">
        <v>1027</v>
      </c>
      <c r="C58" s="5"/>
      <c r="D58" s="3" t="s">
        <v>42</v>
      </c>
      <c r="E58" s="3" t="s">
        <v>29</v>
      </c>
      <c r="F58" s="3" t="s">
        <v>43</v>
      </c>
      <c r="G58" s="305">
        <f>'MAYO-18 '!I58</f>
        <v>0</v>
      </c>
      <c r="H58" s="51"/>
      <c r="I58" s="17">
        <f t="shared" si="0"/>
        <v>0</v>
      </c>
      <c r="J58" s="18"/>
      <c r="K58" s="18"/>
    </row>
    <row r="59" spans="1:11" ht="21" customHeight="1">
      <c r="A59" s="4">
        <v>56303</v>
      </c>
      <c r="B59" s="2" t="s">
        <v>90</v>
      </c>
      <c r="C59" s="2"/>
      <c r="D59" s="3" t="s">
        <v>42</v>
      </c>
      <c r="E59" s="3" t="s">
        <v>29</v>
      </c>
      <c r="F59" s="3" t="s">
        <v>43</v>
      </c>
      <c r="G59" s="305">
        <f>'MAYO-18 '!I59</f>
        <v>12554.9</v>
      </c>
      <c r="H59" s="51">
        <f>300+100+150+150+150+527.51+413.6</f>
        <v>1791.1100000000001</v>
      </c>
      <c r="I59" s="17">
        <f t="shared" si="0"/>
        <v>10763.789999999999</v>
      </c>
      <c r="J59" s="18"/>
      <c r="K59" s="18"/>
    </row>
    <row r="60" spans="1:11" ht="21.75" customHeight="1">
      <c r="A60" s="4">
        <v>56304</v>
      </c>
      <c r="B60" s="2" t="s">
        <v>91</v>
      </c>
      <c r="C60" s="2"/>
      <c r="D60" s="3" t="s">
        <v>42</v>
      </c>
      <c r="E60" s="3" t="s">
        <v>29</v>
      </c>
      <c r="F60" s="3" t="s">
        <v>43</v>
      </c>
      <c r="G60" s="305">
        <f>'MAYO-18 '!I60</f>
        <v>11702.77</v>
      </c>
      <c r="H60" s="51">
        <f>100+100+200+150+100+25+25+25+25+25+25+25+25+25+25+25+150+100+36+100+100+75+50+160+120+120+100+25+25+100+100+125</f>
        <v>2411</v>
      </c>
      <c r="I60" s="17">
        <f t="shared" si="0"/>
        <v>9291.77</v>
      </c>
      <c r="J60" s="18"/>
      <c r="K60" s="18"/>
    </row>
    <row r="61" spans="1:11" ht="45.75" customHeight="1">
      <c r="A61" s="38" t="s">
        <v>8</v>
      </c>
      <c r="B61" s="39" t="s">
        <v>92</v>
      </c>
      <c r="C61" s="39"/>
      <c r="D61" s="39" t="s">
        <v>42</v>
      </c>
      <c r="E61" s="39" t="s">
        <v>29</v>
      </c>
      <c r="F61" s="39" t="s">
        <v>43</v>
      </c>
      <c r="G61" s="17">
        <f>SUM(G4:G60)</f>
        <v>183744.44</v>
      </c>
      <c r="H61" s="95">
        <f>SUM(H4:H60)</f>
        <v>21523.78</v>
      </c>
      <c r="I61" s="40">
        <f>G61-H61+J61-K61</f>
        <v>162220.66</v>
      </c>
      <c r="J61" s="107">
        <f>SUM(J4:J60)</f>
        <v>9600</v>
      </c>
      <c r="K61" s="107">
        <f>SUM(K5:K60)</f>
        <v>9600</v>
      </c>
    </row>
    <row r="62" spans="1:11">
      <c r="A62" s="4">
        <v>51103</v>
      </c>
      <c r="B62" s="2" t="s">
        <v>173</v>
      </c>
      <c r="C62" s="2"/>
      <c r="D62" s="3" t="s">
        <v>94</v>
      </c>
      <c r="E62" s="3" t="s">
        <v>29</v>
      </c>
      <c r="F62" s="3" t="s">
        <v>43</v>
      </c>
      <c r="G62" s="17">
        <f>'MAYO-18 '!I62</f>
        <v>100</v>
      </c>
      <c r="H62" s="51"/>
      <c r="I62" s="17">
        <f t="shared" si="0"/>
        <v>100</v>
      </c>
      <c r="J62" s="27"/>
      <c r="K62" s="28"/>
    </row>
    <row r="63" spans="1:11">
      <c r="A63" s="4">
        <v>51107</v>
      </c>
      <c r="B63" s="2" t="s">
        <v>93</v>
      </c>
      <c r="C63" s="2"/>
      <c r="D63" s="3" t="s">
        <v>94</v>
      </c>
      <c r="E63" s="3" t="s">
        <v>29</v>
      </c>
      <c r="F63" s="3" t="s">
        <v>43</v>
      </c>
      <c r="G63" s="17">
        <f>'MAYO-18 '!I63</f>
        <v>1160</v>
      </c>
      <c r="H63" s="51">
        <f>340</f>
        <v>340</v>
      </c>
      <c r="I63" s="17">
        <f t="shared" si="0"/>
        <v>820</v>
      </c>
      <c r="J63" s="27"/>
      <c r="K63" s="28"/>
    </row>
    <row r="64" spans="1:11">
      <c r="A64" s="4">
        <v>51301</v>
      </c>
      <c r="B64" s="2" t="s">
        <v>45</v>
      </c>
      <c r="C64" s="2"/>
      <c r="D64" s="3" t="s">
        <v>94</v>
      </c>
      <c r="E64" s="3" t="s">
        <v>29</v>
      </c>
      <c r="F64" s="3" t="s">
        <v>43</v>
      </c>
      <c r="G64" s="17">
        <f>'MAYO-18 '!I64</f>
        <v>5000</v>
      </c>
      <c r="H64" s="51"/>
      <c r="I64" s="17">
        <f t="shared" si="0"/>
        <v>5000</v>
      </c>
      <c r="J64" s="27"/>
      <c r="K64" s="29"/>
    </row>
    <row r="65" spans="1:11" ht="25.5">
      <c r="A65" s="4">
        <v>51401</v>
      </c>
      <c r="B65" s="7" t="s">
        <v>128</v>
      </c>
      <c r="C65" s="2"/>
      <c r="D65" s="3" t="s">
        <v>94</v>
      </c>
      <c r="E65" s="3" t="s">
        <v>29</v>
      </c>
      <c r="F65" s="3" t="s">
        <v>43</v>
      </c>
      <c r="G65" s="17">
        <f>'MAYO-18 '!I65</f>
        <v>2099.1</v>
      </c>
      <c r="H65" s="51"/>
      <c r="I65" s="17">
        <f t="shared" si="0"/>
        <v>2099.1</v>
      </c>
      <c r="J65" s="27"/>
      <c r="K65" s="30"/>
    </row>
    <row r="66" spans="1:11" ht="36">
      <c r="A66" s="4">
        <v>51501</v>
      </c>
      <c r="B66" s="5" t="s">
        <v>141</v>
      </c>
      <c r="C66" s="2"/>
      <c r="D66" s="3" t="s">
        <v>94</v>
      </c>
      <c r="E66" s="3" t="s">
        <v>29</v>
      </c>
      <c r="F66" s="3" t="s">
        <v>43</v>
      </c>
      <c r="G66" s="17">
        <f>'MAYO-18 '!I66</f>
        <v>1889.16</v>
      </c>
      <c r="H66" s="51"/>
      <c r="I66" s="17">
        <f t="shared" si="0"/>
        <v>1889.16</v>
      </c>
      <c r="J66" s="27"/>
      <c r="K66" s="21"/>
    </row>
    <row r="67" spans="1:11">
      <c r="A67" s="4">
        <v>54104</v>
      </c>
      <c r="B67" s="2" t="s">
        <v>10</v>
      </c>
      <c r="C67" s="2"/>
      <c r="D67" s="3" t="s">
        <v>94</v>
      </c>
      <c r="E67" s="3" t="s">
        <v>29</v>
      </c>
      <c r="F67" s="3" t="s">
        <v>43</v>
      </c>
      <c r="G67" s="17">
        <f>'MAYO-18 '!I67</f>
        <v>2000</v>
      </c>
      <c r="H67" s="51"/>
      <c r="I67" s="17">
        <f t="shared" si="0"/>
        <v>2000</v>
      </c>
      <c r="J67" s="27"/>
      <c r="K67" s="22"/>
    </row>
    <row r="68" spans="1:11">
      <c r="A68" s="4">
        <v>54105</v>
      </c>
      <c r="B68" s="2" t="s">
        <v>49</v>
      </c>
      <c r="C68" s="2"/>
      <c r="D68" s="3" t="s">
        <v>94</v>
      </c>
      <c r="E68" s="3" t="s">
        <v>29</v>
      </c>
      <c r="F68" s="3" t="s">
        <v>43</v>
      </c>
      <c r="G68" s="17">
        <f>'MAYO-18 '!I68</f>
        <v>1831.63</v>
      </c>
      <c r="H68" s="51">
        <v>74.25</v>
      </c>
      <c r="I68" s="17">
        <f t="shared" si="0"/>
        <v>1757.38</v>
      </c>
      <c r="J68" s="27"/>
      <c r="K68" s="18"/>
    </row>
    <row r="69" spans="1:11">
      <c r="A69" s="4">
        <v>54114</v>
      </c>
      <c r="B69" s="2" t="s">
        <v>56</v>
      </c>
      <c r="C69" s="2"/>
      <c r="D69" s="3" t="s">
        <v>94</v>
      </c>
      <c r="E69" s="3" t="s">
        <v>29</v>
      </c>
      <c r="F69" s="3" t="s">
        <v>43</v>
      </c>
      <c r="G69" s="17">
        <f>'MAYO-18 '!I69</f>
        <v>2816.42</v>
      </c>
      <c r="H69" s="51"/>
      <c r="I69" s="17">
        <f t="shared" si="0"/>
        <v>2816.42</v>
      </c>
      <c r="J69" s="27"/>
      <c r="K69" s="21"/>
    </row>
    <row r="70" spans="1:11">
      <c r="A70" s="4">
        <v>54115</v>
      </c>
      <c r="B70" s="2" t="s">
        <v>57</v>
      </c>
      <c r="C70" s="2"/>
      <c r="D70" s="3" t="s">
        <v>94</v>
      </c>
      <c r="E70" s="3" t="s">
        <v>29</v>
      </c>
      <c r="F70" s="3" t="s">
        <v>43</v>
      </c>
      <c r="G70" s="17">
        <f>'MAYO-18 '!I70</f>
        <v>2000</v>
      </c>
      <c r="H70" s="51">
        <f>688.5+688.5</f>
        <v>1377</v>
      </c>
      <c r="I70" s="17">
        <f t="shared" si="0"/>
        <v>623</v>
      </c>
      <c r="J70" s="31"/>
      <c r="K70" s="21"/>
    </row>
    <row r="71" spans="1:11">
      <c r="A71" s="4">
        <v>54401</v>
      </c>
      <c r="B71" s="2" t="s">
        <v>75</v>
      </c>
      <c r="C71" s="2"/>
      <c r="D71" s="3" t="s">
        <v>94</v>
      </c>
      <c r="E71" s="3" t="s">
        <v>29</v>
      </c>
      <c r="F71" s="3" t="s">
        <v>43</v>
      </c>
      <c r="G71" s="17">
        <f>'MAYO-18 '!I71</f>
        <v>200</v>
      </c>
      <c r="H71" s="51"/>
      <c r="I71" s="17">
        <f t="shared" si="0"/>
        <v>200</v>
      </c>
      <c r="J71" s="27"/>
      <c r="K71" s="21"/>
    </row>
    <row r="72" spans="1:11">
      <c r="A72" s="4">
        <v>54403</v>
      </c>
      <c r="B72" s="2" t="s">
        <v>76</v>
      </c>
      <c r="C72" s="2"/>
      <c r="D72" s="3" t="s">
        <v>94</v>
      </c>
      <c r="E72" s="3" t="s">
        <v>29</v>
      </c>
      <c r="F72" s="3" t="s">
        <v>43</v>
      </c>
      <c r="G72" s="17">
        <f>'MAYO-18 '!I72</f>
        <v>300</v>
      </c>
      <c r="H72" s="51"/>
      <c r="I72" s="17">
        <f>G72-H72+J72-K72</f>
        <v>300</v>
      </c>
      <c r="J72" s="27"/>
      <c r="K72" s="28"/>
    </row>
    <row r="73" spans="1:11" ht="21" customHeight="1">
      <c r="A73" s="4">
        <v>54507</v>
      </c>
      <c r="B73" s="5" t="s">
        <v>95</v>
      </c>
      <c r="C73" s="2"/>
      <c r="D73" s="3" t="s">
        <v>94</v>
      </c>
      <c r="E73" s="3" t="s">
        <v>29</v>
      </c>
      <c r="F73" s="3" t="s">
        <v>43</v>
      </c>
      <c r="G73" s="17">
        <f>'MAYO-18 '!I73</f>
        <v>1000</v>
      </c>
      <c r="H73" s="51">
        <f>60</f>
        <v>60</v>
      </c>
      <c r="I73" s="17">
        <f>G73-H73+J73-K73</f>
        <v>940</v>
      </c>
      <c r="J73" s="32"/>
      <c r="K73" s="28"/>
    </row>
    <row r="74" spans="1:11" ht="21">
      <c r="A74" s="38" t="s">
        <v>8</v>
      </c>
      <c r="B74" s="39" t="s">
        <v>96</v>
      </c>
      <c r="C74" s="39"/>
      <c r="D74" s="39" t="s">
        <v>94</v>
      </c>
      <c r="E74" s="39" t="s">
        <v>29</v>
      </c>
      <c r="F74" s="39" t="s">
        <v>43</v>
      </c>
      <c r="G74" s="17">
        <f>'MAYO-18 '!I74</f>
        <v>20396.310000000005</v>
      </c>
      <c r="H74" s="95">
        <f>SUM(H62:H73)</f>
        <v>1851.25</v>
      </c>
      <c r="I74" s="40">
        <f>G74-H74+J74-K74</f>
        <v>18545.060000000005</v>
      </c>
      <c r="J74" s="40"/>
      <c r="K74" s="107">
        <f>SUM(K68:K73)</f>
        <v>0</v>
      </c>
    </row>
    <row r="75" spans="1:11">
      <c r="A75" s="4">
        <v>51103</v>
      </c>
      <c r="B75" s="2" t="s">
        <v>174</v>
      </c>
      <c r="C75" s="2"/>
      <c r="D75" s="3" t="s">
        <v>97</v>
      </c>
      <c r="E75" s="3" t="s">
        <v>29</v>
      </c>
      <c r="F75" s="3" t="s">
        <v>43</v>
      </c>
      <c r="G75" s="17">
        <f>'MAYO-18 '!I75</f>
        <v>100</v>
      </c>
      <c r="H75" s="51"/>
      <c r="I75" s="170">
        <f t="shared" ref="I75:I100" si="1">G75-H75+J75-K75</f>
        <v>100</v>
      </c>
      <c r="J75" s="28"/>
      <c r="K75" s="28"/>
    </row>
    <row r="76" spans="1:11">
      <c r="A76" s="4">
        <v>51107</v>
      </c>
      <c r="B76" s="2" t="s">
        <v>93</v>
      </c>
      <c r="C76" s="2"/>
      <c r="D76" s="3" t="s">
        <v>97</v>
      </c>
      <c r="E76" s="3" t="s">
        <v>29</v>
      </c>
      <c r="F76" s="3" t="s">
        <v>43</v>
      </c>
      <c r="G76" s="17">
        <f>'MAYO-18 '!I76</f>
        <v>3551</v>
      </c>
      <c r="H76" s="51">
        <f>2125+170</f>
        <v>2295</v>
      </c>
      <c r="I76" s="170">
        <f t="shared" si="1"/>
        <v>1256</v>
      </c>
      <c r="J76" s="28"/>
      <c r="K76" s="28"/>
    </row>
    <row r="77" spans="1:11">
      <c r="A77" s="4">
        <v>51201</v>
      </c>
      <c r="B77" s="2" t="s">
        <v>44</v>
      </c>
      <c r="C77" s="2"/>
      <c r="D77" s="3" t="s">
        <v>97</v>
      </c>
      <c r="E77" s="3" t="s">
        <v>29</v>
      </c>
      <c r="F77" s="3" t="s">
        <v>43</v>
      </c>
      <c r="G77" s="17">
        <f>'MAYO-18 '!I77</f>
        <v>1670</v>
      </c>
      <c r="H77" s="51"/>
      <c r="I77" s="170">
        <f t="shared" si="1"/>
        <v>1670</v>
      </c>
      <c r="J77" s="30"/>
      <c r="K77" s="28"/>
    </row>
    <row r="78" spans="1:11">
      <c r="A78" s="4">
        <v>51301</v>
      </c>
      <c r="B78" s="7" t="s">
        <v>98</v>
      </c>
      <c r="C78" s="2"/>
      <c r="D78" s="3" t="s">
        <v>97</v>
      </c>
      <c r="E78" s="3" t="s">
        <v>29</v>
      </c>
      <c r="F78" s="3" t="s">
        <v>43</v>
      </c>
      <c r="G78" s="17">
        <f>'MAYO-18 '!I78</f>
        <v>3000</v>
      </c>
      <c r="H78" s="51"/>
      <c r="I78" s="170">
        <f t="shared" si="1"/>
        <v>3000</v>
      </c>
      <c r="J78" s="30"/>
      <c r="K78" s="28"/>
    </row>
    <row r="79" spans="1:11" ht="48.75" customHeight="1">
      <c r="A79" s="4">
        <v>51401</v>
      </c>
      <c r="B79" s="7" t="s">
        <v>134</v>
      </c>
      <c r="C79" s="2"/>
      <c r="D79" s="3" t="s">
        <v>97</v>
      </c>
      <c r="E79" s="3" t="s">
        <v>29</v>
      </c>
      <c r="F79" s="3" t="s">
        <v>43</v>
      </c>
      <c r="G79" s="17">
        <f>'MAYO-18 '!I79</f>
        <v>9778.74</v>
      </c>
      <c r="H79" s="51"/>
      <c r="I79" s="170">
        <f t="shared" si="1"/>
        <v>9778.74</v>
      </c>
      <c r="J79" s="29"/>
      <c r="K79" s="28"/>
    </row>
    <row r="80" spans="1:11" ht="36">
      <c r="A80" s="4">
        <v>51501</v>
      </c>
      <c r="B80" s="5" t="s">
        <v>127</v>
      </c>
      <c r="C80" s="2"/>
      <c r="D80" s="3" t="s">
        <v>97</v>
      </c>
      <c r="E80" s="3" t="s">
        <v>29</v>
      </c>
      <c r="F80" s="3" t="s">
        <v>43</v>
      </c>
      <c r="G80" s="17">
        <f>'MAYO-18 '!I80</f>
        <v>7853.28</v>
      </c>
      <c r="H80" s="51"/>
      <c r="I80" s="170">
        <f t="shared" si="1"/>
        <v>7853.28</v>
      </c>
      <c r="J80" s="27"/>
      <c r="K80" s="28"/>
    </row>
    <row r="81" spans="1:11" ht="24" customHeight="1">
      <c r="A81" s="4">
        <v>54104</v>
      </c>
      <c r="B81" s="2" t="s">
        <v>10</v>
      </c>
      <c r="C81" s="2"/>
      <c r="D81" s="3" t="s">
        <v>97</v>
      </c>
      <c r="E81" s="3" t="s">
        <v>29</v>
      </c>
      <c r="F81" s="3" t="s">
        <v>43</v>
      </c>
      <c r="G81" s="17">
        <f>'MAYO-18 '!I81</f>
        <v>3819</v>
      </c>
      <c r="H81" s="51"/>
      <c r="I81" s="170">
        <f t="shared" si="1"/>
        <v>3819</v>
      </c>
      <c r="J81" s="28"/>
      <c r="K81" s="28"/>
    </row>
    <row r="82" spans="1:11" ht="21.75" customHeight="1">
      <c r="A82" s="4">
        <v>54105</v>
      </c>
      <c r="B82" s="2" t="s">
        <v>49</v>
      </c>
      <c r="C82" s="2"/>
      <c r="D82" s="3" t="s">
        <v>97</v>
      </c>
      <c r="E82" s="3" t="s">
        <v>29</v>
      </c>
      <c r="F82" s="3" t="s">
        <v>43</v>
      </c>
      <c r="G82" s="17">
        <f>'MAYO-18 '!I82</f>
        <v>800</v>
      </c>
      <c r="H82" s="51"/>
      <c r="I82" s="170">
        <f t="shared" si="1"/>
        <v>800</v>
      </c>
      <c r="J82" s="27"/>
      <c r="K82" s="28"/>
    </row>
    <row r="83" spans="1:11" ht="27" customHeight="1">
      <c r="A83" s="4">
        <v>54106</v>
      </c>
      <c r="B83" s="5" t="s">
        <v>99</v>
      </c>
      <c r="C83" s="5"/>
      <c r="D83" s="3" t="s">
        <v>97</v>
      </c>
      <c r="E83" s="3" t="s">
        <v>29</v>
      </c>
      <c r="F83" s="3" t="s">
        <v>43</v>
      </c>
      <c r="G83" s="17">
        <f>'MAYO-18 '!I83</f>
        <v>500</v>
      </c>
      <c r="H83" s="51"/>
      <c r="I83" s="170">
        <f t="shared" si="1"/>
        <v>500</v>
      </c>
      <c r="J83" s="27"/>
      <c r="K83" s="28"/>
    </row>
    <row r="84" spans="1:11" ht="24" customHeight="1">
      <c r="A84" s="4">
        <v>54109</v>
      </c>
      <c r="B84" s="2" t="s">
        <v>52</v>
      </c>
      <c r="C84" s="2"/>
      <c r="D84" s="3" t="s">
        <v>97</v>
      </c>
      <c r="E84" s="3" t="s">
        <v>29</v>
      </c>
      <c r="F84" s="3" t="s">
        <v>43</v>
      </c>
      <c r="G84" s="17">
        <f>'MAYO-18 '!I84</f>
        <v>500</v>
      </c>
      <c r="H84" s="51"/>
      <c r="I84" s="170">
        <f t="shared" si="1"/>
        <v>500</v>
      </c>
      <c r="J84" s="33"/>
      <c r="K84" s="28"/>
    </row>
    <row r="85" spans="1:11" ht="28.5" customHeight="1">
      <c r="A85" s="4">
        <v>54110</v>
      </c>
      <c r="B85" s="2" t="s">
        <v>53</v>
      </c>
      <c r="C85" s="2"/>
      <c r="D85" s="3" t="s">
        <v>97</v>
      </c>
      <c r="E85" s="3" t="s">
        <v>29</v>
      </c>
      <c r="F85" s="3" t="s">
        <v>43</v>
      </c>
      <c r="G85" s="17">
        <f>'MAYO-18 '!I85</f>
        <v>8205.35</v>
      </c>
      <c r="H85" s="51">
        <f>1125.85</f>
        <v>1125.8499999999999</v>
      </c>
      <c r="I85" s="170">
        <f t="shared" si="1"/>
        <v>7079.5</v>
      </c>
      <c r="J85" s="33"/>
      <c r="K85" s="30"/>
    </row>
    <row r="86" spans="1:11" ht="30.75" customHeight="1">
      <c r="A86" s="4">
        <v>54111</v>
      </c>
      <c r="B86" s="5" t="s">
        <v>54</v>
      </c>
      <c r="C86" s="2"/>
      <c r="D86" s="3" t="s">
        <v>97</v>
      </c>
      <c r="E86" s="3" t="s">
        <v>29</v>
      </c>
      <c r="F86" s="3" t="s">
        <v>43</v>
      </c>
      <c r="G86" s="17">
        <f>'MAYO-18 '!I86</f>
        <v>500</v>
      </c>
      <c r="H86" s="51"/>
      <c r="I86" s="170">
        <f t="shared" si="1"/>
        <v>500</v>
      </c>
      <c r="J86" s="33"/>
      <c r="K86" s="277"/>
    </row>
    <row r="87" spans="1:11" ht="39">
      <c r="A87" s="4">
        <v>54112</v>
      </c>
      <c r="B87" s="5" t="s">
        <v>55</v>
      </c>
      <c r="C87" s="2"/>
      <c r="D87" s="3" t="s">
        <v>97</v>
      </c>
      <c r="E87" s="3" t="s">
        <v>29</v>
      </c>
      <c r="F87" s="3" t="s">
        <v>43</v>
      </c>
      <c r="G87" s="17">
        <f>'MAYO-18 '!I87</f>
        <v>490.5</v>
      </c>
      <c r="H87" s="51"/>
      <c r="I87" s="170">
        <f t="shared" si="1"/>
        <v>490.5</v>
      </c>
      <c r="J87" s="33"/>
      <c r="K87" s="28"/>
    </row>
    <row r="88" spans="1:11">
      <c r="A88" s="4">
        <v>54114</v>
      </c>
      <c r="B88" s="2" t="s">
        <v>56</v>
      </c>
      <c r="C88" s="2"/>
      <c r="D88" s="3" t="s">
        <v>97</v>
      </c>
      <c r="E88" s="3" t="s">
        <v>29</v>
      </c>
      <c r="F88" s="3" t="s">
        <v>43</v>
      </c>
      <c r="G88" s="17">
        <f>'MAYO-18 '!I88</f>
        <v>500</v>
      </c>
      <c r="H88" s="51"/>
      <c r="I88" s="170">
        <f t="shared" si="1"/>
        <v>500</v>
      </c>
      <c r="J88" s="27"/>
      <c r="K88" s="28"/>
    </row>
    <row r="89" spans="1:11">
      <c r="A89" s="4">
        <v>54115</v>
      </c>
      <c r="B89" s="2" t="s">
        <v>57</v>
      </c>
      <c r="C89" s="2"/>
      <c r="D89" s="3" t="s">
        <v>97</v>
      </c>
      <c r="E89" s="3" t="s">
        <v>29</v>
      </c>
      <c r="F89" s="3" t="s">
        <v>43</v>
      </c>
      <c r="G89" s="17">
        <f>'MAYO-18 '!I89</f>
        <v>500</v>
      </c>
      <c r="H89" s="51"/>
      <c r="I89" s="170">
        <f t="shared" si="1"/>
        <v>500</v>
      </c>
      <c r="J89" s="33"/>
      <c r="K89" s="28"/>
    </row>
    <row r="90" spans="1:11" ht="27" customHeight="1">
      <c r="A90" s="4">
        <v>54118</v>
      </c>
      <c r="B90" s="5" t="s">
        <v>100</v>
      </c>
      <c r="C90" s="2"/>
      <c r="D90" s="3" t="s">
        <v>97</v>
      </c>
      <c r="E90" s="3" t="s">
        <v>29</v>
      </c>
      <c r="F90" s="3" t="s">
        <v>43</v>
      </c>
      <c r="G90" s="17">
        <f>'MAYO-18 '!I90</f>
        <v>895.9</v>
      </c>
      <c r="H90" s="51"/>
      <c r="I90" s="170">
        <f t="shared" si="1"/>
        <v>595.9</v>
      </c>
      <c r="J90" s="30"/>
      <c r="K90" s="28">
        <v>300</v>
      </c>
    </row>
    <row r="91" spans="1:11">
      <c r="A91" s="4">
        <v>54119</v>
      </c>
      <c r="B91" s="2" t="s">
        <v>60</v>
      </c>
      <c r="C91" s="2"/>
      <c r="D91" s="3" t="s">
        <v>97</v>
      </c>
      <c r="E91" s="3" t="s">
        <v>29</v>
      </c>
      <c r="F91" s="3" t="s">
        <v>43</v>
      </c>
      <c r="G91" s="17">
        <f>'MAYO-18 '!I91</f>
        <v>557.20000000000005</v>
      </c>
      <c r="H91" s="51"/>
      <c r="I91" s="170">
        <f t="shared" si="1"/>
        <v>557.20000000000005</v>
      </c>
      <c r="J91" s="30"/>
      <c r="K91" s="28"/>
    </row>
    <row r="92" spans="1:11">
      <c r="A92" s="4">
        <v>54199</v>
      </c>
      <c r="B92" s="2" t="s">
        <v>61</v>
      </c>
      <c r="C92" s="2"/>
      <c r="D92" s="3" t="s">
        <v>97</v>
      </c>
      <c r="E92" s="3" t="s">
        <v>29</v>
      </c>
      <c r="F92" s="3" t="s">
        <v>43</v>
      </c>
      <c r="G92" s="17">
        <f>'MAYO-18 '!I92</f>
        <v>785.15000000000009</v>
      </c>
      <c r="H92" s="51"/>
      <c r="I92" s="170">
        <f t="shared" si="1"/>
        <v>785.15000000000009</v>
      </c>
      <c r="J92" s="33"/>
      <c r="K92" s="28"/>
    </row>
    <row r="93" spans="1:11">
      <c r="A93" s="4">
        <v>54301</v>
      </c>
      <c r="B93" s="2" t="s">
        <v>66</v>
      </c>
      <c r="C93" s="2"/>
      <c r="D93" s="3" t="s">
        <v>97</v>
      </c>
      <c r="E93" s="3" t="s">
        <v>29</v>
      </c>
      <c r="F93" s="3" t="s">
        <v>43</v>
      </c>
      <c r="G93" s="17">
        <f>'MAYO-18 '!I93</f>
        <v>60</v>
      </c>
      <c r="H93" s="51">
        <f>266.67</f>
        <v>266.67</v>
      </c>
      <c r="I93" s="170">
        <f t="shared" si="1"/>
        <v>93.329999999999984</v>
      </c>
      <c r="J93" s="29">
        <v>300</v>
      </c>
      <c r="K93" s="28"/>
    </row>
    <row r="94" spans="1:11">
      <c r="A94" s="4">
        <v>54302</v>
      </c>
      <c r="B94" s="2" t="s">
        <v>67</v>
      </c>
      <c r="C94" s="2"/>
      <c r="D94" s="3" t="s">
        <v>97</v>
      </c>
      <c r="E94" s="3" t="s">
        <v>29</v>
      </c>
      <c r="F94" s="3" t="s">
        <v>43</v>
      </c>
      <c r="G94" s="17">
        <f>'MAYO-18 '!I94</f>
        <v>380</v>
      </c>
      <c r="H94" s="51"/>
      <c r="I94" s="170">
        <f t="shared" si="1"/>
        <v>380</v>
      </c>
      <c r="J94" s="27"/>
      <c r="K94" s="28"/>
    </row>
    <row r="95" spans="1:11" ht="24.75" customHeight="1">
      <c r="A95" s="4">
        <v>54314</v>
      </c>
      <c r="B95" s="5" t="s">
        <v>101</v>
      </c>
      <c r="C95" s="2"/>
      <c r="D95" s="3" t="s">
        <v>97</v>
      </c>
      <c r="E95" s="3" t="s">
        <v>29</v>
      </c>
      <c r="F95" s="3" t="s">
        <v>43</v>
      </c>
      <c r="G95" s="17">
        <f>'MAYO-18 '!I95</f>
        <v>17921.95</v>
      </c>
      <c r="H95" s="51">
        <f>445.28+31+1000+988.12+895</f>
        <v>3359.4</v>
      </c>
      <c r="I95" s="170">
        <f t="shared" si="1"/>
        <v>14562.550000000001</v>
      </c>
      <c r="J95" s="33"/>
      <c r="K95" s="315"/>
    </row>
    <row r="96" spans="1:11">
      <c r="A96" s="4">
        <v>54399</v>
      </c>
      <c r="B96" s="2" t="s">
        <v>74</v>
      </c>
      <c r="C96" s="2"/>
      <c r="D96" s="3" t="s">
        <v>97</v>
      </c>
      <c r="E96" s="3" t="s">
        <v>29</v>
      </c>
      <c r="F96" s="3" t="s">
        <v>43</v>
      </c>
      <c r="G96" s="17">
        <f>'MAYO-18 '!I96</f>
        <v>52.659999999999854</v>
      </c>
      <c r="H96" s="51"/>
      <c r="I96" s="170">
        <f t="shared" si="1"/>
        <v>52.659999999999854</v>
      </c>
      <c r="J96" s="33"/>
      <c r="K96" s="33"/>
    </row>
    <row r="97" spans="1:11">
      <c r="A97" s="4">
        <v>54401</v>
      </c>
      <c r="B97" s="2" t="s">
        <v>75</v>
      </c>
      <c r="C97" s="2"/>
      <c r="D97" s="3" t="s">
        <v>97</v>
      </c>
      <c r="E97" s="3" t="s">
        <v>29</v>
      </c>
      <c r="F97" s="3" t="s">
        <v>43</v>
      </c>
      <c r="G97" s="17">
        <f>'MAYO-18 '!I97</f>
        <v>400</v>
      </c>
      <c r="H97" s="51"/>
      <c r="I97" s="170">
        <f t="shared" si="1"/>
        <v>400</v>
      </c>
      <c r="J97" s="34"/>
      <c r="K97" s="28"/>
    </row>
    <row r="98" spans="1:11">
      <c r="A98" s="4">
        <v>54403</v>
      </c>
      <c r="B98" s="2" t="s">
        <v>102</v>
      </c>
      <c r="C98" s="2"/>
      <c r="D98" s="3" t="s">
        <v>97</v>
      </c>
      <c r="E98" s="3" t="s">
        <v>29</v>
      </c>
      <c r="F98" s="3" t="s">
        <v>43</v>
      </c>
      <c r="G98" s="17">
        <f>'MAYO-18 '!I98</f>
        <v>632.98</v>
      </c>
      <c r="H98" s="51"/>
      <c r="I98" s="170">
        <f t="shared" si="1"/>
        <v>632.98</v>
      </c>
      <c r="J98" s="34"/>
      <c r="K98" s="28"/>
    </row>
    <row r="99" spans="1:11" ht="21.75" customHeight="1">
      <c r="A99" s="4">
        <v>54507</v>
      </c>
      <c r="B99" s="5" t="s">
        <v>103</v>
      </c>
      <c r="C99" s="5"/>
      <c r="D99" s="3" t="s">
        <v>97</v>
      </c>
      <c r="E99" s="3" t="s">
        <v>29</v>
      </c>
      <c r="F99" s="3" t="s">
        <v>43</v>
      </c>
      <c r="G99" s="17">
        <f>'MAYO-18 '!I99</f>
        <v>500</v>
      </c>
      <c r="H99" s="51"/>
      <c r="I99" s="170">
        <f t="shared" si="1"/>
        <v>500</v>
      </c>
      <c r="J99" s="35"/>
      <c r="K99" s="28"/>
    </row>
    <row r="100" spans="1:11">
      <c r="A100" s="4">
        <v>54699</v>
      </c>
      <c r="B100" s="5" t="s">
        <v>104</v>
      </c>
      <c r="C100" s="2"/>
      <c r="D100" s="3" t="s">
        <v>97</v>
      </c>
      <c r="E100" s="3" t="s">
        <v>29</v>
      </c>
      <c r="F100" s="3" t="s">
        <v>43</v>
      </c>
      <c r="G100" s="17">
        <f>'MAYO-18 '!I100</f>
        <v>1</v>
      </c>
      <c r="H100" s="51"/>
      <c r="I100" s="170">
        <f t="shared" si="1"/>
        <v>1</v>
      </c>
      <c r="J100" s="27"/>
      <c r="K100" s="28"/>
    </row>
    <row r="101" spans="1:11" ht="21">
      <c r="A101" s="38" t="s">
        <v>8</v>
      </c>
      <c r="B101" s="39" t="s">
        <v>105</v>
      </c>
      <c r="C101" s="39"/>
      <c r="D101" s="39" t="s">
        <v>97</v>
      </c>
      <c r="E101" s="39" t="s">
        <v>29</v>
      </c>
      <c r="F101" s="39" t="s">
        <v>43</v>
      </c>
      <c r="G101" s="17">
        <f>'MAYO-18 '!I101</f>
        <v>63954.709999999992</v>
      </c>
      <c r="H101" s="95">
        <f>SUM(H75:H100)</f>
        <v>7046.92</v>
      </c>
      <c r="I101" s="40">
        <f>G101-H101+J101-K101</f>
        <v>56907.789999999994</v>
      </c>
      <c r="J101" s="107">
        <f>SUM(J82:J100)</f>
        <v>300</v>
      </c>
      <c r="K101" s="107">
        <f>SUM(K82:K100)</f>
        <v>300</v>
      </c>
    </row>
    <row r="102" spans="1:11">
      <c r="A102" s="4">
        <v>51101</v>
      </c>
      <c r="B102" s="2" t="s">
        <v>175</v>
      </c>
      <c r="C102" s="2"/>
      <c r="D102" s="3" t="s">
        <v>42</v>
      </c>
      <c r="E102" s="3" t="s">
        <v>29</v>
      </c>
      <c r="F102" s="3" t="s">
        <v>106</v>
      </c>
      <c r="G102" s="17">
        <f>'MAYO-18 '!I102</f>
        <v>45559.349999999984</v>
      </c>
      <c r="H102" s="51">
        <f>5737.05+1800</f>
        <v>7537.05</v>
      </c>
      <c r="I102" s="17">
        <f t="shared" ref="I102:I148" si="2">G102-H102+J102-K102</f>
        <v>45222.299999999981</v>
      </c>
      <c r="J102" s="28">
        <v>7200</v>
      </c>
      <c r="K102" s="30"/>
    </row>
    <row r="103" spans="1:11">
      <c r="A103" s="4">
        <v>51103</v>
      </c>
      <c r="B103" s="2" t="s">
        <v>107</v>
      </c>
      <c r="C103" s="2"/>
      <c r="D103" s="3" t="s">
        <v>42</v>
      </c>
      <c r="E103" s="3" t="s">
        <v>29</v>
      </c>
      <c r="F103" s="3" t="s">
        <v>106</v>
      </c>
      <c r="G103" s="17">
        <f>'MAYO-18 '!I103</f>
        <v>6187.05</v>
      </c>
      <c r="H103" s="51"/>
      <c r="I103" s="17">
        <f t="shared" si="2"/>
        <v>7687.05</v>
      </c>
      <c r="J103" s="30">
        <v>1500</v>
      </c>
      <c r="K103" s="29"/>
    </row>
    <row r="104" spans="1:11">
      <c r="A104" s="4">
        <v>51105</v>
      </c>
      <c r="B104" s="2" t="s">
        <v>176</v>
      </c>
      <c r="C104" s="2"/>
      <c r="D104" s="3" t="s">
        <v>42</v>
      </c>
      <c r="E104" s="3" t="s">
        <v>29</v>
      </c>
      <c r="F104" s="3" t="s">
        <v>106</v>
      </c>
      <c r="G104" s="17">
        <f>'MAYO-18 '!I104</f>
        <v>11073.179999999995</v>
      </c>
      <c r="H104" s="51">
        <f>3555.6+3555.6</f>
        <v>7111.2</v>
      </c>
      <c r="I104" s="17">
        <f t="shared" si="2"/>
        <v>18961.979999999996</v>
      </c>
      <c r="J104" s="30">
        <v>15000</v>
      </c>
      <c r="K104" s="29"/>
    </row>
    <row r="105" spans="1:11">
      <c r="A105" s="4">
        <v>51107</v>
      </c>
      <c r="B105" s="2" t="s">
        <v>1086</v>
      </c>
      <c r="C105" s="2"/>
      <c r="D105" s="3" t="s">
        <v>42</v>
      </c>
      <c r="E105" s="3" t="s">
        <v>29</v>
      </c>
      <c r="F105" s="3" t="s">
        <v>106</v>
      </c>
      <c r="G105" s="17">
        <f>'MAYO-18 '!I105</f>
        <v>3000</v>
      </c>
      <c r="H105" s="51"/>
      <c r="I105" s="17">
        <f t="shared" si="2"/>
        <v>2000</v>
      </c>
      <c r="J105" s="30"/>
      <c r="K105" s="29">
        <v>1000</v>
      </c>
    </row>
    <row r="106" spans="1:11" ht="18.75" customHeight="1">
      <c r="A106" s="4">
        <v>51201</v>
      </c>
      <c r="B106" s="2" t="s">
        <v>1123</v>
      </c>
      <c r="C106" s="2"/>
      <c r="D106" s="3" t="s">
        <v>42</v>
      </c>
      <c r="E106" s="3" t="s">
        <v>29</v>
      </c>
      <c r="F106" s="3" t="s">
        <v>30</v>
      </c>
      <c r="G106" s="17">
        <f>'MAYO-18 '!I106</f>
        <v>9915</v>
      </c>
      <c r="H106" s="51">
        <f>1334</f>
        <v>1334</v>
      </c>
      <c r="I106" s="17">
        <f t="shared" si="2"/>
        <v>10581</v>
      </c>
      <c r="J106" s="30">
        <v>2000</v>
      </c>
      <c r="K106" s="29"/>
    </row>
    <row r="107" spans="1:11">
      <c r="A107" s="4">
        <v>51301</v>
      </c>
      <c r="B107" s="2" t="s">
        <v>177</v>
      </c>
      <c r="C107" s="2"/>
      <c r="D107" s="3" t="s">
        <v>42</v>
      </c>
      <c r="E107" s="3" t="s">
        <v>29</v>
      </c>
      <c r="F107" s="3" t="s">
        <v>30</v>
      </c>
      <c r="G107" s="17">
        <f>'MAYO-18 '!I107</f>
        <v>719.02</v>
      </c>
      <c r="H107" s="51"/>
      <c r="I107" s="17">
        <f t="shared" si="2"/>
        <v>719.02</v>
      </c>
      <c r="J107" s="30"/>
      <c r="K107" s="29"/>
    </row>
    <row r="108" spans="1:11" ht="33.75" customHeight="1">
      <c r="A108" s="4">
        <v>51401</v>
      </c>
      <c r="B108" s="5" t="s">
        <v>128</v>
      </c>
      <c r="C108" s="5"/>
      <c r="D108" s="3" t="s">
        <v>42</v>
      </c>
      <c r="E108" s="3" t="s">
        <v>29</v>
      </c>
      <c r="F108" s="3" t="s">
        <v>106</v>
      </c>
      <c r="G108" s="17">
        <f>'MAYO-18 '!I108</f>
        <v>497.73999999999978</v>
      </c>
      <c r="H108" s="51">
        <f>222.25+242.67</f>
        <v>464.91999999999996</v>
      </c>
      <c r="I108" s="17">
        <f t="shared" si="2"/>
        <v>2032.8199999999997</v>
      </c>
      <c r="J108" s="33">
        <v>2000</v>
      </c>
      <c r="K108" s="29"/>
    </row>
    <row r="109" spans="1:11" ht="36">
      <c r="A109" s="4">
        <v>51501</v>
      </c>
      <c r="B109" s="5" t="s">
        <v>168</v>
      </c>
      <c r="C109" s="5"/>
      <c r="D109" s="3" t="s">
        <v>42</v>
      </c>
      <c r="E109" s="3" t="s">
        <v>29</v>
      </c>
      <c r="F109" s="3" t="s">
        <v>106</v>
      </c>
      <c r="G109" s="17">
        <f>'MAYO-18 '!I109</f>
        <v>2110.15</v>
      </c>
      <c r="H109" s="51">
        <f>194.45+95.05</f>
        <v>289.5</v>
      </c>
      <c r="I109" s="17">
        <f t="shared" si="2"/>
        <v>3820.65</v>
      </c>
      <c r="J109" s="33">
        <v>2000</v>
      </c>
      <c r="K109" s="29"/>
    </row>
    <row r="110" spans="1:11" ht="34.5" customHeight="1">
      <c r="A110" s="4">
        <v>51601</v>
      </c>
      <c r="B110" s="311" t="s">
        <v>1087</v>
      </c>
      <c r="C110" s="312"/>
      <c r="D110" s="3" t="s">
        <v>42</v>
      </c>
      <c r="E110" s="3" t="s">
        <v>29</v>
      </c>
      <c r="F110" s="3" t="s">
        <v>106</v>
      </c>
      <c r="G110" s="17">
        <f>'MAYO-18 '!I110</f>
        <v>0</v>
      </c>
      <c r="H110" s="51"/>
      <c r="I110" s="17">
        <f t="shared" si="2"/>
        <v>0</v>
      </c>
      <c r="J110" s="33"/>
      <c r="K110" s="29"/>
    </row>
    <row r="111" spans="1:11" ht="27.75" customHeight="1">
      <c r="A111" s="4">
        <v>51999</v>
      </c>
      <c r="B111" s="5" t="s">
        <v>178</v>
      </c>
      <c r="C111" s="5"/>
      <c r="D111" s="3" t="s">
        <v>42</v>
      </c>
      <c r="E111" s="3" t="s">
        <v>29</v>
      </c>
      <c r="F111" s="3" t="s">
        <v>30</v>
      </c>
      <c r="G111" s="17">
        <f>'MAYO-18 '!I111</f>
        <v>625</v>
      </c>
      <c r="H111" s="51">
        <f>175</f>
        <v>175</v>
      </c>
      <c r="I111" s="17">
        <f t="shared" si="2"/>
        <v>777.37</v>
      </c>
      <c r="J111" s="33">
        <v>327.37</v>
      </c>
      <c r="K111" s="29"/>
    </row>
    <row r="112" spans="1:11">
      <c r="A112" s="4">
        <v>54110</v>
      </c>
      <c r="B112" s="2" t="s">
        <v>108</v>
      </c>
      <c r="C112" s="2"/>
      <c r="D112" s="3" t="s">
        <v>42</v>
      </c>
      <c r="E112" s="3" t="s">
        <v>29</v>
      </c>
      <c r="F112" s="3" t="s">
        <v>30</v>
      </c>
      <c r="G112" s="17">
        <f>'MAYO-18 '!I112</f>
        <v>300</v>
      </c>
      <c r="H112" s="51"/>
      <c r="I112" s="17">
        <f t="shared" si="2"/>
        <v>300</v>
      </c>
      <c r="J112" s="33"/>
      <c r="K112" s="29"/>
    </row>
    <row r="113" spans="1:11">
      <c r="A113" s="4">
        <v>54199</v>
      </c>
      <c r="B113" s="2" t="s">
        <v>61</v>
      </c>
      <c r="C113" s="2"/>
      <c r="D113" s="3" t="s">
        <v>42</v>
      </c>
      <c r="E113" s="3" t="s">
        <v>29</v>
      </c>
      <c r="F113" s="3" t="s">
        <v>106</v>
      </c>
      <c r="G113" s="17">
        <f>'MAYO-18 '!I113</f>
        <v>1000</v>
      </c>
      <c r="H113" s="51"/>
      <c r="I113" s="17">
        <f t="shared" si="2"/>
        <v>1000</v>
      </c>
      <c r="J113" s="35"/>
      <c r="K113" s="29"/>
    </row>
    <row r="114" spans="1:11">
      <c r="A114" s="4">
        <v>54201</v>
      </c>
      <c r="B114" s="2" t="s">
        <v>62</v>
      </c>
      <c r="C114" s="2"/>
      <c r="D114" s="3" t="s">
        <v>42</v>
      </c>
      <c r="E114" s="3" t="s">
        <v>29</v>
      </c>
      <c r="F114" s="3" t="s">
        <v>106</v>
      </c>
      <c r="G114" s="17">
        <f>'MAYO-18 '!I114</f>
        <v>7294.5799999999981</v>
      </c>
      <c r="H114" s="51"/>
      <c r="I114" s="17">
        <f t="shared" si="2"/>
        <v>5294.5799999999981</v>
      </c>
      <c r="J114" s="18"/>
      <c r="K114" s="29">
        <v>2000</v>
      </c>
    </row>
    <row r="115" spans="1:11">
      <c r="A115" s="4">
        <v>54202</v>
      </c>
      <c r="B115" s="2" t="s">
        <v>109</v>
      </c>
      <c r="C115" s="2"/>
      <c r="D115" s="3" t="s">
        <v>42</v>
      </c>
      <c r="E115" s="3" t="s">
        <v>29</v>
      </c>
      <c r="F115" s="3" t="s">
        <v>106</v>
      </c>
      <c r="G115" s="17">
        <f>'MAYO-18 '!I115</f>
        <v>1564.76</v>
      </c>
      <c r="H115" s="51"/>
      <c r="I115" s="17">
        <f t="shared" si="2"/>
        <v>1564.76</v>
      </c>
      <c r="J115" s="18"/>
      <c r="K115" s="29"/>
    </row>
    <row r="116" spans="1:11">
      <c r="A116" s="4">
        <v>54203</v>
      </c>
      <c r="B116" s="2" t="s">
        <v>64</v>
      </c>
      <c r="C116" s="2"/>
      <c r="D116" s="3" t="s">
        <v>42</v>
      </c>
      <c r="E116" s="3" t="s">
        <v>29</v>
      </c>
      <c r="F116" s="3" t="s">
        <v>106</v>
      </c>
      <c r="G116" s="17">
        <f>'MAYO-18 '!I116</f>
        <v>1112.92</v>
      </c>
      <c r="H116" s="51"/>
      <c r="I116" s="17">
        <f t="shared" si="2"/>
        <v>1112.92</v>
      </c>
      <c r="J116" s="18"/>
      <c r="K116" s="29"/>
    </row>
    <row r="117" spans="1:11">
      <c r="A117" s="4">
        <v>54302</v>
      </c>
      <c r="B117" s="5" t="s">
        <v>136</v>
      </c>
      <c r="C117" s="2"/>
      <c r="D117" s="3" t="s">
        <v>42</v>
      </c>
      <c r="E117" s="3" t="s">
        <v>29</v>
      </c>
      <c r="F117" s="3" t="s">
        <v>106</v>
      </c>
      <c r="G117" s="17">
        <f>'MAYO-18 '!I117</f>
        <v>1</v>
      </c>
      <c r="H117" s="51"/>
      <c r="I117" s="17">
        <f t="shared" si="2"/>
        <v>1</v>
      </c>
      <c r="J117" s="35"/>
      <c r="K117" s="29"/>
    </row>
    <row r="118" spans="1:11" ht="30">
      <c r="A118" s="4">
        <v>54313</v>
      </c>
      <c r="B118" s="5" t="s">
        <v>1054</v>
      </c>
      <c r="C118" s="2"/>
      <c r="D118" s="3" t="s">
        <v>42</v>
      </c>
      <c r="E118" s="3" t="s">
        <v>29</v>
      </c>
      <c r="F118" s="3" t="s">
        <v>106</v>
      </c>
      <c r="G118" s="17">
        <f>'MAYO-18 '!I118</f>
        <v>52</v>
      </c>
      <c r="H118" s="51"/>
      <c r="I118" s="17">
        <f t="shared" si="2"/>
        <v>52</v>
      </c>
      <c r="J118" s="35"/>
      <c r="K118" s="29"/>
    </row>
    <row r="119" spans="1:11" ht="21.75" customHeight="1">
      <c r="A119" s="4">
        <v>54503</v>
      </c>
      <c r="B119" s="314" t="s">
        <v>1088</v>
      </c>
      <c r="C119" s="313"/>
      <c r="D119" s="3" t="s">
        <v>42</v>
      </c>
      <c r="E119" s="3" t="s">
        <v>29</v>
      </c>
      <c r="F119" s="3" t="s">
        <v>106</v>
      </c>
      <c r="G119" s="17">
        <f>'MAYO-18 '!I119</f>
        <v>1500</v>
      </c>
      <c r="H119" s="51">
        <v>1500</v>
      </c>
      <c r="I119" s="17">
        <f t="shared" si="2"/>
        <v>0</v>
      </c>
      <c r="J119" s="35"/>
      <c r="K119" s="29"/>
    </row>
    <row r="120" spans="1:11" ht="22.5" customHeight="1">
      <c r="A120" s="4">
        <v>55603</v>
      </c>
      <c r="B120" s="2" t="s">
        <v>6</v>
      </c>
      <c r="C120" s="2"/>
      <c r="D120" s="3" t="s">
        <v>42</v>
      </c>
      <c r="E120" s="3" t="s">
        <v>29</v>
      </c>
      <c r="F120" s="3" t="s">
        <v>106</v>
      </c>
      <c r="G120" s="17">
        <f>'MAYO-18 '!I120</f>
        <v>482.88</v>
      </c>
      <c r="H120" s="51"/>
      <c r="I120" s="17">
        <f t="shared" si="2"/>
        <v>482.88</v>
      </c>
      <c r="J120" s="35"/>
      <c r="K120" s="29"/>
    </row>
    <row r="121" spans="1:11" ht="24.75" customHeight="1">
      <c r="A121" s="4">
        <v>55799</v>
      </c>
      <c r="B121" s="5" t="s">
        <v>137</v>
      </c>
      <c r="C121" s="2"/>
      <c r="D121" s="3" t="s">
        <v>42</v>
      </c>
      <c r="E121" s="3" t="s">
        <v>29</v>
      </c>
      <c r="F121" s="3" t="s">
        <v>106</v>
      </c>
      <c r="G121" s="17">
        <f>'MAYO-18 '!I121</f>
        <v>386.95</v>
      </c>
      <c r="H121" s="51">
        <f>49.54+29.65+262.69</f>
        <v>341.88</v>
      </c>
      <c r="I121" s="134">
        <f t="shared" si="2"/>
        <v>1045.07</v>
      </c>
      <c r="J121" s="35">
        <v>1000</v>
      </c>
      <c r="K121" s="29"/>
    </row>
    <row r="122" spans="1:11" ht="16.5" customHeight="1">
      <c r="A122" s="4" t="s">
        <v>110</v>
      </c>
      <c r="B122" s="5" t="s">
        <v>111</v>
      </c>
      <c r="C122" s="2"/>
      <c r="D122" s="3" t="s">
        <v>42</v>
      </c>
      <c r="E122" s="3" t="s">
        <v>29</v>
      </c>
      <c r="F122" s="3" t="s">
        <v>106</v>
      </c>
      <c r="G122" s="17">
        <f>'MAYO-18 '!I122</f>
        <v>5400</v>
      </c>
      <c r="H122" s="276">
        <v>600</v>
      </c>
      <c r="I122" s="17">
        <f t="shared" si="2"/>
        <v>4800</v>
      </c>
      <c r="J122" s="35"/>
      <c r="K122" s="35"/>
    </row>
    <row r="123" spans="1:11" ht="15.75" customHeight="1">
      <c r="A123" s="4" t="s">
        <v>112</v>
      </c>
      <c r="B123" s="5" t="s">
        <v>113</v>
      </c>
      <c r="C123" s="2"/>
      <c r="D123" s="3" t="s">
        <v>42</v>
      </c>
      <c r="E123" s="3" t="s">
        <v>29</v>
      </c>
      <c r="F123" s="3" t="s">
        <v>106</v>
      </c>
      <c r="G123" s="17">
        <f>'MAYO-18 '!I123</f>
        <v>1000</v>
      </c>
      <c r="H123" s="51"/>
      <c r="I123" s="17">
        <f t="shared" si="2"/>
        <v>1000</v>
      </c>
      <c r="J123" s="35"/>
      <c r="K123" s="35"/>
    </row>
    <row r="124" spans="1:11" ht="27">
      <c r="A124" s="4">
        <v>56301</v>
      </c>
      <c r="B124" s="5" t="s">
        <v>114</v>
      </c>
      <c r="C124" s="2"/>
      <c r="D124" s="3" t="s">
        <v>42</v>
      </c>
      <c r="E124" s="3" t="s">
        <v>29</v>
      </c>
      <c r="F124" s="3" t="s">
        <v>106</v>
      </c>
      <c r="G124" s="17">
        <f>'MAYO-18 '!I124</f>
        <v>0</v>
      </c>
      <c r="H124" s="51"/>
      <c r="I124" s="17">
        <f t="shared" si="2"/>
        <v>0</v>
      </c>
      <c r="J124" s="35"/>
      <c r="K124" s="35"/>
    </row>
    <row r="125" spans="1:11" ht="39.75" customHeight="1">
      <c r="A125" s="4"/>
      <c r="B125" s="5" t="s">
        <v>179</v>
      </c>
      <c r="C125" s="2"/>
      <c r="D125" s="3" t="s">
        <v>42</v>
      </c>
      <c r="E125" s="3" t="s">
        <v>29</v>
      </c>
      <c r="F125" s="3" t="s">
        <v>30</v>
      </c>
      <c r="G125" s="17">
        <f>'MAYO-18 '!I125</f>
        <v>17027.370000000003</v>
      </c>
      <c r="H125" s="51"/>
      <c r="I125" s="17">
        <f t="shared" si="2"/>
        <v>0</v>
      </c>
      <c r="J125" s="29"/>
      <c r="K125" s="30">
        <v>17027.37</v>
      </c>
    </row>
    <row r="126" spans="1:11" ht="21">
      <c r="A126" s="38" t="s">
        <v>8</v>
      </c>
      <c r="B126" s="39" t="s">
        <v>115</v>
      </c>
      <c r="C126" s="39"/>
      <c r="D126" s="39" t="s">
        <v>42</v>
      </c>
      <c r="E126" s="39" t="s">
        <v>29</v>
      </c>
      <c r="F126" s="39" t="s">
        <v>30</v>
      </c>
      <c r="G126" s="17">
        <f>'MAYO-18 '!I126</f>
        <v>116808.95000000001</v>
      </c>
      <c r="H126" s="95">
        <f>SUM(H102:H125)</f>
        <v>19353.55</v>
      </c>
      <c r="I126" s="40">
        <f>G126-H126+J126-K126</f>
        <v>108455.40000000001</v>
      </c>
      <c r="J126" s="107">
        <f>SUM(J102:J125)</f>
        <v>31027.37</v>
      </c>
      <c r="K126" s="107">
        <f>SUM(K102:K125)</f>
        <v>20027.37</v>
      </c>
    </row>
    <row r="127" spans="1:11">
      <c r="A127" s="4">
        <v>51101</v>
      </c>
      <c r="B127" s="2" t="s">
        <v>180</v>
      </c>
      <c r="C127" s="2"/>
      <c r="D127" s="3" t="s">
        <v>94</v>
      </c>
      <c r="E127" s="3" t="s">
        <v>29</v>
      </c>
      <c r="F127" s="3" t="s">
        <v>106</v>
      </c>
      <c r="G127" s="17">
        <f>'MAYO-18 '!I127</f>
        <v>55980.640000000021</v>
      </c>
      <c r="H127" s="51">
        <v>5806.98</v>
      </c>
      <c r="I127" s="17">
        <f t="shared" si="2"/>
        <v>42173.660000000018</v>
      </c>
      <c r="J127" s="30"/>
      <c r="K127" s="35">
        <v>8000</v>
      </c>
    </row>
    <row r="128" spans="1:11">
      <c r="A128" s="4">
        <v>51103</v>
      </c>
      <c r="B128" s="2" t="s">
        <v>181</v>
      </c>
      <c r="C128" s="2"/>
      <c r="D128" s="3" t="s">
        <v>94</v>
      </c>
      <c r="E128" s="3" t="s">
        <v>29</v>
      </c>
      <c r="F128" s="3" t="s">
        <v>106</v>
      </c>
      <c r="G128" s="17">
        <f>'MAYO-18 '!I128</f>
        <v>5128.9799999999996</v>
      </c>
      <c r="H128" s="51"/>
      <c r="I128" s="17">
        <f t="shared" si="2"/>
        <v>5128.9799999999996</v>
      </c>
      <c r="J128" s="30"/>
      <c r="K128" s="29"/>
    </row>
    <row r="129" spans="1:11">
      <c r="A129" s="4">
        <v>51201</v>
      </c>
      <c r="B129" s="2" t="s">
        <v>44</v>
      </c>
      <c r="C129" s="2"/>
      <c r="D129" s="3" t="s">
        <v>94</v>
      </c>
      <c r="E129" s="3" t="s">
        <v>29</v>
      </c>
      <c r="F129" s="3" t="s">
        <v>30</v>
      </c>
      <c r="G129" s="17">
        <f>'MAYO-18 '!I129</f>
        <v>1000</v>
      </c>
      <c r="H129" s="51"/>
      <c r="I129" s="17">
        <f t="shared" si="2"/>
        <v>2000</v>
      </c>
      <c r="J129" s="30">
        <v>1000</v>
      </c>
      <c r="K129" s="29"/>
    </row>
    <row r="130" spans="1:11">
      <c r="A130" s="4">
        <v>51301</v>
      </c>
      <c r="B130" s="2" t="s">
        <v>45</v>
      </c>
      <c r="C130" s="2"/>
      <c r="D130" s="3" t="s">
        <v>94</v>
      </c>
      <c r="E130" s="3" t="s">
        <v>29</v>
      </c>
      <c r="F130" s="3" t="s">
        <v>30</v>
      </c>
      <c r="G130" s="17">
        <f>'MAYO-18 '!I130</f>
        <v>2031.4300000000003</v>
      </c>
      <c r="H130" s="51"/>
      <c r="I130" s="17">
        <f t="shared" si="2"/>
        <v>1031.4300000000003</v>
      </c>
      <c r="J130" s="30"/>
      <c r="K130" s="29">
        <v>1000</v>
      </c>
    </row>
    <row r="131" spans="1:11">
      <c r="A131" s="4">
        <v>51999</v>
      </c>
      <c r="B131" s="2" t="s">
        <v>47</v>
      </c>
      <c r="C131" s="2"/>
      <c r="D131" s="3" t="s">
        <v>94</v>
      </c>
      <c r="E131" s="3" t="s">
        <v>29</v>
      </c>
      <c r="F131" s="3" t="s">
        <v>30</v>
      </c>
      <c r="G131" s="17">
        <f>'MAYO-18 '!I131</f>
        <v>450</v>
      </c>
      <c r="H131" s="51"/>
      <c r="I131" s="17">
        <f t="shared" si="2"/>
        <v>450</v>
      </c>
      <c r="J131" s="30"/>
      <c r="K131" s="29"/>
    </row>
    <row r="132" spans="1:11" ht="25.5">
      <c r="A132" s="4">
        <v>51401</v>
      </c>
      <c r="B132" s="5" t="s">
        <v>138</v>
      </c>
      <c r="C132" s="2"/>
      <c r="D132" s="3" t="s">
        <v>94</v>
      </c>
      <c r="E132" s="3" t="s">
        <v>29</v>
      </c>
      <c r="F132" s="3" t="s">
        <v>106</v>
      </c>
      <c r="G132" s="17">
        <f>'MAYO-18 '!I132</f>
        <v>1082.3299999999995</v>
      </c>
      <c r="H132" s="51">
        <f>450.52</f>
        <v>450.52</v>
      </c>
      <c r="I132" s="17">
        <f t="shared" si="2"/>
        <v>1631.8099999999995</v>
      </c>
      <c r="J132" s="35">
        <v>1000</v>
      </c>
      <c r="K132" s="34"/>
    </row>
    <row r="133" spans="1:11" ht="33" customHeight="1">
      <c r="A133" s="4">
        <v>51501</v>
      </c>
      <c r="B133" s="5" t="s">
        <v>182</v>
      </c>
      <c r="C133" s="2"/>
      <c r="D133" s="3" t="s">
        <v>94</v>
      </c>
      <c r="E133" s="3" t="s">
        <v>29</v>
      </c>
      <c r="F133" s="3" t="s">
        <v>30</v>
      </c>
      <c r="G133" s="17">
        <f>'MAYO-18 '!I133</f>
        <v>1639.75</v>
      </c>
      <c r="H133" s="51">
        <f>134.39+336.4</f>
        <v>470.78999999999996</v>
      </c>
      <c r="I133" s="17">
        <f t="shared" si="2"/>
        <v>2168.96</v>
      </c>
      <c r="J133" s="35">
        <v>1000</v>
      </c>
      <c r="K133" s="27"/>
    </row>
    <row r="134" spans="1:11">
      <c r="A134" s="4">
        <v>54105</v>
      </c>
      <c r="B134" s="2" t="s">
        <v>116</v>
      </c>
      <c r="C134" s="2"/>
      <c r="D134" s="3" t="s">
        <v>94</v>
      </c>
      <c r="E134" s="3" t="s">
        <v>29</v>
      </c>
      <c r="F134" s="3" t="s">
        <v>30</v>
      </c>
      <c r="G134" s="17">
        <f>'MAYO-18 '!I134</f>
        <v>5000</v>
      </c>
      <c r="H134" s="51"/>
      <c r="I134" s="17">
        <f t="shared" si="2"/>
        <v>4000</v>
      </c>
      <c r="J134" s="30"/>
      <c r="K134" s="29">
        <v>1000</v>
      </c>
    </row>
    <row r="135" spans="1:11">
      <c r="A135" s="4">
        <v>54114</v>
      </c>
      <c r="B135" s="2" t="s">
        <v>56</v>
      </c>
      <c r="C135" s="2"/>
      <c r="D135" s="3" t="s">
        <v>94</v>
      </c>
      <c r="E135" s="3" t="s">
        <v>29</v>
      </c>
      <c r="F135" s="3" t="s">
        <v>30</v>
      </c>
      <c r="G135" s="17">
        <f>'MAYO-18 '!I135</f>
        <v>3504.2</v>
      </c>
      <c r="H135" s="51"/>
      <c r="I135" s="17">
        <f t="shared" si="2"/>
        <v>3504.2</v>
      </c>
      <c r="J135" s="35"/>
      <c r="K135" s="35"/>
    </row>
    <row r="136" spans="1:11">
      <c r="A136" s="4">
        <v>54115</v>
      </c>
      <c r="B136" s="2" t="s">
        <v>57</v>
      </c>
      <c r="C136" s="2"/>
      <c r="D136" s="3" t="s">
        <v>94</v>
      </c>
      <c r="E136" s="3" t="s">
        <v>29</v>
      </c>
      <c r="F136" s="3" t="s">
        <v>30</v>
      </c>
      <c r="G136" s="17">
        <f>'MAYO-18 '!I136</f>
        <v>5360</v>
      </c>
      <c r="H136" s="51"/>
      <c r="I136" s="17">
        <f t="shared" si="2"/>
        <v>4360</v>
      </c>
      <c r="J136" s="29"/>
      <c r="K136" s="28">
        <v>1000</v>
      </c>
    </row>
    <row r="137" spans="1:11" ht="21">
      <c r="A137" s="38" t="s">
        <v>8</v>
      </c>
      <c r="B137" s="39" t="s">
        <v>117</v>
      </c>
      <c r="C137" s="39"/>
      <c r="D137" s="39" t="s">
        <v>94</v>
      </c>
      <c r="E137" s="39" t="s">
        <v>29</v>
      </c>
      <c r="F137" s="39" t="s">
        <v>30</v>
      </c>
      <c r="G137" s="17">
        <f>'MAYO-18 '!I137</f>
        <v>81177.330000000016</v>
      </c>
      <c r="H137" s="95">
        <f>SUM(H127:H136)</f>
        <v>6728.29</v>
      </c>
      <c r="I137" s="40">
        <f>G137-H137+J137-K137</f>
        <v>66449.040000000023</v>
      </c>
      <c r="J137" s="40">
        <f>SUM(J127:J136)</f>
        <v>3000</v>
      </c>
      <c r="K137" s="40">
        <f>SUM(K127:K136)</f>
        <v>11000</v>
      </c>
    </row>
    <row r="138" spans="1:11">
      <c r="A138" s="4">
        <v>51101</v>
      </c>
      <c r="B138" s="2" t="s">
        <v>183</v>
      </c>
      <c r="C138" s="2"/>
      <c r="D138" s="3" t="s">
        <v>97</v>
      </c>
      <c r="E138" s="3" t="s">
        <v>29</v>
      </c>
      <c r="F138" s="3" t="s">
        <v>106</v>
      </c>
      <c r="G138" s="17">
        <f>'MAYO-18 '!I138</f>
        <v>144294.26000000004</v>
      </c>
      <c r="H138" s="51">
        <v>15155.57</v>
      </c>
      <c r="I138" s="17">
        <f t="shared" si="2"/>
        <v>117138.69000000003</v>
      </c>
      <c r="J138" s="30"/>
      <c r="K138" s="35">
        <f>5000+7000</f>
        <v>12000</v>
      </c>
    </row>
    <row r="139" spans="1:11">
      <c r="A139" s="4">
        <v>51103</v>
      </c>
      <c r="B139" s="2" t="s">
        <v>118</v>
      </c>
      <c r="C139" s="2"/>
      <c r="D139" s="3" t="s">
        <v>97</v>
      </c>
      <c r="E139" s="3" t="s">
        <v>29</v>
      </c>
      <c r="F139" s="3" t="s">
        <v>106</v>
      </c>
      <c r="G139" s="17">
        <f>'MAYO-18 '!I139</f>
        <v>19385.310000000001</v>
      </c>
      <c r="H139" s="51"/>
      <c r="I139" s="248">
        <f>G139-H139+J139-K139</f>
        <v>19385.310000000001</v>
      </c>
      <c r="J139" s="30"/>
      <c r="K139" s="30"/>
    </row>
    <row r="140" spans="1:11">
      <c r="A140" s="4">
        <v>51107</v>
      </c>
      <c r="B140" s="2" t="s">
        <v>184</v>
      </c>
      <c r="C140" s="2"/>
      <c r="D140" s="3" t="s">
        <v>97</v>
      </c>
      <c r="E140" s="3" t="s">
        <v>29</v>
      </c>
      <c r="F140" s="3" t="s">
        <v>30</v>
      </c>
      <c r="G140" s="17">
        <f>'MAYO-18 '!I140</f>
        <v>1785.5</v>
      </c>
      <c r="H140" s="51"/>
      <c r="I140" s="17">
        <f t="shared" si="2"/>
        <v>1785.5</v>
      </c>
      <c r="J140" s="30"/>
      <c r="K140" s="27"/>
    </row>
    <row r="141" spans="1:11">
      <c r="A141" s="4">
        <v>51201</v>
      </c>
      <c r="B141" s="2" t="s">
        <v>119</v>
      </c>
      <c r="C141" s="2"/>
      <c r="D141" s="3" t="s">
        <v>97</v>
      </c>
      <c r="E141" s="3" t="s">
        <v>29</v>
      </c>
      <c r="F141" s="3" t="s">
        <v>30</v>
      </c>
      <c r="G141" s="17">
        <f>'MAYO-18 '!I141</f>
        <v>1516.67</v>
      </c>
      <c r="H141" s="51">
        <f>165+165+330+330+330+357.5+330+330</f>
        <v>2337.5</v>
      </c>
      <c r="I141" s="17">
        <f t="shared" si="2"/>
        <v>2179.17</v>
      </c>
      <c r="J141" s="30">
        <v>3000</v>
      </c>
      <c r="K141" s="277"/>
    </row>
    <row r="142" spans="1:11">
      <c r="A142" s="4">
        <v>51301</v>
      </c>
      <c r="B142" s="2" t="s">
        <v>45</v>
      </c>
      <c r="C142" s="2"/>
      <c r="D142" s="3" t="s">
        <v>97</v>
      </c>
      <c r="E142" s="3" t="s">
        <v>29</v>
      </c>
      <c r="F142" s="3" t="s">
        <v>106</v>
      </c>
      <c r="G142" s="17">
        <f>'MAYO-18 '!I142</f>
        <v>595.92999999999893</v>
      </c>
      <c r="H142" s="51"/>
      <c r="I142" s="17">
        <f t="shared" si="2"/>
        <v>595.92999999999893</v>
      </c>
      <c r="J142" s="20"/>
      <c r="K142" s="35"/>
    </row>
    <row r="143" spans="1:11" ht="34.5" customHeight="1">
      <c r="A143" s="4">
        <v>51401</v>
      </c>
      <c r="B143" s="5" t="s">
        <v>139</v>
      </c>
      <c r="C143" s="2"/>
      <c r="D143" s="3" t="s">
        <v>97</v>
      </c>
      <c r="E143" s="3" t="s">
        <v>29</v>
      </c>
      <c r="F143" s="3" t="s">
        <v>106</v>
      </c>
      <c r="G143" s="17">
        <f>'MAYO-18 '!I143</f>
        <v>3954.0000000000009</v>
      </c>
      <c r="H143" s="51">
        <f>1276.86+50.58+69.3</f>
        <v>1396.7399999999998</v>
      </c>
      <c r="I143" s="17">
        <f t="shared" si="2"/>
        <v>5557.2600000000011</v>
      </c>
      <c r="J143" s="35">
        <v>3000</v>
      </c>
      <c r="K143" s="35"/>
    </row>
    <row r="144" spans="1:11" ht="45" customHeight="1">
      <c r="A144" s="4">
        <v>51501</v>
      </c>
      <c r="B144" s="5" t="s">
        <v>185</v>
      </c>
      <c r="C144" s="2"/>
      <c r="D144" s="3" t="s">
        <v>97</v>
      </c>
      <c r="E144" s="3" t="s">
        <v>29</v>
      </c>
      <c r="F144" s="3" t="s">
        <v>106</v>
      </c>
      <c r="G144" s="17">
        <f>'MAYO-18 '!I144</f>
        <v>5027.1399999999994</v>
      </c>
      <c r="H144" s="51">
        <f>846.11+401.53</f>
        <v>1247.6399999999999</v>
      </c>
      <c r="I144" s="17">
        <f t="shared" si="2"/>
        <v>6779.5</v>
      </c>
      <c r="J144" s="35">
        <v>3000</v>
      </c>
      <c r="K144" s="35"/>
    </row>
    <row r="145" spans="1:11" ht="20.25" customHeight="1">
      <c r="A145" s="4">
        <v>54110</v>
      </c>
      <c r="B145" s="5" t="s">
        <v>108</v>
      </c>
      <c r="C145" s="2"/>
      <c r="D145" s="3" t="s">
        <v>97</v>
      </c>
      <c r="E145" s="3" t="s">
        <v>29</v>
      </c>
      <c r="F145" s="3" t="s">
        <v>106</v>
      </c>
      <c r="G145" s="17">
        <f>'MAYO-18 '!I145</f>
        <v>1</v>
      </c>
      <c r="H145" s="51"/>
      <c r="I145" s="17">
        <f t="shared" si="2"/>
        <v>1</v>
      </c>
      <c r="J145" s="35"/>
      <c r="K145" s="35"/>
    </row>
    <row r="146" spans="1:11">
      <c r="A146" s="4">
        <v>54121</v>
      </c>
      <c r="B146" s="2" t="s">
        <v>120</v>
      </c>
      <c r="C146" s="2"/>
      <c r="D146" s="3" t="s">
        <v>97</v>
      </c>
      <c r="E146" s="3" t="s">
        <v>29</v>
      </c>
      <c r="F146" s="3" t="s">
        <v>106</v>
      </c>
      <c r="G146" s="17">
        <f>'MAYO-18 '!I146</f>
        <v>857</v>
      </c>
      <c r="H146" s="51"/>
      <c r="I146" s="17">
        <f t="shared" si="2"/>
        <v>857</v>
      </c>
      <c r="J146" s="35"/>
      <c r="K146" s="29"/>
    </row>
    <row r="147" spans="1:11">
      <c r="A147" s="4">
        <v>54301</v>
      </c>
      <c r="B147" s="2" t="s">
        <v>140</v>
      </c>
      <c r="C147" s="2"/>
      <c r="D147" s="3" t="s">
        <v>97</v>
      </c>
      <c r="E147" s="3" t="s">
        <v>29</v>
      </c>
      <c r="F147" s="3" t="s">
        <v>106</v>
      </c>
      <c r="G147" s="17">
        <f>'MAYO-18 '!I147</f>
        <v>1</v>
      </c>
      <c r="H147" s="51"/>
      <c r="I147" s="17">
        <f t="shared" si="2"/>
        <v>1</v>
      </c>
      <c r="J147" s="35"/>
      <c r="K147" s="29"/>
    </row>
    <row r="148" spans="1:11">
      <c r="A148" s="4">
        <v>54302</v>
      </c>
      <c r="B148" s="2" t="s">
        <v>121</v>
      </c>
      <c r="C148" s="2"/>
      <c r="D148" s="3" t="s">
        <v>122</v>
      </c>
      <c r="E148" s="3" t="s">
        <v>29</v>
      </c>
      <c r="F148" s="3" t="s">
        <v>30</v>
      </c>
      <c r="G148" s="17">
        <f>'MAYO-18 '!I148</f>
        <v>1</v>
      </c>
      <c r="H148" s="51"/>
      <c r="I148" s="17">
        <f t="shared" si="2"/>
        <v>1</v>
      </c>
      <c r="J148" s="35"/>
      <c r="K148" s="29"/>
    </row>
    <row r="149" spans="1:11" ht="45">
      <c r="A149" s="4">
        <v>54501</v>
      </c>
      <c r="B149" s="7" t="s">
        <v>1055</v>
      </c>
      <c r="C149" s="2"/>
      <c r="D149" s="3" t="s">
        <v>122</v>
      </c>
      <c r="E149" s="3" t="s">
        <v>29</v>
      </c>
      <c r="F149" s="3" t="s">
        <v>30</v>
      </c>
      <c r="G149" s="17">
        <f>'MAYO-18 '!I149</f>
        <v>25</v>
      </c>
      <c r="H149" s="51"/>
      <c r="I149" s="17">
        <f>G149-H149+J149-K149</f>
        <v>25</v>
      </c>
      <c r="J149" s="22"/>
      <c r="K149" s="29"/>
    </row>
    <row r="150" spans="1:11" ht="21">
      <c r="A150" s="38" t="s">
        <v>8</v>
      </c>
      <c r="B150" s="39" t="s">
        <v>123</v>
      </c>
      <c r="C150" s="39"/>
      <c r="D150" s="39" t="s">
        <v>97</v>
      </c>
      <c r="E150" s="39" t="s">
        <v>29</v>
      </c>
      <c r="F150" s="39" t="s">
        <v>30</v>
      </c>
      <c r="G150" s="17">
        <f>'MAYO-18 '!I150</f>
        <v>177443.81000000006</v>
      </c>
      <c r="H150" s="95">
        <f>SUM(H138:H149)</f>
        <v>20137.449999999997</v>
      </c>
      <c r="I150" s="40">
        <f>G150-H150+J150-K150</f>
        <v>154306.36000000004</v>
      </c>
      <c r="J150" s="40">
        <f>SUM(J141:J149)</f>
        <v>9000</v>
      </c>
      <c r="K150" s="40">
        <f>SUM(K138:K149)</f>
        <v>12000</v>
      </c>
    </row>
    <row r="151" spans="1:11">
      <c r="A151" s="1">
        <v>54305</v>
      </c>
      <c r="B151" s="2" t="s">
        <v>0</v>
      </c>
      <c r="C151" s="2"/>
      <c r="D151" s="3" t="s">
        <v>1</v>
      </c>
      <c r="E151" s="3" t="s">
        <v>25</v>
      </c>
      <c r="F151" s="3" t="s">
        <v>26</v>
      </c>
      <c r="G151" s="17">
        <f>'MAYO-18 '!I151</f>
        <v>1500</v>
      </c>
      <c r="H151" s="51"/>
      <c r="I151" s="17">
        <f t="shared" ref="I151:I275" si="3">G151-H151+J151-K151</f>
        <v>1500</v>
      </c>
      <c r="J151" s="37"/>
      <c r="K151" s="36"/>
    </row>
    <row r="152" spans="1:11" ht="30.75" customHeight="1">
      <c r="A152" s="4">
        <v>54313</v>
      </c>
      <c r="B152" s="5" t="s">
        <v>2</v>
      </c>
      <c r="C152" s="5"/>
      <c r="D152" s="3" t="s">
        <v>1</v>
      </c>
      <c r="E152" s="3" t="s">
        <v>25</v>
      </c>
      <c r="F152" s="3" t="s">
        <v>26</v>
      </c>
      <c r="G152" s="17">
        <f>'MAYO-18 '!I152</f>
        <v>1246.32</v>
      </c>
      <c r="H152" s="51"/>
      <c r="I152" s="17">
        <f t="shared" si="3"/>
        <v>1246.32</v>
      </c>
      <c r="J152" s="37"/>
      <c r="K152" s="36"/>
    </row>
    <row r="153" spans="1:11">
      <c r="A153" s="4">
        <v>54503</v>
      </c>
      <c r="B153" s="5" t="s">
        <v>3</v>
      </c>
      <c r="C153" s="2"/>
      <c r="D153" s="3" t="s">
        <v>1</v>
      </c>
      <c r="E153" s="3" t="s">
        <v>25</v>
      </c>
      <c r="F153" s="3" t="s">
        <v>26</v>
      </c>
      <c r="G153" s="17">
        <f>'MAYO-18 '!I153</f>
        <v>2000</v>
      </c>
      <c r="H153" s="51"/>
      <c r="I153" s="17">
        <f t="shared" si="3"/>
        <v>2000</v>
      </c>
      <c r="J153" s="37"/>
      <c r="K153" s="36"/>
    </row>
    <row r="154" spans="1:11">
      <c r="A154" s="4">
        <v>54505</v>
      </c>
      <c r="B154" s="2" t="s">
        <v>4</v>
      </c>
      <c r="C154" s="2"/>
      <c r="D154" s="3" t="s">
        <v>1</v>
      </c>
      <c r="E154" s="3" t="s">
        <v>25</v>
      </c>
      <c r="F154" s="3" t="s">
        <v>27</v>
      </c>
      <c r="G154" s="17">
        <f>'MAYO-18 '!I154</f>
        <v>2000</v>
      </c>
      <c r="H154" s="51"/>
      <c r="I154" s="17">
        <f t="shared" si="3"/>
        <v>2000</v>
      </c>
      <c r="J154" s="37"/>
      <c r="K154" s="36"/>
    </row>
    <row r="155" spans="1:11" ht="30">
      <c r="A155" s="11">
        <v>54599</v>
      </c>
      <c r="B155" s="54" t="s">
        <v>5</v>
      </c>
      <c r="C155" s="68"/>
      <c r="D155" s="14" t="s">
        <v>1</v>
      </c>
      <c r="E155" s="14" t="s">
        <v>25</v>
      </c>
      <c r="F155" s="14" t="s">
        <v>27</v>
      </c>
      <c r="G155" s="17">
        <f>'MAYO-18 '!I155</f>
        <v>367.60999999999967</v>
      </c>
      <c r="H155" s="51"/>
      <c r="I155" s="17">
        <f t="shared" si="3"/>
        <v>367.60999999999967</v>
      </c>
      <c r="J155" s="62"/>
      <c r="K155" s="63"/>
    </row>
    <row r="156" spans="1:11">
      <c r="A156" s="11">
        <v>55603</v>
      </c>
      <c r="B156" s="54" t="s">
        <v>6</v>
      </c>
      <c r="C156" s="55"/>
      <c r="D156" s="14" t="s">
        <v>1</v>
      </c>
      <c r="E156" s="14" t="s">
        <v>25</v>
      </c>
      <c r="F156" s="14" t="s">
        <v>26</v>
      </c>
      <c r="G156" s="17">
        <f>'MAYO-18 '!I156</f>
        <v>98.7</v>
      </c>
      <c r="H156" s="51"/>
      <c r="I156" s="17">
        <f t="shared" si="3"/>
        <v>98.7</v>
      </c>
      <c r="J156" s="64"/>
      <c r="K156" s="65"/>
    </row>
    <row r="157" spans="1:11" ht="26.25">
      <c r="A157" s="4">
        <v>61599</v>
      </c>
      <c r="B157" s="5" t="s">
        <v>7</v>
      </c>
      <c r="C157" s="5"/>
      <c r="D157" s="3" t="s">
        <v>1</v>
      </c>
      <c r="E157" s="3" t="s">
        <v>25</v>
      </c>
      <c r="F157" s="3" t="s">
        <v>26</v>
      </c>
      <c r="G157" s="17">
        <f>'MAYO-18 '!I157</f>
        <v>1333.34</v>
      </c>
      <c r="H157" s="51"/>
      <c r="I157" s="17">
        <f t="shared" si="3"/>
        <v>1333.34</v>
      </c>
      <c r="J157" s="37"/>
      <c r="K157" s="36"/>
    </row>
    <row r="158" spans="1:11" ht="21">
      <c r="A158" s="38" t="s">
        <v>8</v>
      </c>
      <c r="B158" s="39" t="s">
        <v>9</v>
      </c>
      <c r="C158" s="39"/>
      <c r="D158" s="39" t="s">
        <v>1</v>
      </c>
      <c r="E158" s="39" t="s">
        <v>25</v>
      </c>
      <c r="F158" s="39" t="s">
        <v>27</v>
      </c>
      <c r="G158" s="17">
        <f>'MAYO-18 '!I158</f>
        <v>8545.9699999999993</v>
      </c>
      <c r="H158" s="95">
        <f>SUM(H151:H157)</f>
        <v>0</v>
      </c>
      <c r="I158" s="40">
        <f>G158-H158+J158-K158</f>
        <v>8545.9699999999993</v>
      </c>
      <c r="J158" s="40"/>
      <c r="K158" s="40"/>
    </row>
    <row r="159" spans="1:11" ht="28.5" customHeight="1">
      <c r="A159" s="367">
        <v>54104</v>
      </c>
      <c r="B159" s="7" t="s">
        <v>186</v>
      </c>
      <c r="C159" s="6"/>
      <c r="D159" s="3" t="s">
        <v>11</v>
      </c>
      <c r="E159" s="3" t="s">
        <v>25</v>
      </c>
      <c r="F159" s="3" t="s">
        <v>26</v>
      </c>
      <c r="G159" s="17">
        <f>'MAYO-18 '!I159</f>
        <v>3000</v>
      </c>
      <c r="H159" s="51"/>
      <c r="I159" s="17">
        <f t="shared" si="3"/>
        <v>3000</v>
      </c>
      <c r="J159" s="37"/>
      <c r="K159" s="36"/>
    </row>
    <row r="160" spans="1:11" ht="44.25" customHeight="1">
      <c r="A160" s="4">
        <v>54117</v>
      </c>
      <c r="B160" s="7" t="s">
        <v>187</v>
      </c>
      <c r="C160" s="6"/>
      <c r="D160" s="3" t="s">
        <v>11</v>
      </c>
      <c r="E160" s="3" t="s">
        <v>25</v>
      </c>
      <c r="F160" s="3" t="s">
        <v>26</v>
      </c>
      <c r="G160" s="17">
        <f>'MAYO-18 '!I160</f>
        <v>1500</v>
      </c>
      <c r="H160" s="51"/>
      <c r="I160" s="17">
        <f t="shared" si="3"/>
        <v>1500</v>
      </c>
      <c r="J160" s="37"/>
      <c r="K160" s="36"/>
    </row>
    <row r="161" spans="1:11" ht="30.75" customHeight="1">
      <c r="A161" s="4">
        <v>55603</v>
      </c>
      <c r="B161" s="5" t="s">
        <v>13</v>
      </c>
      <c r="C161" s="6"/>
      <c r="D161" s="3" t="s">
        <v>11</v>
      </c>
      <c r="E161" s="3" t="s">
        <v>25</v>
      </c>
      <c r="F161" s="3" t="s">
        <v>26</v>
      </c>
      <c r="G161" s="17">
        <f>'MAYO-18 '!I161</f>
        <v>989.94</v>
      </c>
      <c r="H161" s="400">
        <f>15.82+1.3+1.3+1.3+2.83+2.83+2.83+2.83+2.83+15.82+15.82+5.65</f>
        <v>71.16</v>
      </c>
      <c r="I161" s="17">
        <f t="shared" si="3"/>
        <v>918.78000000000009</v>
      </c>
      <c r="J161" s="37"/>
      <c r="K161" s="36"/>
    </row>
    <row r="162" spans="1:11" ht="30.75" customHeight="1">
      <c r="A162" s="66" t="s">
        <v>14</v>
      </c>
      <c r="B162" s="67" t="s">
        <v>188</v>
      </c>
      <c r="C162" s="55"/>
      <c r="D162" s="14" t="s">
        <v>11</v>
      </c>
      <c r="E162" s="14" t="s">
        <v>25</v>
      </c>
      <c r="F162" s="50" t="s">
        <v>26</v>
      </c>
      <c r="G162" s="17">
        <f>'MAYO-18 '!I162</f>
        <v>9500</v>
      </c>
      <c r="H162" s="51">
        <f>1658.99</f>
        <v>1658.99</v>
      </c>
      <c r="I162" s="50">
        <f t="shared" si="3"/>
        <v>7841.01</v>
      </c>
      <c r="J162" s="65"/>
      <c r="K162" s="54"/>
    </row>
    <row r="163" spans="1:11" ht="36.75" customHeight="1">
      <c r="A163" s="11">
        <v>61104</v>
      </c>
      <c r="B163" s="54" t="s">
        <v>189</v>
      </c>
      <c r="C163" s="55"/>
      <c r="D163" s="14" t="s">
        <v>11</v>
      </c>
      <c r="E163" s="14" t="s">
        <v>25</v>
      </c>
      <c r="F163" s="14" t="s">
        <v>27</v>
      </c>
      <c r="G163" s="17">
        <f>'MAYO-18 '!I163</f>
        <v>3473.8500000000004</v>
      </c>
      <c r="H163" s="51">
        <v>1558</v>
      </c>
      <c r="I163" s="17">
        <f t="shared" si="3"/>
        <v>1915.8500000000004</v>
      </c>
      <c r="J163" s="62"/>
      <c r="K163" s="320"/>
    </row>
    <row r="164" spans="1:11" ht="31.5" customHeight="1">
      <c r="A164" s="11">
        <v>61109</v>
      </c>
      <c r="B164" s="54" t="s">
        <v>190</v>
      </c>
      <c r="C164" s="55"/>
      <c r="D164" s="14" t="s">
        <v>11</v>
      </c>
      <c r="E164" s="14" t="s">
        <v>25</v>
      </c>
      <c r="F164" s="14" t="s">
        <v>26</v>
      </c>
      <c r="G164" s="17">
        <f>'MAYO-18 '!I164</f>
        <v>2000</v>
      </c>
      <c r="H164" s="51"/>
      <c r="I164" s="17">
        <f t="shared" si="3"/>
        <v>2000</v>
      </c>
      <c r="J164" s="62"/>
      <c r="K164" s="320"/>
    </row>
    <row r="165" spans="1:11" ht="30.75" customHeight="1">
      <c r="A165" s="11" t="s">
        <v>160</v>
      </c>
      <c r="B165" s="54" t="s">
        <v>194</v>
      </c>
      <c r="C165" s="55"/>
      <c r="D165" s="14" t="s">
        <v>11</v>
      </c>
      <c r="E165" s="14" t="s">
        <v>25</v>
      </c>
      <c r="F165" s="14" t="s">
        <v>26</v>
      </c>
      <c r="G165" s="17">
        <f>'MAYO-18 '!I165</f>
        <v>0</v>
      </c>
      <c r="H165" s="51"/>
      <c r="I165" s="17">
        <f t="shared" si="3"/>
        <v>0</v>
      </c>
      <c r="J165" s="62"/>
      <c r="K165" s="63"/>
    </row>
    <row r="166" spans="1:11" ht="27.75" customHeight="1">
      <c r="A166" s="11" t="s">
        <v>191</v>
      </c>
      <c r="B166" s="54" t="s">
        <v>195</v>
      </c>
      <c r="C166" s="55"/>
      <c r="D166" s="14" t="s">
        <v>11</v>
      </c>
      <c r="E166" s="14" t="s">
        <v>25</v>
      </c>
      <c r="F166" s="14" t="s">
        <v>26</v>
      </c>
      <c r="G166" s="17">
        <f>'MAYO-18 '!I166</f>
        <v>15000</v>
      </c>
      <c r="H166" s="51"/>
      <c r="I166" s="17">
        <f t="shared" si="3"/>
        <v>15000</v>
      </c>
      <c r="J166" s="64"/>
      <c r="K166" s="65"/>
    </row>
    <row r="167" spans="1:11" ht="31.5" customHeight="1">
      <c r="A167" s="11" t="s">
        <v>192</v>
      </c>
      <c r="B167" s="53" t="s">
        <v>196</v>
      </c>
      <c r="C167" s="8"/>
      <c r="D167" s="3" t="s">
        <v>11</v>
      </c>
      <c r="E167" s="3" t="s">
        <v>25</v>
      </c>
      <c r="F167" s="3" t="s">
        <v>26</v>
      </c>
      <c r="G167" s="17">
        <f>'MAYO-18 '!I167</f>
        <v>10000</v>
      </c>
      <c r="H167" s="51"/>
      <c r="I167" s="17">
        <f t="shared" si="3"/>
        <v>10000</v>
      </c>
      <c r="J167" s="45"/>
      <c r="K167" s="46"/>
    </row>
    <row r="168" spans="1:11" ht="45" customHeight="1">
      <c r="A168" s="11" t="s">
        <v>193</v>
      </c>
      <c r="B168" s="53" t="s">
        <v>197</v>
      </c>
      <c r="C168" s="8"/>
      <c r="D168" s="3" t="s">
        <v>11</v>
      </c>
      <c r="E168" s="3" t="s">
        <v>25</v>
      </c>
      <c r="F168" s="3" t="s">
        <v>26</v>
      </c>
      <c r="G168" s="17">
        <f>'MAYO-18 '!I168</f>
        <v>10000</v>
      </c>
      <c r="H168" s="51"/>
      <c r="I168" s="17">
        <f t="shared" si="3"/>
        <v>10000</v>
      </c>
      <c r="J168" s="45"/>
      <c r="K168" s="46"/>
    </row>
    <row r="169" spans="1:11" ht="42.75" customHeight="1">
      <c r="A169" s="11" t="s">
        <v>198</v>
      </c>
      <c r="B169" s="53" t="s">
        <v>1029</v>
      </c>
      <c r="C169" s="6"/>
      <c r="D169" s="3" t="s">
        <v>11</v>
      </c>
      <c r="E169" s="3" t="s">
        <v>25</v>
      </c>
      <c r="F169" s="3" t="s">
        <v>26</v>
      </c>
      <c r="G169" s="17">
        <f>'MAYO-18 '!I169</f>
        <v>14000</v>
      </c>
      <c r="H169" s="51"/>
      <c r="I169" s="17">
        <f t="shared" si="3"/>
        <v>14000</v>
      </c>
      <c r="J169" s="45"/>
      <c r="K169" s="46"/>
    </row>
    <row r="170" spans="1:11" ht="85.5">
      <c r="A170" s="144" t="s">
        <v>200</v>
      </c>
      <c r="B170" s="54" t="s">
        <v>202</v>
      </c>
      <c r="C170" s="343" t="s">
        <v>1096</v>
      </c>
      <c r="D170" s="14" t="s">
        <v>11</v>
      </c>
      <c r="E170" s="14" t="s">
        <v>25</v>
      </c>
      <c r="F170" s="14" t="s">
        <v>26</v>
      </c>
      <c r="G170" s="17">
        <f>'MAYO-18 '!I170</f>
        <v>0</v>
      </c>
      <c r="H170" s="51"/>
      <c r="I170" s="17">
        <f t="shared" si="3"/>
        <v>0</v>
      </c>
      <c r="J170" s="64"/>
      <c r="K170" s="261"/>
    </row>
    <row r="171" spans="1:11" ht="36.75" customHeight="1">
      <c r="A171" s="11" t="s">
        <v>556</v>
      </c>
      <c r="B171" s="145" t="s">
        <v>1030</v>
      </c>
      <c r="C171" s="55" t="s">
        <v>1097</v>
      </c>
      <c r="D171" s="14" t="s">
        <v>11</v>
      </c>
      <c r="E171" s="14" t="s">
        <v>25</v>
      </c>
      <c r="F171" s="14" t="s">
        <v>26</v>
      </c>
      <c r="G171" s="17">
        <f>'MAYO-18 '!I171</f>
        <v>2280.9999999999995</v>
      </c>
      <c r="H171" s="51">
        <v>500.1</v>
      </c>
      <c r="I171" s="17">
        <f t="shared" si="3"/>
        <v>1780.8999999999996</v>
      </c>
      <c r="J171" s="108"/>
      <c r="K171" s="65"/>
    </row>
    <row r="172" spans="1:11" ht="45.75" customHeight="1">
      <c r="A172" s="144" t="s">
        <v>1038</v>
      </c>
      <c r="B172" s="250" t="s">
        <v>1007</v>
      </c>
      <c r="C172" s="55" t="s">
        <v>1097</v>
      </c>
      <c r="D172" s="14" t="s">
        <v>11</v>
      </c>
      <c r="E172" s="14" t="s">
        <v>25</v>
      </c>
      <c r="F172" s="14" t="s">
        <v>26</v>
      </c>
      <c r="G172" s="17">
        <f>'MAYO-18 '!I172</f>
        <v>7995</v>
      </c>
      <c r="H172" s="51"/>
      <c r="I172" s="17">
        <f t="shared" si="3"/>
        <v>7995</v>
      </c>
      <c r="J172" s="108"/>
      <c r="K172" s="269"/>
    </row>
    <row r="173" spans="1:11" ht="45.75" customHeight="1">
      <c r="A173" s="144" t="s">
        <v>571</v>
      </c>
      <c r="B173" s="250" t="s">
        <v>1067</v>
      </c>
      <c r="C173" s="55" t="s">
        <v>1097</v>
      </c>
      <c r="D173" s="14" t="s">
        <v>11</v>
      </c>
      <c r="E173" s="14" t="s">
        <v>25</v>
      </c>
      <c r="F173" s="14" t="s">
        <v>26</v>
      </c>
      <c r="G173" s="17">
        <f>'MAYO-18 '!I173</f>
        <v>152.5</v>
      </c>
      <c r="H173" s="51"/>
      <c r="I173" s="17">
        <f t="shared" si="3"/>
        <v>152.5</v>
      </c>
      <c r="J173" s="108"/>
      <c r="K173" s="269"/>
    </row>
    <row r="174" spans="1:11" ht="45.75" customHeight="1">
      <c r="A174" s="144" t="s">
        <v>969</v>
      </c>
      <c r="B174" s="145" t="s">
        <v>1039</v>
      </c>
      <c r="C174" s="55" t="s">
        <v>1097</v>
      </c>
      <c r="D174" s="14" t="s">
        <v>11</v>
      </c>
      <c r="E174" s="14" t="s">
        <v>25</v>
      </c>
      <c r="F174" s="14" t="s">
        <v>26</v>
      </c>
      <c r="G174" s="17">
        <f>'MAYO-18 '!I174</f>
        <v>1.9999999999999998</v>
      </c>
      <c r="H174" s="372">
        <v>5.65</v>
      </c>
      <c r="I174" s="18">
        <f t="shared" si="3"/>
        <v>-3.6500000000000004</v>
      </c>
      <c r="J174" s="108"/>
      <c r="K174" s="65"/>
    </row>
    <row r="175" spans="1:11" ht="106.5">
      <c r="A175" s="144" t="s">
        <v>201</v>
      </c>
      <c r="B175" s="54" t="s">
        <v>204</v>
      </c>
      <c r="C175" s="343" t="s">
        <v>1098</v>
      </c>
      <c r="D175" s="14" t="s">
        <v>11</v>
      </c>
      <c r="E175" s="14" t="s">
        <v>25</v>
      </c>
      <c r="F175" s="14" t="s">
        <v>26</v>
      </c>
      <c r="G175" s="17">
        <f>'MAYO-18 '!I175</f>
        <v>0</v>
      </c>
      <c r="H175" s="51"/>
      <c r="I175" s="17">
        <f t="shared" si="3"/>
        <v>0</v>
      </c>
      <c r="J175" s="62"/>
      <c r="K175" s="63"/>
    </row>
    <row r="176" spans="1:11" ht="19.5" customHeight="1">
      <c r="A176" s="11" t="s">
        <v>203</v>
      </c>
      <c r="B176" s="145" t="s">
        <v>206</v>
      </c>
      <c r="C176" s="55" t="s">
        <v>1099</v>
      </c>
      <c r="D176" s="14" t="s">
        <v>11</v>
      </c>
      <c r="E176" s="14" t="s">
        <v>25</v>
      </c>
      <c r="F176" s="14" t="s">
        <v>26</v>
      </c>
      <c r="G176" s="17">
        <f>'MAYO-18 '!I176</f>
        <v>3925.6299999999992</v>
      </c>
      <c r="H176" s="51">
        <f>500.1</f>
        <v>500.1</v>
      </c>
      <c r="I176" s="17">
        <f t="shared" si="3"/>
        <v>3425.5299999999993</v>
      </c>
      <c r="J176" s="64"/>
      <c r="K176" s="65"/>
    </row>
    <row r="177" spans="1:11" ht="36">
      <c r="A177" s="11" t="s">
        <v>1041</v>
      </c>
      <c r="B177" s="145" t="s">
        <v>1042</v>
      </c>
      <c r="C177" s="55" t="s">
        <v>1099</v>
      </c>
      <c r="D177" s="14" t="s">
        <v>11</v>
      </c>
      <c r="E177" s="14" t="s">
        <v>25</v>
      </c>
      <c r="F177" s="14" t="s">
        <v>26</v>
      </c>
      <c r="G177" s="17">
        <f>'MAYO-18 '!I177</f>
        <v>0</v>
      </c>
      <c r="H177" s="51"/>
      <c r="I177" s="17">
        <f t="shared" si="3"/>
        <v>0</v>
      </c>
      <c r="J177" s="108"/>
      <c r="K177" s="65"/>
    </row>
    <row r="178" spans="1:11" ht="20.25" customHeight="1">
      <c r="A178" s="11" t="s">
        <v>205</v>
      </c>
      <c r="B178" s="145" t="s">
        <v>207</v>
      </c>
      <c r="C178" s="55" t="s">
        <v>1099</v>
      </c>
      <c r="D178" s="14" t="s">
        <v>11</v>
      </c>
      <c r="E178" s="14" t="s">
        <v>25</v>
      </c>
      <c r="F178" s="14" t="s">
        <v>26</v>
      </c>
      <c r="G178" s="17">
        <f>'MAYO-18 '!I178</f>
        <v>200</v>
      </c>
      <c r="H178" s="51"/>
      <c r="I178" s="17">
        <f t="shared" si="3"/>
        <v>200</v>
      </c>
      <c r="J178" s="64"/>
      <c r="K178" s="65"/>
    </row>
    <row r="179" spans="1:11" ht="36">
      <c r="A179" s="11" t="s">
        <v>208</v>
      </c>
      <c r="B179" s="145" t="s">
        <v>209</v>
      </c>
      <c r="C179" s="55" t="s">
        <v>1099</v>
      </c>
      <c r="D179" s="14" t="s">
        <v>11</v>
      </c>
      <c r="E179" s="14" t="s">
        <v>25</v>
      </c>
      <c r="F179" s="14" t="s">
        <v>26</v>
      </c>
      <c r="G179" s="17">
        <f>'MAYO-18 '!I179</f>
        <v>26700</v>
      </c>
      <c r="H179" s="51">
        <f>4147.2</f>
        <v>4147.2</v>
      </c>
      <c r="I179" s="17">
        <f t="shared" si="3"/>
        <v>22552.799999999999</v>
      </c>
      <c r="J179" s="64"/>
      <c r="K179" s="269"/>
    </row>
    <row r="180" spans="1:11" ht="24">
      <c r="A180" s="11" t="s">
        <v>210</v>
      </c>
      <c r="B180" s="145" t="s">
        <v>211</v>
      </c>
      <c r="C180" s="55" t="s">
        <v>1099</v>
      </c>
      <c r="D180" s="14" t="s">
        <v>11</v>
      </c>
      <c r="E180" s="14" t="s">
        <v>25</v>
      </c>
      <c r="F180" s="14" t="s">
        <v>26</v>
      </c>
      <c r="G180" s="17">
        <f>'MAYO-18 '!I180</f>
        <v>10600</v>
      </c>
      <c r="H180" s="375">
        <f>5850+1223+226</f>
        <v>7299</v>
      </c>
      <c r="I180" s="17">
        <f t="shared" si="3"/>
        <v>3301</v>
      </c>
      <c r="J180" s="108"/>
      <c r="K180" s="65"/>
    </row>
    <row r="181" spans="1:11" ht="34.5" customHeight="1">
      <c r="A181" s="11" t="s">
        <v>212</v>
      </c>
      <c r="B181" s="145" t="s">
        <v>213</v>
      </c>
      <c r="C181" s="55" t="s">
        <v>1099</v>
      </c>
      <c r="D181" s="3" t="s">
        <v>11</v>
      </c>
      <c r="E181" s="3" t="s">
        <v>25</v>
      </c>
      <c r="F181" s="3" t="s">
        <v>26</v>
      </c>
      <c r="G181" s="17">
        <f>'MAYO-18 '!I181</f>
        <v>548.70000000000005</v>
      </c>
      <c r="H181" s="51">
        <f>210.5</f>
        <v>210.5</v>
      </c>
      <c r="I181" s="17">
        <f t="shared" si="3"/>
        <v>338.20000000000005</v>
      </c>
      <c r="J181" s="45"/>
      <c r="K181" s="46"/>
    </row>
    <row r="182" spans="1:11" ht="37.5" customHeight="1">
      <c r="A182" s="11" t="s">
        <v>1043</v>
      </c>
      <c r="B182" s="145" t="s">
        <v>1044</v>
      </c>
      <c r="C182" s="55" t="s">
        <v>1099</v>
      </c>
      <c r="D182" s="3" t="s">
        <v>11</v>
      </c>
      <c r="E182" s="3" t="s">
        <v>25</v>
      </c>
      <c r="F182" s="3" t="s">
        <v>26</v>
      </c>
      <c r="G182" s="17">
        <f>'MAYO-18 '!I182</f>
        <v>1.8099999999999454</v>
      </c>
      <c r="H182" s="51"/>
      <c r="I182" s="17">
        <f t="shared" si="3"/>
        <v>1.8099999999999454</v>
      </c>
      <c r="J182" s="126"/>
      <c r="K182" s="46"/>
    </row>
    <row r="183" spans="1:11" ht="28.5" customHeight="1">
      <c r="A183" s="11" t="s">
        <v>215</v>
      </c>
      <c r="B183" s="145" t="s">
        <v>214</v>
      </c>
      <c r="C183" s="55" t="s">
        <v>1099</v>
      </c>
      <c r="D183" s="3" t="s">
        <v>11</v>
      </c>
      <c r="E183" s="3" t="s">
        <v>25</v>
      </c>
      <c r="F183" s="3" t="s">
        <v>26</v>
      </c>
      <c r="G183" s="17">
        <f>'MAYO-18 '!I183</f>
        <v>5000</v>
      </c>
      <c r="H183" s="51"/>
      <c r="I183" s="17">
        <f t="shared" si="3"/>
        <v>5000</v>
      </c>
      <c r="J183" s="45"/>
      <c r="K183" s="46"/>
    </row>
    <row r="184" spans="1:11" ht="27.75" customHeight="1">
      <c r="A184" s="11" t="s">
        <v>216</v>
      </c>
      <c r="B184" s="145" t="s">
        <v>217</v>
      </c>
      <c r="C184" s="55" t="s">
        <v>1099</v>
      </c>
      <c r="D184" s="3" t="s">
        <v>11</v>
      </c>
      <c r="E184" s="3" t="s">
        <v>25</v>
      </c>
      <c r="F184" s="3" t="s">
        <v>26</v>
      </c>
      <c r="G184" s="17">
        <f>'MAYO-18 '!I184</f>
        <v>9400</v>
      </c>
      <c r="H184" s="51"/>
      <c r="I184" s="17">
        <f t="shared" si="3"/>
        <v>9400</v>
      </c>
      <c r="J184" s="126"/>
      <c r="K184" s="270"/>
    </row>
    <row r="185" spans="1:11" ht="36" customHeight="1">
      <c r="A185" s="11" t="s">
        <v>218</v>
      </c>
      <c r="B185" s="145" t="s">
        <v>219</v>
      </c>
      <c r="C185" s="55" t="s">
        <v>1099</v>
      </c>
      <c r="D185" s="3" t="s">
        <v>11</v>
      </c>
      <c r="E185" s="3" t="s">
        <v>25</v>
      </c>
      <c r="F185" s="3" t="s">
        <v>26</v>
      </c>
      <c r="G185" s="17">
        <f>'MAYO-18 '!I185</f>
        <v>48.3</v>
      </c>
      <c r="H185" s="372">
        <v>5.65</v>
      </c>
      <c r="I185" s="17">
        <f t="shared" si="3"/>
        <v>42.65</v>
      </c>
      <c r="J185" s="45"/>
      <c r="K185" s="46"/>
    </row>
    <row r="186" spans="1:11" ht="111.75" customHeight="1">
      <c r="A186" s="144" t="s">
        <v>220</v>
      </c>
      <c r="B186" s="54" t="s">
        <v>221</v>
      </c>
      <c r="C186" s="343" t="s">
        <v>1100</v>
      </c>
      <c r="D186" s="3"/>
      <c r="E186" s="3"/>
      <c r="F186" s="3"/>
      <c r="G186" s="17">
        <f>'MAYO-18 '!I186</f>
        <v>0</v>
      </c>
      <c r="H186" s="51"/>
      <c r="I186" s="17"/>
      <c r="J186" s="45"/>
      <c r="K186" s="46"/>
    </row>
    <row r="187" spans="1:11" ht="18" customHeight="1">
      <c r="A187" s="11" t="s">
        <v>222</v>
      </c>
      <c r="B187" s="145" t="s">
        <v>223</v>
      </c>
      <c r="C187" s="55" t="s">
        <v>1101</v>
      </c>
      <c r="D187" s="3" t="s">
        <v>11</v>
      </c>
      <c r="E187" s="3" t="s">
        <v>25</v>
      </c>
      <c r="F187" s="3" t="s">
        <v>26</v>
      </c>
      <c r="G187" s="17">
        <f>'MAYO-18 '!I187</f>
        <v>8802.25</v>
      </c>
      <c r="H187" s="51">
        <f>500.1</f>
        <v>500.1</v>
      </c>
      <c r="I187" s="17">
        <f t="shared" si="3"/>
        <v>8302.15</v>
      </c>
      <c r="J187" s="126"/>
      <c r="K187" s="46"/>
    </row>
    <row r="188" spans="1:11" ht="15.75" customHeight="1">
      <c r="A188" s="11" t="s">
        <v>225</v>
      </c>
      <c r="B188" s="145" t="s">
        <v>224</v>
      </c>
      <c r="C188" s="55"/>
      <c r="D188" s="3" t="s">
        <v>11</v>
      </c>
      <c r="E188" s="3" t="s">
        <v>25</v>
      </c>
      <c r="F188" s="3" t="s">
        <v>26</v>
      </c>
      <c r="G188" s="17">
        <f>'MAYO-18 '!I188</f>
        <v>100</v>
      </c>
      <c r="H188" s="51"/>
      <c r="I188" s="17">
        <f t="shared" si="3"/>
        <v>100</v>
      </c>
      <c r="J188" s="126"/>
      <c r="K188" s="46"/>
    </row>
    <row r="189" spans="1:11" ht="33.75" customHeight="1">
      <c r="A189" s="11" t="s">
        <v>226</v>
      </c>
      <c r="B189" s="145" t="s">
        <v>227</v>
      </c>
      <c r="C189" s="55" t="s">
        <v>1101</v>
      </c>
      <c r="D189" s="3" t="s">
        <v>11</v>
      </c>
      <c r="E189" s="3" t="s">
        <v>25</v>
      </c>
      <c r="F189" s="3" t="s">
        <v>26</v>
      </c>
      <c r="G189" s="17">
        <f>'MAYO-18 '!I189</f>
        <v>26000</v>
      </c>
      <c r="H189" s="51"/>
      <c r="I189" s="17">
        <f t="shared" si="3"/>
        <v>26000</v>
      </c>
      <c r="J189" s="126"/>
      <c r="K189" s="46"/>
    </row>
    <row r="190" spans="1:11" ht="28.5" customHeight="1">
      <c r="A190" s="11" t="s">
        <v>228</v>
      </c>
      <c r="B190" s="145" t="s">
        <v>229</v>
      </c>
      <c r="C190" s="55"/>
      <c r="D190" s="3" t="s">
        <v>11</v>
      </c>
      <c r="E190" s="3" t="s">
        <v>25</v>
      </c>
      <c r="F190" s="3" t="s">
        <v>26</v>
      </c>
      <c r="G190" s="17">
        <f>'MAYO-18 '!I190</f>
        <v>20150</v>
      </c>
      <c r="H190" s="51"/>
      <c r="I190" s="17">
        <f t="shared" si="3"/>
        <v>20150</v>
      </c>
      <c r="J190" s="126"/>
      <c r="K190" s="46"/>
    </row>
    <row r="191" spans="1:11" ht="26.25" customHeight="1">
      <c r="A191" s="11" t="s">
        <v>230</v>
      </c>
      <c r="B191" s="145" t="s">
        <v>231</v>
      </c>
      <c r="C191" s="55"/>
      <c r="D191" s="3" t="s">
        <v>11</v>
      </c>
      <c r="E191" s="3" t="s">
        <v>25</v>
      </c>
      <c r="F191" s="3" t="s">
        <v>26</v>
      </c>
      <c r="G191" s="17">
        <f>'MAYO-18 '!I191</f>
        <v>100</v>
      </c>
      <c r="H191" s="51"/>
      <c r="I191" s="17">
        <f t="shared" si="3"/>
        <v>100</v>
      </c>
      <c r="J191" s="126"/>
      <c r="K191" s="46"/>
    </row>
    <row r="192" spans="1:11" ht="23.25" customHeight="1">
      <c r="A192" s="11" t="s">
        <v>232</v>
      </c>
      <c r="B192" s="145" t="s">
        <v>233</v>
      </c>
      <c r="C192" s="55"/>
      <c r="D192" s="3" t="s">
        <v>11</v>
      </c>
      <c r="E192" s="3" t="s">
        <v>25</v>
      </c>
      <c r="F192" s="3" t="s">
        <v>26</v>
      </c>
      <c r="G192" s="17">
        <f>'MAYO-18 '!I192</f>
        <v>20200</v>
      </c>
      <c r="H192" s="51"/>
      <c r="I192" s="17">
        <f t="shared" si="3"/>
        <v>20200</v>
      </c>
      <c r="J192" s="126"/>
      <c r="K192" s="46"/>
    </row>
    <row r="193" spans="1:11" ht="28.5" customHeight="1">
      <c r="A193" s="11" t="s">
        <v>234</v>
      </c>
      <c r="B193" s="145" t="s">
        <v>237</v>
      </c>
      <c r="C193" s="55"/>
      <c r="D193" s="3" t="s">
        <v>11</v>
      </c>
      <c r="E193" s="3" t="s">
        <v>25</v>
      </c>
      <c r="F193" s="3" t="s">
        <v>26</v>
      </c>
      <c r="G193" s="17">
        <f>'MAYO-18 '!I193</f>
        <v>20500</v>
      </c>
      <c r="H193" s="51"/>
      <c r="I193" s="17">
        <f t="shared" si="3"/>
        <v>20500</v>
      </c>
      <c r="J193" s="126"/>
      <c r="K193" s="46"/>
    </row>
    <row r="194" spans="1:11" ht="24" customHeight="1">
      <c r="A194" s="11" t="s">
        <v>235</v>
      </c>
      <c r="B194" s="145" t="s">
        <v>236</v>
      </c>
      <c r="C194" s="55" t="s">
        <v>1101</v>
      </c>
      <c r="D194" s="3" t="s">
        <v>11</v>
      </c>
      <c r="E194" s="3" t="s">
        <v>25</v>
      </c>
      <c r="F194" s="3" t="s">
        <v>26</v>
      </c>
      <c r="G194" s="17">
        <f>'MAYO-18 '!I194</f>
        <v>45.7</v>
      </c>
      <c r="H194" s="400">
        <v>5.65</v>
      </c>
      <c r="I194" s="17">
        <f t="shared" si="3"/>
        <v>40.050000000000004</v>
      </c>
      <c r="J194" s="45"/>
      <c r="K194" s="46"/>
    </row>
    <row r="195" spans="1:11" ht="87" customHeight="1">
      <c r="A195" s="144" t="s">
        <v>238</v>
      </c>
      <c r="B195" s="54" t="s">
        <v>239</v>
      </c>
      <c r="C195" s="55"/>
      <c r="D195" s="3"/>
      <c r="E195" s="3"/>
      <c r="F195" s="3"/>
      <c r="G195" s="17">
        <f>'MAYO-18 '!I195</f>
        <v>0</v>
      </c>
      <c r="H195" s="51"/>
      <c r="I195" s="17"/>
      <c r="J195" s="45"/>
      <c r="K195" s="46"/>
    </row>
    <row r="196" spans="1:11" ht="24" customHeight="1">
      <c r="A196" s="11" t="s">
        <v>240</v>
      </c>
      <c r="B196" s="145" t="s">
        <v>243</v>
      </c>
      <c r="C196" s="55"/>
      <c r="D196" s="3" t="s">
        <v>11</v>
      </c>
      <c r="E196" s="3" t="s">
        <v>25</v>
      </c>
      <c r="F196" s="3" t="s">
        <v>26</v>
      </c>
      <c r="G196" s="17">
        <f>'MAYO-18 '!I196</f>
        <v>0</v>
      </c>
      <c r="H196" s="51"/>
      <c r="I196" s="17">
        <f t="shared" si="3"/>
        <v>0</v>
      </c>
      <c r="J196" s="45"/>
      <c r="K196" s="280"/>
    </row>
    <row r="197" spans="1:11" ht="24" customHeight="1">
      <c r="A197" s="11" t="s">
        <v>241</v>
      </c>
      <c r="B197" s="145" t="s">
        <v>242</v>
      </c>
      <c r="C197" s="55"/>
      <c r="D197" s="3" t="s">
        <v>11</v>
      </c>
      <c r="E197" s="3" t="s">
        <v>25</v>
      </c>
      <c r="F197" s="3" t="s">
        <v>26</v>
      </c>
      <c r="G197" s="17">
        <f>'MAYO-18 '!I197</f>
        <v>0</v>
      </c>
      <c r="H197" s="51"/>
      <c r="I197" s="17">
        <f t="shared" si="3"/>
        <v>0</v>
      </c>
      <c r="J197" s="45"/>
      <c r="K197" s="280"/>
    </row>
    <row r="198" spans="1:11" ht="40.5" customHeight="1">
      <c r="A198" s="11" t="s">
        <v>245</v>
      </c>
      <c r="B198" s="145" t="s">
        <v>244</v>
      </c>
      <c r="C198" s="55"/>
      <c r="D198" s="3" t="s">
        <v>11</v>
      </c>
      <c r="E198" s="3" t="s">
        <v>25</v>
      </c>
      <c r="F198" s="3" t="s">
        <v>26</v>
      </c>
      <c r="G198" s="17">
        <f>'MAYO-18 '!I198</f>
        <v>0</v>
      </c>
      <c r="H198" s="51"/>
      <c r="I198" s="17">
        <f t="shared" si="3"/>
        <v>0</v>
      </c>
      <c r="J198" s="45"/>
      <c r="K198" s="280"/>
    </row>
    <row r="199" spans="1:11" ht="24" customHeight="1">
      <c r="A199" s="11" t="s">
        <v>246</v>
      </c>
      <c r="B199" s="145" t="s">
        <v>247</v>
      </c>
      <c r="C199" s="55"/>
      <c r="D199" s="3" t="s">
        <v>11</v>
      </c>
      <c r="E199" s="3" t="s">
        <v>25</v>
      </c>
      <c r="F199" s="3" t="s">
        <v>26</v>
      </c>
      <c r="G199" s="17">
        <f>'MAYO-18 '!I199</f>
        <v>0</v>
      </c>
      <c r="H199" s="51"/>
      <c r="I199" s="17">
        <f t="shared" si="3"/>
        <v>0</v>
      </c>
      <c r="J199" s="45"/>
      <c r="K199" s="280"/>
    </row>
    <row r="200" spans="1:11" ht="24" customHeight="1">
      <c r="A200" s="11" t="s">
        <v>249</v>
      </c>
      <c r="B200" s="145" t="s">
        <v>248</v>
      </c>
      <c r="C200" s="55"/>
      <c r="D200" s="3" t="s">
        <v>11</v>
      </c>
      <c r="E200" s="3" t="s">
        <v>25</v>
      </c>
      <c r="F200" s="3" t="s">
        <v>26</v>
      </c>
      <c r="G200" s="17">
        <f>'MAYO-18 '!I200</f>
        <v>0</v>
      </c>
      <c r="H200" s="51"/>
      <c r="I200" s="17">
        <f t="shared" si="3"/>
        <v>0</v>
      </c>
      <c r="J200" s="45"/>
      <c r="K200" s="280"/>
    </row>
    <row r="201" spans="1:11" ht="24" customHeight="1">
      <c r="A201" s="11" t="s">
        <v>251</v>
      </c>
      <c r="B201" s="145" t="s">
        <v>252</v>
      </c>
      <c r="C201" s="55"/>
      <c r="D201" s="3" t="s">
        <v>11</v>
      </c>
      <c r="E201" s="3" t="s">
        <v>25</v>
      </c>
      <c r="F201" s="3" t="s">
        <v>26</v>
      </c>
      <c r="G201" s="17">
        <f>'MAYO-18 '!I201</f>
        <v>0</v>
      </c>
      <c r="H201" s="51"/>
      <c r="I201" s="17">
        <f t="shared" si="3"/>
        <v>0</v>
      </c>
      <c r="J201" s="45"/>
      <c r="K201" s="280"/>
    </row>
    <row r="202" spans="1:11" ht="24" customHeight="1">
      <c r="A202" s="11" t="s">
        <v>250</v>
      </c>
      <c r="B202" s="145" t="s">
        <v>253</v>
      </c>
      <c r="C202" s="55"/>
      <c r="D202" s="3" t="s">
        <v>11</v>
      </c>
      <c r="E202" s="3" t="s">
        <v>25</v>
      </c>
      <c r="F202" s="3" t="s">
        <v>26</v>
      </c>
      <c r="G202" s="17">
        <f>'MAYO-18 '!I202</f>
        <v>0</v>
      </c>
      <c r="H202" s="51"/>
      <c r="I202" s="17">
        <f t="shared" si="3"/>
        <v>0</v>
      </c>
      <c r="J202" s="45"/>
      <c r="K202" s="280"/>
    </row>
    <row r="203" spans="1:11" ht="24" customHeight="1">
      <c r="A203" s="11" t="s">
        <v>255</v>
      </c>
      <c r="B203" s="145" t="s">
        <v>254</v>
      </c>
      <c r="C203" s="55"/>
      <c r="D203" s="3" t="s">
        <v>11</v>
      </c>
      <c r="E203" s="3" t="s">
        <v>25</v>
      </c>
      <c r="F203" s="3" t="s">
        <v>26</v>
      </c>
      <c r="G203" s="17">
        <f>'MAYO-18 '!I203</f>
        <v>0</v>
      </c>
      <c r="H203" s="51"/>
      <c r="I203" s="17">
        <f t="shared" si="3"/>
        <v>0</v>
      </c>
      <c r="J203" s="45"/>
      <c r="K203" s="280"/>
    </row>
    <row r="204" spans="1:11" ht="87" customHeight="1">
      <c r="A204" s="144" t="s">
        <v>256</v>
      </c>
      <c r="B204" s="54" t="s">
        <v>257</v>
      </c>
      <c r="C204" s="55"/>
      <c r="D204" s="3"/>
      <c r="E204" s="3"/>
      <c r="F204" s="3"/>
      <c r="G204" s="17">
        <f>'MAYO-18 '!I204</f>
        <v>0</v>
      </c>
      <c r="H204" s="51"/>
      <c r="I204" s="17"/>
      <c r="J204" s="45"/>
      <c r="K204" s="46"/>
    </row>
    <row r="205" spans="1:11" ht="24" customHeight="1">
      <c r="A205" s="11" t="s">
        <v>258</v>
      </c>
      <c r="B205" s="145" t="s">
        <v>263</v>
      </c>
      <c r="C205" s="55"/>
      <c r="D205" s="3" t="s">
        <v>11</v>
      </c>
      <c r="E205" s="3" t="s">
        <v>25</v>
      </c>
      <c r="F205" s="3" t="s">
        <v>26</v>
      </c>
      <c r="G205" s="17">
        <f>'MAYO-18 '!I205</f>
        <v>0</v>
      </c>
      <c r="H205" s="51"/>
      <c r="I205" s="17">
        <f t="shared" si="3"/>
        <v>0</v>
      </c>
      <c r="J205" s="45"/>
      <c r="K205" s="280"/>
    </row>
    <row r="206" spans="1:11" ht="24" customHeight="1">
      <c r="A206" s="11" t="s">
        <v>259</v>
      </c>
      <c r="B206" s="145" t="s">
        <v>262</v>
      </c>
      <c r="C206" s="55"/>
      <c r="D206" s="3" t="s">
        <v>11</v>
      </c>
      <c r="E206" s="3" t="s">
        <v>25</v>
      </c>
      <c r="F206" s="3" t="s">
        <v>26</v>
      </c>
      <c r="G206" s="17">
        <f>'MAYO-18 '!I206</f>
        <v>0</v>
      </c>
      <c r="H206" s="51"/>
      <c r="I206" s="17">
        <f t="shared" si="3"/>
        <v>0</v>
      </c>
      <c r="J206" s="45"/>
      <c r="K206" s="280"/>
    </row>
    <row r="207" spans="1:11" ht="24" customHeight="1">
      <c r="A207" s="11" t="s">
        <v>260</v>
      </c>
      <c r="B207" s="145" t="s">
        <v>261</v>
      </c>
      <c r="C207" s="55"/>
      <c r="D207" s="3" t="s">
        <v>11</v>
      </c>
      <c r="E207" s="3" t="s">
        <v>25</v>
      </c>
      <c r="F207" s="3" t="s">
        <v>26</v>
      </c>
      <c r="G207" s="17">
        <f>'MAYO-18 '!I207</f>
        <v>0</v>
      </c>
      <c r="H207" s="51"/>
      <c r="I207" s="17">
        <f t="shared" si="3"/>
        <v>0</v>
      </c>
      <c r="J207" s="45"/>
      <c r="K207" s="280"/>
    </row>
    <row r="208" spans="1:11" ht="60" customHeight="1">
      <c r="A208" s="144" t="s">
        <v>264</v>
      </c>
      <c r="B208" s="54" t="s">
        <v>287</v>
      </c>
      <c r="C208" s="55"/>
      <c r="D208" s="3"/>
      <c r="E208" s="3"/>
      <c r="F208" s="3"/>
      <c r="G208" s="17">
        <f>'MAYO-18 '!I208</f>
        <v>0</v>
      </c>
      <c r="H208" s="51"/>
      <c r="I208" s="17"/>
      <c r="J208" s="45"/>
      <c r="K208" s="46"/>
    </row>
    <row r="209" spans="1:11" ht="24" customHeight="1">
      <c r="A209" s="11" t="s">
        <v>265</v>
      </c>
      <c r="B209" s="145" t="s">
        <v>1046</v>
      </c>
      <c r="C209" s="55"/>
      <c r="D209" s="3" t="s">
        <v>11</v>
      </c>
      <c r="E209" s="3" t="s">
        <v>25</v>
      </c>
      <c r="F209" s="3" t="s">
        <v>26</v>
      </c>
      <c r="G209" s="17">
        <f>'MAYO-18 '!I209</f>
        <v>2000</v>
      </c>
      <c r="H209" s="51"/>
      <c r="I209" s="17">
        <f t="shared" si="3"/>
        <v>2000</v>
      </c>
      <c r="J209" s="45"/>
      <c r="K209" s="46"/>
    </row>
    <row r="210" spans="1:11" ht="24" customHeight="1">
      <c r="A210" s="11" t="s">
        <v>266</v>
      </c>
      <c r="B210" s="145" t="s">
        <v>268</v>
      </c>
      <c r="C210" s="55"/>
      <c r="D210" s="3" t="s">
        <v>11</v>
      </c>
      <c r="E210" s="3" t="s">
        <v>25</v>
      </c>
      <c r="F210" s="3" t="s">
        <v>26</v>
      </c>
      <c r="G210" s="17">
        <f>'MAYO-18 '!I210</f>
        <v>3000</v>
      </c>
      <c r="H210" s="51"/>
      <c r="I210" s="17">
        <f t="shared" si="3"/>
        <v>3000</v>
      </c>
      <c r="J210" s="45"/>
      <c r="K210" s="46"/>
    </row>
    <row r="211" spans="1:11" ht="71.25" customHeight="1">
      <c r="A211" s="144" t="s">
        <v>269</v>
      </c>
      <c r="B211" s="54" t="s">
        <v>286</v>
      </c>
      <c r="C211" s="343" t="s">
        <v>1111</v>
      </c>
      <c r="D211" s="3"/>
      <c r="E211" s="3"/>
      <c r="F211" s="3"/>
      <c r="G211" s="17">
        <f>'MAYO-18 '!I211</f>
        <v>0</v>
      </c>
      <c r="H211" s="51"/>
      <c r="I211" s="17"/>
      <c r="J211" s="45"/>
      <c r="K211" s="46"/>
    </row>
    <row r="212" spans="1:11" ht="27.75" customHeight="1">
      <c r="A212" s="11" t="s">
        <v>273</v>
      </c>
      <c r="B212" s="145" t="s">
        <v>270</v>
      </c>
      <c r="C212" s="55"/>
      <c r="D212" s="3" t="s">
        <v>11</v>
      </c>
      <c r="E212" s="3" t="s">
        <v>25</v>
      </c>
      <c r="F212" s="3" t="s">
        <v>26</v>
      </c>
      <c r="G212" s="17">
        <f>'MAYO-18 '!I212</f>
        <v>3000</v>
      </c>
      <c r="H212" s="51">
        <f>75+90+200</f>
        <v>365</v>
      </c>
      <c r="I212" s="17">
        <f t="shared" si="3"/>
        <v>2635</v>
      </c>
      <c r="J212" s="45"/>
      <c r="K212" s="46"/>
    </row>
    <row r="213" spans="1:11" ht="24" customHeight="1">
      <c r="A213" s="11" t="s">
        <v>272</v>
      </c>
      <c r="B213" s="145" t="s">
        <v>271</v>
      </c>
      <c r="C213" s="55"/>
      <c r="D213" s="3" t="s">
        <v>11</v>
      </c>
      <c r="E213" s="3" t="s">
        <v>25</v>
      </c>
      <c r="F213" s="3" t="s">
        <v>26</v>
      </c>
      <c r="G213" s="17">
        <f>'MAYO-18 '!I213</f>
        <v>13029.25</v>
      </c>
      <c r="H213" s="51">
        <f>252.75</f>
        <v>252.75</v>
      </c>
      <c r="I213" s="17">
        <f t="shared" si="3"/>
        <v>12776.5</v>
      </c>
      <c r="J213" s="45"/>
      <c r="K213" s="126"/>
    </row>
    <row r="214" spans="1:11" ht="24" customHeight="1">
      <c r="A214" s="11" t="s">
        <v>274</v>
      </c>
      <c r="B214" s="145" t="s">
        <v>275</v>
      </c>
      <c r="C214" s="55"/>
      <c r="D214" s="3" t="s">
        <v>11</v>
      </c>
      <c r="E214" s="3" t="s">
        <v>25</v>
      </c>
      <c r="F214" s="3" t="s">
        <v>26</v>
      </c>
      <c r="G214" s="17">
        <f>'MAYO-18 '!I214</f>
        <v>1965.25</v>
      </c>
      <c r="H214" s="51"/>
      <c r="I214" s="17">
        <f t="shared" si="3"/>
        <v>1965.25</v>
      </c>
      <c r="J214" s="45"/>
      <c r="K214" s="46"/>
    </row>
    <row r="215" spans="1:11" ht="24" customHeight="1">
      <c r="A215" s="11" t="s">
        <v>276</v>
      </c>
      <c r="B215" s="145" t="s">
        <v>277</v>
      </c>
      <c r="C215" s="55"/>
      <c r="D215" s="3" t="s">
        <v>11</v>
      </c>
      <c r="E215" s="3" t="s">
        <v>25</v>
      </c>
      <c r="F215" s="3" t="s">
        <v>26</v>
      </c>
      <c r="G215" s="17">
        <f>'MAYO-18 '!I215</f>
        <v>15074.689999999999</v>
      </c>
      <c r="H215" s="51">
        <f>1891.36+430.72</f>
        <v>2322.08</v>
      </c>
      <c r="I215" s="17">
        <f t="shared" si="3"/>
        <v>12752.609999999999</v>
      </c>
      <c r="J215" s="45"/>
      <c r="K215" s="279"/>
    </row>
    <row r="216" spans="1:11" ht="24" customHeight="1">
      <c r="A216" s="11" t="s">
        <v>278</v>
      </c>
      <c r="B216" s="145" t="s">
        <v>279</v>
      </c>
      <c r="C216" s="55"/>
      <c r="D216" s="3" t="s">
        <v>11</v>
      </c>
      <c r="E216" s="3" t="s">
        <v>25</v>
      </c>
      <c r="F216" s="3" t="s">
        <v>26</v>
      </c>
      <c r="G216" s="17">
        <f>'MAYO-18 '!I216</f>
        <v>980</v>
      </c>
      <c r="H216" s="51"/>
      <c r="I216" s="17">
        <f t="shared" si="3"/>
        <v>980</v>
      </c>
      <c r="J216" s="45"/>
      <c r="K216" s="46"/>
    </row>
    <row r="217" spans="1:11" ht="24" customHeight="1">
      <c r="A217" s="11" t="s">
        <v>280</v>
      </c>
      <c r="B217" s="145" t="s">
        <v>281</v>
      </c>
      <c r="C217" s="55"/>
      <c r="D217" s="3" t="s">
        <v>11</v>
      </c>
      <c r="E217" s="3" t="s">
        <v>25</v>
      </c>
      <c r="F217" s="3" t="s">
        <v>26</v>
      </c>
      <c r="G217" s="17">
        <f>'MAYO-18 '!I217</f>
        <v>1340</v>
      </c>
      <c r="H217" s="51">
        <f>50</f>
        <v>50</v>
      </c>
      <c r="I217" s="17">
        <f t="shared" si="3"/>
        <v>1290</v>
      </c>
      <c r="J217" s="126"/>
      <c r="K217" s="46"/>
    </row>
    <row r="218" spans="1:11" ht="24" customHeight="1">
      <c r="A218" s="11" t="s">
        <v>282</v>
      </c>
      <c r="B218" s="145" t="s">
        <v>283</v>
      </c>
      <c r="C218" s="55"/>
      <c r="D218" s="3" t="s">
        <v>11</v>
      </c>
      <c r="E218" s="3" t="s">
        <v>25</v>
      </c>
      <c r="F218" s="3" t="s">
        <v>26</v>
      </c>
      <c r="G218" s="17">
        <f>'MAYO-18 '!I218</f>
        <v>927.06000000000029</v>
      </c>
      <c r="H218" s="51"/>
      <c r="I218" s="17">
        <f t="shared" si="3"/>
        <v>927.06000000000029</v>
      </c>
      <c r="J218" s="126"/>
      <c r="K218" s="46"/>
    </row>
    <row r="219" spans="1:11" ht="24" customHeight="1">
      <c r="A219" s="11" t="s">
        <v>284</v>
      </c>
      <c r="B219" s="145" t="s">
        <v>285</v>
      </c>
      <c r="C219" s="55"/>
      <c r="D219" s="3" t="s">
        <v>11</v>
      </c>
      <c r="E219" s="3" t="s">
        <v>25</v>
      </c>
      <c r="F219" s="3" t="s">
        <v>26</v>
      </c>
      <c r="G219" s="17">
        <f>'MAYO-18 '!I219</f>
        <v>17</v>
      </c>
      <c r="H219" s="400">
        <v>2.83</v>
      </c>
      <c r="I219" s="17">
        <f t="shared" si="3"/>
        <v>14.17</v>
      </c>
      <c r="J219" s="45"/>
      <c r="K219" s="46"/>
    </row>
    <row r="220" spans="1:11" ht="102" customHeight="1">
      <c r="A220" s="144" t="s">
        <v>289</v>
      </c>
      <c r="B220" s="54" t="s">
        <v>288</v>
      </c>
      <c r="C220" s="55" t="s">
        <v>1057</v>
      </c>
      <c r="D220" s="3"/>
      <c r="E220" s="3"/>
      <c r="F220" s="3"/>
      <c r="G220" s="17">
        <f>'MAYO-18 '!I220</f>
        <v>0</v>
      </c>
      <c r="H220" s="275"/>
      <c r="I220" s="17"/>
      <c r="J220" s="45"/>
      <c r="K220" s="46"/>
    </row>
    <row r="221" spans="1:11" ht="24" customHeight="1">
      <c r="A221" s="11" t="s">
        <v>290</v>
      </c>
      <c r="B221" s="145" t="s">
        <v>291</v>
      </c>
      <c r="C221" s="55"/>
      <c r="D221" s="3" t="s">
        <v>11</v>
      </c>
      <c r="E221" s="3" t="s">
        <v>25</v>
      </c>
      <c r="F221" s="3" t="s">
        <v>26</v>
      </c>
      <c r="G221" s="17">
        <f>'MAYO-18 '!I221</f>
        <v>500</v>
      </c>
      <c r="H221" s="51"/>
      <c r="I221" s="17">
        <f t="shared" si="3"/>
        <v>500</v>
      </c>
      <c r="J221" s="45"/>
      <c r="K221" s="46"/>
    </row>
    <row r="222" spans="1:11" ht="24" customHeight="1">
      <c r="A222" s="11" t="s">
        <v>292</v>
      </c>
      <c r="B222" s="145" t="s">
        <v>293</v>
      </c>
      <c r="C222" s="55"/>
      <c r="D222" s="3" t="s">
        <v>11</v>
      </c>
      <c r="E222" s="3" t="s">
        <v>25</v>
      </c>
      <c r="F222" s="3" t="s">
        <v>26</v>
      </c>
      <c r="G222" s="17">
        <f>'MAYO-18 '!I222</f>
        <v>0</v>
      </c>
      <c r="H222" s="51"/>
      <c r="I222" s="17">
        <f t="shared" si="3"/>
        <v>0</v>
      </c>
      <c r="J222" s="45"/>
      <c r="K222" s="280"/>
    </row>
    <row r="223" spans="1:11" ht="18" customHeight="1">
      <c r="A223" s="11" t="s">
        <v>294</v>
      </c>
      <c r="B223" s="145" t="s">
        <v>295</v>
      </c>
      <c r="C223" s="55"/>
      <c r="D223" s="3" t="s">
        <v>11</v>
      </c>
      <c r="E223" s="3" t="s">
        <v>25</v>
      </c>
      <c r="F223" s="3" t="s">
        <v>26</v>
      </c>
      <c r="G223" s="17">
        <f>'MAYO-18 '!I223</f>
        <v>98.7</v>
      </c>
      <c r="H223" s="400">
        <v>1.3</v>
      </c>
      <c r="I223" s="17">
        <f t="shared" si="3"/>
        <v>97.4</v>
      </c>
      <c r="J223" s="45"/>
      <c r="K223" s="46"/>
    </row>
    <row r="224" spans="1:11" ht="19.5" customHeight="1">
      <c r="A224" s="11" t="s">
        <v>296</v>
      </c>
      <c r="B224" s="145" t="s">
        <v>297</v>
      </c>
      <c r="C224" s="55"/>
      <c r="D224" s="3" t="s">
        <v>11</v>
      </c>
      <c r="E224" s="3" t="s">
        <v>25</v>
      </c>
      <c r="F224" s="3" t="s">
        <v>26</v>
      </c>
      <c r="G224" s="17">
        <f>'MAYO-18 '!I224</f>
        <v>35600</v>
      </c>
      <c r="H224" s="51">
        <f>3520+1200</f>
        <v>4720</v>
      </c>
      <c r="I224" s="17">
        <f t="shared" si="3"/>
        <v>30880</v>
      </c>
      <c r="J224" s="45"/>
      <c r="K224" s="46"/>
    </row>
    <row r="225" spans="1:11" ht="21" customHeight="1">
      <c r="A225" s="11" t="s">
        <v>298</v>
      </c>
      <c r="B225" s="145" t="s">
        <v>299</v>
      </c>
      <c r="C225" s="55"/>
      <c r="D225" s="3" t="s">
        <v>11</v>
      </c>
      <c r="E225" s="3" t="s">
        <v>25</v>
      </c>
      <c r="F225" s="3" t="s">
        <v>26</v>
      </c>
      <c r="G225" s="17">
        <f>'MAYO-18 '!I225</f>
        <v>2000</v>
      </c>
      <c r="H225" s="51"/>
      <c r="I225" s="17">
        <f t="shared" si="3"/>
        <v>2000</v>
      </c>
      <c r="J225" s="45"/>
      <c r="K225" s="46"/>
    </row>
    <row r="226" spans="1:11" ht="75" customHeight="1">
      <c r="A226" s="144" t="s">
        <v>300</v>
      </c>
      <c r="B226" s="54" t="s">
        <v>301</v>
      </c>
      <c r="C226" s="343" t="s">
        <v>1112</v>
      </c>
      <c r="D226" s="3"/>
      <c r="E226" s="3"/>
      <c r="F226" s="3"/>
      <c r="G226" s="17">
        <f>'MAYO-18 '!I226</f>
        <v>0</v>
      </c>
      <c r="H226" s="51"/>
      <c r="I226" s="17"/>
      <c r="J226" s="45"/>
      <c r="K226" s="46"/>
    </row>
    <row r="227" spans="1:11" ht="18.75" customHeight="1">
      <c r="A227" s="11" t="s">
        <v>302</v>
      </c>
      <c r="B227" s="145" t="s">
        <v>309</v>
      </c>
      <c r="C227" s="55"/>
      <c r="D227" s="3" t="s">
        <v>11</v>
      </c>
      <c r="E227" s="3" t="s">
        <v>25</v>
      </c>
      <c r="F227" s="3" t="s">
        <v>26</v>
      </c>
      <c r="G227" s="17">
        <f>'MAYO-18 '!I227</f>
        <v>2000.04</v>
      </c>
      <c r="H227" s="51">
        <f>166.67+166.67</f>
        <v>333.34</v>
      </c>
      <c r="I227" s="17">
        <f t="shared" si="3"/>
        <v>1666.7</v>
      </c>
      <c r="J227" s="45"/>
      <c r="K227" s="321"/>
    </row>
    <row r="228" spans="1:11" ht="18.75" customHeight="1">
      <c r="A228" s="11" t="s">
        <v>303</v>
      </c>
      <c r="B228" s="145" t="s">
        <v>310</v>
      </c>
      <c r="C228" s="55"/>
      <c r="D228" s="3" t="s">
        <v>11</v>
      </c>
      <c r="E228" s="3" t="s">
        <v>25</v>
      </c>
      <c r="F228" s="3" t="s">
        <v>26</v>
      </c>
      <c r="G228" s="17">
        <f>'MAYO-18 '!I228</f>
        <v>5000</v>
      </c>
      <c r="H228" s="51"/>
      <c r="I228" s="17">
        <f t="shared" si="3"/>
        <v>5000</v>
      </c>
      <c r="J228" s="45"/>
      <c r="K228" s="321"/>
    </row>
    <row r="229" spans="1:11" ht="24.75" customHeight="1">
      <c r="A229" s="11" t="s">
        <v>304</v>
      </c>
      <c r="B229" s="145" t="s">
        <v>311</v>
      </c>
      <c r="C229" s="55"/>
      <c r="D229" s="3" t="s">
        <v>11</v>
      </c>
      <c r="E229" s="3" t="s">
        <v>25</v>
      </c>
      <c r="F229" s="3" t="s">
        <v>26</v>
      </c>
      <c r="G229" s="17">
        <f>'MAYO-18 '!I229</f>
        <v>1000</v>
      </c>
      <c r="H229" s="51"/>
      <c r="I229" s="17">
        <f t="shared" si="3"/>
        <v>1000</v>
      </c>
      <c r="J229" s="45"/>
      <c r="K229" s="322"/>
    </row>
    <row r="230" spans="1:11" ht="16.5" customHeight="1">
      <c r="A230" s="11" t="s">
        <v>305</v>
      </c>
      <c r="B230" s="145" t="s">
        <v>312</v>
      </c>
      <c r="C230" s="55"/>
      <c r="D230" s="3" t="s">
        <v>11</v>
      </c>
      <c r="E230" s="3" t="s">
        <v>25</v>
      </c>
      <c r="F230" s="3" t="s">
        <v>26</v>
      </c>
      <c r="G230" s="17">
        <f>'MAYO-18 '!I230</f>
        <v>1427</v>
      </c>
      <c r="H230" s="51"/>
      <c r="I230" s="17">
        <f t="shared" si="3"/>
        <v>1427</v>
      </c>
      <c r="J230" s="45"/>
      <c r="K230" s="323"/>
    </row>
    <row r="231" spans="1:11" ht="22.5" customHeight="1">
      <c r="A231" s="11" t="s">
        <v>306</v>
      </c>
      <c r="B231" s="145" t="s">
        <v>313</v>
      </c>
      <c r="C231" s="55"/>
      <c r="D231" s="3" t="s">
        <v>11</v>
      </c>
      <c r="E231" s="3" t="s">
        <v>25</v>
      </c>
      <c r="F231" s="3" t="s">
        <v>26</v>
      </c>
      <c r="G231" s="17">
        <f>'MAYO-18 '!I231</f>
        <v>1918.3400000000001</v>
      </c>
      <c r="H231" s="51"/>
      <c r="I231" s="17">
        <f t="shared" si="3"/>
        <v>1918.3400000000001</v>
      </c>
      <c r="J231" s="45"/>
      <c r="K231" s="324"/>
    </row>
    <row r="232" spans="1:11" ht="19.5" customHeight="1">
      <c r="A232" s="11" t="s">
        <v>307</v>
      </c>
      <c r="B232" s="145" t="s">
        <v>314</v>
      </c>
      <c r="C232" s="55"/>
      <c r="D232" s="3" t="s">
        <v>11</v>
      </c>
      <c r="E232" s="3" t="s">
        <v>25</v>
      </c>
      <c r="F232" s="3" t="s">
        <v>26</v>
      </c>
      <c r="G232" s="17">
        <f>'MAYO-18 '!I232</f>
        <v>12</v>
      </c>
      <c r="H232" s="400">
        <v>2.83</v>
      </c>
      <c r="I232" s="17">
        <f t="shared" si="3"/>
        <v>9.17</v>
      </c>
      <c r="J232" s="45"/>
      <c r="K232" s="324"/>
    </row>
    <row r="233" spans="1:11" ht="24" customHeight="1">
      <c r="A233" s="11" t="s">
        <v>308</v>
      </c>
      <c r="B233" s="145" t="s">
        <v>315</v>
      </c>
      <c r="C233" s="55"/>
      <c r="D233" s="3" t="s">
        <v>11</v>
      </c>
      <c r="E233" s="3" t="s">
        <v>25</v>
      </c>
      <c r="F233" s="3" t="s">
        <v>26</v>
      </c>
      <c r="G233" s="17">
        <f>'MAYO-18 '!I233</f>
        <v>0</v>
      </c>
      <c r="H233" s="51"/>
      <c r="I233" s="17">
        <f t="shared" si="3"/>
        <v>0</v>
      </c>
      <c r="J233" s="45"/>
      <c r="K233" s="324"/>
    </row>
    <row r="234" spans="1:11" ht="72.75" customHeight="1">
      <c r="A234" s="144" t="s">
        <v>316</v>
      </c>
      <c r="B234" s="54" t="s">
        <v>1201</v>
      </c>
      <c r="C234" s="343" t="s">
        <v>1113</v>
      </c>
      <c r="D234" s="3"/>
      <c r="E234" s="3"/>
      <c r="F234" s="3"/>
      <c r="G234" s="17">
        <f>'MAYO-18 '!I234</f>
        <v>0</v>
      </c>
      <c r="H234" s="51"/>
      <c r="I234" s="17"/>
      <c r="J234" s="45"/>
      <c r="K234" s="46"/>
    </row>
    <row r="235" spans="1:11" ht="20.25" customHeight="1">
      <c r="A235" s="11" t="s">
        <v>318</v>
      </c>
      <c r="B235" s="145" t="s">
        <v>322</v>
      </c>
      <c r="C235" s="55"/>
      <c r="D235" s="3" t="s">
        <v>11</v>
      </c>
      <c r="E235" s="3" t="s">
        <v>25</v>
      </c>
      <c r="F235" s="3" t="s">
        <v>26</v>
      </c>
      <c r="G235" s="17">
        <f>'MAYO-18 '!I235</f>
        <v>1666.68</v>
      </c>
      <c r="H235" s="51">
        <f>333.34</f>
        <v>333.34</v>
      </c>
      <c r="I235" s="17">
        <f t="shared" ref="I235:I269" si="4">G235-H235+J235-K235</f>
        <v>1333.3400000000001</v>
      </c>
      <c r="J235" s="45"/>
      <c r="K235" s="46"/>
    </row>
    <row r="236" spans="1:11" ht="36.75" customHeight="1">
      <c r="A236" s="11" t="s">
        <v>1009</v>
      </c>
      <c r="B236" s="145" t="s">
        <v>1011</v>
      </c>
      <c r="C236" s="55"/>
      <c r="D236" s="3" t="s">
        <v>11</v>
      </c>
      <c r="E236" s="3" t="s">
        <v>25</v>
      </c>
      <c r="F236" s="3" t="s">
        <v>26</v>
      </c>
      <c r="G236" s="17">
        <f>'MAYO-18 '!I236</f>
        <v>400</v>
      </c>
      <c r="H236" s="51"/>
      <c r="I236" s="17">
        <f t="shared" si="4"/>
        <v>400</v>
      </c>
      <c r="J236" s="126"/>
      <c r="K236" s="46"/>
    </row>
    <row r="237" spans="1:11" ht="31.5" customHeight="1">
      <c r="A237" s="11" t="s">
        <v>319</v>
      </c>
      <c r="B237" s="145" t="s">
        <v>1010</v>
      </c>
      <c r="C237" s="55"/>
      <c r="D237" s="3" t="s">
        <v>11</v>
      </c>
      <c r="E237" s="3" t="s">
        <v>25</v>
      </c>
      <c r="F237" s="3" t="s">
        <v>26</v>
      </c>
      <c r="G237" s="17">
        <f>'MAYO-18 '!I237</f>
        <v>1755</v>
      </c>
      <c r="H237" s="51">
        <v>27</v>
      </c>
      <c r="I237" s="17">
        <f t="shared" si="4"/>
        <v>1728</v>
      </c>
      <c r="J237" s="45"/>
      <c r="K237" s="260"/>
    </row>
    <row r="238" spans="1:11" ht="20.25" customHeight="1">
      <c r="A238" s="11" t="s">
        <v>320</v>
      </c>
      <c r="B238" s="145" t="s">
        <v>324</v>
      </c>
      <c r="C238" s="55"/>
      <c r="D238" s="3" t="s">
        <v>11</v>
      </c>
      <c r="E238" s="3" t="s">
        <v>25</v>
      </c>
      <c r="F238" s="3" t="s">
        <v>26</v>
      </c>
      <c r="G238" s="17">
        <f>'MAYO-18 '!I238</f>
        <v>18.7</v>
      </c>
      <c r="H238" s="400">
        <v>2.83</v>
      </c>
      <c r="I238" s="17">
        <f t="shared" si="4"/>
        <v>15.87</v>
      </c>
      <c r="J238" s="45"/>
      <c r="K238" s="46"/>
    </row>
    <row r="239" spans="1:11" ht="29.25" customHeight="1">
      <c r="A239" s="11" t="s">
        <v>321</v>
      </c>
      <c r="B239" s="145" t="s">
        <v>325</v>
      </c>
      <c r="C239" s="55"/>
      <c r="D239" s="3" t="s">
        <v>11</v>
      </c>
      <c r="E239" s="3" t="s">
        <v>25</v>
      </c>
      <c r="F239" s="3" t="s">
        <v>26</v>
      </c>
      <c r="G239" s="17">
        <f>'MAYO-18 '!I239</f>
        <v>1980</v>
      </c>
      <c r="H239" s="51"/>
      <c r="I239" s="17">
        <f t="shared" si="4"/>
        <v>1980</v>
      </c>
      <c r="J239" s="45"/>
      <c r="K239" s="46"/>
    </row>
    <row r="240" spans="1:11" ht="66" customHeight="1">
      <c r="A240" s="271" t="s">
        <v>326</v>
      </c>
      <c r="B240" s="54" t="s">
        <v>327</v>
      </c>
      <c r="C240" s="55"/>
      <c r="D240" s="3"/>
      <c r="E240" s="3"/>
      <c r="F240" s="3"/>
      <c r="G240" s="17">
        <f>'MAYO-18 '!I240</f>
        <v>0</v>
      </c>
      <c r="H240" s="51"/>
      <c r="I240" s="17"/>
      <c r="J240" s="45"/>
      <c r="K240" s="46"/>
    </row>
    <row r="241" spans="1:11" ht="23.25" customHeight="1">
      <c r="A241" s="11" t="s">
        <v>328</v>
      </c>
      <c r="B241" s="145" t="s">
        <v>329</v>
      </c>
      <c r="C241" s="55"/>
      <c r="D241" s="3" t="s">
        <v>11</v>
      </c>
      <c r="E241" s="3" t="s">
        <v>25</v>
      </c>
      <c r="F241" s="3" t="s">
        <v>26</v>
      </c>
      <c r="G241" s="17">
        <f>'MAYO-18 '!I241</f>
        <v>0</v>
      </c>
      <c r="H241" s="51"/>
      <c r="I241" s="17">
        <f t="shared" si="4"/>
        <v>0</v>
      </c>
      <c r="J241" s="45"/>
      <c r="K241" s="324"/>
    </row>
    <row r="242" spans="1:11" ht="26.25" customHeight="1">
      <c r="A242" s="11" t="s">
        <v>330</v>
      </c>
      <c r="B242" s="145" t="s">
        <v>331</v>
      </c>
      <c r="C242" s="55"/>
      <c r="D242" s="3" t="s">
        <v>11</v>
      </c>
      <c r="E242" s="3" t="s">
        <v>25</v>
      </c>
      <c r="F242" s="3" t="s">
        <v>26</v>
      </c>
      <c r="G242" s="17">
        <f>'MAYO-18 '!I242</f>
        <v>0</v>
      </c>
      <c r="H242" s="51"/>
      <c r="I242" s="17">
        <f t="shared" si="4"/>
        <v>0</v>
      </c>
      <c r="J242" s="45"/>
      <c r="K242" s="324"/>
    </row>
    <row r="243" spans="1:11" ht="18.75" customHeight="1">
      <c r="A243" s="11" t="s">
        <v>332</v>
      </c>
      <c r="B243" s="145" t="s">
        <v>333</v>
      </c>
      <c r="C243" s="55"/>
      <c r="D243" s="3" t="s">
        <v>11</v>
      </c>
      <c r="E243" s="3" t="s">
        <v>25</v>
      </c>
      <c r="F243" s="3" t="s">
        <v>26</v>
      </c>
      <c r="G243" s="17">
        <f>'MAYO-18 '!I243</f>
        <v>0</v>
      </c>
      <c r="H243" s="51"/>
      <c r="I243" s="17">
        <f t="shared" si="4"/>
        <v>0</v>
      </c>
      <c r="J243" s="45"/>
      <c r="K243" s="324"/>
    </row>
    <row r="244" spans="1:11" ht="18" customHeight="1">
      <c r="A244" s="11" t="s">
        <v>334</v>
      </c>
      <c r="B244" s="145" t="s">
        <v>335</v>
      </c>
      <c r="C244" s="55"/>
      <c r="D244" s="3" t="s">
        <v>11</v>
      </c>
      <c r="E244" s="3" t="s">
        <v>25</v>
      </c>
      <c r="F244" s="3" t="s">
        <v>26</v>
      </c>
      <c r="G244" s="17">
        <f>'MAYO-18 '!I244</f>
        <v>0</v>
      </c>
      <c r="H244" s="51"/>
      <c r="I244" s="17">
        <f t="shared" si="4"/>
        <v>0</v>
      </c>
      <c r="J244" s="45"/>
      <c r="K244" s="324"/>
    </row>
    <row r="245" spans="1:11" ht="24.75" customHeight="1">
      <c r="A245" s="11" t="s">
        <v>336</v>
      </c>
      <c r="B245" s="145" t="s">
        <v>337</v>
      </c>
      <c r="C245" s="55"/>
      <c r="D245" s="3" t="s">
        <v>11</v>
      </c>
      <c r="E245" s="3" t="s">
        <v>25</v>
      </c>
      <c r="F245" s="3" t="s">
        <v>26</v>
      </c>
      <c r="G245" s="17">
        <f>'MAYO-18 '!I245</f>
        <v>0</v>
      </c>
      <c r="H245" s="51"/>
      <c r="I245" s="17">
        <f t="shared" si="4"/>
        <v>0</v>
      </c>
      <c r="J245" s="45"/>
      <c r="K245" s="324"/>
    </row>
    <row r="246" spans="1:11" ht="60.75" customHeight="1">
      <c r="A246" s="144" t="s">
        <v>338</v>
      </c>
      <c r="B246" s="54" t="s">
        <v>339</v>
      </c>
      <c r="C246" s="55" t="s">
        <v>1059</v>
      </c>
      <c r="D246" s="3"/>
      <c r="E246" s="3"/>
      <c r="F246" s="3"/>
      <c r="G246" s="17">
        <f>'MAYO-18 '!I246</f>
        <v>0</v>
      </c>
      <c r="H246" s="51"/>
      <c r="I246" s="17"/>
      <c r="J246" s="45"/>
      <c r="K246" s="46"/>
    </row>
    <row r="247" spans="1:11" ht="18.75" customHeight="1">
      <c r="A247" s="11" t="s">
        <v>340</v>
      </c>
      <c r="B247" s="145" t="s">
        <v>344</v>
      </c>
      <c r="C247" s="55"/>
      <c r="D247" s="3" t="s">
        <v>11</v>
      </c>
      <c r="E247" s="3" t="s">
        <v>25</v>
      </c>
      <c r="F247" s="3" t="s">
        <v>26</v>
      </c>
      <c r="G247" s="17">
        <f>'MAYO-18 '!I247</f>
        <v>0</v>
      </c>
      <c r="H247" s="51"/>
      <c r="I247" s="17">
        <f t="shared" si="4"/>
        <v>0</v>
      </c>
      <c r="J247" s="45"/>
      <c r="K247" s="280"/>
    </row>
    <row r="248" spans="1:11" ht="31.5" customHeight="1">
      <c r="A248" s="11" t="s">
        <v>341</v>
      </c>
      <c r="B248" s="145" t="s">
        <v>345</v>
      </c>
      <c r="C248" s="55" t="s">
        <v>1059</v>
      </c>
      <c r="D248" s="3" t="s">
        <v>11</v>
      </c>
      <c r="E248" s="3" t="s">
        <v>25</v>
      </c>
      <c r="F248" s="3" t="s">
        <v>26</v>
      </c>
      <c r="G248" s="17">
        <f>'MAYO-18 '!I248</f>
        <v>0</v>
      </c>
      <c r="H248" s="51"/>
      <c r="I248" s="17">
        <f t="shared" si="4"/>
        <v>0</v>
      </c>
      <c r="J248" s="45"/>
      <c r="K248" s="280"/>
    </row>
    <row r="249" spans="1:11" ht="20.25" customHeight="1">
      <c r="A249" s="11" t="s">
        <v>342</v>
      </c>
      <c r="B249" s="145" t="s">
        <v>346</v>
      </c>
      <c r="C249" s="55"/>
      <c r="D249" s="3" t="s">
        <v>11</v>
      </c>
      <c r="E249" s="3" t="s">
        <v>25</v>
      </c>
      <c r="F249" s="3" t="s">
        <v>26</v>
      </c>
      <c r="G249" s="17">
        <f>'MAYO-18 '!I249</f>
        <v>0</v>
      </c>
      <c r="H249" s="51"/>
      <c r="I249" s="17">
        <f t="shared" si="4"/>
        <v>0</v>
      </c>
      <c r="J249" s="45"/>
      <c r="K249" s="280"/>
    </row>
    <row r="250" spans="1:11" ht="24" customHeight="1">
      <c r="A250" s="11" t="s">
        <v>343</v>
      </c>
      <c r="B250" s="145" t="s">
        <v>347</v>
      </c>
      <c r="C250" s="55"/>
      <c r="D250" s="3" t="s">
        <v>11</v>
      </c>
      <c r="E250" s="3" t="s">
        <v>25</v>
      </c>
      <c r="F250" s="3" t="s">
        <v>26</v>
      </c>
      <c r="G250" s="17">
        <f>'MAYO-18 '!I250</f>
        <v>0</v>
      </c>
      <c r="H250" s="51"/>
      <c r="I250" s="17">
        <f t="shared" si="4"/>
        <v>0</v>
      </c>
      <c r="J250" s="45"/>
      <c r="K250" s="280"/>
    </row>
    <row r="251" spans="1:11" ht="70.5" customHeight="1">
      <c r="A251" s="144" t="s">
        <v>348</v>
      </c>
      <c r="B251" s="54" t="s">
        <v>349</v>
      </c>
      <c r="C251" s="55"/>
      <c r="D251" s="3"/>
      <c r="E251" s="3"/>
      <c r="F251" s="3"/>
      <c r="G251" s="17">
        <f>'MAYO-18 '!I251</f>
        <v>0</v>
      </c>
      <c r="H251" s="51"/>
      <c r="I251" s="17"/>
      <c r="J251" s="45"/>
      <c r="K251" s="46"/>
    </row>
    <row r="252" spans="1:11" ht="23.25" customHeight="1">
      <c r="A252" s="11" t="s">
        <v>350</v>
      </c>
      <c r="B252" s="145" t="s">
        <v>355</v>
      </c>
      <c r="C252" s="55"/>
      <c r="D252" s="3" t="s">
        <v>11</v>
      </c>
      <c r="E252" s="3" t="s">
        <v>25</v>
      </c>
      <c r="F252" s="3" t="s">
        <v>26</v>
      </c>
      <c r="G252" s="17">
        <f>'MAYO-18 '!I252</f>
        <v>3000</v>
      </c>
      <c r="H252" s="51"/>
      <c r="I252" s="17">
        <f t="shared" si="4"/>
        <v>3000</v>
      </c>
      <c r="J252" s="45"/>
      <c r="K252" s="324"/>
    </row>
    <row r="253" spans="1:11" ht="22.5" customHeight="1">
      <c r="A253" s="11" t="s">
        <v>351</v>
      </c>
      <c r="B253" s="145" t="s">
        <v>354</v>
      </c>
      <c r="C253" s="55"/>
      <c r="D253" s="3" t="s">
        <v>11</v>
      </c>
      <c r="E253" s="3" t="s">
        <v>25</v>
      </c>
      <c r="F253" s="3" t="s">
        <v>26</v>
      </c>
      <c r="G253" s="17">
        <f>'MAYO-18 '!I253</f>
        <v>1000</v>
      </c>
      <c r="H253" s="51"/>
      <c r="I253" s="17">
        <f t="shared" si="4"/>
        <v>1000</v>
      </c>
      <c r="J253" s="45"/>
      <c r="K253" s="324"/>
    </row>
    <row r="254" spans="1:11" ht="24.75" customHeight="1">
      <c r="A254" s="11" t="s">
        <v>352</v>
      </c>
      <c r="B254" s="145" t="s">
        <v>356</v>
      </c>
      <c r="C254" s="55"/>
      <c r="D254" s="3" t="s">
        <v>11</v>
      </c>
      <c r="E254" s="3" t="s">
        <v>25</v>
      </c>
      <c r="F254" s="3" t="s">
        <v>26</v>
      </c>
      <c r="G254" s="17">
        <f>'MAYO-18 '!I254</f>
        <v>18.7</v>
      </c>
      <c r="H254" s="51"/>
      <c r="I254" s="17">
        <f t="shared" si="4"/>
        <v>18.7</v>
      </c>
      <c r="J254" s="45"/>
      <c r="K254" s="46"/>
    </row>
    <row r="255" spans="1:11" ht="24.75" customHeight="1">
      <c r="A255" s="11" t="s">
        <v>353</v>
      </c>
      <c r="B255" s="145" t="s">
        <v>357</v>
      </c>
      <c r="C255" s="55"/>
      <c r="D255" s="3" t="s">
        <v>11</v>
      </c>
      <c r="E255" s="3" t="s">
        <v>25</v>
      </c>
      <c r="F255" s="3" t="s">
        <v>26</v>
      </c>
      <c r="G255" s="17">
        <f>'MAYO-18 '!I255</f>
        <v>980</v>
      </c>
      <c r="H255" s="51"/>
      <c r="I255" s="17">
        <f t="shared" si="4"/>
        <v>980</v>
      </c>
      <c r="J255" s="45"/>
      <c r="K255" s="46"/>
    </row>
    <row r="256" spans="1:11" ht="59.25" customHeight="1">
      <c r="A256" s="144" t="s">
        <v>358</v>
      </c>
      <c r="B256" s="54" t="s">
        <v>359</v>
      </c>
      <c r="C256" s="55"/>
      <c r="D256" s="3"/>
      <c r="E256" s="3"/>
      <c r="F256" s="3"/>
      <c r="G256" s="17">
        <f>'MAYO-18 '!I256</f>
        <v>0</v>
      </c>
      <c r="H256" s="51"/>
      <c r="I256" s="17"/>
      <c r="J256" s="45"/>
      <c r="K256" s="46"/>
    </row>
    <row r="257" spans="1:11" ht="18.75" customHeight="1">
      <c r="A257" s="11" t="s">
        <v>361</v>
      </c>
      <c r="B257" s="146" t="s">
        <v>360</v>
      </c>
      <c r="C257" s="55"/>
      <c r="D257" s="3" t="s">
        <v>11</v>
      </c>
      <c r="E257" s="3" t="s">
        <v>25</v>
      </c>
      <c r="F257" s="3" t="s">
        <v>26</v>
      </c>
      <c r="G257" s="17">
        <f>'MAYO-18 '!I257</f>
        <v>3000</v>
      </c>
      <c r="H257" s="51"/>
      <c r="I257" s="17">
        <f t="shared" si="4"/>
        <v>3000</v>
      </c>
      <c r="J257" s="45"/>
      <c r="K257" s="46"/>
    </row>
    <row r="258" spans="1:11" ht="18.75" customHeight="1">
      <c r="A258" s="11" t="s">
        <v>362</v>
      </c>
      <c r="B258" s="145" t="s">
        <v>365</v>
      </c>
      <c r="C258" s="55"/>
      <c r="D258" s="3" t="s">
        <v>11</v>
      </c>
      <c r="E258" s="3" t="s">
        <v>25</v>
      </c>
      <c r="F258" s="3" t="s">
        <v>26</v>
      </c>
      <c r="G258" s="17">
        <f>'MAYO-18 '!I258</f>
        <v>500</v>
      </c>
      <c r="H258" s="51"/>
      <c r="I258" s="17">
        <f t="shared" si="4"/>
        <v>500</v>
      </c>
      <c r="J258" s="45"/>
      <c r="K258" s="46"/>
    </row>
    <row r="259" spans="1:11" ht="24.75" customHeight="1">
      <c r="A259" s="11" t="s">
        <v>363</v>
      </c>
      <c r="B259" s="145" t="s">
        <v>366</v>
      </c>
      <c r="C259" s="55"/>
      <c r="D259" s="3" t="s">
        <v>11</v>
      </c>
      <c r="E259" s="3" t="s">
        <v>25</v>
      </c>
      <c r="F259" s="3" t="s">
        <v>26</v>
      </c>
      <c r="G259" s="17">
        <f>'MAYO-18 '!I259</f>
        <v>200</v>
      </c>
      <c r="H259" s="51"/>
      <c r="I259" s="17">
        <f t="shared" si="4"/>
        <v>200</v>
      </c>
      <c r="J259" s="45"/>
      <c r="K259" s="46"/>
    </row>
    <row r="260" spans="1:11" ht="28.5" customHeight="1">
      <c r="A260" s="11" t="s">
        <v>364</v>
      </c>
      <c r="B260" s="146" t="s">
        <v>367</v>
      </c>
      <c r="C260" s="55"/>
      <c r="D260" s="3" t="s">
        <v>11</v>
      </c>
      <c r="E260" s="3" t="s">
        <v>25</v>
      </c>
      <c r="F260" s="3" t="s">
        <v>26</v>
      </c>
      <c r="G260" s="17">
        <f>'MAYO-18 '!I260</f>
        <v>7280</v>
      </c>
      <c r="H260" s="51"/>
      <c r="I260" s="17">
        <f t="shared" si="4"/>
        <v>7280</v>
      </c>
      <c r="J260" s="45"/>
      <c r="K260" s="46"/>
    </row>
    <row r="261" spans="1:11" ht="27.75" customHeight="1">
      <c r="A261" s="11" t="s">
        <v>368</v>
      </c>
      <c r="B261" s="145" t="s">
        <v>369</v>
      </c>
      <c r="C261" s="55"/>
      <c r="D261" s="3" t="s">
        <v>11</v>
      </c>
      <c r="E261" s="3" t="s">
        <v>25</v>
      </c>
      <c r="F261" s="3" t="s">
        <v>26</v>
      </c>
      <c r="G261" s="17">
        <f>'MAYO-18 '!I261</f>
        <v>3000</v>
      </c>
      <c r="H261" s="51"/>
      <c r="I261" s="17">
        <f t="shared" si="4"/>
        <v>3000</v>
      </c>
      <c r="J261" s="45"/>
      <c r="K261" s="46"/>
    </row>
    <row r="262" spans="1:11" ht="23.25" customHeight="1">
      <c r="A262" s="11" t="s">
        <v>370</v>
      </c>
      <c r="B262" s="145" t="s">
        <v>371</v>
      </c>
      <c r="C262" s="55"/>
      <c r="D262" s="3" t="s">
        <v>11</v>
      </c>
      <c r="E262" s="3" t="s">
        <v>25</v>
      </c>
      <c r="F262" s="3" t="s">
        <v>26</v>
      </c>
      <c r="G262" s="17">
        <f>'MAYO-18 '!I262</f>
        <v>1000</v>
      </c>
      <c r="H262" s="51"/>
      <c r="I262" s="17">
        <f t="shared" si="4"/>
        <v>1000</v>
      </c>
      <c r="J262" s="45"/>
      <c r="K262" s="46"/>
    </row>
    <row r="263" spans="1:11" ht="24" customHeight="1">
      <c r="A263" s="11" t="s">
        <v>372</v>
      </c>
      <c r="B263" s="145" t="s">
        <v>373</v>
      </c>
      <c r="C263" s="55"/>
      <c r="D263" s="3" t="s">
        <v>11</v>
      </c>
      <c r="E263" s="3" t="s">
        <v>25</v>
      </c>
      <c r="F263" s="3" t="s">
        <v>26</v>
      </c>
      <c r="G263" s="17">
        <f>'MAYO-18 '!I263</f>
        <v>20</v>
      </c>
      <c r="H263" s="400">
        <v>1.3</v>
      </c>
      <c r="I263" s="17">
        <f t="shared" si="4"/>
        <v>18.7</v>
      </c>
      <c r="J263" s="45"/>
      <c r="K263" s="46"/>
    </row>
    <row r="264" spans="1:11" ht="69" customHeight="1">
      <c r="A264" s="144" t="s">
        <v>374</v>
      </c>
      <c r="B264" s="54" t="s">
        <v>375</v>
      </c>
      <c r="C264" s="55"/>
      <c r="D264" s="3"/>
      <c r="E264" s="3"/>
      <c r="F264" s="3"/>
      <c r="G264" s="17">
        <f>'MAYO-18 '!I264</f>
        <v>0</v>
      </c>
      <c r="H264" s="51"/>
      <c r="I264" s="17"/>
      <c r="J264" s="45"/>
      <c r="K264" s="46"/>
    </row>
    <row r="265" spans="1:11" ht="24" customHeight="1">
      <c r="A265" s="11" t="s">
        <v>376</v>
      </c>
      <c r="B265" s="146" t="s">
        <v>377</v>
      </c>
      <c r="C265" s="55"/>
      <c r="D265" s="3" t="s">
        <v>11</v>
      </c>
      <c r="E265" s="3" t="s">
        <v>25</v>
      </c>
      <c r="F265" s="3" t="s">
        <v>26</v>
      </c>
      <c r="G265" s="17">
        <f>'MAYO-18 '!I265</f>
        <v>4000</v>
      </c>
      <c r="H265" s="51"/>
      <c r="I265" s="17">
        <f t="shared" si="4"/>
        <v>4000</v>
      </c>
      <c r="J265" s="45"/>
      <c r="K265" s="324"/>
    </row>
    <row r="266" spans="1:11" ht="28.5" customHeight="1">
      <c r="A266" s="11" t="s">
        <v>383</v>
      </c>
      <c r="B266" s="145" t="s">
        <v>378</v>
      </c>
      <c r="C266" s="55"/>
      <c r="D266" s="3" t="s">
        <v>11</v>
      </c>
      <c r="E266" s="3" t="s">
        <v>25</v>
      </c>
      <c r="F266" s="3" t="s">
        <v>26</v>
      </c>
      <c r="G266" s="17">
        <f>'MAYO-18 '!I266</f>
        <v>200</v>
      </c>
      <c r="H266" s="51"/>
      <c r="I266" s="17">
        <f t="shared" si="4"/>
        <v>200</v>
      </c>
      <c r="J266" s="45"/>
      <c r="K266" s="324"/>
    </row>
    <row r="267" spans="1:11" ht="33" customHeight="1">
      <c r="A267" s="11" t="s">
        <v>384</v>
      </c>
      <c r="B267" s="146" t="s">
        <v>379</v>
      </c>
      <c r="C267" s="55"/>
      <c r="D267" s="3" t="s">
        <v>11</v>
      </c>
      <c r="E267" s="3" t="s">
        <v>25</v>
      </c>
      <c r="F267" s="3" t="s">
        <v>26</v>
      </c>
      <c r="G267" s="17">
        <f>'MAYO-18 '!I267</f>
        <v>3000</v>
      </c>
      <c r="H267" s="51"/>
      <c r="I267" s="17">
        <f t="shared" si="4"/>
        <v>3000</v>
      </c>
      <c r="J267" s="45"/>
      <c r="K267" s="324"/>
    </row>
    <row r="268" spans="1:11" ht="41.25" customHeight="1">
      <c r="A268" s="11" t="s">
        <v>385</v>
      </c>
      <c r="B268" s="145" t="s">
        <v>380</v>
      </c>
      <c r="C268" s="55"/>
      <c r="D268" s="3" t="s">
        <v>11</v>
      </c>
      <c r="E268" s="3" t="s">
        <v>25</v>
      </c>
      <c r="F268" s="3" t="s">
        <v>26</v>
      </c>
      <c r="G268" s="17">
        <f>'MAYO-18 '!I268</f>
        <v>1000</v>
      </c>
      <c r="H268" s="51"/>
      <c r="I268" s="17">
        <f t="shared" si="4"/>
        <v>1000</v>
      </c>
      <c r="J268" s="45"/>
      <c r="K268" s="324"/>
    </row>
    <row r="269" spans="1:11" ht="30" customHeight="1">
      <c r="A269" s="11" t="s">
        <v>386</v>
      </c>
      <c r="B269" s="145" t="s">
        <v>381</v>
      </c>
      <c r="C269" s="55"/>
      <c r="D269" s="3" t="s">
        <v>11</v>
      </c>
      <c r="E269" s="3" t="s">
        <v>25</v>
      </c>
      <c r="F269" s="3" t="s">
        <v>26</v>
      </c>
      <c r="G269" s="17">
        <f>'MAYO-18 '!I269</f>
        <v>1780</v>
      </c>
      <c r="H269" s="51"/>
      <c r="I269" s="17">
        <f t="shared" si="4"/>
        <v>1780</v>
      </c>
      <c r="J269" s="45"/>
      <c r="K269" s="46"/>
    </row>
    <row r="270" spans="1:11" ht="27" customHeight="1">
      <c r="A270" s="11" t="s">
        <v>387</v>
      </c>
      <c r="B270" s="145" t="s">
        <v>382</v>
      </c>
      <c r="C270" s="6"/>
      <c r="D270" s="3" t="s">
        <v>11</v>
      </c>
      <c r="E270" s="3" t="s">
        <v>25</v>
      </c>
      <c r="F270" s="3" t="s">
        <v>26</v>
      </c>
      <c r="G270" s="17">
        <f>'MAYO-18 '!I270</f>
        <v>20</v>
      </c>
      <c r="H270" s="51"/>
      <c r="I270" s="17">
        <f t="shared" si="3"/>
        <v>20</v>
      </c>
      <c r="J270" s="45"/>
      <c r="K270" s="46"/>
    </row>
    <row r="271" spans="1:11" ht="143.25" customHeight="1">
      <c r="A271" s="144" t="s">
        <v>388</v>
      </c>
      <c r="B271" s="54" t="s">
        <v>391</v>
      </c>
      <c r="C271" s="55"/>
      <c r="D271" s="14"/>
      <c r="E271" s="14"/>
      <c r="F271" s="14"/>
      <c r="G271" s="17">
        <f>'MAYO-18 '!I271</f>
        <v>0</v>
      </c>
      <c r="H271" s="51"/>
      <c r="I271" s="17"/>
      <c r="J271" s="62"/>
      <c r="K271" s="63"/>
    </row>
    <row r="272" spans="1:11" ht="29.25">
      <c r="A272" s="11" t="s">
        <v>389</v>
      </c>
      <c r="B272" s="54" t="s">
        <v>390</v>
      </c>
      <c r="C272" s="55"/>
      <c r="D272" s="14" t="s">
        <v>11</v>
      </c>
      <c r="E272" s="14" t="s">
        <v>25</v>
      </c>
      <c r="F272" s="14" t="s">
        <v>26</v>
      </c>
      <c r="G272" s="17">
        <f>'MAYO-18 '!I272</f>
        <v>5000</v>
      </c>
      <c r="H272" s="51"/>
      <c r="I272" s="17">
        <f t="shared" si="3"/>
        <v>5000</v>
      </c>
      <c r="J272" s="62"/>
      <c r="K272" s="324"/>
    </row>
    <row r="273" spans="1:11" ht="68.25" customHeight="1">
      <c r="A273" s="144" t="s">
        <v>392</v>
      </c>
      <c r="B273" s="54" t="s">
        <v>393</v>
      </c>
      <c r="C273" s="343" t="s">
        <v>1114</v>
      </c>
      <c r="D273" s="14"/>
      <c r="E273" s="14"/>
      <c r="F273" s="14"/>
      <c r="G273" s="17">
        <f>'MAYO-18 '!I273</f>
        <v>0</v>
      </c>
      <c r="H273" s="51"/>
      <c r="I273" s="17"/>
      <c r="J273" s="62"/>
      <c r="K273" s="63"/>
    </row>
    <row r="274" spans="1:11">
      <c r="A274" s="11">
        <v>51999</v>
      </c>
      <c r="B274" s="54" t="s">
        <v>394</v>
      </c>
      <c r="C274" s="55"/>
      <c r="D274" s="14" t="s">
        <v>11</v>
      </c>
      <c r="E274" s="14" t="s">
        <v>25</v>
      </c>
      <c r="F274" s="14" t="s">
        <v>26</v>
      </c>
      <c r="G274" s="17">
        <f>'MAYO-18 '!I274</f>
        <v>725</v>
      </c>
      <c r="H274" s="51"/>
      <c r="I274" s="17">
        <f t="shared" si="3"/>
        <v>725</v>
      </c>
      <c r="J274" s="108"/>
      <c r="K274" s="63"/>
    </row>
    <row r="275" spans="1:11" ht="29.25">
      <c r="A275" s="11">
        <v>54112</v>
      </c>
      <c r="B275" s="54" t="s">
        <v>395</v>
      </c>
      <c r="C275" s="55"/>
      <c r="D275" s="14" t="s">
        <v>11</v>
      </c>
      <c r="E275" s="14" t="s">
        <v>25</v>
      </c>
      <c r="F275" s="14" t="s">
        <v>26</v>
      </c>
      <c r="G275" s="17">
        <f>'MAYO-18 '!I275</f>
        <v>2000</v>
      </c>
      <c r="H275" s="51"/>
      <c r="I275" s="17">
        <f t="shared" si="3"/>
        <v>2000</v>
      </c>
      <c r="J275" s="62"/>
      <c r="K275" s="63"/>
    </row>
    <row r="276" spans="1:11" ht="29.25">
      <c r="A276" s="11">
        <v>54199</v>
      </c>
      <c r="B276" s="54" t="s">
        <v>396</v>
      </c>
      <c r="C276" s="55"/>
      <c r="D276" s="14" t="s">
        <v>11</v>
      </c>
      <c r="E276" s="14" t="s">
        <v>25</v>
      </c>
      <c r="F276" s="14" t="s">
        <v>26</v>
      </c>
      <c r="G276" s="17">
        <f>'MAYO-18 '!I276</f>
        <v>1000</v>
      </c>
      <c r="H276" s="51"/>
      <c r="I276" s="17">
        <f t="shared" ref="I276:I331" si="5">G276-H276+J276-K276</f>
        <v>1000</v>
      </c>
      <c r="J276" s="62"/>
      <c r="K276" s="63"/>
    </row>
    <row r="277" spans="1:11">
      <c r="A277" s="11">
        <v>54305</v>
      </c>
      <c r="B277" s="54" t="s">
        <v>397</v>
      </c>
      <c r="C277" s="55"/>
      <c r="D277" s="14" t="s">
        <v>11</v>
      </c>
      <c r="E277" s="14" t="s">
        <v>25</v>
      </c>
      <c r="F277" s="14" t="s">
        <v>26</v>
      </c>
      <c r="G277" s="17">
        <f>'MAYO-18 '!I277</f>
        <v>5091.2</v>
      </c>
      <c r="H277" s="51"/>
      <c r="I277" s="17">
        <f t="shared" si="5"/>
        <v>5091.2</v>
      </c>
      <c r="J277" s="62"/>
      <c r="K277" s="108"/>
    </row>
    <row r="278" spans="1:11" ht="30">
      <c r="A278" s="11">
        <v>54313</v>
      </c>
      <c r="B278" s="54" t="s">
        <v>398</v>
      </c>
      <c r="C278" s="55" t="s">
        <v>1064</v>
      </c>
      <c r="D278" s="14" t="s">
        <v>11</v>
      </c>
      <c r="E278" s="14" t="s">
        <v>25</v>
      </c>
      <c r="F278" s="14" t="s">
        <v>26</v>
      </c>
      <c r="G278" s="17">
        <f>'MAYO-18 '!I278</f>
        <v>267</v>
      </c>
      <c r="H278" s="51"/>
      <c r="I278" s="17">
        <f t="shared" si="5"/>
        <v>267</v>
      </c>
      <c r="J278" s="62"/>
      <c r="K278" s="63"/>
    </row>
    <row r="279" spans="1:11" ht="30">
      <c r="A279" s="11">
        <v>54399</v>
      </c>
      <c r="B279" s="54" t="s">
        <v>399</v>
      </c>
      <c r="C279" s="55"/>
      <c r="D279" s="14" t="s">
        <v>11</v>
      </c>
      <c r="E279" s="14" t="s">
        <v>25</v>
      </c>
      <c r="F279" s="14" t="s">
        <v>26</v>
      </c>
      <c r="G279" s="17">
        <f>'MAYO-18 '!I279</f>
        <v>2000</v>
      </c>
      <c r="H279" s="51"/>
      <c r="I279" s="17">
        <f t="shared" si="5"/>
        <v>2000</v>
      </c>
      <c r="J279" s="62"/>
      <c r="K279" s="63"/>
    </row>
    <row r="280" spans="1:11" ht="30">
      <c r="A280" s="11">
        <v>55603</v>
      </c>
      <c r="B280" s="54" t="s">
        <v>400</v>
      </c>
      <c r="C280" s="55"/>
      <c r="D280" s="14" t="s">
        <v>11</v>
      </c>
      <c r="E280" s="14" t="s">
        <v>25</v>
      </c>
      <c r="F280" s="14" t="s">
        <v>26</v>
      </c>
      <c r="G280" s="17">
        <f>'MAYO-18 '!I280</f>
        <v>17</v>
      </c>
      <c r="H280" s="400">
        <v>2.83</v>
      </c>
      <c r="I280" s="17">
        <f t="shared" si="5"/>
        <v>14.17</v>
      </c>
      <c r="J280" s="62"/>
      <c r="K280" s="63"/>
    </row>
    <row r="281" spans="1:11" ht="75.75" customHeight="1">
      <c r="A281" s="144" t="s">
        <v>401</v>
      </c>
      <c r="B281" s="54" t="s">
        <v>402</v>
      </c>
      <c r="C281" s="55" t="s">
        <v>1063</v>
      </c>
      <c r="D281" s="14"/>
      <c r="E281" s="14"/>
      <c r="F281" s="14"/>
      <c r="G281" s="17">
        <f>'MAYO-18 '!I281</f>
        <v>0</v>
      </c>
      <c r="H281" s="51"/>
      <c r="I281" s="17"/>
      <c r="J281" s="62"/>
      <c r="K281" s="63"/>
    </row>
    <row r="282" spans="1:11" ht="20.25" customHeight="1">
      <c r="A282" s="147">
        <v>54119</v>
      </c>
      <c r="B282" s="145" t="s">
        <v>403</v>
      </c>
      <c r="C282" s="55" t="s">
        <v>1063</v>
      </c>
      <c r="D282" s="14" t="s">
        <v>11</v>
      </c>
      <c r="E282" s="14" t="s">
        <v>25</v>
      </c>
      <c r="F282" s="14" t="s">
        <v>26</v>
      </c>
      <c r="G282" s="17">
        <f>'MAYO-18 '!I282</f>
        <v>5391.0299999999988</v>
      </c>
      <c r="H282" s="51">
        <v>5975</v>
      </c>
      <c r="I282" s="17">
        <f t="shared" si="5"/>
        <v>416.02999999999884</v>
      </c>
      <c r="J282" s="108">
        <v>1000</v>
      </c>
      <c r="K282" s="63"/>
    </row>
    <row r="283" spans="1:11" ht="39.75" customHeight="1">
      <c r="A283" s="147">
        <v>51999</v>
      </c>
      <c r="B283" s="145" t="s">
        <v>1051</v>
      </c>
      <c r="C283" s="55" t="s">
        <v>1063</v>
      </c>
      <c r="D283" s="14" t="s">
        <v>11</v>
      </c>
      <c r="E283" s="14" t="s">
        <v>25</v>
      </c>
      <c r="F283" s="14" t="s">
        <v>26</v>
      </c>
      <c r="G283" s="17">
        <f>'MAYO-18 '!I283</f>
        <v>1503.67</v>
      </c>
      <c r="H283" s="51"/>
      <c r="I283" s="17">
        <f t="shared" si="5"/>
        <v>1003.6700000000001</v>
      </c>
      <c r="J283" s="108"/>
      <c r="K283" s="302">
        <v>500</v>
      </c>
    </row>
    <row r="284" spans="1:11" ht="24">
      <c r="A284" s="147">
        <v>54112</v>
      </c>
      <c r="B284" s="145" t="s">
        <v>404</v>
      </c>
      <c r="C284" s="55"/>
      <c r="D284" s="14" t="s">
        <v>11</v>
      </c>
      <c r="E284" s="14" t="s">
        <v>25</v>
      </c>
      <c r="F284" s="14" t="s">
        <v>26</v>
      </c>
      <c r="G284" s="17">
        <f>'MAYO-18 '!I284</f>
        <v>0</v>
      </c>
      <c r="H284" s="51"/>
      <c r="I284" s="17">
        <f t="shared" si="5"/>
        <v>0</v>
      </c>
      <c r="J284" s="62"/>
      <c r="K284" s="302"/>
    </row>
    <row r="285" spans="1:11" ht="22.5" customHeight="1">
      <c r="A285" s="147">
        <v>54199</v>
      </c>
      <c r="B285" s="145" t="s">
        <v>405</v>
      </c>
      <c r="C285" s="55"/>
      <c r="D285" s="14" t="s">
        <v>11</v>
      </c>
      <c r="E285" s="14" t="s">
        <v>25</v>
      </c>
      <c r="F285" s="14" t="s">
        <v>26</v>
      </c>
      <c r="G285" s="17">
        <f>'MAYO-18 '!I285</f>
        <v>0</v>
      </c>
      <c r="H285" s="51"/>
      <c r="I285" s="17">
        <f t="shared" si="5"/>
        <v>0</v>
      </c>
      <c r="J285" s="62"/>
      <c r="K285" s="302"/>
    </row>
    <row r="286" spans="1:11" ht="24">
      <c r="A286" s="147">
        <v>54399</v>
      </c>
      <c r="B286" s="145" t="s">
        <v>406</v>
      </c>
      <c r="C286" s="55"/>
      <c r="D286" s="14" t="s">
        <v>11</v>
      </c>
      <c r="E286" s="14" t="s">
        <v>25</v>
      </c>
      <c r="F286" s="14" t="s">
        <v>26</v>
      </c>
      <c r="G286" s="17">
        <f>'MAYO-18 '!I286</f>
        <v>680</v>
      </c>
      <c r="H286" s="51"/>
      <c r="I286" s="17">
        <f t="shared" si="5"/>
        <v>180</v>
      </c>
      <c r="J286" s="62"/>
      <c r="K286" s="302">
        <v>500</v>
      </c>
    </row>
    <row r="287" spans="1:11" ht="23.25" customHeight="1">
      <c r="A287" s="147">
        <v>55603</v>
      </c>
      <c r="B287" s="145" t="s">
        <v>407</v>
      </c>
      <c r="C287" s="55"/>
      <c r="D287" s="14" t="s">
        <v>11</v>
      </c>
      <c r="E287" s="14" t="s">
        <v>25</v>
      </c>
      <c r="F287" s="14" t="s">
        <v>26</v>
      </c>
      <c r="G287" s="17">
        <f>'MAYO-18 '!I287</f>
        <v>6.9999999999999991</v>
      </c>
      <c r="H287" s="309"/>
      <c r="I287" s="17">
        <f t="shared" si="5"/>
        <v>6.9999999999999991</v>
      </c>
      <c r="J287" s="62"/>
      <c r="K287" s="63"/>
    </row>
    <row r="288" spans="1:11" s="213" customFormat="1" ht="58.5" customHeight="1">
      <c r="A288" s="144" t="s">
        <v>408</v>
      </c>
      <c r="B288" s="54" t="s">
        <v>409</v>
      </c>
      <c r="C288" s="55" t="s">
        <v>1062</v>
      </c>
      <c r="D288" s="14"/>
      <c r="E288" s="14"/>
      <c r="F288" s="14"/>
      <c r="G288" s="17">
        <f>'MAYO-18 '!I288</f>
        <v>0</v>
      </c>
      <c r="H288" s="51"/>
      <c r="I288" s="17"/>
      <c r="J288" s="62"/>
      <c r="K288" s="63"/>
    </row>
    <row r="289" spans="1:11" ht="29.25">
      <c r="A289" s="11">
        <v>51999</v>
      </c>
      <c r="B289" s="54" t="s">
        <v>410</v>
      </c>
      <c r="C289" s="55"/>
      <c r="D289" s="14" t="s">
        <v>11</v>
      </c>
      <c r="E289" s="14" t="s">
        <v>25</v>
      </c>
      <c r="F289" s="14" t="s">
        <v>26</v>
      </c>
      <c r="G289" s="17">
        <f>'MAYO-18 '!I289</f>
        <v>4000</v>
      </c>
      <c r="H289" s="51">
        <f>578+140+56+112+112+50+266.67</f>
        <v>1314.67</v>
      </c>
      <c r="I289" s="17">
        <f t="shared" si="5"/>
        <v>2685.33</v>
      </c>
      <c r="J289" s="62"/>
      <c r="K289" s="63"/>
    </row>
    <row r="290" spans="1:11" ht="29.25">
      <c r="A290" s="11">
        <v>54111</v>
      </c>
      <c r="B290" s="54" t="s">
        <v>411</v>
      </c>
      <c r="C290" s="55"/>
      <c r="D290" s="14" t="s">
        <v>11</v>
      </c>
      <c r="E290" s="14" t="s">
        <v>25</v>
      </c>
      <c r="F290" s="14" t="s">
        <v>26</v>
      </c>
      <c r="G290" s="17">
        <f>'MAYO-18 '!I290</f>
        <v>2933.08</v>
      </c>
      <c r="H290" s="51"/>
      <c r="I290" s="17">
        <f t="shared" si="5"/>
        <v>2933.08</v>
      </c>
      <c r="J290" s="62"/>
      <c r="K290" s="63"/>
    </row>
    <row r="291" spans="1:11" ht="29.25">
      <c r="A291" s="11">
        <v>54112</v>
      </c>
      <c r="B291" s="54" t="s">
        <v>412</v>
      </c>
      <c r="C291" s="55"/>
      <c r="D291" s="14" t="s">
        <v>11</v>
      </c>
      <c r="E291" s="14" t="s">
        <v>25</v>
      </c>
      <c r="F291" s="14" t="s">
        <v>26</v>
      </c>
      <c r="G291" s="17">
        <f>'MAYO-18 '!I291</f>
        <v>1969.55</v>
      </c>
      <c r="H291" s="51"/>
      <c r="I291" s="17">
        <f t="shared" si="5"/>
        <v>1969.55</v>
      </c>
      <c r="J291" s="62"/>
      <c r="K291" s="63"/>
    </row>
    <row r="292" spans="1:11" ht="30">
      <c r="A292" s="11">
        <v>54118</v>
      </c>
      <c r="B292" s="54" t="s">
        <v>413</v>
      </c>
      <c r="C292" s="55" t="s">
        <v>1062</v>
      </c>
      <c r="D292" s="14" t="s">
        <v>11</v>
      </c>
      <c r="E292" s="14" t="s">
        <v>25</v>
      </c>
      <c r="F292" s="14" t="s">
        <v>26</v>
      </c>
      <c r="G292" s="17">
        <f>'MAYO-18 '!I292</f>
        <v>3902.7599999999998</v>
      </c>
      <c r="H292" s="51">
        <v>380.15</v>
      </c>
      <c r="I292" s="17">
        <f t="shared" si="5"/>
        <v>3522.6099999999997</v>
      </c>
      <c r="J292" s="62"/>
      <c r="K292" s="63"/>
    </row>
    <row r="293" spans="1:11" ht="29.25">
      <c r="A293" s="11">
        <v>54199</v>
      </c>
      <c r="B293" s="54" t="s">
        <v>414</v>
      </c>
      <c r="C293" s="55"/>
      <c r="D293" s="14" t="s">
        <v>11</v>
      </c>
      <c r="E293" s="14" t="s">
        <v>25</v>
      </c>
      <c r="F293" s="14" t="s">
        <v>26</v>
      </c>
      <c r="G293" s="17">
        <f>'MAYO-18 '!I293</f>
        <v>987</v>
      </c>
      <c r="H293" s="51"/>
      <c r="I293" s="17">
        <f t="shared" si="5"/>
        <v>987</v>
      </c>
      <c r="J293" s="62"/>
      <c r="K293" s="63"/>
    </row>
    <row r="294" spans="1:11" ht="30">
      <c r="A294" s="11">
        <v>54301</v>
      </c>
      <c r="B294" s="54" t="s">
        <v>415</v>
      </c>
      <c r="C294" s="55"/>
      <c r="D294" s="14" t="s">
        <v>11</v>
      </c>
      <c r="E294" s="14" t="s">
        <v>25</v>
      </c>
      <c r="F294" s="14" t="s">
        <v>26</v>
      </c>
      <c r="G294" s="17">
        <f>'MAYO-18 '!I294</f>
        <v>3000</v>
      </c>
      <c r="H294" s="51">
        <v>271.2</v>
      </c>
      <c r="I294" s="17">
        <f t="shared" si="5"/>
        <v>2728.8</v>
      </c>
      <c r="J294" s="62"/>
      <c r="K294" s="63"/>
    </row>
    <row r="295" spans="1:11" ht="30">
      <c r="A295" s="11">
        <v>54399</v>
      </c>
      <c r="B295" s="54" t="s">
        <v>416</v>
      </c>
      <c r="C295" s="55"/>
      <c r="D295" s="14" t="s">
        <v>11</v>
      </c>
      <c r="E295" s="14" t="s">
        <v>25</v>
      </c>
      <c r="F295" s="14" t="s">
        <v>26</v>
      </c>
      <c r="G295" s="17">
        <f>'MAYO-18 '!I295</f>
        <v>1813.5</v>
      </c>
      <c r="H295" s="51"/>
      <c r="I295" s="17">
        <f t="shared" si="5"/>
        <v>1813.5</v>
      </c>
      <c r="J295" s="62"/>
      <c r="K295" s="63"/>
    </row>
    <row r="296" spans="1:11" ht="29.25">
      <c r="A296" s="11">
        <v>55603</v>
      </c>
      <c r="B296" s="54" t="s">
        <v>417</v>
      </c>
      <c r="C296" s="55"/>
      <c r="D296" s="14" t="s">
        <v>11</v>
      </c>
      <c r="E296" s="14" t="s">
        <v>25</v>
      </c>
      <c r="F296" s="14" t="s">
        <v>26</v>
      </c>
      <c r="G296" s="17">
        <f>'MAYO-18 '!I296</f>
        <v>8.6999999999999993</v>
      </c>
      <c r="H296" s="400">
        <f>1.3+5.65</f>
        <v>6.95</v>
      </c>
      <c r="I296" s="17">
        <f t="shared" si="5"/>
        <v>1.7499999999999991</v>
      </c>
      <c r="J296" s="62"/>
      <c r="K296" s="63"/>
    </row>
    <row r="297" spans="1:11" ht="64.5" customHeight="1">
      <c r="A297" s="144" t="s">
        <v>418</v>
      </c>
      <c r="B297" s="54" t="s">
        <v>419</v>
      </c>
      <c r="C297" s="55" t="s">
        <v>1061</v>
      </c>
      <c r="D297" s="14"/>
      <c r="E297" s="14"/>
      <c r="F297" s="14"/>
      <c r="G297" s="17">
        <f>'MAYO-18 '!I297</f>
        <v>0</v>
      </c>
      <c r="H297" s="51"/>
      <c r="I297" s="17"/>
      <c r="J297" s="62"/>
      <c r="K297" s="63"/>
    </row>
    <row r="298" spans="1:11" ht="20.25" customHeight="1">
      <c r="A298" s="11">
        <v>51202</v>
      </c>
      <c r="B298" s="54" t="s">
        <v>420</v>
      </c>
      <c r="C298" s="55"/>
      <c r="D298" s="14" t="s">
        <v>11</v>
      </c>
      <c r="E298" s="14" t="s">
        <v>25</v>
      </c>
      <c r="F298" s="14" t="s">
        <v>26</v>
      </c>
      <c r="G298" s="17">
        <f>'MAYO-18 '!I298</f>
        <v>2500</v>
      </c>
      <c r="H298" s="51"/>
      <c r="I298" s="17">
        <f t="shared" si="5"/>
        <v>2500</v>
      </c>
      <c r="J298" s="62"/>
      <c r="K298" s="320"/>
    </row>
    <row r="299" spans="1:11" ht="25.5" customHeight="1">
      <c r="A299" s="11">
        <v>54110</v>
      </c>
      <c r="B299" s="54" t="s">
        <v>421</v>
      </c>
      <c r="C299" s="55"/>
      <c r="D299" s="14" t="s">
        <v>11</v>
      </c>
      <c r="E299" s="14" t="s">
        <v>25</v>
      </c>
      <c r="F299" s="14" t="s">
        <v>26</v>
      </c>
      <c r="G299" s="17">
        <f>'MAYO-18 '!I299</f>
        <v>5000</v>
      </c>
      <c r="H299" s="51"/>
      <c r="I299" s="17">
        <f t="shared" si="5"/>
        <v>5000</v>
      </c>
      <c r="J299" s="62"/>
      <c r="K299" s="320"/>
    </row>
    <row r="300" spans="1:11" ht="29.25">
      <c r="A300" s="11">
        <v>54111</v>
      </c>
      <c r="B300" s="54" t="s">
        <v>422</v>
      </c>
      <c r="C300" s="55" t="s">
        <v>1061</v>
      </c>
      <c r="D300" s="14" t="s">
        <v>11</v>
      </c>
      <c r="E300" s="14" t="s">
        <v>25</v>
      </c>
      <c r="F300" s="14" t="s">
        <v>26</v>
      </c>
      <c r="G300" s="17">
        <f>'MAYO-18 '!I300</f>
        <v>5057</v>
      </c>
      <c r="H300" s="51"/>
      <c r="I300" s="17">
        <f t="shared" si="5"/>
        <v>5057</v>
      </c>
      <c r="J300" s="108"/>
      <c r="K300" s="320"/>
    </row>
    <row r="301" spans="1:11" ht="29.25">
      <c r="A301" s="11">
        <v>54112</v>
      </c>
      <c r="B301" s="54" t="s">
        <v>423</v>
      </c>
      <c r="C301" s="55"/>
      <c r="D301" s="14" t="s">
        <v>11</v>
      </c>
      <c r="E301" s="14" t="s">
        <v>25</v>
      </c>
      <c r="F301" s="14" t="s">
        <v>26</v>
      </c>
      <c r="G301" s="17">
        <f>'MAYO-18 '!I301</f>
        <v>2481.25</v>
      </c>
      <c r="H301" s="51"/>
      <c r="I301" s="17">
        <f t="shared" si="5"/>
        <v>2481.25</v>
      </c>
      <c r="J301" s="62"/>
      <c r="K301" s="320"/>
    </row>
    <row r="302" spans="1:11" ht="29.25">
      <c r="A302" s="11">
        <v>54313</v>
      </c>
      <c r="B302" s="54" t="s">
        <v>424</v>
      </c>
      <c r="C302" s="55"/>
      <c r="D302" s="14" t="s">
        <v>11</v>
      </c>
      <c r="E302" s="14" t="s">
        <v>25</v>
      </c>
      <c r="F302" s="14" t="s">
        <v>26</v>
      </c>
      <c r="G302" s="17">
        <f>'MAYO-18 '!I302</f>
        <v>490</v>
      </c>
      <c r="H302" s="51"/>
      <c r="I302" s="17">
        <f t="shared" si="5"/>
        <v>490</v>
      </c>
      <c r="J302" s="62"/>
      <c r="K302" s="63"/>
    </row>
    <row r="303" spans="1:11" ht="29.25">
      <c r="A303" s="11">
        <v>54316</v>
      </c>
      <c r="B303" s="54" t="s">
        <v>425</v>
      </c>
      <c r="C303" s="55" t="s">
        <v>1061</v>
      </c>
      <c r="D303" s="14" t="s">
        <v>11</v>
      </c>
      <c r="E303" s="14" t="s">
        <v>25</v>
      </c>
      <c r="F303" s="14" t="s">
        <v>26</v>
      </c>
      <c r="G303" s="17">
        <f>'MAYO-18 '!I303</f>
        <v>270</v>
      </c>
      <c r="H303" s="51"/>
      <c r="I303" s="17">
        <f t="shared" si="5"/>
        <v>270</v>
      </c>
      <c r="J303" s="108"/>
      <c r="K303" s="63"/>
    </row>
    <row r="304" spans="1:11" ht="30">
      <c r="A304" s="11">
        <v>54399</v>
      </c>
      <c r="B304" s="54" t="s">
        <v>426</v>
      </c>
      <c r="C304" s="55"/>
      <c r="D304" s="14" t="s">
        <v>11</v>
      </c>
      <c r="E304" s="14" t="s">
        <v>25</v>
      </c>
      <c r="F304" s="14" t="s">
        <v>26</v>
      </c>
      <c r="G304" s="17">
        <f>'MAYO-18 '!I304</f>
        <v>5000</v>
      </c>
      <c r="H304" s="51"/>
      <c r="I304" s="17">
        <f t="shared" si="5"/>
        <v>5000</v>
      </c>
      <c r="J304" s="62"/>
      <c r="K304" s="63"/>
    </row>
    <row r="305" spans="1:11">
      <c r="A305" s="11">
        <v>55603</v>
      </c>
      <c r="B305" s="54" t="s">
        <v>427</v>
      </c>
      <c r="C305" s="55"/>
      <c r="D305" s="14" t="s">
        <v>11</v>
      </c>
      <c r="E305" s="14" t="s">
        <v>25</v>
      </c>
      <c r="F305" s="14" t="s">
        <v>26</v>
      </c>
      <c r="G305" s="17">
        <f>'MAYO-18 '!I305</f>
        <v>8.6999999999999993</v>
      </c>
      <c r="H305" s="51"/>
      <c r="I305" s="17">
        <f t="shared" si="5"/>
        <v>8.6999999999999993</v>
      </c>
      <c r="J305" s="62"/>
      <c r="K305" s="63"/>
    </row>
    <row r="306" spans="1:11" ht="20.25" customHeight="1">
      <c r="A306" s="11">
        <v>55799</v>
      </c>
      <c r="B306" s="54" t="s">
        <v>428</v>
      </c>
      <c r="C306" s="55"/>
      <c r="D306" s="14" t="s">
        <v>11</v>
      </c>
      <c r="E306" s="14" t="s">
        <v>25</v>
      </c>
      <c r="F306" s="14" t="s">
        <v>26</v>
      </c>
      <c r="G306" s="17">
        <f>'MAYO-18 '!I306</f>
        <v>10000</v>
      </c>
      <c r="H306" s="51"/>
      <c r="I306" s="17">
        <f t="shared" si="5"/>
        <v>10000</v>
      </c>
      <c r="J306" s="62"/>
      <c r="K306" s="63"/>
    </row>
    <row r="307" spans="1:11" ht="77.25" customHeight="1">
      <c r="A307" s="144" t="s">
        <v>429</v>
      </c>
      <c r="B307" s="54" t="s">
        <v>430</v>
      </c>
      <c r="C307" s="343" t="s">
        <v>1102</v>
      </c>
      <c r="D307" s="14"/>
      <c r="E307" s="14"/>
      <c r="F307" s="14"/>
      <c r="G307" s="17">
        <f>'MAYO-18 '!I307</f>
        <v>0</v>
      </c>
      <c r="H307" s="51"/>
      <c r="I307" s="17"/>
      <c r="J307" s="62"/>
      <c r="K307" s="63"/>
    </row>
    <row r="308" spans="1:11" ht="33.75" customHeight="1">
      <c r="A308" s="148">
        <v>54199</v>
      </c>
      <c r="B308" s="54" t="s">
        <v>431</v>
      </c>
      <c r="C308" s="55"/>
      <c r="D308" s="14" t="s">
        <v>11</v>
      </c>
      <c r="E308" s="14" t="s">
        <v>25</v>
      </c>
      <c r="F308" s="14" t="s">
        <v>26</v>
      </c>
      <c r="G308" s="17">
        <f>'MAYO-18 '!I308</f>
        <v>5000</v>
      </c>
      <c r="H308" s="51">
        <f>500+325+500</f>
        <v>1325</v>
      </c>
      <c r="I308" s="17">
        <f t="shared" si="5"/>
        <v>3675</v>
      </c>
      <c r="J308" s="62"/>
      <c r="K308" s="63"/>
    </row>
    <row r="309" spans="1:11" ht="30" customHeight="1">
      <c r="A309" s="148">
        <v>54314</v>
      </c>
      <c r="B309" s="54" t="s">
        <v>432</v>
      </c>
      <c r="C309" s="55" t="s">
        <v>1103</v>
      </c>
      <c r="D309" s="14" t="s">
        <v>11</v>
      </c>
      <c r="E309" s="14" t="s">
        <v>25</v>
      </c>
      <c r="F309" s="14" t="s">
        <v>26</v>
      </c>
      <c r="G309" s="17">
        <f>'MAYO-18 '!I309</f>
        <v>8418.56</v>
      </c>
      <c r="H309" s="51">
        <f>300</f>
        <v>300</v>
      </c>
      <c r="I309" s="17">
        <f t="shared" si="5"/>
        <v>8118.5599999999995</v>
      </c>
      <c r="J309" s="62"/>
      <c r="K309" s="63"/>
    </row>
    <row r="310" spans="1:11" ht="30.75" customHeight="1">
      <c r="A310" s="148">
        <v>54399</v>
      </c>
      <c r="B310" s="54" t="s">
        <v>433</v>
      </c>
      <c r="C310" s="55"/>
      <c r="D310" s="14" t="s">
        <v>11</v>
      </c>
      <c r="E310" s="14" t="s">
        <v>25</v>
      </c>
      <c r="F310" s="14" t="s">
        <v>26</v>
      </c>
      <c r="G310" s="17">
        <f>'MAYO-18 '!I310</f>
        <v>5000</v>
      </c>
      <c r="H310" s="51"/>
      <c r="I310" s="17">
        <f t="shared" si="5"/>
        <v>5000</v>
      </c>
      <c r="J310" s="62"/>
      <c r="K310" s="63"/>
    </row>
    <row r="311" spans="1:11" ht="33" customHeight="1">
      <c r="A311" s="148">
        <v>55603</v>
      </c>
      <c r="B311" s="54" t="s">
        <v>434</v>
      </c>
      <c r="C311" s="55"/>
      <c r="D311" s="14" t="s">
        <v>11</v>
      </c>
      <c r="E311" s="14" t="s">
        <v>25</v>
      </c>
      <c r="F311" s="14" t="s">
        <v>26</v>
      </c>
      <c r="G311" s="17">
        <f>'MAYO-18 '!I311</f>
        <v>6.9999999999999991</v>
      </c>
      <c r="H311" s="372">
        <v>2.83</v>
      </c>
      <c r="I311" s="17">
        <f t="shared" si="5"/>
        <v>4.169999999999999</v>
      </c>
      <c r="J311" s="62"/>
      <c r="K311" s="63"/>
    </row>
    <row r="312" spans="1:11" ht="31.5" customHeight="1">
      <c r="A312" s="148">
        <v>56303</v>
      </c>
      <c r="B312" s="54" t="s">
        <v>986</v>
      </c>
      <c r="C312" s="55"/>
      <c r="D312" s="14" t="s">
        <v>11</v>
      </c>
      <c r="E312" s="14" t="s">
        <v>25</v>
      </c>
      <c r="F312" s="14" t="s">
        <v>26</v>
      </c>
      <c r="G312" s="17">
        <f>'MAYO-18 '!I312</f>
        <v>9990</v>
      </c>
      <c r="H312" s="51"/>
      <c r="I312" s="17">
        <f t="shared" si="5"/>
        <v>9990</v>
      </c>
      <c r="J312" s="62"/>
      <c r="K312" s="63"/>
    </row>
    <row r="313" spans="1:11" ht="77.25" customHeight="1">
      <c r="A313" s="144" t="s">
        <v>437</v>
      </c>
      <c r="B313" s="54" t="s">
        <v>436</v>
      </c>
      <c r="C313" s="55"/>
      <c r="D313" s="14" t="s">
        <v>11</v>
      </c>
      <c r="E313" s="14" t="s">
        <v>25</v>
      </c>
      <c r="F313" s="14" t="s">
        <v>26</v>
      </c>
      <c r="G313" s="17">
        <f>'MAYO-18 '!I313</f>
        <v>0</v>
      </c>
      <c r="H313" s="51"/>
      <c r="I313" s="17"/>
      <c r="J313" s="62"/>
      <c r="K313" s="63"/>
    </row>
    <row r="314" spans="1:11" ht="28.5" customHeight="1">
      <c r="A314" s="148">
        <v>54199</v>
      </c>
      <c r="B314" s="54" t="s">
        <v>438</v>
      </c>
      <c r="C314" s="55"/>
      <c r="D314" s="14" t="s">
        <v>11</v>
      </c>
      <c r="E314" s="14" t="s">
        <v>25</v>
      </c>
      <c r="F314" s="14" t="s">
        <v>26</v>
      </c>
      <c r="G314" s="17">
        <f>'MAYO-18 '!I314</f>
        <v>0</v>
      </c>
      <c r="H314" s="51"/>
      <c r="I314" s="17">
        <f t="shared" si="5"/>
        <v>0</v>
      </c>
      <c r="J314" s="62"/>
      <c r="K314" s="281"/>
    </row>
    <row r="315" spans="1:11" ht="15" customHeight="1">
      <c r="A315" s="148">
        <v>54314</v>
      </c>
      <c r="B315" s="54" t="s">
        <v>439</v>
      </c>
      <c r="C315" s="55"/>
      <c r="D315" s="14" t="s">
        <v>11</v>
      </c>
      <c r="E315" s="14" t="s">
        <v>25</v>
      </c>
      <c r="F315" s="14" t="s">
        <v>26</v>
      </c>
      <c r="G315" s="17">
        <f>'MAYO-18 '!I315</f>
        <v>0</v>
      </c>
      <c r="H315" s="51"/>
      <c r="I315" s="17">
        <f t="shared" si="5"/>
        <v>0</v>
      </c>
      <c r="J315" s="62"/>
      <c r="K315" s="281"/>
    </row>
    <row r="316" spans="1:11" ht="27.75" customHeight="1">
      <c r="A316" s="148">
        <v>54399</v>
      </c>
      <c r="B316" s="54" t="s">
        <v>440</v>
      </c>
      <c r="C316" s="55"/>
      <c r="D316" s="14" t="s">
        <v>11</v>
      </c>
      <c r="E316" s="14" t="s">
        <v>25</v>
      </c>
      <c r="F316" s="14" t="s">
        <v>26</v>
      </c>
      <c r="G316" s="17">
        <f>'MAYO-18 '!I316</f>
        <v>0</v>
      </c>
      <c r="H316" s="51"/>
      <c r="I316" s="17">
        <f t="shared" si="5"/>
        <v>0</v>
      </c>
      <c r="J316" s="62"/>
      <c r="K316" s="281"/>
    </row>
    <row r="317" spans="1:11" ht="29.25" customHeight="1">
      <c r="A317" s="148">
        <v>55603</v>
      </c>
      <c r="B317" s="54" t="s">
        <v>441</v>
      </c>
      <c r="C317" s="55"/>
      <c r="D317" s="14" t="s">
        <v>11</v>
      </c>
      <c r="E317" s="14" t="s">
        <v>25</v>
      </c>
      <c r="F317" s="14" t="s">
        <v>26</v>
      </c>
      <c r="G317" s="17">
        <f>'MAYO-18 '!I317</f>
        <v>0</v>
      </c>
      <c r="H317" s="51"/>
      <c r="I317" s="17">
        <f t="shared" si="5"/>
        <v>0</v>
      </c>
      <c r="J317" s="62"/>
      <c r="K317" s="281"/>
    </row>
    <row r="318" spans="1:11" ht="18" customHeight="1">
      <c r="A318" s="148">
        <v>55799</v>
      </c>
      <c r="B318" s="54" t="s">
        <v>442</v>
      </c>
      <c r="C318" s="55"/>
      <c r="D318" s="14" t="s">
        <v>11</v>
      </c>
      <c r="E318" s="14" t="s">
        <v>25</v>
      </c>
      <c r="F318" s="14" t="s">
        <v>26</v>
      </c>
      <c r="G318" s="17">
        <f>'MAYO-18 '!I318</f>
        <v>0</v>
      </c>
      <c r="H318" s="51"/>
      <c r="I318" s="17">
        <f t="shared" si="5"/>
        <v>0</v>
      </c>
      <c r="J318" s="62"/>
      <c r="K318" s="281"/>
    </row>
    <row r="319" spans="1:11" ht="68.25" customHeight="1">
      <c r="A319" s="144" t="s">
        <v>443</v>
      </c>
      <c r="B319" s="339" t="s">
        <v>444</v>
      </c>
      <c r="C319" s="343" t="s">
        <v>1122</v>
      </c>
      <c r="D319" s="14"/>
      <c r="E319" s="14"/>
      <c r="F319" s="14"/>
      <c r="G319" s="17">
        <f>'MAYO-18 '!I319</f>
        <v>0</v>
      </c>
      <c r="H319" s="51"/>
      <c r="I319" s="17"/>
      <c r="J319" s="62"/>
      <c r="K319" s="63"/>
    </row>
    <row r="320" spans="1:11" ht="27.75" customHeight="1">
      <c r="A320" s="148">
        <v>54199</v>
      </c>
      <c r="B320" s="54" t="s">
        <v>445</v>
      </c>
      <c r="C320" s="55"/>
      <c r="D320" s="14" t="s">
        <v>11</v>
      </c>
      <c r="E320" s="14" t="s">
        <v>25</v>
      </c>
      <c r="F320" s="14" t="s">
        <v>26</v>
      </c>
      <c r="G320" s="17">
        <f>'MAYO-18 '!I320</f>
        <v>6000</v>
      </c>
      <c r="H320" s="51">
        <f>4690</f>
        <v>4690</v>
      </c>
      <c r="I320" s="17">
        <f t="shared" si="5"/>
        <v>310</v>
      </c>
      <c r="J320" s="62"/>
      <c r="K320" s="320">
        <v>1000</v>
      </c>
    </row>
    <row r="321" spans="1:11" ht="24.75" customHeight="1">
      <c r="A321" s="148">
        <v>54314</v>
      </c>
      <c r="B321" s="54" t="s">
        <v>446</v>
      </c>
      <c r="C321" s="55"/>
      <c r="D321" s="14" t="s">
        <v>11</v>
      </c>
      <c r="E321" s="14" t="s">
        <v>25</v>
      </c>
      <c r="F321" s="14" t="s">
        <v>26</v>
      </c>
      <c r="G321" s="17">
        <f>'MAYO-18 '!I321</f>
        <v>30000</v>
      </c>
      <c r="H321" s="51">
        <f>900+76+10102.2+1000+3000+1100+200+400+180+345+35+1469+2912+118+65+250+350+80+110+400+7246+1500+250+45+825</f>
        <v>32958.199999999997</v>
      </c>
      <c r="I321" s="17">
        <f t="shared" si="5"/>
        <v>6041.8000000000029</v>
      </c>
      <c r="J321" s="108">
        <v>9000</v>
      </c>
      <c r="K321" s="320"/>
    </row>
    <row r="322" spans="1:11" ht="33.75" customHeight="1">
      <c r="A322" s="148">
        <v>54313</v>
      </c>
      <c r="B322" s="54" t="s">
        <v>447</v>
      </c>
      <c r="C322" s="55"/>
      <c r="D322" s="14" t="s">
        <v>11</v>
      </c>
      <c r="E322" s="14" t="s">
        <v>25</v>
      </c>
      <c r="F322" s="14" t="s">
        <v>26</v>
      </c>
      <c r="G322" s="17">
        <f>'MAYO-18 '!I322</f>
        <v>2990</v>
      </c>
      <c r="H322" s="51"/>
      <c r="I322" s="17">
        <f t="shared" si="5"/>
        <v>990</v>
      </c>
      <c r="J322" s="62"/>
      <c r="K322" s="320">
        <v>2000</v>
      </c>
    </row>
    <row r="323" spans="1:11" ht="28.5" customHeight="1">
      <c r="A323" s="148">
        <v>55399</v>
      </c>
      <c r="B323" s="149" t="s">
        <v>450</v>
      </c>
      <c r="C323" s="55"/>
      <c r="D323" s="14" t="s">
        <v>11</v>
      </c>
      <c r="E323" s="14" t="s">
        <v>25</v>
      </c>
      <c r="F323" s="14" t="s">
        <v>26</v>
      </c>
      <c r="G323" s="17">
        <f>'MAYO-18 '!I323</f>
        <v>1000</v>
      </c>
      <c r="H323" s="51"/>
      <c r="I323" s="17">
        <f t="shared" si="5"/>
        <v>0</v>
      </c>
      <c r="J323" s="62"/>
      <c r="K323" s="320">
        <v>1000</v>
      </c>
    </row>
    <row r="324" spans="1:11" ht="30.75" customHeight="1">
      <c r="A324" s="148">
        <v>55603</v>
      </c>
      <c r="B324" s="54" t="s">
        <v>448</v>
      </c>
      <c r="C324" s="55"/>
      <c r="D324" s="14" t="s">
        <v>11</v>
      </c>
      <c r="E324" s="14" t="s">
        <v>25</v>
      </c>
      <c r="F324" s="14" t="s">
        <v>26</v>
      </c>
      <c r="G324" s="17">
        <f>'MAYO-18 '!I324</f>
        <v>10</v>
      </c>
      <c r="H324" s="51"/>
      <c r="I324" s="17">
        <f t="shared" si="5"/>
        <v>10</v>
      </c>
      <c r="J324" s="62"/>
      <c r="K324" s="320"/>
    </row>
    <row r="325" spans="1:11" ht="31.5" customHeight="1">
      <c r="A325" s="148">
        <v>56303</v>
      </c>
      <c r="B325" s="54" t="s">
        <v>449</v>
      </c>
      <c r="C325" s="55"/>
      <c r="D325" s="14" t="s">
        <v>11</v>
      </c>
      <c r="E325" s="14" t="s">
        <v>25</v>
      </c>
      <c r="F325" s="14" t="s">
        <v>26</v>
      </c>
      <c r="G325" s="17">
        <f>'MAYO-18 '!I325</f>
        <v>5000</v>
      </c>
      <c r="H325" s="51"/>
      <c r="I325" s="17">
        <f t="shared" si="5"/>
        <v>0</v>
      </c>
      <c r="J325" s="62"/>
      <c r="K325" s="320">
        <v>5000</v>
      </c>
    </row>
    <row r="326" spans="1:11" ht="74.25" customHeight="1">
      <c r="A326" s="144" t="s">
        <v>451</v>
      </c>
      <c r="B326" s="54" t="s">
        <v>452</v>
      </c>
      <c r="C326" s="55"/>
      <c r="D326" s="14"/>
      <c r="E326" s="14"/>
      <c r="F326" s="14"/>
      <c r="G326" s="17">
        <f>'MAYO-18 '!I326</f>
        <v>0</v>
      </c>
      <c r="H326" s="51"/>
      <c r="I326" s="17"/>
      <c r="J326" s="52"/>
      <c r="K326" s="52"/>
    </row>
    <row r="327" spans="1:11" ht="30.75" customHeight="1">
      <c r="A327" s="4">
        <v>54199</v>
      </c>
      <c r="B327" s="5" t="s">
        <v>453</v>
      </c>
      <c r="C327" s="10"/>
      <c r="D327" s="14" t="s">
        <v>11</v>
      </c>
      <c r="E327" s="14" t="s">
        <v>25</v>
      </c>
      <c r="F327" s="14" t="s">
        <v>26</v>
      </c>
      <c r="G327" s="17">
        <f>'MAYO-18 '!I327</f>
        <v>3000</v>
      </c>
      <c r="H327" s="51"/>
      <c r="I327" s="17">
        <f t="shared" si="5"/>
        <v>3000</v>
      </c>
      <c r="J327" s="44"/>
      <c r="K327" s="44"/>
    </row>
    <row r="328" spans="1:11" ht="40.5" customHeight="1">
      <c r="A328" s="11">
        <v>54314</v>
      </c>
      <c r="B328" s="150" t="s">
        <v>454</v>
      </c>
      <c r="C328" s="55"/>
      <c r="D328" s="14" t="s">
        <v>11</v>
      </c>
      <c r="E328" s="14" t="s">
        <v>25</v>
      </c>
      <c r="F328" s="14" t="s">
        <v>26</v>
      </c>
      <c r="G328" s="17">
        <f>'MAYO-18 '!I328</f>
        <v>6000</v>
      </c>
      <c r="H328" s="51"/>
      <c r="I328" s="17">
        <f t="shared" si="5"/>
        <v>6000</v>
      </c>
      <c r="J328" s="62"/>
      <c r="K328" s="63"/>
    </row>
    <row r="329" spans="1:11" ht="43.5" customHeight="1">
      <c r="A329" s="11">
        <v>54399</v>
      </c>
      <c r="B329" s="150" t="s">
        <v>455</v>
      </c>
      <c r="C329" s="13"/>
      <c r="D329" s="14" t="s">
        <v>11</v>
      </c>
      <c r="E329" s="14" t="s">
        <v>25</v>
      </c>
      <c r="F329" s="14" t="s">
        <v>26</v>
      </c>
      <c r="G329" s="17">
        <f>'MAYO-18 '!I329</f>
        <v>0</v>
      </c>
      <c r="H329" s="51"/>
      <c r="I329" s="17">
        <f t="shared" si="5"/>
        <v>0</v>
      </c>
      <c r="J329" s="52"/>
      <c r="K329" s="52"/>
    </row>
    <row r="330" spans="1:11" ht="29.25">
      <c r="A330" s="4">
        <v>55603</v>
      </c>
      <c r="B330" s="150" t="s">
        <v>456</v>
      </c>
      <c r="C330" s="9"/>
      <c r="D330" s="14" t="s">
        <v>11</v>
      </c>
      <c r="E330" s="14" t="s">
        <v>25</v>
      </c>
      <c r="F330" s="14" t="s">
        <v>26</v>
      </c>
      <c r="G330" s="17">
        <f>'MAYO-18 '!I330</f>
        <v>10</v>
      </c>
      <c r="H330" s="51"/>
      <c r="I330" s="17">
        <f t="shared" si="5"/>
        <v>10</v>
      </c>
      <c r="J330" s="44"/>
      <c r="K330" s="44"/>
    </row>
    <row r="331" spans="1:11" ht="37.5" customHeight="1">
      <c r="A331" s="4">
        <v>55799</v>
      </c>
      <c r="B331" s="150" t="s">
        <v>457</v>
      </c>
      <c r="C331" s="9"/>
      <c r="D331" s="14" t="s">
        <v>11</v>
      </c>
      <c r="E331" s="14" t="s">
        <v>25</v>
      </c>
      <c r="F331" s="14" t="s">
        <v>26</v>
      </c>
      <c r="G331" s="17">
        <f>'MAYO-18 '!I331</f>
        <v>1269.74</v>
      </c>
      <c r="H331" s="51"/>
      <c r="I331" s="17">
        <f t="shared" si="5"/>
        <v>1269.74</v>
      </c>
      <c r="J331" s="44"/>
      <c r="K331" s="44"/>
    </row>
    <row r="332" spans="1:11" ht="68.25" customHeight="1">
      <c r="A332" s="144" t="s">
        <v>459</v>
      </c>
      <c r="B332" s="54" t="s">
        <v>458</v>
      </c>
      <c r="C332" s="9"/>
      <c r="D332" s="3"/>
      <c r="E332" s="3"/>
      <c r="F332" s="3"/>
      <c r="G332" s="17">
        <f>'MAYO-18 '!I332</f>
        <v>0</v>
      </c>
      <c r="H332" s="51"/>
      <c r="I332" s="17"/>
      <c r="J332" s="44"/>
      <c r="K332" s="44"/>
    </row>
    <row r="333" spans="1:11" ht="25.5" customHeight="1">
      <c r="A333" s="4">
        <v>54314</v>
      </c>
      <c r="B333" s="70" t="s">
        <v>460</v>
      </c>
      <c r="C333" s="5"/>
      <c r="D333" s="14" t="s">
        <v>11</v>
      </c>
      <c r="E333" s="14" t="s">
        <v>25</v>
      </c>
      <c r="F333" s="14" t="s">
        <v>26</v>
      </c>
      <c r="G333" s="17">
        <f>'MAYO-18 '!I333</f>
        <v>1370.1399999999999</v>
      </c>
      <c r="H333" s="51"/>
      <c r="I333" s="17">
        <f>G333-H333+J333-K333</f>
        <v>1370.1399999999999</v>
      </c>
      <c r="J333" s="44"/>
      <c r="K333" s="285"/>
    </row>
    <row r="334" spans="1:11" ht="63.75" customHeight="1">
      <c r="A334" s="144" t="s">
        <v>461</v>
      </c>
      <c r="B334" s="54" t="s">
        <v>470</v>
      </c>
      <c r="C334" s="55"/>
      <c r="D334" s="14"/>
      <c r="E334" s="14"/>
      <c r="F334" s="14"/>
      <c r="G334" s="17">
        <f>'MAYO-18 '!I334</f>
        <v>0</v>
      </c>
      <c r="H334" s="51"/>
      <c r="I334" s="17"/>
      <c r="J334" s="62"/>
      <c r="K334" s="63"/>
    </row>
    <row r="335" spans="1:11" ht="33" customHeight="1">
      <c r="A335" s="11">
        <v>54199</v>
      </c>
      <c r="B335" s="70" t="s">
        <v>462</v>
      </c>
      <c r="C335" s="55"/>
      <c r="D335" s="14" t="s">
        <v>11</v>
      </c>
      <c r="E335" s="14" t="s">
        <v>25</v>
      </c>
      <c r="F335" s="14" t="s">
        <v>26</v>
      </c>
      <c r="G335" s="17">
        <f>'MAYO-18 '!I335</f>
        <v>2000</v>
      </c>
      <c r="H335" s="51"/>
      <c r="I335" s="17">
        <f>G335-H335+J335-K335</f>
        <v>2000</v>
      </c>
      <c r="J335" s="62"/>
      <c r="K335" s="63"/>
    </row>
    <row r="336" spans="1:11" ht="36.75" customHeight="1">
      <c r="A336" s="11">
        <v>54314</v>
      </c>
      <c r="B336" s="151" t="s">
        <v>463</v>
      </c>
      <c r="C336" s="55"/>
      <c r="D336" s="14" t="s">
        <v>11</v>
      </c>
      <c r="E336" s="14" t="s">
        <v>25</v>
      </c>
      <c r="F336" s="14" t="s">
        <v>26</v>
      </c>
      <c r="G336" s="17">
        <f>'MAYO-18 '!I336</f>
        <v>22000</v>
      </c>
      <c r="H336" s="51"/>
      <c r="I336" s="17">
        <f t="shared" ref="I336:I402" si="6">G336-H336+J336-K336</f>
        <v>22000</v>
      </c>
      <c r="J336" s="62"/>
      <c r="K336" s="63"/>
    </row>
    <row r="337" spans="1:11" ht="39" customHeight="1">
      <c r="A337" s="11">
        <v>54313</v>
      </c>
      <c r="B337" s="151" t="s">
        <v>464</v>
      </c>
      <c r="C337" s="55"/>
      <c r="D337" s="14" t="s">
        <v>11</v>
      </c>
      <c r="E337" s="14" t="s">
        <v>25</v>
      </c>
      <c r="F337" s="14" t="s">
        <v>26</v>
      </c>
      <c r="G337" s="17">
        <f>'MAYO-18 '!I337</f>
        <v>5000</v>
      </c>
      <c r="H337" s="51"/>
      <c r="I337" s="17">
        <f t="shared" si="6"/>
        <v>5000</v>
      </c>
      <c r="J337" s="62"/>
      <c r="K337" s="63"/>
    </row>
    <row r="338" spans="1:11" ht="33.75" customHeight="1">
      <c r="A338" s="11">
        <v>54399</v>
      </c>
      <c r="B338" s="151" t="s">
        <v>465</v>
      </c>
      <c r="C338" s="13"/>
      <c r="D338" s="14" t="s">
        <v>11</v>
      </c>
      <c r="E338" s="14" t="s">
        <v>25</v>
      </c>
      <c r="F338" s="14" t="s">
        <v>26</v>
      </c>
      <c r="G338" s="17">
        <f>'MAYO-18 '!I338</f>
        <v>990</v>
      </c>
      <c r="H338" s="51"/>
      <c r="I338" s="17">
        <f t="shared" si="6"/>
        <v>990</v>
      </c>
      <c r="J338" s="52"/>
      <c r="K338" s="52"/>
    </row>
    <row r="339" spans="1:11" ht="35.25" customHeight="1">
      <c r="A339" s="11">
        <v>55603</v>
      </c>
      <c r="B339" s="151" t="s">
        <v>466</v>
      </c>
      <c r="C339" s="13"/>
      <c r="D339" s="14" t="s">
        <v>11</v>
      </c>
      <c r="E339" s="14" t="s">
        <v>25</v>
      </c>
      <c r="F339" s="14" t="s">
        <v>26</v>
      </c>
      <c r="G339" s="17">
        <f>'MAYO-18 '!I339</f>
        <v>10</v>
      </c>
      <c r="H339" s="51"/>
      <c r="I339" s="17">
        <f t="shared" si="6"/>
        <v>10</v>
      </c>
      <c r="J339" s="52"/>
      <c r="K339" s="52"/>
    </row>
    <row r="340" spans="1:11" ht="34.5" customHeight="1">
      <c r="A340" s="11">
        <v>56603</v>
      </c>
      <c r="B340" s="151" t="s">
        <v>467</v>
      </c>
      <c r="C340" s="61"/>
      <c r="D340" s="14" t="s">
        <v>11</v>
      </c>
      <c r="E340" s="14" t="s">
        <v>25</v>
      </c>
      <c r="F340" s="14" t="s">
        <v>26</v>
      </c>
      <c r="G340" s="17">
        <f>'MAYO-18 '!I340</f>
        <v>5000</v>
      </c>
      <c r="H340" s="51"/>
      <c r="I340" s="17">
        <f t="shared" si="6"/>
        <v>5000</v>
      </c>
      <c r="J340" s="11"/>
      <c r="K340" s="54"/>
    </row>
    <row r="341" spans="1:11" ht="68.25" customHeight="1">
      <c r="A341" s="144" t="s">
        <v>468</v>
      </c>
      <c r="B341" s="54" t="s">
        <v>987</v>
      </c>
      <c r="C341" s="344" t="s">
        <v>1115</v>
      </c>
      <c r="D341" s="14"/>
      <c r="E341" s="14"/>
      <c r="F341" s="14"/>
      <c r="G341" s="17">
        <f>'MAYO-18 '!I341</f>
        <v>0</v>
      </c>
      <c r="H341" s="51"/>
      <c r="I341" s="17"/>
      <c r="J341" s="52"/>
      <c r="K341" s="52"/>
    </row>
    <row r="342" spans="1:11" ht="33" customHeight="1">
      <c r="A342" s="11">
        <v>51202</v>
      </c>
      <c r="B342" s="70" t="s">
        <v>471</v>
      </c>
      <c r="C342" s="61"/>
      <c r="D342" s="14" t="s">
        <v>11</v>
      </c>
      <c r="E342" s="14" t="s">
        <v>25</v>
      </c>
      <c r="F342" s="14" t="s">
        <v>26</v>
      </c>
      <c r="G342" s="17">
        <f>'MAYO-18 '!I342</f>
        <v>745.58999999999946</v>
      </c>
      <c r="H342" s="51"/>
      <c r="I342" s="17">
        <f t="shared" si="6"/>
        <v>745.58999999999946</v>
      </c>
      <c r="J342" s="237"/>
      <c r="K342" s="52"/>
    </row>
    <row r="343" spans="1:11" ht="34.5" customHeight="1">
      <c r="A343" s="11">
        <v>54111</v>
      </c>
      <c r="B343" s="70" t="s">
        <v>472</v>
      </c>
      <c r="C343" s="61"/>
      <c r="D343" s="14" t="s">
        <v>11</v>
      </c>
      <c r="E343" s="14" t="s">
        <v>25</v>
      </c>
      <c r="F343" s="14" t="s">
        <v>26</v>
      </c>
      <c r="G343" s="17">
        <f>'MAYO-18 '!I343</f>
        <v>463.75000000000011</v>
      </c>
      <c r="H343" s="51"/>
      <c r="I343" s="17">
        <f t="shared" si="6"/>
        <v>463.75000000000011</v>
      </c>
      <c r="J343" s="44"/>
      <c r="K343" s="44"/>
    </row>
    <row r="344" spans="1:11" ht="41.25" customHeight="1">
      <c r="A344" s="11">
        <v>54112</v>
      </c>
      <c r="B344" s="70" t="s">
        <v>473</v>
      </c>
      <c r="C344" s="12"/>
      <c r="D344" s="14" t="s">
        <v>11</v>
      </c>
      <c r="E344" s="14" t="s">
        <v>25</v>
      </c>
      <c r="F344" s="14" t="s">
        <v>26</v>
      </c>
      <c r="G344" s="17">
        <f>'MAYO-18 '!I344</f>
        <v>399.15</v>
      </c>
      <c r="H344" s="51"/>
      <c r="I344" s="17">
        <f t="shared" si="6"/>
        <v>399.15</v>
      </c>
      <c r="J344" s="44"/>
      <c r="K344" s="278"/>
    </row>
    <row r="345" spans="1:11" ht="29.25">
      <c r="A345" s="11">
        <v>54118</v>
      </c>
      <c r="B345" s="151" t="s">
        <v>474</v>
      </c>
      <c r="C345" s="61"/>
      <c r="D345" s="14" t="s">
        <v>11</v>
      </c>
      <c r="E345" s="14" t="s">
        <v>25</v>
      </c>
      <c r="F345" s="14" t="s">
        <v>26</v>
      </c>
      <c r="G345" s="17">
        <f>'MAYO-18 '!I345</f>
        <v>119.30000000000007</v>
      </c>
      <c r="H345" s="51"/>
      <c r="I345" s="17">
        <f t="shared" si="6"/>
        <v>119.30000000000007</v>
      </c>
      <c r="J345" s="44"/>
      <c r="K345" s="278"/>
    </row>
    <row r="346" spans="1:11" ht="29.25">
      <c r="A346" s="11">
        <v>54313</v>
      </c>
      <c r="B346" s="151" t="s">
        <v>475</v>
      </c>
      <c r="C346" s="12"/>
      <c r="D346" s="14" t="s">
        <v>11</v>
      </c>
      <c r="E346" s="14" t="s">
        <v>25</v>
      </c>
      <c r="F346" s="14" t="s">
        <v>26</v>
      </c>
      <c r="G346" s="17">
        <f>'MAYO-18 '!I346</f>
        <v>250</v>
      </c>
      <c r="H346" s="51"/>
      <c r="I346" s="17">
        <f t="shared" si="6"/>
        <v>250</v>
      </c>
      <c r="J346" s="44"/>
      <c r="K346" s="44"/>
    </row>
    <row r="347" spans="1:11" ht="29.25">
      <c r="A347" s="152">
        <v>55603</v>
      </c>
      <c r="B347" s="151" t="s">
        <v>476</v>
      </c>
      <c r="C347" s="154"/>
      <c r="D347" s="14" t="s">
        <v>11</v>
      </c>
      <c r="E347" s="14" t="s">
        <v>25</v>
      </c>
      <c r="F347" s="14" t="s">
        <v>26</v>
      </c>
      <c r="G347" s="17">
        <f>'MAYO-18 '!I347</f>
        <v>7</v>
      </c>
      <c r="H347" s="157"/>
      <c r="I347" s="17">
        <f t="shared" si="6"/>
        <v>7</v>
      </c>
      <c r="J347" s="159"/>
      <c r="K347" s="159"/>
    </row>
    <row r="348" spans="1:11" ht="85.5">
      <c r="A348" s="144" t="s">
        <v>477</v>
      </c>
      <c r="B348" s="54" t="s">
        <v>1085</v>
      </c>
      <c r="C348" s="154"/>
      <c r="D348" s="155"/>
      <c r="E348" s="155"/>
      <c r="F348" s="155"/>
      <c r="G348" s="17">
        <f>'MAYO-18 '!I348</f>
        <v>0</v>
      </c>
      <c r="H348" s="157"/>
      <c r="I348" s="158"/>
      <c r="J348" s="159"/>
      <c r="K348" s="159"/>
    </row>
    <row r="349" spans="1:11" ht="29.25">
      <c r="A349" s="152">
        <v>51202</v>
      </c>
      <c r="B349" s="164" t="s">
        <v>479</v>
      </c>
      <c r="C349" s="154"/>
      <c r="D349" s="14" t="s">
        <v>11</v>
      </c>
      <c r="E349" s="14" t="s">
        <v>25</v>
      </c>
      <c r="F349" s="14" t="s">
        <v>26</v>
      </c>
      <c r="G349" s="17">
        <f>'MAYO-18 '!I349</f>
        <v>0</v>
      </c>
      <c r="H349" s="157"/>
      <c r="I349" s="17">
        <f t="shared" si="6"/>
        <v>0</v>
      </c>
      <c r="J349" s="159"/>
      <c r="K349" s="325"/>
    </row>
    <row r="350" spans="1:11" ht="44.25">
      <c r="A350" s="152">
        <v>54111</v>
      </c>
      <c r="B350" s="164" t="s">
        <v>480</v>
      </c>
      <c r="C350" s="154"/>
      <c r="D350" s="14" t="s">
        <v>11</v>
      </c>
      <c r="E350" s="14" t="s">
        <v>25</v>
      </c>
      <c r="F350" s="14" t="s">
        <v>26</v>
      </c>
      <c r="G350" s="17">
        <f>'MAYO-18 '!I350</f>
        <v>0</v>
      </c>
      <c r="H350" s="157"/>
      <c r="I350" s="17">
        <f t="shared" si="6"/>
        <v>0</v>
      </c>
      <c r="J350" s="159"/>
      <c r="K350" s="325"/>
    </row>
    <row r="351" spans="1:11" ht="30">
      <c r="A351" s="152">
        <v>54112</v>
      </c>
      <c r="B351" s="164" t="s">
        <v>481</v>
      </c>
      <c r="C351" s="154"/>
      <c r="D351" s="14" t="s">
        <v>11</v>
      </c>
      <c r="E351" s="14" t="s">
        <v>25</v>
      </c>
      <c r="F351" s="14" t="s">
        <v>26</v>
      </c>
      <c r="G351" s="17">
        <f>'MAYO-18 '!I351</f>
        <v>0</v>
      </c>
      <c r="H351" s="157"/>
      <c r="I351" s="17">
        <f t="shared" si="6"/>
        <v>0</v>
      </c>
      <c r="J351" s="159"/>
      <c r="K351" s="325"/>
    </row>
    <row r="352" spans="1:11" ht="29.25">
      <c r="A352" s="152">
        <v>54118</v>
      </c>
      <c r="B352" s="164" t="s">
        <v>482</v>
      </c>
      <c r="C352" s="154"/>
      <c r="D352" s="14" t="s">
        <v>11</v>
      </c>
      <c r="E352" s="14" t="s">
        <v>25</v>
      </c>
      <c r="F352" s="14" t="s">
        <v>26</v>
      </c>
      <c r="G352" s="17">
        <f>'MAYO-18 '!I352</f>
        <v>0</v>
      </c>
      <c r="H352" s="157"/>
      <c r="I352" s="17">
        <f t="shared" si="6"/>
        <v>0</v>
      </c>
      <c r="J352" s="159"/>
      <c r="K352" s="325"/>
    </row>
    <row r="353" spans="1:11" ht="30">
      <c r="A353" s="152">
        <v>54313</v>
      </c>
      <c r="B353" s="164" t="s">
        <v>483</v>
      </c>
      <c r="C353" s="154"/>
      <c r="D353" s="14" t="s">
        <v>11</v>
      </c>
      <c r="E353" s="14" t="s">
        <v>25</v>
      </c>
      <c r="F353" s="14" t="s">
        <v>26</v>
      </c>
      <c r="G353" s="17">
        <f>'MAYO-18 '!I353</f>
        <v>0</v>
      </c>
      <c r="H353" s="157"/>
      <c r="I353" s="17">
        <f t="shared" si="6"/>
        <v>0</v>
      </c>
      <c r="J353" s="159"/>
      <c r="K353" s="325"/>
    </row>
    <row r="354" spans="1:11" ht="30">
      <c r="A354" s="152">
        <v>54399</v>
      </c>
      <c r="B354" s="164" t="s">
        <v>484</v>
      </c>
      <c r="C354" s="154"/>
      <c r="D354" s="14" t="s">
        <v>11</v>
      </c>
      <c r="E354" s="14" t="s">
        <v>25</v>
      </c>
      <c r="F354" s="14" t="s">
        <v>26</v>
      </c>
      <c r="G354" s="17">
        <f>'MAYO-18 '!I354</f>
        <v>0</v>
      </c>
      <c r="H354" s="157"/>
      <c r="I354" s="17">
        <f t="shared" si="6"/>
        <v>0</v>
      </c>
      <c r="J354" s="159"/>
      <c r="K354" s="325"/>
    </row>
    <row r="355" spans="1:11" ht="29.25">
      <c r="A355" s="152">
        <v>55603</v>
      </c>
      <c r="B355" s="164" t="s">
        <v>485</v>
      </c>
      <c r="C355" s="154"/>
      <c r="D355" s="14" t="s">
        <v>11</v>
      </c>
      <c r="E355" s="14" t="s">
        <v>25</v>
      </c>
      <c r="F355" s="14" t="s">
        <v>26</v>
      </c>
      <c r="G355" s="17">
        <f>'MAYO-18 '!I355</f>
        <v>0</v>
      </c>
      <c r="H355" s="157"/>
      <c r="I355" s="17">
        <f t="shared" si="6"/>
        <v>0</v>
      </c>
      <c r="J355" s="159"/>
      <c r="K355" s="325"/>
    </row>
    <row r="356" spans="1:11" ht="80.25" customHeight="1">
      <c r="A356" s="144" t="s">
        <v>486</v>
      </c>
      <c r="B356" s="54" t="s">
        <v>487</v>
      </c>
      <c r="C356" s="154"/>
      <c r="D356" s="155"/>
      <c r="E356" s="155"/>
      <c r="F356" s="155"/>
      <c r="G356" s="17">
        <f>'MAYO-18 '!I356</f>
        <v>0</v>
      </c>
      <c r="H356" s="157"/>
      <c r="I356" s="158"/>
      <c r="J356" s="159"/>
      <c r="K356" s="159"/>
    </row>
    <row r="357" spans="1:11" ht="29.25">
      <c r="A357" s="152">
        <v>51202</v>
      </c>
      <c r="B357" s="164" t="s">
        <v>488</v>
      </c>
      <c r="C357" s="154"/>
      <c r="D357" s="14" t="s">
        <v>11</v>
      </c>
      <c r="E357" s="14" t="s">
        <v>25</v>
      </c>
      <c r="F357" s="14" t="s">
        <v>26</v>
      </c>
      <c r="G357" s="17">
        <f>'MAYO-18 '!I357</f>
        <v>0</v>
      </c>
      <c r="H357" s="157"/>
      <c r="I357" s="17">
        <f t="shared" si="6"/>
        <v>0</v>
      </c>
      <c r="J357" s="159"/>
      <c r="K357" s="326"/>
    </row>
    <row r="358" spans="1:11" ht="29.25">
      <c r="A358" s="152">
        <v>51999</v>
      </c>
      <c r="B358" s="164" t="s">
        <v>489</v>
      </c>
      <c r="C358" s="154"/>
      <c r="D358" s="14" t="s">
        <v>11</v>
      </c>
      <c r="E358" s="14" t="s">
        <v>25</v>
      </c>
      <c r="F358" s="14" t="s">
        <v>26</v>
      </c>
      <c r="G358" s="17">
        <f>'MAYO-18 '!I358</f>
        <v>0</v>
      </c>
      <c r="H358" s="157"/>
      <c r="I358" s="17">
        <f t="shared" si="6"/>
        <v>0</v>
      </c>
      <c r="J358" s="159"/>
      <c r="K358" s="326"/>
    </row>
    <row r="359" spans="1:11" ht="29.25">
      <c r="A359" s="152">
        <v>54111</v>
      </c>
      <c r="B359" s="164" t="s">
        <v>490</v>
      </c>
      <c r="C359" s="154"/>
      <c r="D359" s="14" t="s">
        <v>11</v>
      </c>
      <c r="E359" s="14" t="s">
        <v>25</v>
      </c>
      <c r="F359" s="14" t="s">
        <v>26</v>
      </c>
      <c r="G359" s="17">
        <f>'MAYO-18 '!I359</f>
        <v>0</v>
      </c>
      <c r="H359" s="157"/>
      <c r="I359" s="17">
        <f t="shared" si="6"/>
        <v>0</v>
      </c>
      <c r="J359" s="159"/>
      <c r="K359" s="326"/>
    </row>
    <row r="360" spans="1:11" ht="29.25">
      <c r="A360" s="152">
        <v>54112</v>
      </c>
      <c r="B360" s="164" t="s">
        <v>491</v>
      </c>
      <c r="C360" s="154"/>
      <c r="D360" s="14" t="s">
        <v>11</v>
      </c>
      <c r="E360" s="14" t="s">
        <v>25</v>
      </c>
      <c r="F360" s="14" t="s">
        <v>26</v>
      </c>
      <c r="G360" s="17">
        <f>'MAYO-18 '!I360</f>
        <v>0</v>
      </c>
      <c r="H360" s="157"/>
      <c r="I360" s="17">
        <f t="shared" si="6"/>
        <v>0</v>
      </c>
      <c r="J360" s="159"/>
      <c r="K360" s="326"/>
    </row>
    <row r="361" spans="1:11" ht="29.25">
      <c r="A361" s="152">
        <v>54118</v>
      </c>
      <c r="B361" s="164" t="s">
        <v>492</v>
      </c>
      <c r="C361" s="154"/>
      <c r="D361" s="14" t="s">
        <v>11</v>
      </c>
      <c r="E361" s="14" t="s">
        <v>25</v>
      </c>
      <c r="F361" s="14" t="s">
        <v>26</v>
      </c>
      <c r="G361" s="17">
        <f>'MAYO-18 '!I361</f>
        <v>0</v>
      </c>
      <c r="H361" s="157"/>
      <c r="I361" s="17">
        <f t="shared" si="6"/>
        <v>0</v>
      </c>
      <c r="J361" s="159"/>
      <c r="K361" s="326"/>
    </row>
    <row r="362" spans="1:11" ht="29.25">
      <c r="A362" s="152">
        <v>54199</v>
      </c>
      <c r="B362" s="164" t="s">
        <v>493</v>
      </c>
      <c r="C362" s="154"/>
      <c r="D362" s="14" t="s">
        <v>11</v>
      </c>
      <c r="E362" s="14" t="s">
        <v>25</v>
      </c>
      <c r="F362" s="14" t="s">
        <v>26</v>
      </c>
      <c r="G362" s="17">
        <f>'MAYO-18 '!I362</f>
        <v>0</v>
      </c>
      <c r="H362" s="157"/>
      <c r="I362" s="17">
        <f t="shared" si="6"/>
        <v>0</v>
      </c>
      <c r="J362" s="159"/>
      <c r="K362" s="326"/>
    </row>
    <row r="363" spans="1:11" ht="29.25">
      <c r="A363" s="152">
        <v>54399</v>
      </c>
      <c r="B363" s="164" t="s">
        <v>494</v>
      </c>
      <c r="C363" s="154"/>
      <c r="D363" s="14" t="s">
        <v>11</v>
      </c>
      <c r="E363" s="14" t="s">
        <v>25</v>
      </c>
      <c r="F363" s="14" t="s">
        <v>26</v>
      </c>
      <c r="G363" s="17">
        <f>'MAYO-18 '!I363</f>
        <v>0</v>
      </c>
      <c r="H363" s="157"/>
      <c r="I363" s="17">
        <f t="shared" si="6"/>
        <v>0</v>
      </c>
      <c r="J363" s="159"/>
      <c r="K363" s="326"/>
    </row>
    <row r="364" spans="1:11" ht="29.25">
      <c r="A364" s="152">
        <v>55603</v>
      </c>
      <c r="B364" s="164" t="s">
        <v>495</v>
      </c>
      <c r="C364" s="154"/>
      <c r="D364" s="14" t="s">
        <v>11</v>
      </c>
      <c r="E364" s="14" t="s">
        <v>25</v>
      </c>
      <c r="F364" s="14" t="s">
        <v>26</v>
      </c>
      <c r="G364" s="17">
        <f>'MAYO-18 '!I364</f>
        <v>0</v>
      </c>
      <c r="H364" s="157"/>
      <c r="I364" s="17">
        <f t="shared" si="6"/>
        <v>0</v>
      </c>
      <c r="J364" s="159"/>
      <c r="K364" s="326"/>
    </row>
    <row r="365" spans="1:11" ht="55.5">
      <c r="A365" s="144" t="s">
        <v>504</v>
      </c>
      <c r="B365" s="54" t="s">
        <v>496</v>
      </c>
      <c r="C365" s="154" t="s">
        <v>1066</v>
      </c>
      <c r="D365" s="155"/>
      <c r="E365" s="155"/>
      <c r="F365" s="155"/>
      <c r="G365" s="17">
        <f>'MAYO-18 '!I365</f>
        <v>0</v>
      </c>
      <c r="H365" s="157"/>
      <c r="I365" s="158"/>
      <c r="J365" s="159"/>
      <c r="K365" s="159"/>
    </row>
    <row r="366" spans="1:11" ht="29.25">
      <c r="A366" s="152">
        <v>51202</v>
      </c>
      <c r="B366" s="164" t="s">
        <v>500</v>
      </c>
      <c r="C366" s="154"/>
      <c r="D366" s="14" t="s">
        <v>11</v>
      </c>
      <c r="E366" s="14" t="s">
        <v>25</v>
      </c>
      <c r="F366" s="14" t="s">
        <v>26</v>
      </c>
      <c r="G366" s="17">
        <f>'MAYO-18 '!I366</f>
        <v>2000</v>
      </c>
      <c r="H366" s="157"/>
      <c r="I366" s="17">
        <f t="shared" si="6"/>
        <v>2000</v>
      </c>
      <c r="J366" s="159"/>
      <c r="K366" s="326"/>
    </row>
    <row r="367" spans="1:11" ht="29.25">
      <c r="A367" s="152">
        <v>54111</v>
      </c>
      <c r="B367" s="164" t="s">
        <v>499</v>
      </c>
      <c r="C367" s="154" t="s">
        <v>1066</v>
      </c>
      <c r="D367" s="14" t="s">
        <v>11</v>
      </c>
      <c r="E367" s="14" t="s">
        <v>25</v>
      </c>
      <c r="F367" s="14" t="s">
        <v>26</v>
      </c>
      <c r="G367" s="17">
        <f>'MAYO-18 '!I367</f>
        <v>3250</v>
      </c>
      <c r="H367" s="157"/>
      <c r="I367" s="17">
        <f t="shared" si="6"/>
        <v>3250</v>
      </c>
      <c r="J367" s="159"/>
      <c r="K367" s="326"/>
    </row>
    <row r="368" spans="1:11" ht="29.25">
      <c r="A368" s="152">
        <v>54112</v>
      </c>
      <c r="B368" s="164" t="s">
        <v>497</v>
      </c>
      <c r="C368" s="154" t="s">
        <v>1066</v>
      </c>
      <c r="D368" s="14" t="s">
        <v>11</v>
      </c>
      <c r="E368" s="14" t="s">
        <v>25</v>
      </c>
      <c r="F368" s="14" t="s">
        <v>26</v>
      </c>
      <c r="G368" s="17">
        <f>'MAYO-18 '!I368</f>
        <v>3545.2999999999993</v>
      </c>
      <c r="H368" s="157"/>
      <c r="I368" s="17">
        <f t="shared" si="6"/>
        <v>3545.2999999999993</v>
      </c>
      <c r="J368" s="159"/>
      <c r="K368" s="327"/>
    </row>
    <row r="369" spans="1:11" ht="29.25">
      <c r="A369" s="152">
        <v>54118</v>
      </c>
      <c r="B369" s="164" t="s">
        <v>498</v>
      </c>
      <c r="C369" s="154"/>
      <c r="D369" s="14" t="s">
        <v>11</v>
      </c>
      <c r="E369" s="14" t="s">
        <v>25</v>
      </c>
      <c r="F369" s="14" t="s">
        <v>26</v>
      </c>
      <c r="G369" s="17">
        <f>'MAYO-18 '!I369</f>
        <v>1700</v>
      </c>
      <c r="H369" s="157"/>
      <c r="I369" s="17">
        <f t="shared" si="6"/>
        <v>1700</v>
      </c>
      <c r="J369" s="159"/>
      <c r="K369" s="327"/>
    </row>
    <row r="370" spans="1:11" ht="29.25">
      <c r="A370" s="152">
        <v>54313</v>
      </c>
      <c r="B370" s="164" t="s">
        <v>501</v>
      </c>
      <c r="C370" s="154"/>
      <c r="D370" s="14" t="s">
        <v>11</v>
      </c>
      <c r="E370" s="14" t="s">
        <v>25</v>
      </c>
      <c r="F370" s="14" t="s">
        <v>26</v>
      </c>
      <c r="G370" s="17">
        <f>'MAYO-18 '!I370</f>
        <v>0</v>
      </c>
      <c r="H370" s="157"/>
      <c r="I370" s="17">
        <f t="shared" si="6"/>
        <v>0</v>
      </c>
      <c r="J370" s="159"/>
      <c r="K370" s="326"/>
    </row>
    <row r="371" spans="1:11" ht="29.25">
      <c r="A371" s="152">
        <v>54399</v>
      </c>
      <c r="B371" s="164" t="s">
        <v>502</v>
      </c>
      <c r="C371" s="154"/>
      <c r="D371" s="14" t="s">
        <v>11</v>
      </c>
      <c r="E371" s="14" t="s">
        <v>25</v>
      </c>
      <c r="F371" s="14" t="s">
        <v>26</v>
      </c>
      <c r="G371" s="17">
        <f>'MAYO-18 '!I371</f>
        <v>0</v>
      </c>
      <c r="H371" s="157"/>
      <c r="I371" s="17">
        <f t="shared" si="6"/>
        <v>0</v>
      </c>
      <c r="J371" s="159"/>
      <c r="K371" s="326"/>
    </row>
    <row r="372" spans="1:11" ht="29.25">
      <c r="A372" s="152">
        <v>55603</v>
      </c>
      <c r="B372" s="164" t="s">
        <v>503</v>
      </c>
      <c r="C372" s="154"/>
      <c r="D372" s="14" t="s">
        <v>11</v>
      </c>
      <c r="E372" s="14" t="s">
        <v>25</v>
      </c>
      <c r="F372" s="14" t="s">
        <v>26</v>
      </c>
      <c r="G372" s="17">
        <f>'MAYO-18 '!I372</f>
        <v>6.9999999999999991</v>
      </c>
      <c r="H372" s="401">
        <v>1.3</v>
      </c>
      <c r="I372" s="17">
        <f t="shared" si="6"/>
        <v>5.6999999999999993</v>
      </c>
      <c r="J372" s="159"/>
      <c r="K372" s="159"/>
    </row>
    <row r="373" spans="1:11" ht="84.75">
      <c r="A373" s="144" t="s">
        <v>505</v>
      </c>
      <c r="B373" s="53" t="s">
        <v>510</v>
      </c>
      <c r="C373" s="154"/>
      <c r="D373" s="155"/>
      <c r="E373" s="155"/>
      <c r="F373" s="155"/>
      <c r="G373" s="17">
        <f>'MAYO-18 '!I373</f>
        <v>0</v>
      </c>
      <c r="H373" s="157"/>
      <c r="I373" s="158"/>
      <c r="J373" s="159"/>
      <c r="K373" s="159"/>
    </row>
    <row r="374" spans="1:11" ht="29.25">
      <c r="A374" s="152">
        <v>51999</v>
      </c>
      <c r="B374" s="153" t="s">
        <v>506</v>
      </c>
      <c r="C374" s="154"/>
      <c r="D374" s="14" t="s">
        <v>11</v>
      </c>
      <c r="E374" s="14" t="s">
        <v>25</v>
      </c>
      <c r="F374" s="14" t="s">
        <v>26</v>
      </c>
      <c r="G374" s="17">
        <f>'MAYO-18 '!I374</f>
        <v>0</v>
      </c>
      <c r="H374" s="157"/>
      <c r="I374" s="17">
        <f t="shared" si="6"/>
        <v>0</v>
      </c>
      <c r="J374" s="159"/>
      <c r="K374" s="326"/>
    </row>
    <row r="375" spans="1:11" ht="29.25">
      <c r="A375" s="152">
        <v>54199</v>
      </c>
      <c r="B375" s="153" t="s">
        <v>507</v>
      </c>
      <c r="C375" s="154"/>
      <c r="D375" s="14" t="s">
        <v>11</v>
      </c>
      <c r="E375" s="14" t="s">
        <v>25</v>
      </c>
      <c r="F375" s="14" t="s">
        <v>26</v>
      </c>
      <c r="G375" s="17">
        <f>'MAYO-18 '!I375</f>
        <v>0</v>
      </c>
      <c r="H375" s="157"/>
      <c r="I375" s="17">
        <f t="shared" si="6"/>
        <v>0</v>
      </c>
      <c r="J375" s="159"/>
      <c r="K375" s="326"/>
    </row>
    <row r="376" spans="1:11" ht="43.5">
      <c r="A376" s="152">
        <v>54399</v>
      </c>
      <c r="B376" s="153" t="s">
        <v>508</v>
      </c>
      <c r="C376" s="154"/>
      <c r="D376" s="14" t="s">
        <v>11</v>
      </c>
      <c r="E376" s="14" t="s">
        <v>25</v>
      </c>
      <c r="F376" s="14" t="s">
        <v>26</v>
      </c>
      <c r="G376" s="17">
        <f>'MAYO-18 '!I376</f>
        <v>0</v>
      </c>
      <c r="H376" s="157"/>
      <c r="I376" s="17">
        <f t="shared" si="6"/>
        <v>0</v>
      </c>
      <c r="J376" s="159"/>
      <c r="K376" s="326"/>
    </row>
    <row r="377" spans="1:11" ht="29.25">
      <c r="A377" s="152">
        <v>55603</v>
      </c>
      <c r="B377" s="153" t="s">
        <v>509</v>
      </c>
      <c r="C377" s="154"/>
      <c r="D377" s="14" t="s">
        <v>11</v>
      </c>
      <c r="E377" s="14" t="s">
        <v>25</v>
      </c>
      <c r="F377" s="14" t="s">
        <v>26</v>
      </c>
      <c r="G377" s="17">
        <f>'MAYO-18 '!I377</f>
        <v>0</v>
      </c>
      <c r="H377" s="157"/>
      <c r="I377" s="17">
        <f t="shared" si="6"/>
        <v>0</v>
      </c>
      <c r="J377" s="159"/>
      <c r="K377" s="326"/>
    </row>
    <row r="378" spans="1:11" ht="94.5" customHeight="1">
      <c r="A378" s="144" t="s">
        <v>511</v>
      </c>
      <c r="B378" s="53" t="s">
        <v>512</v>
      </c>
      <c r="C378" s="154"/>
      <c r="D378" s="155"/>
      <c r="E378" s="155"/>
      <c r="F378" s="155"/>
      <c r="G378" s="17">
        <f>'MAYO-18 '!I378</f>
        <v>0</v>
      </c>
      <c r="H378" s="157"/>
      <c r="I378" s="158"/>
      <c r="J378" s="159"/>
      <c r="K378" s="159"/>
    </row>
    <row r="379" spans="1:11" ht="29.25">
      <c r="A379" s="152">
        <v>51999</v>
      </c>
      <c r="B379" s="164" t="s">
        <v>513</v>
      </c>
      <c r="C379" s="154"/>
      <c r="D379" s="14" t="s">
        <v>11</v>
      </c>
      <c r="E379" s="14" t="s">
        <v>25</v>
      </c>
      <c r="F379" s="14" t="s">
        <v>26</v>
      </c>
      <c r="G379" s="17">
        <f>'MAYO-18 '!I379</f>
        <v>1000</v>
      </c>
      <c r="H379" s="157"/>
      <c r="I379" s="17">
        <f t="shared" si="6"/>
        <v>1000</v>
      </c>
      <c r="J379" s="159"/>
      <c r="K379" s="159"/>
    </row>
    <row r="380" spans="1:11" ht="29.25">
      <c r="A380" s="152">
        <v>54115</v>
      </c>
      <c r="B380" s="164" t="s">
        <v>514</v>
      </c>
      <c r="C380" s="154"/>
      <c r="D380" s="14" t="s">
        <v>11</v>
      </c>
      <c r="E380" s="14" t="s">
        <v>25</v>
      </c>
      <c r="F380" s="14" t="s">
        <v>26</v>
      </c>
      <c r="G380" s="17">
        <f>'MAYO-18 '!I380</f>
        <v>1990</v>
      </c>
      <c r="H380" s="157"/>
      <c r="I380" s="17">
        <f t="shared" si="6"/>
        <v>1990</v>
      </c>
      <c r="J380" s="159"/>
      <c r="K380" s="159"/>
    </row>
    <row r="381" spans="1:11" ht="29.25">
      <c r="A381" s="152">
        <v>61104</v>
      </c>
      <c r="B381" s="164" t="s">
        <v>515</v>
      </c>
      <c r="C381" s="154"/>
      <c r="D381" s="14" t="s">
        <v>11</v>
      </c>
      <c r="E381" s="14" t="s">
        <v>25</v>
      </c>
      <c r="F381" s="14" t="s">
        <v>26</v>
      </c>
      <c r="G381" s="17">
        <f>'MAYO-18 '!I381</f>
        <v>2000</v>
      </c>
      <c r="H381" s="157"/>
      <c r="I381" s="17">
        <f t="shared" si="6"/>
        <v>2000</v>
      </c>
      <c r="J381" s="159"/>
      <c r="K381" s="159"/>
    </row>
    <row r="382" spans="1:11" ht="29.25">
      <c r="A382" s="152">
        <v>55603</v>
      </c>
      <c r="B382" s="164" t="s">
        <v>516</v>
      </c>
      <c r="C382" s="154"/>
      <c r="D382" s="14" t="s">
        <v>11</v>
      </c>
      <c r="E382" s="14" t="s">
        <v>25</v>
      </c>
      <c r="F382" s="14" t="s">
        <v>26</v>
      </c>
      <c r="G382" s="17">
        <f>'MAYO-18 '!I382</f>
        <v>10</v>
      </c>
      <c r="H382" s="157"/>
      <c r="I382" s="17">
        <f t="shared" si="6"/>
        <v>10</v>
      </c>
      <c r="J382" s="159"/>
      <c r="K382" s="159"/>
    </row>
    <row r="383" spans="1:11" ht="63" customHeight="1">
      <c r="A383" s="144" t="s">
        <v>517</v>
      </c>
      <c r="B383" s="53" t="s">
        <v>518</v>
      </c>
      <c r="C383" s="154"/>
      <c r="D383" s="155"/>
      <c r="E383" s="155"/>
      <c r="F383" s="155"/>
      <c r="G383" s="17">
        <f>'MAYO-18 '!I383</f>
        <v>0</v>
      </c>
      <c r="H383" s="157"/>
      <c r="I383" s="158"/>
      <c r="J383" s="159"/>
      <c r="K383" s="159"/>
    </row>
    <row r="384" spans="1:11" ht="29.25">
      <c r="A384" s="152">
        <v>51999</v>
      </c>
      <c r="B384" s="164" t="s">
        <v>519</v>
      </c>
      <c r="C384" s="154"/>
      <c r="D384" s="14" t="s">
        <v>11</v>
      </c>
      <c r="E384" s="14" t="s">
        <v>25</v>
      </c>
      <c r="F384" s="14" t="s">
        <v>26</v>
      </c>
      <c r="G384" s="17">
        <f>'MAYO-18 '!I384</f>
        <v>10000</v>
      </c>
      <c r="H384" s="157"/>
      <c r="I384" s="17">
        <f t="shared" si="6"/>
        <v>10000</v>
      </c>
      <c r="J384" s="159"/>
      <c r="K384" s="159"/>
    </row>
    <row r="385" spans="1:11" ht="30">
      <c r="A385" s="152">
        <v>54313</v>
      </c>
      <c r="B385" s="164" t="s">
        <v>520</v>
      </c>
      <c r="C385" s="154"/>
      <c r="D385" s="14" t="s">
        <v>11</v>
      </c>
      <c r="E385" s="14" t="s">
        <v>25</v>
      </c>
      <c r="F385" s="14" t="s">
        <v>26</v>
      </c>
      <c r="G385" s="17">
        <f>'MAYO-18 '!I385</f>
        <v>500</v>
      </c>
      <c r="H385" s="157"/>
      <c r="I385" s="17">
        <f t="shared" si="6"/>
        <v>500</v>
      </c>
      <c r="J385" s="159"/>
      <c r="K385" s="159"/>
    </row>
    <row r="386" spans="1:11" ht="30">
      <c r="A386" s="152">
        <v>54399</v>
      </c>
      <c r="B386" s="164" t="s">
        <v>521</v>
      </c>
      <c r="C386" s="154"/>
      <c r="D386" s="14" t="s">
        <v>11</v>
      </c>
      <c r="E386" s="14" t="s">
        <v>25</v>
      </c>
      <c r="F386" s="14" t="s">
        <v>26</v>
      </c>
      <c r="G386" s="17">
        <f>'MAYO-18 '!I386</f>
        <v>990</v>
      </c>
      <c r="H386" s="157"/>
      <c r="I386" s="17">
        <f t="shared" si="6"/>
        <v>990</v>
      </c>
      <c r="J386" s="159"/>
      <c r="K386" s="159"/>
    </row>
    <row r="387" spans="1:11" ht="29.25">
      <c r="A387" s="152">
        <v>54599</v>
      </c>
      <c r="B387" s="164" t="s">
        <v>522</v>
      </c>
      <c r="C387" s="154"/>
      <c r="D387" s="14" t="s">
        <v>11</v>
      </c>
      <c r="E387" s="14" t="s">
        <v>25</v>
      </c>
      <c r="F387" s="14" t="s">
        <v>26</v>
      </c>
      <c r="G387" s="17">
        <f>'MAYO-18 '!I387</f>
        <v>13500</v>
      </c>
      <c r="H387" s="157"/>
      <c r="I387" s="17">
        <f t="shared" si="6"/>
        <v>13500</v>
      </c>
      <c r="J387" s="159"/>
      <c r="K387" s="159"/>
    </row>
    <row r="388" spans="1:11" ht="29.25">
      <c r="A388" s="152">
        <v>55603</v>
      </c>
      <c r="B388" s="164" t="s">
        <v>523</v>
      </c>
      <c r="C388" s="154"/>
      <c r="D388" s="14" t="s">
        <v>11</v>
      </c>
      <c r="E388" s="14" t="s">
        <v>25</v>
      </c>
      <c r="F388" s="14" t="s">
        <v>26</v>
      </c>
      <c r="G388" s="17">
        <f>'MAYO-18 '!I388</f>
        <v>10</v>
      </c>
      <c r="H388" s="157"/>
      <c r="I388" s="17">
        <f t="shared" si="6"/>
        <v>10</v>
      </c>
      <c r="J388" s="159"/>
      <c r="K388" s="159"/>
    </row>
    <row r="389" spans="1:11" ht="69.75">
      <c r="A389" s="144" t="s">
        <v>524</v>
      </c>
      <c r="B389" s="53" t="s">
        <v>525</v>
      </c>
      <c r="C389" s="154"/>
      <c r="D389" s="14" t="s">
        <v>11</v>
      </c>
      <c r="E389" s="14" t="s">
        <v>25</v>
      </c>
      <c r="F389" s="14" t="s">
        <v>26</v>
      </c>
      <c r="G389" s="17">
        <f>'MAYO-18 '!I389</f>
        <v>0</v>
      </c>
      <c r="H389" s="157"/>
      <c r="I389" s="158">
        <f t="shared" si="6"/>
        <v>0</v>
      </c>
      <c r="J389" s="159"/>
      <c r="K389" s="328"/>
    </row>
    <row r="390" spans="1:11" ht="44.25">
      <c r="A390" s="144" t="s">
        <v>526</v>
      </c>
      <c r="B390" s="53" t="s">
        <v>527</v>
      </c>
      <c r="C390" s="154"/>
      <c r="D390" s="14" t="s">
        <v>11</v>
      </c>
      <c r="E390" s="14" t="s">
        <v>25</v>
      </c>
      <c r="F390" s="14" t="s">
        <v>26</v>
      </c>
      <c r="G390" s="17">
        <f>'MAYO-18 '!I390</f>
        <v>0</v>
      </c>
      <c r="H390" s="157"/>
      <c r="I390" s="158">
        <f t="shared" si="6"/>
        <v>0</v>
      </c>
      <c r="J390" s="159"/>
      <c r="K390" s="329"/>
    </row>
    <row r="391" spans="1:11" ht="39.75">
      <c r="A391" s="144" t="s">
        <v>528</v>
      </c>
      <c r="B391" s="53" t="s">
        <v>529</v>
      </c>
      <c r="C391" s="154"/>
      <c r="D391" s="14" t="s">
        <v>11</v>
      </c>
      <c r="E391" s="14" t="s">
        <v>25</v>
      </c>
      <c r="F391" s="14" t="s">
        <v>26</v>
      </c>
      <c r="G391" s="17">
        <f>'MAYO-18 '!I391</f>
        <v>0</v>
      </c>
      <c r="H391" s="157"/>
      <c r="I391" s="158">
        <f t="shared" si="6"/>
        <v>0</v>
      </c>
      <c r="J391" s="159"/>
      <c r="K391" s="329"/>
    </row>
    <row r="392" spans="1:11" ht="39.75">
      <c r="A392" s="144" t="s">
        <v>530</v>
      </c>
      <c r="B392" s="53" t="s">
        <v>531</v>
      </c>
      <c r="C392" s="154"/>
      <c r="D392" s="14" t="s">
        <v>11</v>
      </c>
      <c r="E392" s="14" t="s">
        <v>25</v>
      </c>
      <c r="F392" s="14" t="s">
        <v>26</v>
      </c>
      <c r="G392" s="17">
        <f>'MAYO-18 '!I392</f>
        <v>0</v>
      </c>
      <c r="H392" s="157"/>
      <c r="I392" s="158">
        <f t="shared" si="6"/>
        <v>0</v>
      </c>
      <c r="J392" s="159"/>
      <c r="K392" s="329"/>
    </row>
    <row r="393" spans="1:11" ht="55.5">
      <c r="A393" s="144" t="s">
        <v>532</v>
      </c>
      <c r="B393" s="53" t="s">
        <v>533</v>
      </c>
      <c r="C393" s="154"/>
      <c r="D393" s="155"/>
      <c r="E393" s="155"/>
      <c r="F393" s="155"/>
      <c r="G393" s="17">
        <f>'MAYO-18 '!I393</f>
        <v>0</v>
      </c>
      <c r="H393" s="157"/>
      <c r="I393" s="158"/>
      <c r="J393" s="159"/>
      <c r="K393" s="159"/>
    </row>
    <row r="394" spans="1:11">
      <c r="A394" s="152">
        <v>51202</v>
      </c>
      <c r="B394" s="153" t="s">
        <v>534</v>
      </c>
      <c r="C394" s="154"/>
      <c r="D394" s="14" t="s">
        <v>11</v>
      </c>
      <c r="E394" s="14" t="s">
        <v>25</v>
      </c>
      <c r="F394" s="14" t="s">
        <v>26</v>
      </c>
      <c r="G394" s="17">
        <f>'MAYO-18 '!I394</f>
        <v>8000</v>
      </c>
      <c r="H394" s="157"/>
      <c r="I394" s="158">
        <f t="shared" si="6"/>
        <v>8000</v>
      </c>
      <c r="J394" s="159"/>
      <c r="K394" s="159"/>
    </row>
    <row r="395" spans="1:11" ht="29.25">
      <c r="A395" s="152">
        <v>54111</v>
      </c>
      <c r="B395" s="153" t="s">
        <v>535</v>
      </c>
      <c r="C395" s="154"/>
      <c r="D395" s="14" t="s">
        <v>11</v>
      </c>
      <c r="E395" s="14" t="s">
        <v>25</v>
      </c>
      <c r="F395" s="14" t="s">
        <v>26</v>
      </c>
      <c r="G395" s="17">
        <f>'MAYO-18 '!I395</f>
        <v>5500</v>
      </c>
      <c r="H395" s="157"/>
      <c r="I395" s="158">
        <f t="shared" si="6"/>
        <v>5500</v>
      </c>
      <c r="J395" s="159"/>
      <c r="K395" s="159"/>
    </row>
    <row r="396" spans="1:11" ht="29.25">
      <c r="A396" s="152">
        <v>54112</v>
      </c>
      <c r="B396" s="153" t="s">
        <v>536</v>
      </c>
      <c r="C396" s="154"/>
      <c r="D396" s="14" t="s">
        <v>11</v>
      </c>
      <c r="E396" s="14" t="s">
        <v>25</v>
      </c>
      <c r="F396" s="14" t="s">
        <v>26</v>
      </c>
      <c r="G396" s="17">
        <f>'MAYO-18 '!I396</f>
        <v>5000</v>
      </c>
      <c r="H396" s="157"/>
      <c r="I396" s="158">
        <f t="shared" si="6"/>
        <v>5000</v>
      </c>
      <c r="J396" s="159"/>
      <c r="K396" s="159"/>
    </row>
    <row r="397" spans="1:11" ht="30">
      <c r="A397" s="152">
        <v>54313</v>
      </c>
      <c r="B397" s="153" t="s">
        <v>537</v>
      </c>
      <c r="C397" s="154"/>
      <c r="D397" s="14" t="s">
        <v>11</v>
      </c>
      <c r="E397" s="14" t="s">
        <v>25</v>
      </c>
      <c r="F397" s="14" t="s">
        <v>26</v>
      </c>
      <c r="G397" s="17">
        <f>'MAYO-18 '!I397</f>
        <v>500</v>
      </c>
      <c r="H397" s="157"/>
      <c r="I397" s="158">
        <f t="shared" si="6"/>
        <v>500</v>
      </c>
      <c r="J397" s="159"/>
      <c r="K397" s="159"/>
    </row>
    <row r="398" spans="1:11" ht="30">
      <c r="A398" s="152">
        <v>54399</v>
      </c>
      <c r="B398" s="153" t="s">
        <v>538</v>
      </c>
      <c r="C398" s="154"/>
      <c r="D398" s="14" t="s">
        <v>11</v>
      </c>
      <c r="E398" s="14" t="s">
        <v>25</v>
      </c>
      <c r="F398" s="14" t="s">
        <v>26</v>
      </c>
      <c r="G398" s="17">
        <f>'MAYO-18 '!I398</f>
        <v>990</v>
      </c>
      <c r="H398" s="157"/>
      <c r="I398" s="158">
        <f t="shared" si="6"/>
        <v>990</v>
      </c>
      <c r="J398" s="159"/>
      <c r="K398" s="159"/>
    </row>
    <row r="399" spans="1:11" ht="29.25">
      <c r="A399" s="152">
        <v>55603</v>
      </c>
      <c r="B399" s="153" t="s">
        <v>539</v>
      </c>
      <c r="C399" s="154"/>
      <c r="D399" s="14" t="s">
        <v>11</v>
      </c>
      <c r="E399" s="14" t="s">
        <v>25</v>
      </c>
      <c r="F399" s="14" t="s">
        <v>26</v>
      </c>
      <c r="G399" s="17">
        <f>'MAYO-18 '!I399</f>
        <v>10</v>
      </c>
      <c r="H399" s="157"/>
      <c r="I399" s="158">
        <f t="shared" si="6"/>
        <v>10</v>
      </c>
      <c r="J399" s="159"/>
      <c r="K399" s="159"/>
    </row>
    <row r="400" spans="1:11" ht="55.5">
      <c r="A400" s="144" t="s">
        <v>540</v>
      </c>
      <c r="B400" s="53" t="s">
        <v>541</v>
      </c>
      <c r="C400" s="154"/>
      <c r="D400" s="155"/>
      <c r="E400" s="155"/>
      <c r="F400" s="155"/>
      <c r="G400" s="17">
        <f>'MAYO-18 '!I400</f>
        <v>0</v>
      </c>
      <c r="H400" s="157"/>
      <c r="I400" s="158"/>
      <c r="J400" s="159"/>
      <c r="K400" s="159"/>
    </row>
    <row r="401" spans="1:27" ht="29.25">
      <c r="A401" s="152">
        <v>51202</v>
      </c>
      <c r="B401" s="153" t="s">
        <v>542</v>
      </c>
      <c r="C401" s="154"/>
      <c r="D401" s="14" t="s">
        <v>11</v>
      </c>
      <c r="E401" s="14" t="s">
        <v>25</v>
      </c>
      <c r="F401" s="14" t="s">
        <v>26</v>
      </c>
      <c r="G401" s="17">
        <f>'MAYO-18 '!I401</f>
        <v>0</v>
      </c>
      <c r="H401" s="157"/>
      <c r="I401" s="158">
        <f t="shared" si="6"/>
        <v>0</v>
      </c>
      <c r="J401" s="159"/>
      <c r="K401" s="326"/>
    </row>
    <row r="402" spans="1:27" ht="39.75" customHeight="1">
      <c r="A402" s="152">
        <v>54111</v>
      </c>
      <c r="B402" s="153" t="s">
        <v>543</v>
      </c>
      <c r="C402" s="154"/>
      <c r="D402" s="14" t="s">
        <v>11</v>
      </c>
      <c r="E402" s="14" t="s">
        <v>25</v>
      </c>
      <c r="F402" s="14" t="s">
        <v>26</v>
      </c>
      <c r="G402" s="17">
        <f>'MAYO-18 '!I402</f>
        <v>0</v>
      </c>
      <c r="H402" s="157"/>
      <c r="I402" s="158">
        <f t="shared" si="6"/>
        <v>0</v>
      </c>
      <c r="J402" s="159"/>
      <c r="K402" s="326"/>
    </row>
    <row r="403" spans="1:27" ht="35.25" customHeight="1">
      <c r="A403" s="152">
        <v>54112</v>
      </c>
      <c r="B403" s="153" t="s">
        <v>544</v>
      </c>
      <c r="C403" s="154"/>
      <c r="D403" s="14" t="s">
        <v>11</v>
      </c>
      <c r="E403" s="14" t="s">
        <v>25</v>
      </c>
      <c r="F403" s="14" t="s">
        <v>26</v>
      </c>
      <c r="G403" s="17">
        <f>'MAYO-18 '!I403</f>
        <v>0</v>
      </c>
      <c r="H403" s="157"/>
      <c r="I403" s="158">
        <f t="shared" ref="I403:I418" si="7">G403-H403+J403-K403</f>
        <v>0</v>
      </c>
      <c r="J403" s="159"/>
      <c r="K403" s="326"/>
    </row>
    <row r="404" spans="1:27" ht="36.75" customHeight="1">
      <c r="A404" s="152">
        <v>54313</v>
      </c>
      <c r="B404" s="153" t="s">
        <v>545</v>
      </c>
      <c r="C404" s="154"/>
      <c r="D404" s="14" t="s">
        <v>11</v>
      </c>
      <c r="E404" s="14" t="s">
        <v>25</v>
      </c>
      <c r="F404" s="14" t="s">
        <v>26</v>
      </c>
      <c r="G404" s="17">
        <f>'MAYO-18 '!I404</f>
        <v>0</v>
      </c>
      <c r="H404" s="157"/>
      <c r="I404" s="158">
        <f t="shared" si="7"/>
        <v>0</v>
      </c>
      <c r="J404" s="159"/>
      <c r="K404" s="326"/>
      <c r="M404" s="167"/>
      <c r="N404" s="167"/>
      <c r="O404" s="167"/>
      <c r="P404" s="167"/>
      <c r="Q404" s="167"/>
    </row>
    <row r="405" spans="1:27" ht="34.5" customHeight="1">
      <c r="A405" s="152">
        <v>54399</v>
      </c>
      <c r="B405" s="153" t="s">
        <v>546</v>
      </c>
      <c r="C405" s="154"/>
      <c r="D405" s="14" t="s">
        <v>11</v>
      </c>
      <c r="E405" s="14" t="s">
        <v>25</v>
      </c>
      <c r="F405" s="14" t="s">
        <v>26</v>
      </c>
      <c r="G405" s="17">
        <f>'MAYO-18 '!I405</f>
        <v>0</v>
      </c>
      <c r="H405" s="157"/>
      <c r="I405" s="158">
        <f t="shared" si="7"/>
        <v>0</v>
      </c>
      <c r="J405" s="159"/>
      <c r="K405" s="326"/>
      <c r="M405" s="167"/>
      <c r="N405" s="167"/>
      <c r="O405" s="167"/>
      <c r="P405" s="167"/>
      <c r="Q405" s="167"/>
    </row>
    <row r="406" spans="1:27" s="47" customFormat="1" ht="29.25">
      <c r="A406" s="11">
        <v>55603</v>
      </c>
      <c r="B406" s="153" t="s">
        <v>547</v>
      </c>
      <c r="C406" s="12"/>
      <c r="D406" s="14" t="s">
        <v>11</v>
      </c>
      <c r="E406" s="14" t="s">
        <v>25</v>
      </c>
      <c r="F406" s="14" t="s">
        <v>26</v>
      </c>
      <c r="G406" s="17">
        <f>'MAYO-18 '!I406</f>
        <v>0</v>
      </c>
      <c r="H406" s="51"/>
      <c r="I406" s="158">
        <f t="shared" si="7"/>
        <v>0</v>
      </c>
      <c r="J406" s="44"/>
      <c r="K406" s="330"/>
      <c r="L406" s="165"/>
      <c r="M406" s="167"/>
      <c r="N406" s="167"/>
      <c r="O406" s="167"/>
      <c r="P406" s="167"/>
      <c r="Q406" s="167"/>
      <c r="R406" s="167"/>
      <c r="S406" s="167"/>
      <c r="T406" s="167"/>
      <c r="U406" s="167"/>
      <c r="V406" s="167"/>
      <c r="W406" s="167"/>
      <c r="X406" s="167"/>
      <c r="Y406" s="167"/>
      <c r="Z406" s="167"/>
      <c r="AA406" s="166"/>
    </row>
    <row r="407" spans="1:27" s="47" customFormat="1" ht="28.5">
      <c r="A407" s="144" t="s">
        <v>548</v>
      </c>
      <c r="B407" s="53" t="s">
        <v>549</v>
      </c>
      <c r="C407" s="12"/>
      <c r="D407" s="14" t="s">
        <v>11</v>
      </c>
      <c r="E407" s="14" t="s">
        <v>25</v>
      </c>
      <c r="F407" s="14" t="s">
        <v>26</v>
      </c>
      <c r="G407" s="17">
        <f>'MAYO-18 '!I407</f>
        <v>5000</v>
      </c>
      <c r="H407" s="51"/>
      <c r="I407" s="17">
        <f t="shared" si="7"/>
        <v>5000</v>
      </c>
      <c r="J407" s="44"/>
      <c r="K407" s="44"/>
      <c r="L407" s="165"/>
      <c r="M407" s="167"/>
      <c r="N407" s="167"/>
      <c r="O407" s="167"/>
      <c r="P407" s="167"/>
      <c r="Q407" s="167"/>
      <c r="R407" s="167"/>
      <c r="S407" s="167"/>
      <c r="T407" s="167"/>
      <c r="U407" s="167"/>
      <c r="V407" s="167"/>
      <c r="W407" s="167"/>
      <c r="X407" s="167"/>
      <c r="Y407" s="167"/>
      <c r="Z407" s="167"/>
      <c r="AA407" s="166"/>
    </row>
    <row r="408" spans="1:27" s="47" customFormat="1" ht="40.5">
      <c r="A408" s="144" t="s">
        <v>550</v>
      </c>
      <c r="B408" s="53" t="s">
        <v>1026</v>
      </c>
      <c r="C408" s="12"/>
      <c r="D408" s="3"/>
      <c r="E408" s="3"/>
      <c r="F408" s="3"/>
      <c r="G408" s="17">
        <f>'MAYO-18 '!I408</f>
        <v>0</v>
      </c>
      <c r="H408" s="51"/>
      <c r="I408" s="17"/>
      <c r="J408" s="44"/>
      <c r="K408" s="52"/>
      <c r="L408" s="165"/>
      <c r="M408" s="167"/>
      <c r="N408" s="167"/>
      <c r="O408" s="167"/>
      <c r="P408" s="167"/>
      <c r="Q408" s="167"/>
      <c r="R408" s="167"/>
      <c r="S408" s="167"/>
      <c r="T408" s="167"/>
      <c r="U408" s="167"/>
      <c r="V408" s="167"/>
      <c r="W408" s="167"/>
      <c r="X408" s="167"/>
      <c r="Y408" s="167"/>
      <c r="Z408" s="167"/>
      <c r="AA408" s="166"/>
    </row>
    <row r="409" spans="1:27" s="47" customFormat="1" ht="20.25" customHeight="1">
      <c r="A409" s="11">
        <v>51999</v>
      </c>
      <c r="B409" s="70" t="s">
        <v>552</v>
      </c>
      <c r="C409" s="12"/>
      <c r="D409" s="14" t="s">
        <v>11</v>
      </c>
      <c r="E409" s="14" t="s">
        <v>25</v>
      </c>
      <c r="F409" s="14" t="s">
        <v>26</v>
      </c>
      <c r="G409" s="17">
        <f>'MAYO-18 '!I409</f>
        <v>0</v>
      </c>
      <c r="H409" s="51"/>
      <c r="I409" s="17">
        <f t="shared" si="7"/>
        <v>0</v>
      </c>
      <c r="J409" s="44"/>
      <c r="K409" s="266"/>
      <c r="L409" s="165"/>
      <c r="M409" s="167"/>
      <c r="N409" s="167"/>
      <c r="O409" s="167"/>
      <c r="P409" s="167"/>
      <c r="Q409" s="167"/>
      <c r="R409" s="167"/>
      <c r="S409" s="167"/>
      <c r="T409" s="167"/>
      <c r="U409" s="167"/>
      <c r="V409" s="167"/>
      <c r="W409" s="167"/>
      <c r="X409" s="167"/>
      <c r="Y409" s="167"/>
      <c r="Z409" s="167"/>
    </row>
    <row r="410" spans="1:27" s="47" customFormat="1" ht="23.25" customHeight="1">
      <c r="A410" s="11">
        <v>54399</v>
      </c>
      <c r="B410" s="70" t="s">
        <v>553</v>
      </c>
      <c r="C410" s="12"/>
      <c r="D410" s="14" t="s">
        <v>11</v>
      </c>
      <c r="E410" s="14" t="s">
        <v>25</v>
      </c>
      <c r="F410" s="14" t="s">
        <v>26</v>
      </c>
      <c r="G410" s="17">
        <f>'MAYO-18 '!I410</f>
        <v>0</v>
      </c>
      <c r="H410" s="51"/>
      <c r="I410" s="17">
        <f t="shared" si="7"/>
        <v>0</v>
      </c>
      <c r="J410" s="44"/>
      <c r="K410" s="266"/>
      <c r="L410" s="165"/>
      <c r="M410" s="167"/>
      <c r="N410" s="167"/>
      <c r="O410" s="167"/>
      <c r="P410" s="167"/>
      <c r="Q410" s="167"/>
      <c r="R410" s="167"/>
      <c r="S410" s="167"/>
      <c r="T410" s="167"/>
      <c r="U410" s="167"/>
      <c r="V410" s="167"/>
      <c r="W410" s="167"/>
      <c r="X410" s="167"/>
      <c r="Y410" s="167"/>
      <c r="Z410" s="167"/>
    </row>
    <row r="411" spans="1:27" s="47" customFormat="1" ht="20.25" customHeight="1">
      <c r="A411" s="11">
        <v>54599</v>
      </c>
      <c r="B411" s="70" t="s">
        <v>554</v>
      </c>
      <c r="C411" s="12"/>
      <c r="D411" s="14" t="s">
        <v>11</v>
      </c>
      <c r="E411" s="14" t="s">
        <v>25</v>
      </c>
      <c r="F411" s="14" t="s">
        <v>26</v>
      </c>
      <c r="G411" s="17">
        <f>'MAYO-18 '!I411</f>
        <v>0</v>
      </c>
      <c r="H411" s="51"/>
      <c r="I411" s="17">
        <f t="shared" si="7"/>
        <v>0</v>
      </c>
      <c r="J411" s="44"/>
      <c r="K411" s="266"/>
      <c r="L411" s="165"/>
      <c r="M411" s="167"/>
      <c r="N411" s="167"/>
      <c r="O411" s="167"/>
      <c r="P411" s="167"/>
      <c r="Q411" s="167"/>
      <c r="R411" s="167"/>
      <c r="S411" s="167"/>
      <c r="T411" s="167"/>
      <c r="U411" s="167"/>
      <c r="V411" s="167"/>
      <c r="W411" s="167"/>
      <c r="X411" s="167"/>
      <c r="Y411" s="167"/>
      <c r="Z411" s="167"/>
    </row>
    <row r="412" spans="1:27" s="47" customFormat="1" ht="44.25" customHeight="1">
      <c r="A412" s="144" t="s">
        <v>909</v>
      </c>
      <c r="B412" s="349" t="s">
        <v>1089</v>
      </c>
      <c r="C412" s="12"/>
      <c r="D412" s="14"/>
      <c r="E412" s="14"/>
      <c r="F412" s="14"/>
      <c r="G412" s="17">
        <f>'MAYO-18 '!I412</f>
        <v>0</v>
      </c>
      <c r="H412" s="51"/>
      <c r="I412" s="17"/>
      <c r="J412" s="44"/>
      <c r="K412" s="266"/>
      <c r="L412" s="165"/>
      <c r="M412" s="167"/>
      <c r="N412" s="167"/>
      <c r="O412" s="167"/>
      <c r="P412" s="167"/>
      <c r="Q412" s="167"/>
      <c r="R412" s="167"/>
      <c r="S412" s="167"/>
      <c r="T412" s="167"/>
      <c r="U412" s="167"/>
      <c r="V412" s="167"/>
      <c r="W412" s="167"/>
      <c r="X412" s="167"/>
      <c r="Y412" s="167"/>
      <c r="Z412" s="167"/>
    </row>
    <row r="413" spans="1:27" s="47" customFormat="1" ht="45" customHeight="1">
      <c r="A413" s="11">
        <v>54314</v>
      </c>
      <c r="B413" s="70" t="s">
        <v>1125</v>
      </c>
      <c r="C413" s="12"/>
      <c r="D413" s="14" t="s">
        <v>11</v>
      </c>
      <c r="E413" s="14" t="s">
        <v>25</v>
      </c>
      <c r="F413" s="14" t="s">
        <v>26</v>
      </c>
      <c r="G413" s="17">
        <f>'MAYO-18 '!I413</f>
        <v>12000</v>
      </c>
      <c r="H413" s="51">
        <v>11400</v>
      </c>
      <c r="I413" s="17">
        <f t="shared" si="7"/>
        <v>600</v>
      </c>
      <c r="J413" s="347"/>
      <c r="K413" s="266"/>
      <c r="L413" s="165"/>
      <c r="M413" s="167"/>
      <c r="N413" s="167"/>
      <c r="O413" s="167"/>
      <c r="P413" s="167"/>
      <c r="Q413" s="167"/>
      <c r="R413" s="167"/>
      <c r="S413" s="167"/>
      <c r="T413" s="167"/>
      <c r="U413" s="167"/>
      <c r="V413" s="167"/>
      <c r="W413" s="167"/>
      <c r="X413" s="167"/>
      <c r="Y413" s="167"/>
      <c r="Z413" s="167"/>
    </row>
    <row r="414" spans="1:27" s="47" customFormat="1" ht="30">
      <c r="A414" s="47">
        <v>55603</v>
      </c>
      <c r="B414" s="5" t="s">
        <v>1091</v>
      </c>
      <c r="C414" s="12"/>
      <c r="D414" s="14" t="s">
        <v>11</v>
      </c>
      <c r="E414" s="14" t="s">
        <v>25</v>
      </c>
      <c r="F414" s="14" t="s">
        <v>26</v>
      </c>
      <c r="G414" s="17">
        <f>'MAYO-18 '!I414</f>
        <v>1.3</v>
      </c>
      <c r="H414" s="375">
        <v>1.3</v>
      </c>
      <c r="I414" s="17">
        <f t="shared" si="7"/>
        <v>0</v>
      </c>
      <c r="J414" s="316"/>
      <c r="K414" s="44"/>
      <c r="L414" s="165"/>
      <c r="M414" s="167"/>
      <c r="N414" s="167"/>
      <c r="O414" s="167"/>
      <c r="P414" s="167"/>
      <c r="Q414" s="167"/>
      <c r="R414" s="167"/>
      <c r="S414" s="167"/>
      <c r="T414" s="167"/>
      <c r="U414" s="167"/>
      <c r="V414" s="167"/>
      <c r="W414" s="167"/>
      <c r="X414" s="167"/>
      <c r="Y414" s="167"/>
      <c r="Z414" s="167"/>
    </row>
    <row r="415" spans="1:27" s="47" customFormat="1">
      <c r="B415" s="5"/>
      <c r="C415" s="12"/>
      <c r="D415" s="14"/>
      <c r="E415" s="14"/>
      <c r="F415" s="14"/>
      <c r="G415" s="17">
        <f>'MAYO-18 '!I415</f>
        <v>0</v>
      </c>
      <c r="H415" s="51"/>
      <c r="I415" s="17"/>
      <c r="J415" s="316"/>
      <c r="K415" s="44"/>
      <c r="L415" s="165"/>
      <c r="M415" s="167"/>
      <c r="N415" s="167"/>
      <c r="O415" s="167"/>
      <c r="P415" s="167"/>
      <c r="Q415" s="167"/>
      <c r="R415" s="167"/>
      <c r="S415" s="167"/>
      <c r="T415" s="167"/>
      <c r="U415" s="167"/>
      <c r="V415" s="167"/>
      <c r="W415" s="167"/>
      <c r="X415" s="167"/>
      <c r="Y415" s="167"/>
      <c r="Z415" s="167"/>
    </row>
    <row r="416" spans="1:27" s="47" customFormat="1" ht="34.5" customHeight="1">
      <c r="A416" s="317" t="s">
        <v>1092</v>
      </c>
      <c r="B416" s="338" t="s">
        <v>1095</v>
      </c>
      <c r="C416" s="318"/>
      <c r="D416" s="14" t="s">
        <v>11</v>
      </c>
      <c r="E416" s="14" t="s">
        <v>25</v>
      </c>
      <c r="F416" s="14" t="s">
        <v>26</v>
      </c>
      <c r="G416" s="17">
        <f>'MAYO-18 '!I416</f>
        <v>250000</v>
      </c>
      <c r="H416" s="51"/>
      <c r="I416" s="17">
        <f t="shared" si="7"/>
        <v>250000</v>
      </c>
      <c r="J416" s="316"/>
      <c r="K416" s="44"/>
      <c r="L416" s="165"/>
      <c r="M416" s="167"/>
      <c r="N416" s="167"/>
      <c r="O416" s="167"/>
      <c r="P416" s="167"/>
      <c r="Q416" s="167"/>
      <c r="R416" s="167"/>
      <c r="S416" s="167"/>
      <c r="T416" s="167"/>
      <c r="U416" s="167"/>
      <c r="V416" s="167"/>
      <c r="W416" s="167"/>
      <c r="X416" s="167"/>
      <c r="Y416" s="167"/>
      <c r="Z416" s="167"/>
    </row>
    <row r="417" spans="1:26" s="47" customFormat="1">
      <c r="B417" s="339"/>
      <c r="C417" s="12"/>
      <c r="D417" s="14"/>
      <c r="E417" s="14"/>
      <c r="F417" s="14"/>
      <c r="G417" s="17">
        <f>'MAYO-18 '!I417</f>
        <v>0</v>
      </c>
      <c r="H417" s="51"/>
      <c r="I417" s="17"/>
      <c r="J417" s="316"/>
      <c r="K417" s="44"/>
      <c r="L417" s="165"/>
      <c r="M417" s="167"/>
      <c r="N417" s="167"/>
      <c r="O417" s="167"/>
      <c r="P417" s="167"/>
      <c r="Q417" s="167"/>
      <c r="R417" s="167"/>
      <c r="S417" s="167"/>
      <c r="T417" s="167"/>
      <c r="U417" s="167"/>
      <c r="V417" s="167"/>
      <c r="W417" s="167"/>
      <c r="X417" s="167"/>
      <c r="Y417" s="167"/>
      <c r="Z417" s="167"/>
    </row>
    <row r="418" spans="1:26" s="47" customFormat="1" ht="48" customHeight="1">
      <c r="A418" s="47">
        <v>54107</v>
      </c>
      <c r="B418" s="340" t="s">
        <v>1116</v>
      </c>
      <c r="C418" s="319"/>
      <c r="D418" s="14" t="s">
        <v>11</v>
      </c>
      <c r="E418" s="14" t="s">
        <v>25</v>
      </c>
      <c r="F418" s="14" t="s">
        <v>26</v>
      </c>
      <c r="G418" s="17">
        <f>'MAYO-18 '!I418</f>
        <v>100000</v>
      </c>
      <c r="H418" s="51"/>
      <c r="I418" s="17">
        <f t="shared" si="7"/>
        <v>100000</v>
      </c>
      <c r="J418" s="347"/>
      <c r="K418" s="44"/>
      <c r="L418" s="165"/>
      <c r="M418" s="167"/>
      <c r="N418" s="167"/>
      <c r="O418" s="167"/>
      <c r="P418" s="167"/>
      <c r="Q418" s="167"/>
      <c r="R418" s="167"/>
      <c r="S418" s="167"/>
      <c r="T418" s="167"/>
      <c r="U418" s="167"/>
      <c r="V418" s="167"/>
      <c r="W418" s="167"/>
      <c r="X418" s="167"/>
      <c r="Y418" s="167"/>
      <c r="Z418" s="167"/>
    </row>
    <row r="419" spans="1:26" s="47" customFormat="1">
      <c r="B419" s="5"/>
      <c r="C419" s="12"/>
      <c r="D419" s="14"/>
      <c r="E419" s="14"/>
      <c r="F419" s="14"/>
      <c r="G419" s="17">
        <f>'MAYO-18 '!I419</f>
        <v>0</v>
      </c>
      <c r="H419" s="51"/>
      <c r="I419" s="17"/>
      <c r="J419" s="316"/>
      <c r="K419" s="44"/>
      <c r="L419" s="165"/>
      <c r="M419" s="167"/>
      <c r="N419" s="167"/>
      <c r="O419" s="167"/>
      <c r="P419" s="167"/>
      <c r="Q419" s="167"/>
      <c r="R419" s="167"/>
      <c r="S419" s="167"/>
      <c r="T419" s="167"/>
      <c r="U419" s="167"/>
      <c r="V419" s="167"/>
      <c r="W419" s="167"/>
      <c r="X419" s="167"/>
      <c r="Y419" s="167"/>
      <c r="Z419" s="167"/>
    </row>
    <row r="420" spans="1:26" s="47" customFormat="1">
      <c r="A420" s="11"/>
      <c r="B420" s="5"/>
      <c r="C420" s="12"/>
      <c r="D420" s="3"/>
      <c r="E420" s="3"/>
      <c r="F420" s="3"/>
      <c r="G420" s="17">
        <f>'MAYO-18 '!I420</f>
        <v>0</v>
      </c>
      <c r="H420" s="51"/>
      <c r="I420" s="17"/>
      <c r="J420" s="44"/>
      <c r="K420" s="44"/>
      <c r="L420" s="165"/>
      <c r="M420" s="167"/>
      <c r="N420" s="167"/>
      <c r="O420" s="167"/>
      <c r="P420" s="167"/>
      <c r="Q420" s="167"/>
      <c r="R420" s="167"/>
      <c r="S420" s="167"/>
      <c r="T420" s="167"/>
      <c r="U420" s="167"/>
      <c r="V420" s="167"/>
      <c r="W420" s="167"/>
      <c r="X420" s="167"/>
      <c r="Y420" s="167"/>
      <c r="Z420" s="167"/>
    </row>
    <row r="421" spans="1:26">
      <c r="A421" s="160"/>
      <c r="B421" s="161" t="s">
        <v>17</v>
      </c>
      <c r="C421" s="161"/>
      <c r="D421" s="161"/>
      <c r="E421" s="161"/>
      <c r="F421" s="161"/>
      <c r="G421" s="17">
        <f>'MAYO-18 '!I421</f>
        <v>981582.36000000022</v>
      </c>
      <c r="H421" s="163">
        <f>SUM(H159:H420)</f>
        <v>83506.13</v>
      </c>
      <c r="I421" s="162">
        <f>SUM(I159:I420)</f>
        <v>898076.23</v>
      </c>
      <c r="J421" s="162">
        <f>SUM(J159:J420)</f>
        <v>10000</v>
      </c>
      <c r="K421" s="162">
        <f>SUM(K159:K420)</f>
        <v>10000</v>
      </c>
      <c r="M421" s="167"/>
      <c r="N421" s="167"/>
      <c r="O421" s="167"/>
      <c r="P421" s="167"/>
      <c r="Q421" s="167"/>
      <c r="R421" s="167"/>
      <c r="S421" s="167"/>
      <c r="T421" s="167"/>
      <c r="U421" s="167"/>
      <c r="V421" s="167"/>
      <c r="W421" s="167"/>
      <c r="X421" s="167"/>
      <c r="Y421" s="167"/>
      <c r="Z421" s="167"/>
    </row>
    <row r="422" spans="1:26" ht="58.5">
      <c r="A422" s="11" t="s">
        <v>555</v>
      </c>
      <c r="B422" s="57" t="s">
        <v>557</v>
      </c>
      <c r="C422" s="368"/>
      <c r="D422" s="14" t="s">
        <v>18</v>
      </c>
      <c r="E422" s="14" t="s">
        <v>28</v>
      </c>
      <c r="F422" s="14" t="s">
        <v>26</v>
      </c>
      <c r="G422" s="17">
        <f>'MAYO-18 '!I422</f>
        <v>0</v>
      </c>
      <c r="H422" s="51"/>
      <c r="I422" s="17">
        <f t="shared" ref="I422:I491" si="8">G422-H422+J422-K422</f>
        <v>0</v>
      </c>
      <c r="J422" s="52"/>
      <c r="K422" s="143"/>
      <c r="M422" s="167"/>
      <c r="N422" s="167"/>
      <c r="O422" s="167"/>
      <c r="P422" s="167"/>
      <c r="Q422" s="167"/>
      <c r="R422" s="167"/>
      <c r="S422" s="167"/>
      <c r="T422" s="167"/>
      <c r="U422" s="167"/>
      <c r="V422" s="167"/>
      <c r="W422" s="167"/>
      <c r="X422" s="167"/>
      <c r="Y422" s="167"/>
      <c r="Z422" s="167"/>
    </row>
    <row r="423" spans="1:26" ht="58.5">
      <c r="A423" s="11" t="s">
        <v>556</v>
      </c>
      <c r="B423" s="57" t="s">
        <v>558</v>
      </c>
      <c r="C423" s="58"/>
      <c r="D423" s="14" t="s">
        <v>18</v>
      </c>
      <c r="E423" s="14" t="s">
        <v>28</v>
      </c>
      <c r="F423" s="14" t="s">
        <v>26</v>
      </c>
      <c r="G423" s="17">
        <f>'MAYO-18 '!I423</f>
        <v>14000</v>
      </c>
      <c r="H423" s="51">
        <f>140+140+140+140+140+140+140+140+140+140+140+193.2+193.2+193.2+86.8+86.8+56+112+86.8+112+86.8+112+112+112+112+140+140+140+168+168+168+112+112+112+112+112+112+112+56+56</f>
        <v>5014.8000000000011</v>
      </c>
      <c r="I423" s="17">
        <f t="shared" si="8"/>
        <v>6985.1999999999989</v>
      </c>
      <c r="J423" s="137"/>
      <c r="K423" s="137">
        <v>2000</v>
      </c>
      <c r="M423" s="167"/>
      <c r="N423" s="167"/>
      <c r="O423" s="167"/>
      <c r="P423" s="167"/>
      <c r="Q423" s="167"/>
    </row>
    <row r="424" spans="1:26" ht="72.75">
      <c r="A424" s="11" t="s">
        <v>560</v>
      </c>
      <c r="B424" s="57" t="s">
        <v>559</v>
      </c>
      <c r="C424" s="59"/>
      <c r="D424" s="14" t="s">
        <v>18</v>
      </c>
      <c r="E424" s="14" t="s">
        <v>28</v>
      </c>
      <c r="F424" s="14" t="s">
        <v>26</v>
      </c>
      <c r="G424" s="17">
        <f>'MAYO-18 '!I424</f>
        <v>631.86999999999989</v>
      </c>
      <c r="H424" s="51"/>
      <c r="I424" s="17">
        <f t="shared" si="8"/>
        <v>631.86999999999989</v>
      </c>
      <c r="J424" s="52"/>
      <c r="K424" s="143"/>
    </row>
    <row r="425" spans="1:26" ht="72.75">
      <c r="A425" s="11" t="s">
        <v>561</v>
      </c>
      <c r="B425" s="57" t="s">
        <v>562</v>
      </c>
      <c r="C425" s="59"/>
      <c r="D425" s="14" t="s">
        <v>18</v>
      </c>
      <c r="E425" s="14" t="s">
        <v>28</v>
      </c>
      <c r="F425" s="14" t="s">
        <v>26</v>
      </c>
      <c r="G425" s="17">
        <f>'MAYO-18 '!I425</f>
        <v>1990</v>
      </c>
      <c r="H425" s="51"/>
      <c r="I425" s="17">
        <f t="shared" si="8"/>
        <v>1990</v>
      </c>
      <c r="J425" s="56"/>
      <c r="K425" s="56"/>
    </row>
    <row r="426" spans="1:26" ht="72.75">
      <c r="A426" s="11" t="s">
        <v>564</v>
      </c>
      <c r="B426" s="57" t="s">
        <v>563</v>
      </c>
      <c r="C426" s="59"/>
      <c r="D426" s="14" t="s">
        <v>18</v>
      </c>
      <c r="E426" s="14" t="s">
        <v>28</v>
      </c>
      <c r="F426" s="14" t="s">
        <v>26</v>
      </c>
      <c r="G426" s="17">
        <f>'MAYO-18 '!I426</f>
        <v>3000</v>
      </c>
      <c r="H426" s="51"/>
      <c r="I426" s="17">
        <f t="shared" si="8"/>
        <v>3000</v>
      </c>
      <c r="J426" s="52"/>
      <c r="K426" s="52"/>
    </row>
    <row r="427" spans="1:26" ht="72.75">
      <c r="A427" s="11" t="s">
        <v>566</v>
      </c>
      <c r="B427" s="57" t="s">
        <v>567</v>
      </c>
      <c r="C427" s="286" t="s">
        <v>1072</v>
      </c>
      <c r="D427" s="14" t="s">
        <v>18</v>
      </c>
      <c r="E427" s="14" t="s">
        <v>28</v>
      </c>
      <c r="F427" s="14" t="s">
        <v>26</v>
      </c>
      <c r="G427" s="17">
        <f>'MAYO-18 '!I427</f>
        <v>7997.0000000000036</v>
      </c>
      <c r="H427" s="51">
        <f>1367.5</f>
        <v>1367.5</v>
      </c>
      <c r="I427" s="134">
        <f t="shared" si="8"/>
        <v>6629.5000000000036</v>
      </c>
      <c r="J427" s="143"/>
      <c r="K427" s="52"/>
    </row>
    <row r="428" spans="1:26" ht="72.75">
      <c r="A428" s="11" t="s">
        <v>565</v>
      </c>
      <c r="B428" s="57" t="s">
        <v>568</v>
      </c>
      <c r="C428" s="59"/>
      <c r="D428" s="14" t="s">
        <v>18</v>
      </c>
      <c r="E428" s="14" t="s">
        <v>28</v>
      </c>
      <c r="F428" s="14" t="s">
        <v>26</v>
      </c>
      <c r="G428" s="17">
        <f>'MAYO-18 '!I428</f>
        <v>2297.0299999999997</v>
      </c>
      <c r="H428" s="51">
        <f>335.61</f>
        <v>335.61</v>
      </c>
      <c r="I428" s="17">
        <f t="shared" si="8"/>
        <v>1961.4199999999996</v>
      </c>
      <c r="J428" s="52"/>
      <c r="K428" s="143"/>
    </row>
    <row r="429" spans="1:26" ht="87">
      <c r="A429" s="11" t="s">
        <v>1117</v>
      </c>
      <c r="B429" s="57" t="s">
        <v>1118</v>
      </c>
      <c r="C429" s="59"/>
      <c r="D429" s="14" t="s">
        <v>18</v>
      </c>
      <c r="E429" s="14" t="s">
        <v>28</v>
      </c>
      <c r="F429" s="14" t="s">
        <v>26</v>
      </c>
      <c r="G429" s="17">
        <f>'MAYO-18 '!I429</f>
        <v>5000</v>
      </c>
      <c r="H429" s="51">
        <f>972.9</f>
        <v>972.9</v>
      </c>
      <c r="I429" s="134">
        <f>G429-H429+J429-K429</f>
        <v>6027.1</v>
      </c>
      <c r="J429" s="137">
        <v>2000</v>
      </c>
      <c r="K429" s="143"/>
    </row>
    <row r="430" spans="1:26" ht="72.75">
      <c r="A430" s="11" t="s">
        <v>569</v>
      </c>
      <c r="B430" s="57" t="s">
        <v>570</v>
      </c>
      <c r="C430" s="286" t="s">
        <v>1072</v>
      </c>
      <c r="D430" s="14" t="s">
        <v>18</v>
      </c>
      <c r="E430" s="14" t="s">
        <v>28</v>
      </c>
      <c r="F430" s="14" t="s">
        <v>26</v>
      </c>
      <c r="G430" s="17">
        <f>'MAYO-18 '!I430</f>
        <v>7000</v>
      </c>
      <c r="H430" s="51"/>
      <c r="I430" s="17">
        <f t="shared" si="8"/>
        <v>7000</v>
      </c>
      <c r="J430" s="52"/>
      <c r="K430" s="52"/>
    </row>
    <row r="431" spans="1:26" ht="72.75">
      <c r="A431" s="11" t="s">
        <v>571</v>
      </c>
      <c r="B431" s="57" t="s">
        <v>572</v>
      </c>
      <c r="C431" s="286" t="s">
        <v>1072</v>
      </c>
      <c r="D431" s="14" t="s">
        <v>18</v>
      </c>
      <c r="E431" s="14" t="s">
        <v>28</v>
      </c>
      <c r="F431" s="14" t="s">
        <v>26</v>
      </c>
      <c r="G431" s="17">
        <f>'MAYO-18 '!I431</f>
        <v>5365</v>
      </c>
      <c r="H431" s="51"/>
      <c r="I431" s="17">
        <f t="shared" si="8"/>
        <v>5365</v>
      </c>
      <c r="J431" s="137"/>
      <c r="K431" s="137"/>
    </row>
    <row r="432" spans="1:26" ht="72.75">
      <c r="A432" s="11" t="s">
        <v>969</v>
      </c>
      <c r="B432" s="57" t="s">
        <v>970</v>
      </c>
      <c r="C432" s="59"/>
      <c r="D432" s="14" t="s">
        <v>18</v>
      </c>
      <c r="E432" s="14" t="s">
        <v>28</v>
      </c>
      <c r="F432" s="14" t="s">
        <v>26</v>
      </c>
      <c r="G432" s="17">
        <f>'MAYO-18 '!I432</f>
        <v>10</v>
      </c>
      <c r="H432" s="400">
        <f>1.3</f>
        <v>1.3</v>
      </c>
      <c r="I432" s="17">
        <f t="shared" si="8"/>
        <v>8.6999999999999993</v>
      </c>
      <c r="J432" s="137"/>
      <c r="K432" s="52"/>
    </row>
    <row r="433" spans="1:11" ht="31.5" customHeight="1">
      <c r="A433" s="11">
        <v>54109</v>
      </c>
      <c r="B433" s="54" t="s">
        <v>1012</v>
      </c>
      <c r="C433" s="13"/>
      <c r="D433" s="14" t="s">
        <v>18</v>
      </c>
      <c r="E433" s="14" t="s">
        <v>28</v>
      </c>
      <c r="F433" s="14" t="s">
        <v>26</v>
      </c>
      <c r="G433" s="17">
        <f>'MAYO-18 '!I433</f>
        <v>2339.9799999999996</v>
      </c>
      <c r="H433" s="51">
        <f>620</f>
        <v>620</v>
      </c>
      <c r="I433" s="17">
        <f t="shared" si="8"/>
        <v>1719.9799999999996</v>
      </c>
      <c r="J433" s="52"/>
      <c r="K433" s="52"/>
    </row>
    <row r="434" spans="1:11" ht="60">
      <c r="A434" s="11" t="s">
        <v>574</v>
      </c>
      <c r="B434" s="54" t="s">
        <v>575</v>
      </c>
      <c r="C434" s="61" t="s">
        <v>1071</v>
      </c>
      <c r="D434" s="14" t="s">
        <v>18</v>
      </c>
      <c r="E434" s="14" t="s">
        <v>28</v>
      </c>
      <c r="F434" s="14" t="s">
        <v>26</v>
      </c>
      <c r="G434" s="17">
        <f>'MAYO-18 '!I434</f>
        <v>3274.8500000000004</v>
      </c>
      <c r="H434" s="51">
        <f>253+122</f>
        <v>375</v>
      </c>
      <c r="I434" s="17">
        <f t="shared" si="8"/>
        <v>2899.8500000000004</v>
      </c>
      <c r="J434" s="52"/>
      <c r="K434" s="300"/>
    </row>
    <row r="435" spans="1:11" ht="75">
      <c r="A435" s="11" t="s">
        <v>212</v>
      </c>
      <c r="B435" s="54" t="s">
        <v>576</v>
      </c>
      <c r="C435" s="61" t="s">
        <v>1071</v>
      </c>
      <c r="D435" s="14" t="s">
        <v>18</v>
      </c>
      <c r="E435" s="14" t="s">
        <v>28</v>
      </c>
      <c r="F435" s="14" t="s">
        <v>26</v>
      </c>
      <c r="G435" s="17">
        <f>'MAYO-18 '!I435</f>
        <v>8038.9500000000007</v>
      </c>
      <c r="H435" s="51">
        <f>98.45+65.5</f>
        <v>163.95</v>
      </c>
      <c r="I435" s="17">
        <f t="shared" si="8"/>
        <v>7875.0000000000009</v>
      </c>
      <c r="J435" s="52"/>
      <c r="K435" s="300"/>
    </row>
    <row r="436" spans="1:11" ht="75">
      <c r="A436" s="11" t="s">
        <v>577</v>
      </c>
      <c r="B436" s="54" t="s">
        <v>1094</v>
      </c>
      <c r="C436" s="13"/>
      <c r="D436" s="14" t="s">
        <v>18</v>
      </c>
      <c r="E436" s="14" t="s">
        <v>28</v>
      </c>
      <c r="F436" s="14" t="s">
        <v>26</v>
      </c>
      <c r="G436" s="17">
        <f>'MAYO-18 '!I436</f>
        <v>11524.08</v>
      </c>
      <c r="H436" s="51">
        <f>94.7+81</f>
        <v>175.7</v>
      </c>
      <c r="I436" s="17">
        <f t="shared" si="8"/>
        <v>11348.38</v>
      </c>
      <c r="J436" s="56"/>
      <c r="K436" s="300"/>
    </row>
    <row r="437" spans="1:11" s="220" customFormat="1" ht="30">
      <c r="A437" s="11" t="s">
        <v>218</v>
      </c>
      <c r="B437" s="54" t="s">
        <v>579</v>
      </c>
      <c r="C437" s="13"/>
      <c r="D437" s="14" t="s">
        <v>18</v>
      </c>
      <c r="E437" s="14" t="s">
        <v>28</v>
      </c>
      <c r="F437" s="14" t="s">
        <v>26</v>
      </c>
      <c r="G437" s="17">
        <f>'MAYO-18 '!I437</f>
        <v>7</v>
      </c>
      <c r="H437" s="400">
        <v>1.3</v>
      </c>
      <c r="I437" s="17">
        <f t="shared" si="8"/>
        <v>5.7</v>
      </c>
      <c r="J437" s="56"/>
      <c r="K437" s="56"/>
    </row>
    <row r="438" spans="1:11" s="229" customFormat="1" ht="9.75" customHeight="1">
      <c r="A438" s="221"/>
      <c r="B438" s="222"/>
      <c r="C438" s="223"/>
      <c r="D438" s="224"/>
      <c r="E438" s="224"/>
      <c r="F438" s="224"/>
      <c r="G438" s="17">
        <f>'MAYO-18 '!I438</f>
        <v>0</v>
      </c>
      <c r="H438" s="226"/>
      <c r="I438" s="227"/>
      <c r="J438" s="228"/>
      <c r="K438" s="228"/>
    </row>
    <row r="439" spans="1:11" ht="52.5">
      <c r="A439" s="214" t="s">
        <v>988</v>
      </c>
      <c r="B439" s="215" t="s">
        <v>581</v>
      </c>
      <c r="C439" s="344" t="s">
        <v>1104</v>
      </c>
      <c r="D439" s="187" t="s">
        <v>18</v>
      </c>
      <c r="E439" s="187" t="s">
        <v>28</v>
      </c>
      <c r="F439" s="187" t="s">
        <v>27</v>
      </c>
      <c r="G439" s="17">
        <f>'MAYO-18 '!I439</f>
        <v>14792.7</v>
      </c>
      <c r="H439" s="348">
        <f>1144.68+1217</f>
        <v>2361.6800000000003</v>
      </c>
      <c r="I439" s="189">
        <f t="shared" si="8"/>
        <v>12431.02</v>
      </c>
      <c r="J439" s="219"/>
      <c r="K439" s="219"/>
    </row>
    <row r="440" spans="1:11" ht="30">
      <c r="A440" s="11" t="s">
        <v>235</v>
      </c>
      <c r="B440" s="54" t="s">
        <v>582</v>
      </c>
      <c r="C440" s="13"/>
      <c r="D440" s="14" t="s">
        <v>18</v>
      </c>
      <c r="E440" s="14" t="s">
        <v>28</v>
      </c>
      <c r="F440" s="14" t="s">
        <v>27</v>
      </c>
      <c r="G440" s="17">
        <f>'MAYO-18 '!I440</f>
        <v>5.6999999999999993</v>
      </c>
      <c r="H440" s="400">
        <v>2.83</v>
      </c>
      <c r="I440" s="17">
        <f t="shared" si="8"/>
        <v>2.8699999999999992</v>
      </c>
      <c r="J440" s="56"/>
      <c r="K440" s="56"/>
    </row>
    <row r="441" spans="1:11" ht="96" customHeight="1">
      <c r="A441" s="11" t="s">
        <v>200</v>
      </c>
      <c r="B441" s="53" t="s">
        <v>584</v>
      </c>
      <c r="C441" s="61"/>
      <c r="D441" s="14"/>
      <c r="E441" s="14"/>
      <c r="F441" s="14"/>
      <c r="G441" s="17">
        <f>'MAYO-18 '!I441</f>
        <v>0</v>
      </c>
      <c r="H441" s="51"/>
      <c r="I441" s="17"/>
      <c r="J441" s="56"/>
      <c r="K441" s="56"/>
    </row>
    <row r="442" spans="1:11" ht="30">
      <c r="A442" s="11">
        <v>54111</v>
      </c>
      <c r="B442" s="54" t="s">
        <v>583</v>
      </c>
      <c r="C442" s="13"/>
      <c r="D442" s="14" t="s">
        <v>18</v>
      </c>
      <c r="E442" s="14" t="s">
        <v>28</v>
      </c>
      <c r="F442" s="14" t="s">
        <v>27</v>
      </c>
      <c r="G442" s="17">
        <f>'MAYO-18 '!I442</f>
        <v>0</v>
      </c>
      <c r="H442" s="51"/>
      <c r="I442" s="17">
        <f t="shared" si="8"/>
        <v>0</v>
      </c>
      <c r="J442" s="56"/>
      <c r="K442" s="300"/>
    </row>
    <row r="443" spans="1:11" ht="75">
      <c r="A443" s="141" t="s">
        <v>201</v>
      </c>
      <c r="B443" s="53" t="s">
        <v>585</v>
      </c>
      <c r="C443" s="13"/>
      <c r="D443" s="14"/>
      <c r="E443" s="14"/>
      <c r="F443" s="14"/>
      <c r="G443" s="17">
        <f>'MAYO-18 '!I443</f>
        <v>0</v>
      </c>
      <c r="H443" s="51"/>
      <c r="I443" s="17"/>
      <c r="J443" s="56"/>
      <c r="K443" s="56"/>
    </row>
    <row r="444" spans="1:11" ht="29.25">
      <c r="A444" s="11">
        <v>54110</v>
      </c>
      <c r="B444" s="54" t="s">
        <v>586</v>
      </c>
      <c r="C444" s="13"/>
      <c r="D444" s="14" t="s">
        <v>18</v>
      </c>
      <c r="E444" s="14" t="s">
        <v>28</v>
      </c>
      <c r="F444" s="14" t="s">
        <v>27</v>
      </c>
      <c r="G444" s="17">
        <f>'MAYO-18 '!I444</f>
        <v>0</v>
      </c>
      <c r="H444" s="51"/>
      <c r="I444" s="17">
        <f t="shared" si="8"/>
        <v>0</v>
      </c>
      <c r="J444" s="56"/>
      <c r="K444" s="300"/>
    </row>
    <row r="445" spans="1:11" ht="30">
      <c r="A445" s="11">
        <v>54111</v>
      </c>
      <c r="B445" s="54" t="s">
        <v>587</v>
      </c>
      <c r="C445" s="13"/>
      <c r="D445" s="14" t="s">
        <v>18</v>
      </c>
      <c r="E445" s="14" t="s">
        <v>28</v>
      </c>
      <c r="F445" s="14" t="s">
        <v>27</v>
      </c>
      <c r="G445" s="17">
        <f>'MAYO-18 '!I445</f>
        <v>0</v>
      </c>
      <c r="H445" s="51"/>
      <c r="I445" s="17">
        <f t="shared" si="8"/>
        <v>0</v>
      </c>
      <c r="J445" s="56"/>
      <c r="K445" s="300"/>
    </row>
    <row r="446" spans="1:11" ht="29.25">
      <c r="A446" s="11">
        <v>54112</v>
      </c>
      <c r="B446" s="54" t="s">
        <v>588</v>
      </c>
      <c r="C446" s="59"/>
      <c r="D446" s="14" t="s">
        <v>18</v>
      </c>
      <c r="E446" s="14" t="s">
        <v>28</v>
      </c>
      <c r="F446" s="14" t="s">
        <v>27</v>
      </c>
      <c r="G446" s="17">
        <f>'MAYO-18 '!I446</f>
        <v>0</v>
      </c>
      <c r="H446" s="51"/>
      <c r="I446" s="17">
        <f t="shared" si="8"/>
        <v>0</v>
      </c>
      <c r="J446" s="56"/>
      <c r="K446" s="300"/>
    </row>
    <row r="447" spans="1:11" ht="29.25">
      <c r="A447" s="11">
        <v>55603</v>
      </c>
      <c r="B447" s="54" t="s">
        <v>974</v>
      </c>
      <c r="C447" s="55"/>
      <c r="D447" s="14" t="s">
        <v>18</v>
      </c>
      <c r="E447" s="14" t="s">
        <v>28</v>
      </c>
      <c r="F447" s="14" t="s">
        <v>27</v>
      </c>
      <c r="G447" s="17">
        <f>'MAYO-18 '!I447</f>
        <v>0</v>
      </c>
      <c r="H447" s="51"/>
      <c r="I447" s="17">
        <f t="shared" si="8"/>
        <v>0</v>
      </c>
      <c r="J447" s="11"/>
      <c r="K447" s="129"/>
    </row>
    <row r="448" spans="1:11" ht="90">
      <c r="A448" s="11" t="s">
        <v>220</v>
      </c>
      <c r="B448" s="53" t="s">
        <v>966</v>
      </c>
      <c r="C448" s="55"/>
      <c r="D448" s="14"/>
      <c r="E448" s="14"/>
      <c r="F448" s="14"/>
      <c r="G448" s="17">
        <f>'MAYO-18 '!I448</f>
        <v>0</v>
      </c>
      <c r="H448" s="51"/>
      <c r="I448" s="17"/>
      <c r="J448" s="11"/>
      <c r="K448" s="54"/>
    </row>
    <row r="449" spans="1:11" ht="29.25">
      <c r="A449" s="11">
        <v>51202</v>
      </c>
      <c r="B449" s="54" t="s">
        <v>589</v>
      </c>
      <c r="C449" s="55"/>
      <c r="D449" s="14" t="s">
        <v>18</v>
      </c>
      <c r="E449" s="14" t="s">
        <v>28</v>
      </c>
      <c r="F449" s="14" t="s">
        <v>27</v>
      </c>
      <c r="G449" s="17">
        <f>'MAYO-18 '!I449</f>
        <v>0</v>
      </c>
      <c r="H449" s="51"/>
      <c r="I449" s="17">
        <f t="shared" si="8"/>
        <v>0</v>
      </c>
      <c r="J449" s="11"/>
      <c r="K449" s="251"/>
    </row>
    <row r="450" spans="1:11" ht="29.25" customHeight="1">
      <c r="A450" s="11">
        <v>54110</v>
      </c>
      <c r="B450" s="54" t="s">
        <v>590</v>
      </c>
      <c r="C450" s="55"/>
      <c r="D450" s="14" t="s">
        <v>18</v>
      </c>
      <c r="E450" s="14" t="s">
        <v>28</v>
      </c>
      <c r="F450" s="14" t="s">
        <v>27</v>
      </c>
      <c r="G450" s="17">
        <f>'MAYO-18 '!I450</f>
        <v>0</v>
      </c>
      <c r="H450" s="51"/>
      <c r="I450" s="17">
        <f t="shared" si="8"/>
        <v>0</v>
      </c>
      <c r="J450" s="11"/>
      <c r="K450" s="251"/>
    </row>
    <row r="451" spans="1:11" ht="30">
      <c r="A451" s="11">
        <v>54111</v>
      </c>
      <c r="B451" s="54" t="s">
        <v>591</v>
      </c>
      <c r="C451" s="55"/>
      <c r="D451" s="14" t="s">
        <v>18</v>
      </c>
      <c r="E451" s="14" t="s">
        <v>28</v>
      </c>
      <c r="F451" s="14" t="s">
        <v>27</v>
      </c>
      <c r="G451" s="17">
        <f>'MAYO-18 '!I451</f>
        <v>-6.3726801613483985E-14</v>
      </c>
      <c r="H451" s="51"/>
      <c r="I451" s="17">
        <f t="shared" si="8"/>
        <v>-6.3726801613483985E-14</v>
      </c>
      <c r="J451" s="252"/>
      <c r="K451" s="251"/>
    </row>
    <row r="452" spans="1:11" ht="29.25">
      <c r="A452" s="11">
        <v>54112</v>
      </c>
      <c r="B452" s="54" t="s">
        <v>592</v>
      </c>
      <c r="C452" s="55"/>
      <c r="D452" s="14" t="s">
        <v>18</v>
      </c>
      <c r="E452" s="14" t="s">
        <v>28</v>
      </c>
      <c r="F452" s="14" t="s">
        <v>27</v>
      </c>
      <c r="G452" s="17">
        <f>'MAYO-18 '!I452</f>
        <v>0</v>
      </c>
      <c r="H452" s="51"/>
      <c r="I452" s="17">
        <f t="shared" si="8"/>
        <v>0</v>
      </c>
      <c r="J452" s="11"/>
      <c r="K452" s="251"/>
    </row>
    <row r="453" spans="1:11" ht="29.25">
      <c r="A453" s="11">
        <v>54313</v>
      </c>
      <c r="B453" s="54" t="s">
        <v>593</v>
      </c>
      <c r="C453" s="55"/>
      <c r="D453" s="14" t="s">
        <v>18</v>
      </c>
      <c r="E453" s="14" t="s">
        <v>28</v>
      </c>
      <c r="F453" s="14" t="s">
        <v>27</v>
      </c>
      <c r="G453" s="17">
        <f>'MAYO-18 '!I453</f>
        <v>0</v>
      </c>
      <c r="H453" s="51"/>
      <c r="I453" s="17">
        <f t="shared" si="8"/>
        <v>0</v>
      </c>
      <c r="J453" s="11"/>
      <c r="K453" s="251"/>
    </row>
    <row r="454" spans="1:11" ht="105" customHeight="1">
      <c r="A454" s="11" t="s">
        <v>238</v>
      </c>
      <c r="B454" s="53" t="s">
        <v>595</v>
      </c>
      <c r="C454" s="343" t="s">
        <v>1105</v>
      </c>
      <c r="D454" s="14"/>
      <c r="E454" s="14"/>
      <c r="F454" s="14"/>
      <c r="G454" s="17">
        <f>'MAYO-18 '!I454</f>
        <v>0</v>
      </c>
      <c r="H454" s="51"/>
      <c r="I454" s="17"/>
      <c r="J454" s="11"/>
      <c r="K454" s="54"/>
    </row>
    <row r="455" spans="1:11" ht="29.25">
      <c r="A455" s="11">
        <v>51202</v>
      </c>
      <c r="B455" s="54" t="s">
        <v>594</v>
      </c>
      <c r="C455" s="55"/>
      <c r="D455" s="14" t="s">
        <v>18</v>
      </c>
      <c r="E455" s="14" t="s">
        <v>28</v>
      </c>
      <c r="F455" s="14" t="s">
        <v>27</v>
      </c>
      <c r="G455" s="17">
        <f>'MAYO-18 '!I455</f>
        <v>1391.1099999999997</v>
      </c>
      <c r="H455" s="51"/>
      <c r="I455" s="17">
        <f t="shared" si="8"/>
        <v>1391.1099999999997</v>
      </c>
      <c r="J455" s="272"/>
      <c r="K455" s="129"/>
    </row>
    <row r="456" spans="1:11" ht="29.25">
      <c r="A456" s="11">
        <v>54110</v>
      </c>
      <c r="B456" s="54" t="s">
        <v>596</v>
      </c>
      <c r="C456" s="55"/>
      <c r="D456" s="14" t="s">
        <v>18</v>
      </c>
      <c r="E456" s="14" t="s">
        <v>28</v>
      </c>
      <c r="F456" s="14" t="s">
        <v>27</v>
      </c>
      <c r="G456" s="17">
        <f>'MAYO-18 '!I456</f>
        <v>240.85000000000002</v>
      </c>
      <c r="H456" s="51"/>
      <c r="I456" s="17">
        <f t="shared" si="8"/>
        <v>240.85000000000002</v>
      </c>
      <c r="J456" s="272"/>
      <c r="K456" s="129"/>
    </row>
    <row r="457" spans="1:11" ht="29.25">
      <c r="A457" s="11">
        <v>54111</v>
      </c>
      <c r="B457" s="54" t="s">
        <v>597</v>
      </c>
      <c r="C457" s="55"/>
      <c r="D457" s="14" t="s">
        <v>18</v>
      </c>
      <c r="E457" s="14" t="s">
        <v>28</v>
      </c>
      <c r="F457" s="14" t="s">
        <v>27</v>
      </c>
      <c r="G457" s="17">
        <f>'MAYO-18 '!I457</f>
        <v>65</v>
      </c>
      <c r="H457" s="51"/>
      <c r="I457" s="17">
        <f t="shared" si="8"/>
        <v>65</v>
      </c>
      <c r="J457" s="128"/>
      <c r="K457" s="129"/>
    </row>
    <row r="458" spans="1:11" ht="29.25">
      <c r="A458" s="11">
        <v>54112</v>
      </c>
      <c r="B458" s="54" t="s">
        <v>598</v>
      </c>
      <c r="C458" s="55"/>
      <c r="D458" s="14" t="s">
        <v>18</v>
      </c>
      <c r="E458" s="14" t="s">
        <v>28</v>
      </c>
      <c r="F458" s="14" t="s">
        <v>27</v>
      </c>
      <c r="G458" s="17">
        <f>'MAYO-18 '!I458</f>
        <v>490.64000000000033</v>
      </c>
      <c r="H458" s="51"/>
      <c r="I458" s="17">
        <f t="shared" si="8"/>
        <v>490.64000000000033</v>
      </c>
      <c r="J458" s="128"/>
      <c r="K458" s="129"/>
    </row>
    <row r="459" spans="1:11" ht="29.25">
      <c r="A459" s="11">
        <v>54118</v>
      </c>
      <c r="B459" s="54" t="s">
        <v>599</v>
      </c>
      <c r="C459" s="55"/>
      <c r="D459" s="14" t="s">
        <v>18</v>
      </c>
      <c r="E459" s="14" t="s">
        <v>28</v>
      </c>
      <c r="F459" s="14" t="s">
        <v>27</v>
      </c>
      <c r="G459" s="17">
        <f>'MAYO-18 '!I459</f>
        <v>0</v>
      </c>
      <c r="H459" s="51"/>
      <c r="I459" s="17">
        <f t="shared" si="8"/>
        <v>0</v>
      </c>
      <c r="J459" s="142"/>
      <c r="K459" s="142"/>
    </row>
    <row r="460" spans="1:11" ht="29.25">
      <c r="A460" s="11">
        <v>54304</v>
      </c>
      <c r="B460" s="54" t="s">
        <v>600</v>
      </c>
      <c r="C460" s="55"/>
      <c r="D460" s="14" t="s">
        <v>18</v>
      </c>
      <c r="E460" s="14" t="s">
        <v>28</v>
      </c>
      <c r="F460" s="14" t="s">
        <v>27</v>
      </c>
      <c r="G460" s="17">
        <f>'MAYO-18 '!I460</f>
        <v>0</v>
      </c>
      <c r="H460" s="51"/>
      <c r="I460" s="17">
        <f t="shared" si="8"/>
        <v>0</v>
      </c>
      <c r="J460" s="56"/>
      <c r="K460" s="237"/>
    </row>
    <row r="461" spans="1:11" ht="29.25">
      <c r="A461" s="11">
        <v>54313</v>
      </c>
      <c r="B461" s="54" t="s">
        <v>601</v>
      </c>
      <c r="C461" s="55"/>
      <c r="D461" s="14" t="s">
        <v>18</v>
      </c>
      <c r="E461" s="14" t="s">
        <v>28</v>
      </c>
      <c r="F461" s="14" t="s">
        <v>27</v>
      </c>
      <c r="G461" s="17">
        <f>'MAYO-18 '!I461</f>
        <v>0</v>
      </c>
      <c r="H461" s="51"/>
      <c r="I461" s="17">
        <f t="shared" si="8"/>
        <v>0</v>
      </c>
      <c r="J461" s="56"/>
      <c r="K461" s="237"/>
    </row>
    <row r="462" spans="1:11" ht="57.75">
      <c r="A462" s="11">
        <v>54316</v>
      </c>
      <c r="B462" s="54" t="s">
        <v>1047</v>
      </c>
      <c r="C462" s="55"/>
      <c r="D462" s="14" t="s">
        <v>18</v>
      </c>
      <c r="E462" s="14" t="s">
        <v>28</v>
      </c>
      <c r="F462" s="14" t="s">
        <v>27</v>
      </c>
      <c r="G462" s="17">
        <f>'MAYO-18 '!I462</f>
        <v>0</v>
      </c>
      <c r="H462" s="51"/>
      <c r="I462" s="17">
        <f t="shared" si="8"/>
        <v>0</v>
      </c>
      <c r="J462" s="137"/>
      <c r="K462" s="237"/>
    </row>
    <row r="463" spans="1:11" ht="29.25">
      <c r="A463" s="11">
        <v>54399</v>
      </c>
      <c r="B463" s="54" t="s">
        <v>602</v>
      </c>
      <c r="C463" s="13"/>
      <c r="D463" s="14" t="s">
        <v>18</v>
      </c>
      <c r="E463" s="14" t="s">
        <v>28</v>
      </c>
      <c r="F463" s="14" t="s">
        <v>27</v>
      </c>
      <c r="G463" s="17">
        <f>'MAYO-18 '!I463</f>
        <v>0</v>
      </c>
      <c r="H463" s="51"/>
      <c r="I463" s="17">
        <f t="shared" si="8"/>
        <v>0</v>
      </c>
      <c r="J463" s="56"/>
      <c r="K463" s="300"/>
    </row>
    <row r="464" spans="1:11" ht="29.25">
      <c r="A464" s="11">
        <v>55603</v>
      </c>
      <c r="B464" s="54" t="s">
        <v>603</v>
      </c>
      <c r="C464" s="55"/>
      <c r="D464" s="14" t="s">
        <v>18</v>
      </c>
      <c r="E464" s="14" t="s">
        <v>28</v>
      </c>
      <c r="F464" s="14" t="s">
        <v>27</v>
      </c>
      <c r="G464" s="17">
        <f>'MAYO-18 '!I464</f>
        <v>0</v>
      </c>
      <c r="H464" s="51"/>
      <c r="I464" s="17">
        <f t="shared" si="8"/>
        <v>0</v>
      </c>
      <c r="J464" s="56"/>
      <c r="K464" s="300"/>
    </row>
    <row r="465" spans="1:11" ht="102.75" customHeight="1">
      <c r="A465" s="141" t="s">
        <v>256</v>
      </c>
      <c r="B465" s="53" t="s">
        <v>982</v>
      </c>
      <c r="C465" s="13"/>
      <c r="D465" s="14"/>
      <c r="E465" s="14"/>
      <c r="F465" s="14"/>
      <c r="G465" s="17">
        <f>'MAYO-18 '!I465</f>
        <v>0</v>
      </c>
      <c r="H465" s="51"/>
      <c r="I465" s="17"/>
      <c r="J465" s="56"/>
      <c r="K465" s="56"/>
    </row>
    <row r="466" spans="1:11" ht="29.25">
      <c r="A466" s="11">
        <v>51202</v>
      </c>
      <c r="B466" s="53" t="s">
        <v>605</v>
      </c>
      <c r="C466" s="13"/>
      <c r="D466" s="14" t="s">
        <v>18</v>
      </c>
      <c r="E466" s="14" t="s">
        <v>28</v>
      </c>
      <c r="F466" s="14" t="s">
        <v>27</v>
      </c>
      <c r="G466" s="17">
        <f>'MAYO-18 '!I466</f>
        <v>0</v>
      </c>
      <c r="H466" s="51"/>
      <c r="I466" s="17">
        <f t="shared" si="8"/>
        <v>0</v>
      </c>
      <c r="J466" s="237"/>
      <c r="K466" s="333"/>
    </row>
    <row r="467" spans="1:11" ht="29.25">
      <c r="A467" s="11">
        <v>54110</v>
      </c>
      <c r="B467" s="53" t="s">
        <v>606</v>
      </c>
      <c r="C467" s="13"/>
      <c r="D467" s="14" t="s">
        <v>18</v>
      </c>
      <c r="E467" s="14" t="s">
        <v>28</v>
      </c>
      <c r="F467" s="14" t="s">
        <v>27</v>
      </c>
      <c r="G467" s="17">
        <f>'MAYO-18 '!I467</f>
        <v>0</v>
      </c>
      <c r="H467" s="51"/>
      <c r="I467" s="17">
        <f t="shared" si="8"/>
        <v>0</v>
      </c>
      <c r="J467" s="237"/>
      <c r="K467" s="333"/>
    </row>
    <row r="468" spans="1:11" ht="30">
      <c r="A468" s="11">
        <v>54111</v>
      </c>
      <c r="B468" s="53" t="s">
        <v>607</v>
      </c>
      <c r="C468" s="13"/>
      <c r="D468" s="14" t="s">
        <v>18</v>
      </c>
      <c r="E468" s="14" t="s">
        <v>28</v>
      </c>
      <c r="F468" s="14" t="s">
        <v>27</v>
      </c>
      <c r="G468" s="17">
        <f>'MAYO-18 '!I468</f>
        <v>0</v>
      </c>
      <c r="H468" s="212"/>
      <c r="I468" s="17">
        <f t="shared" si="8"/>
        <v>0</v>
      </c>
      <c r="J468" s="253"/>
      <c r="K468" s="333"/>
    </row>
    <row r="469" spans="1:11" ht="29.25">
      <c r="A469" s="11">
        <v>54112</v>
      </c>
      <c r="B469" s="53" t="s">
        <v>608</v>
      </c>
      <c r="C469" s="13"/>
      <c r="D469" s="14" t="s">
        <v>18</v>
      </c>
      <c r="E469" s="14" t="s">
        <v>28</v>
      </c>
      <c r="F469" s="14" t="s">
        <v>27</v>
      </c>
      <c r="G469" s="17">
        <f>'MAYO-18 '!I469</f>
        <v>0</v>
      </c>
      <c r="H469" s="51"/>
      <c r="I469" s="17">
        <f t="shared" si="8"/>
        <v>0</v>
      </c>
      <c r="J469" s="237"/>
      <c r="K469" s="334"/>
    </row>
    <row r="470" spans="1:11" ht="29.25">
      <c r="A470" s="11">
        <v>54118</v>
      </c>
      <c r="B470" s="53" t="s">
        <v>609</v>
      </c>
      <c r="C470" s="13"/>
      <c r="D470" s="14" t="s">
        <v>18</v>
      </c>
      <c r="E470" s="14" t="s">
        <v>28</v>
      </c>
      <c r="F470" s="14" t="s">
        <v>27</v>
      </c>
      <c r="G470" s="17">
        <f>'MAYO-18 '!I470</f>
        <v>0</v>
      </c>
      <c r="H470" s="51"/>
      <c r="I470" s="17">
        <f t="shared" si="8"/>
        <v>0</v>
      </c>
      <c r="J470" s="237"/>
      <c r="K470" s="333"/>
    </row>
    <row r="471" spans="1:11" ht="29.25">
      <c r="A471" s="11">
        <v>54304</v>
      </c>
      <c r="B471" s="53" t="s">
        <v>610</v>
      </c>
      <c r="C471" s="13"/>
      <c r="D471" s="14" t="s">
        <v>18</v>
      </c>
      <c r="E471" s="14" t="s">
        <v>28</v>
      </c>
      <c r="F471" s="14" t="s">
        <v>27</v>
      </c>
      <c r="G471" s="17">
        <f>'MAYO-18 '!I471</f>
        <v>0</v>
      </c>
      <c r="H471" s="51"/>
      <c r="I471" s="17">
        <f t="shared" si="8"/>
        <v>0</v>
      </c>
      <c r="J471" s="56"/>
      <c r="K471" s="300"/>
    </row>
    <row r="472" spans="1:11" ht="29.25">
      <c r="A472" s="11">
        <v>54313</v>
      </c>
      <c r="B472" s="53" t="s">
        <v>611</v>
      </c>
      <c r="C472" s="13"/>
      <c r="D472" s="14" t="s">
        <v>18</v>
      </c>
      <c r="E472" s="14" t="s">
        <v>28</v>
      </c>
      <c r="F472" s="14" t="s">
        <v>27</v>
      </c>
      <c r="G472" s="17">
        <f>'MAYO-18 '!I472</f>
        <v>0</v>
      </c>
      <c r="H472" s="51"/>
      <c r="I472" s="17">
        <f t="shared" si="8"/>
        <v>0</v>
      </c>
      <c r="J472" s="56"/>
      <c r="K472" s="300"/>
    </row>
    <row r="473" spans="1:11" ht="105">
      <c r="A473" s="141" t="s">
        <v>264</v>
      </c>
      <c r="B473" s="53" t="s">
        <v>981</v>
      </c>
      <c r="C473" s="13"/>
      <c r="D473" s="14"/>
      <c r="E473" s="14"/>
      <c r="F473" s="14"/>
      <c r="G473" s="17">
        <f>'MAYO-18 '!I473</f>
        <v>0</v>
      </c>
      <c r="H473" s="51"/>
      <c r="I473" s="17"/>
      <c r="J473" s="56"/>
      <c r="K473" s="331"/>
    </row>
    <row r="474" spans="1:11" ht="29.25">
      <c r="A474" s="11">
        <v>51202</v>
      </c>
      <c r="B474" s="53" t="s">
        <v>613</v>
      </c>
      <c r="C474" s="13"/>
      <c r="D474" s="14" t="s">
        <v>18</v>
      </c>
      <c r="E474" s="14" t="s">
        <v>28</v>
      </c>
      <c r="F474" s="14" t="s">
        <v>27</v>
      </c>
      <c r="G474" s="17">
        <f>'MAYO-18 '!I474</f>
        <v>0</v>
      </c>
      <c r="H474" s="51"/>
      <c r="I474" s="17">
        <f t="shared" si="8"/>
        <v>0</v>
      </c>
      <c r="J474" s="56"/>
      <c r="K474" s="335"/>
    </row>
    <row r="475" spans="1:11" ht="29.25">
      <c r="A475" s="11">
        <v>54110</v>
      </c>
      <c r="B475" s="53" t="s">
        <v>614</v>
      </c>
      <c r="C475" s="13"/>
      <c r="D475" s="14" t="s">
        <v>18</v>
      </c>
      <c r="E475" s="14" t="s">
        <v>28</v>
      </c>
      <c r="F475" s="14" t="s">
        <v>27</v>
      </c>
      <c r="G475" s="17">
        <f>'MAYO-18 '!I475</f>
        <v>0</v>
      </c>
      <c r="H475" s="51"/>
      <c r="I475" s="17">
        <f t="shared" si="8"/>
        <v>0</v>
      </c>
      <c r="J475" s="56"/>
      <c r="K475" s="336"/>
    </row>
    <row r="476" spans="1:11" ht="43.5">
      <c r="A476" s="11">
        <v>54111</v>
      </c>
      <c r="B476" s="53" t="s">
        <v>615</v>
      </c>
      <c r="C476" s="13"/>
      <c r="D476" s="14" t="s">
        <v>18</v>
      </c>
      <c r="E476" s="14" t="s">
        <v>28</v>
      </c>
      <c r="F476" s="14" t="s">
        <v>27</v>
      </c>
      <c r="G476" s="17">
        <f>'MAYO-18 '!I476</f>
        <v>0</v>
      </c>
      <c r="H476" s="51"/>
      <c r="I476" s="17">
        <f t="shared" si="8"/>
        <v>0</v>
      </c>
      <c r="J476" s="239"/>
      <c r="K476" s="333"/>
    </row>
    <row r="477" spans="1:11" ht="43.5">
      <c r="A477" s="11">
        <v>54112</v>
      </c>
      <c r="B477" s="53" t="s">
        <v>616</v>
      </c>
      <c r="C477" s="13"/>
      <c r="D477" s="14" t="s">
        <v>18</v>
      </c>
      <c r="E477" s="14" t="s">
        <v>28</v>
      </c>
      <c r="F477" s="14" t="s">
        <v>27</v>
      </c>
      <c r="G477" s="17">
        <f>'MAYO-18 '!I477</f>
        <v>0</v>
      </c>
      <c r="H477" s="51"/>
      <c r="I477" s="17">
        <f t="shared" si="8"/>
        <v>0</v>
      </c>
      <c r="J477" s="56"/>
      <c r="K477" s="336"/>
    </row>
    <row r="478" spans="1:11" ht="43.5">
      <c r="A478" s="11">
        <v>54118</v>
      </c>
      <c r="B478" s="53" t="s">
        <v>617</v>
      </c>
      <c r="C478" s="13"/>
      <c r="D478" s="14" t="s">
        <v>18</v>
      </c>
      <c r="E478" s="14" t="s">
        <v>28</v>
      </c>
      <c r="F478" s="14" t="s">
        <v>27</v>
      </c>
      <c r="G478" s="17">
        <f>'MAYO-18 '!I478</f>
        <v>-9.9920072216264089E-16</v>
      </c>
      <c r="H478" s="51"/>
      <c r="I478" s="17">
        <f t="shared" si="8"/>
        <v>-9.9920072216264089E-16</v>
      </c>
      <c r="J478" s="56"/>
      <c r="K478" s="301"/>
    </row>
    <row r="479" spans="1:11" ht="43.5">
      <c r="A479" s="11">
        <v>54304</v>
      </c>
      <c r="B479" s="53" t="s">
        <v>618</v>
      </c>
      <c r="C479" s="13"/>
      <c r="D479" s="14" t="s">
        <v>18</v>
      </c>
      <c r="E479" s="14" t="s">
        <v>28</v>
      </c>
      <c r="F479" s="14" t="s">
        <v>27</v>
      </c>
      <c r="G479" s="17">
        <f>'MAYO-18 '!I479</f>
        <v>0</v>
      </c>
      <c r="H479" s="51"/>
      <c r="I479" s="17">
        <f t="shared" si="8"/>
        <v>0</v>
      </c>
      <c r="J479" s="56"/>
      <c r="K479" s="142"/>
    </row>
    <row r="480" spans="1:11" ht="43.5">
      <c r="A480" s="11">
        <v>54313</v>
      </c>
      <c r="B480" s="53" t="s">
        <v>619</v>
      </c>
      <c r="C480" s="13"/>
      <c r="D480" s="14" t="s">
        <v>18</v>
      </c>
      <c r="E480" s="14" t="s">
        <v>28</v>
      </c>
      <c r="F480" s="14" t="s">
        <v>27</v>
      </c>
      <c r="G480" s="17">
        <f>'MAYO-18 '!I480</f>
        <v>0</v>
      </c>
      <c r="H480" s="51"/>
      <c r="I480" s="17">
        <f t="shared" si="8"/>
        <v>0</v>
      </c>
      <c r="J480" s="237"/>
      <c r="K480" s="137"/>
    </row>
    <row r="481" spans="1:11" ht="105">
      <c r="A481" s="144" t="s">
        <v>269</v>
      </c>
      <c r="B481" s="53" t="s">
        <v>983</v>
      </c>
      <c r="C481" s="13"/>
      <c r="D481" s="14"/>
      <c r="E481" s="14"/>
      <c r="F481" s="14"/>
      <c r="G481" s="17">
        <f>'MAYO-18 '!I481</f>
        <v>0</v>
      </c>
      <c r="H481" s="51"/>
      <c r="I481" s="17"/>
      <c r="J481" s="56"/>
      <c r="K481" s="56"/>
    </row>
    <row r="482" spans="1:11" ht="29.25">
      <c r="A482" s="11">
        <v>51202</v>
      </c>
      <c r="B482" s="54" t="s">
        <v>620</v>
      </c>
      <c r="C482" s="13"/>
      <c r="D482" s="14" t="s">
        <v>18</v>
      </c>
      <c r="E482" s="14" t="s">
        <v>28</v>
      </c>
      <c r="F482" s="14" t="s">
        <v>27</v>
      </c>
      <c r="G482" s="17">
        <f>'MAYO-18 '!I482</f>
        <v>0</v>
      </c>
      <c r="H482" s="51"/>
      <c r="I482" s="17">
        <f t="shared" si="8"/>
        <v>0</v>
      </c>
      <c r="J482" s="56"/>
      <c r="K482" s="300"/>
    </row>
    <row r="483" spans="1:11" ht="35.25" customHeight="1">
      <c r="A483" s="11">
        <v>54110</v>
      </c>
      <c r="B483" s="54" t="s">
        <v>622</v>
      </c>
      <c r="C483" s="13"/>
      <c r="D483" s="14" t="s">
        <v>18</v>
      </c>
      <c r="E483" s="14" t="s">
        <v>28</v>
      </c>
      <c r="F483" s="14" t="s">
        <v>27</v>
      </c>
      <c r="G483" s="17">
        <f>'MAYO-18 '!I483</f>
        <v>0</v>
      </c>
      <c r="H483" s="51"/>
      <c r="I483" s="17">
        <f t="shared" si="8"/>
        <v>0</v>
      </c>
      <c r="J483" s="56"/>
      <c r="K483" s="300"/>
    </row>
    <row r="484" spans="1:11" ht="43.5">
      <c r="A484" s="11">
        <v>54111</v>
      </c>
      <c r="B484" s="54" t="s">
        <v>621</v>
      </c>
      <c r="C484" s="13"/>
      <c r="D484" s="14" t="s">
        <v>18</v>
      </c>
      <c r="E484" s="14" t="s">
        <v>28</v>
      </c>
      <c r="F484" s="14" t="s">
        <v>27</v>
      </c>
      <c r="G484" s="17">
        <f>'MAYO-18 '!I484</f>
        <v>0</v>
      </c>
      <c r="H484" s="51"/>
      <c r="I484" s="17">
        <f t="shared" si="8"/>
        <v>0</v>
      </c>
      <c r="J484" s="56"/>
      <c r="K484" s="300"/>
    </row>
    <row r="485" spans="1:11" ht="43.5">
      <c r="A485" s="11">
        <v>54112</v>
      </c>
      <c r="B485" s="54" t="s">
        <v>623</v>
      </c>
      <c r="C485" s="13"/>
      <c r="D485" s="14" t="s">
        <v>18</v>
      </c>
      <c r="E485" s="14" t="s">
        <v>28</v>
      </c>
      <c r="F485" s="14" t="s">
        <v>27</v>
      </c>
      <c r="G485" s="17">
        <f>'MAYO-18 '!I485</f>
        <v>0</v>
      </c>
      <c r="H485" s="51"/>
      <c r="I485" s="17">
        <f t="shared" si="8"/>
        <v>0</v>
      </c>
      <c r="J485" s="56"/>
      <c r="K485" s="300"/>
    </row>
    <row r="486" spans="1:11" ht="43.5">
      <c r="A486" s="11">
        <v>54118</v>
      </c>
      <c r="B486" s="54" t="s">
        <v>624</v>
      </c>
      <c r="C486" s="13"/>
      <c r="D486" s="14" t="s">
        <v>18</v>
      </c>
      <c r="E486" s="14" t="s">
        <v>28</v>
      </c>
      <c r="F486" s="14" t="s">
        <v>27</v>
      </c>
      <c r="G486" s="17">
        <f>'MAYO-18 '!I486</f>
        <v>0</v>
      </c>
      <c r="H486" s="51"/>
      <c r="I486" s="17">
        <f t="shared" si="8"/>
        <v>0</v>
      </c>
      <c r="J486" s="56"/>
      <c r="K486" s="300"/>
    </row>
    <row r="487" spans="1:11" ht="43.5">
      <c r="A487" s="11">
        <v>54304</v>
      </c>
      <c r="B487" s="54" t="s">
        <v>625</v>
      </c>
      <c r="C487" s="13"/>
      <c r="D487" s="14" t="s">
        <v>18</v>
      </c>
      <c r="E487" s="14" t="s">
        <v>28</v>
      </c>
      <c r="F487" s="14" t="s">
        <v>27</v>
      </c>
      <c r="G487" s="17">
        <f>'MAYO-18 '!I487</f>
        <v>0</v>
      </c>
      <c r="H487" s="51"/>
      <c r="I487" s="17">
        <f t="shared" si="8"/>
        <v>0</v>
      </c>
      <c r="J487" s="56"/>
      <c r="K487" s="300"/>
    </row>
    <row r="488" spans="1:11" ht="43.5">
      <c r="A488" s="11">
        <v>54313</v>
      </c>
      <c r="B488" s="54" t="s">
        <v>626</v>
      </c>
      <c r="C488" s="13"/>
      <c r="D488" s="14" t="s">
        <v>18</v>
      </c>
      <c r="E488" s="14" t="s">
        <v>28</v>
      </c>
      <c r="F488" s="14" t="s">
        <v>27</v>
      </c>
      <c r="G488" s="17">
        <f>'MAYO-18 '!I488</f>
        <v>0</v>
      </c>
      <c r="H488" s="51"/>
      <c r="I488" s="17">
        <f t="shared" si="8"/>
        <v>0</v>
      </c>
      <c r="J488" s="56"/>
      <c r="K488" s="300"/>
    </row>
    <row r="489" spans="1:11" ht="105">
      <c r="A489" s="144" t="s">
        <v>289</v>
      </c>
      <c r="B489" s="53" t="s">
        <v>984</v>
      </c>
      <c r="C489" s="13"/>
      <c r="D489" s="14"/>
      <c r="E489" s="14"/>
      <c r="F489" s="14"/>
      <c r="G489" s="17">
        <f>'MAYO-18 '!I489</f>
        <v>0</v>
      </c>
      <c r="H489" s="51"/>
      <c r="I489" s="17"/>
      <c r="J489" s="56"/>
      <c r="K489" s="56"/>
    </row>
    <row r="490" spans="1:11" ht="29.25">
      <c r="A490" s="11">
        <v>51202</v>
      </c>
      <c r="B490" s="53" t="s">
        <v>628</v>
      </c>
      <c r="C490" s="13"/>
      <c r="D490" s="14" t="s">
        <v>18</v>
      </c>
      <c r="E490" s="14" t="s">
        <v>28</v>
      </c>
      <c r="F490" s="14" t="s">
        <v>27</v>
      </c>
      <c r="G490" s="17">
        <f>'MAYO-18 '!I490</f>
        <v>0</v>
      </c>
      <c r="H490" s="108"/>
      <c r="I490" s="17">
        <f t="shared" si="8"/>
        <v>0</v>
      </c>
      <c r="J490" s="56"/>
      <c r="K490" s="142"/>
    </row>
    <row r="491" spans="1:11" ht="29.25">
      <c r="A491" s="11">
        <v>54110</v>
      </c>
      <c r="B491" s="53" t="s">
        <v>629</v>
      </c>
      <c r="C491" s="13"/>
      <c r="D491" s="14" t="s">
        <v>18</v>
      </c>
      <c r="E491" s="14" t="s">
        <v>28</v>
      </c>
      <c r="F491" s="14" t="s">
        <v>27</v>
      </c>
      <c r="G491" s="17">
        <f>'MAYO-18 '!I491</f>
        <v>0</v>
      </c>
      <c r="H491" s="51"/>
      <c r="I491" s="17">
        <f t="shared" si="8"/>
        <v>0</v>
      </c>
      <c r="J491" s="56"/>
      <c r="K491" s="142"/>
    </row>
    <row r="492" spans="1:11" ht="29.25">
      <c r="A492" s="11">
        <v>54111</v>
      </c>
      <c r="B492" s="53" t="s">
        <v>630</v>
      </c>
      <c r="C492" s="13"/>
      <c r="D492" s="14" t="s">
        <v>18</v>
      </c>
      <c r="E492" s="14" t="s">
        <v>28</v>
      </c>
      <c r="F492" s="14" t="s">
        <v>27</v>
      </c>
      <c r="G492" s="17">
        <f>'MAYO-18 '!I492</f>
        <v>0</v>
      </c>
      <c r="H492" s="51"/>
      <c r="I492" s="17">
        <f t="shared" ref="I492:I555" si="9">G492-H492+J492-K492</f>
        <v>0</v>
      </c>
      <c r="J492" s="142"/>
      <c r="K492" s="142"/>
    </row>
    <row r="493" spans="1:11" ht="29.25">
      <c r="A493" s="11">
        <v>54112</v>
      </c>
      <c r="B493" s="53" t="s">
        <v>631</v>
      </c>
      <c r="C493" s="13"/>
      <c r="D493" s="14" t="s">
        <v>18</v>
      </c>
      <c r="E493" s="14" t="s">
        <v>28</v>
      </c>
      <c r="F493" s="14" t="s">
        <v>27</v>
      </c>
      <c r="G493" s="17">
        <f>'MAYO-18 '!I493</f>
        <v>0</v>
      </c>
      <c r="H493" s="51"/>
      <c r="I493" s="17">
        <f t="shared" si="9"/>
        <v>0</v>
      </c>
      <c r="J493" s="56"/>
      <c r="K493" s="142"/>
    </row>
    <row r="494" spans="1:11" ht="29.25">
      <c r="A494" s="11">
        <v>54118</v>
      </c>
      <c r="B494" s="53" t="s">
        <v>632</v>
      </c>
      <c r="C494" s="13"/>
      <c r="D494" s="14" t="s">
        <v>18</v>
      </c>
      <c r="E494" s="14" t="s">
        <v>28</v>
      </c>
      <c r="F494" s="14" t="s">
        <v>27</v>
      </c>
      <c r="G494" s="17">
        <f>'MAYO-18 '!I494</f>
        <v>0</v>
      </c>
      <c r="H494" s="51"/>
      <c r="I494" s="17">
        <f t="shared" si="9"/>
        <v>0</v>
      </c>
      <c r="J494" s="56"/>
      <c r="K494" s="137"/>
    </row>
    <row r="495" spans="1:11" ht="29.25">
      <c r="A495" s="11">
        <v>54304</v>
      </c>
      <c r="B495" s="53" t="s">
        <v>633</v>
      </c>
      <c r="C495" s="13"/>
      <c r="D495" s="14" t="s">
        <v>18</v>
      </c>
      <c r="E495" s="14" t="s">
        <v>28</v>
      </c>
      <c r="F495" s="14" t="s">
        <v>27</v>
      </c>
      <c r="G495" s="17">
        <f>'MAYO-18 '!I495</f>
        <v>0</v>
      </c>
      <c r="H495" s="51"/>
      <c r="I495" s="17">
        <f t="shared" si="9"/>
        <v>0</v>
      </c>
      <c r="J495" s="56"/>
      <c r="K495" s="137"/>
    </row>
    <row r="496" spans="1:11" ht="29.25">
      <c r="A496" s="11">
        <v>54313</v>
      </c>
      <c r="B496" s="53" t="s">
        <v>634</v>
      </c>
      <c r="C496" s="13"/>
      <c r="D496" s="14" t="s">
        <v>18</v>
      </c>
      <c r="E496" s="14" t="s">
        <v>28</v>
      </c>
      <c r="F496" s="14" t="s">
        <v>27</v>
      </c>
      <c r="G496" s="17">
        <f>'MAYO-18 '!I496</f>
        <v>0</v>
      </c>
      <c r="H496" s="51"/>
      <c r="I496" s="17">
        <f t="shared" si="9"/>
        <v>0</v>
      </c>
      <c r="J496" s="56"/>
      <c r="K496" s="142"/>
    </row>
    <row r="497" spans="1:11" ht="90">
      <c r="A497" s="141" t="s">
        <v>300</v>
      </c>
      <c r="B497" s="53" t="s">
        <v>635</v>
      </c>
      <c r="C497" s="13"/>
      <c r="D497" s="14"/>
      <c r="E497" s="14"/>
      <c r="F497" s="14"/>
      <c r="G497" s="17">
        <f>'MAYO-18 '!I497</f>
        <v>0</v>
      </c>
      <c r="H497" s="51"/>
      <c r="I497" s="17"/>
      <c r="J497" s="56"/>
      <c r="K497" s="56"/>
    </row>
    <row r="498" spans="1:11" ht="29.25">
      <c r="A498" s="11">
        <v>51202</v>
      </c>
      <c r="B498" s="53" t="s">
        <v>636</v>
      </c>
      <c r="C498" s="13"/>
      <c r="D498" s="14" t="s">
        <v>18</v>
      </c>
      <c r="E498" s="14" t="s">
        <v>28</v>
      </c>
      <c r="F498" s="14" t="s">
        <v>27</v>
      </c>
      <c r="G498" s="17">
        <f>'MAYO-18 '!I498</f>
        <v>0</v>
      </c>
      <c r="H498" s="51"/>
      <c r="I498" s="17">
        <f t="shared" si="9"/>
        <v>0</v>
      </c>
      <c r="J498" s="56"/>
      <c r="K498" s="142"/>
    </row>
    <row r="499" spans="1:11" ht="29.25">
      <c r="A499" s="11">
        <v>54110</v>
      </c>
      <c r="B499" s="53" t="s">
        <v>637</v>
      </c>
      <c r="C499" s="13"/>
      <c r="D499" s="14" t="s">
        <v>18</v>
      </c>
      <c r="E499" s="14" t="s">
        <v>28</v>
      </c>
      <c r="F499" s="14" t="s">
        <v>27</v>
      </c>
      <c r="G499" s="17">
        <f>'MAYO-18 '!I499</f>
        <v>0</v>
      </c>
      <c r="H499" s="51"/>
      <c r="I499" s="17">
        <f t="shared" si="9"/>
        <v>0</v>
      </c>
      <c r="J499" s="56"/>
      <c r="K499" s="142"/>
    </row>
    <row r="500" spans="1:11" ht="29.25">
      <c r="A500" s="11">
        <v>54111</v>
      </c>
      <c r="B500" s="53" t="s">
        <v>638</v>
      </c>
      <c r="C500" s="13"/>
      <c r="D500" s="14" t="s">
        <v>18</v>
      </c>
      <c r="E500" s="14" t="s">
        <v>28</v>
      </c>
      <c r="F500" s="14" t="s">
        <v>27</v>
      </c>
      <c r="G500" s="17">
        <f>'MAYO-18 '!I500</f>
        <v>1.8207657603852567E-13</v>
      </c>
      <c r="H500" s="211"/>
      <c r="I500" s="17">
        <f t="shared" si="9"/>
        <v>1.8207657603852567E-13</v>
      </c>
      <c r="J500" s="142"/>
      <c r="K500" s="137"/>
    </row>
    <row r="501" spans="1:11" ht="29.25">
      <c r="A501" s="11">
        <v>54304</v>
      </c>
      <c r="B501" s="53" t="s">
        <v>639</v>
      </c>
      <c r="C501" s="55"/>
      <c r="D501" s="14" t="s">
        <v>18</v>
      </c>
      <c r="E501" s="14" t="s">
        <v>28</v>
      </c>
      <c r="F501" s="14" t="s">
        <v>27</v>
      </c>
      <c r="G501" s="17">
        <f>'MAYO-18 '!I501</f>
        <v>0</v>
      </c>
      <c r="H501" s="51"/>
      <c r="I501" s="17">
        <f t="shared" si="9"/>
        <v>0</v>
      </c>
      <c r="J501" s="56"/>
      <c r="K501" s="142"/>
    </row>
    <row r="502" spans="1:11" ht="38.25" customHeight="1">
      <c r="A502" s="11">
        <v>54313</v>
      </c>
      <c r="B502" s="53" t="s">
        <v>640</v>
      </c>
      <c r="C502" s="60"/>
      <c r="D502" s="14" t="s">
        <v>18</v>
      </c>
      <c r="E502" s="14" t="s">
        <v>28</v>
      </c>
      <c r="F502" s="14" t="s">
        <v>27</v>
      </c>
      <c r="G502" s="17">
        <f>'MAYO-18 '!I502</f>
        <v>0</v>
      </c>
      <c r="H502" s="51"/>
      <c r="I502" s="17">
        <f t="shared" si="9"/>
        <v>0</v>
      </c>
      <c r="J502" s="56"/>
      <c r="K502" s="142"/>
    </row>
    <row r="503" spans="1:11" ht="91.5" customHeight="1">
      <c r="A503" s="141" t="s">
        <v>316</v>
      </c>
      <c r="B503" s="53" t="s">
        <v>641</v>
      </c>
      <c r="C503" s="60" t="s">
        <v>1013</v>
      </c>
      <c r="D503" s="14"/>
      <c r="E503" s="14"/>
      <c r="F503" s="14"/>
      <c r="G503" s="17">
        <f>'MAYO-18 '!I503</f>
        <v>0</v>
      </c>
      <c r="H503" s="51"/>
      <c r="I503" s="17"/>
      <c r="J503" s="56"/>
      <c r="K503" s="56"/>
    </row>
    <row r="504" spans="1:11" ht="38.25" customHeight="1">
      <c r="A504" s="11">
        <v>51202</v>
      </c>
      <c r="B504" s="53" t="s">
        <v>642</v>
      </c>
      <c r="C504" s="60"/>
      <c r="D504" s="14" t="s">
        <v>18</v>
      </c>
      <c r="E504" s="14" t="s">
        <v>28</v>
      </c>
      <c r="F504" s="14" t="s">
        <v>27</v>
      </c>
      <c r="G504" s="17">
        <f>'MAYO-18 '!I504</f>
        <v>7.2830630415410269E-14</v>
      </c>
      <c r="H504" s="51"/>
      <c r="I504" s="17">
        <f t="shared" si="9"/>
        <v>7.2830630415410269E-14</v>
      </c>
      <c r="J504" s="56"/>
      <c r="K504" s="142"/>
    </row>
    <row r="505" spans="1:11" ht="38.25" customHeight="1">
      <c r="A505" s="11">
        <v>54110</v>
      </c>
      <c r="B505" s="53" t="s">
        <v>643</v>
      </c>
      <c r="C505" s="60"/>
      <c r="D505" s="14" t="s">
        <v>18</v>
      </c>
      <c r="E505" s="14" t="s">
        <v>28</v>
      </c>
      <c r="F505" s="14" t="s">
        <v>27</v>
      </c>
      <c r="G505" s="17">
        <f>'MAYO-18 '!I505</f>
        <v>0</v>
      </c>
      <c r="H505" s="51"/>
      <c r="I505" s="17">
        <f t="shared" si="9"/>
        <v>0</v>
      </c>
      <c r="J505" s="56"/>
      <c r="K505" s="142"/>
    </row>
    <row r="506" spans="1:11" ht="38.25" customHeight="1">
      <c r="A506" s="11">
        <v>54111</v>
      </c>
      <c r="B506" s="53" t="s">
        <v>644</v>
      </c>
      <c r="C506" s="60"/>
      <c r="D506" s="14" t="s">
        <v>18</v>
      </c>
      <c r="E506" s="14" t="s">
        <v>28</v>
      </c>
      <c r="F506" s="14" t="s">
        <v>27</v>
      </c>
      <c r="G506" s="17">
        <f>'MAYO-18 '!I506</f>
        <v>2.2737367544323206E-13</v>
      </c>
      <c r="H506" s="51"/>
      <c r="I506" s="17">
        <f t="shared" si="9"/>
        <v>2.2737367544323206E-13</v>
      </c>
      <c r="J506" s="137"/>
      <c r="K506" s="142"/>
    </row>
    <row r="507" spans="1:11" ht="38.25" customHeight="1">
      <c r="A507" s="11">
        <v>54304</v>
      </c>
      <c r="B507" s="53" t="s">
        <v>645</v>
      </c>
      <c r="C507" s="60"/>
      <c r="D507" s="14" t="s">
        <v>18</v>
      </c>
      <c r="E507" s="14" t="s">
        <v>28</v>
      </c>
      <c r="F507" s="14" t="s">
        <v>27</v>
      </c>
      <c r="G507" s="17">
        <f>'MAYO-18 '!I507</f>
        <v>0</v>
      </c>
      <c r="H507" s="51"/>
      <c r="I507" s="17">
        <f t="shared" si="9"/>
        <v>0</v>
      </c>
      <c r="J507" s="56"/>
      <c r="K507" s="142"/>
    </row>
    <row r="508" spans="1:11" ht="38.25" customHeight="1">
      <c r="A508" s="11">
        <v>54313</v>
      </c>
      <c r="B508" s="53" t="s">
        <v>646</v>
      </c>
      <c r="C508" s="60"/>
      <c r="D508" s="14" t="s">
        <v>18</v>
      </c>
      <c r="E508" s="14" t="s">
        <v>28</v>
      </c>
      <c r="F508" s="14" t="s">
        <v>27</v>
      </c>
      <c r="G508" s="17">
        <f>'MAYO-18 '!I508</f>
        <v>0</v>
      </c>
      <c r="H508" s="51"/>
      <c r="I508" s="17">
        <f t="shared" si="9"/>
        <v>0</v>
      </c>
      <c r="J508" s="56"/>
      <c r="K508" s="142"/>
    </row>
    <row r="509" spans="1:11" ht="93.75" customHeight="1">
      <c r="A509" s="240" t="s">
        <v>326</v>
      </c>
      <c r="B509" s="53" t="s">
        <v>647</v>
      </c>
      <c r="C509" s="345" t="s">
        <v>1106</v>
      </c>
      <c r="D509" s="14"/>
      <c r="E509" s="14"/>
      <c r="F509" s="14"/>
      <c r="G509" s="17">
        <f>'MAYO-18 '!I509</f>
        <v>0</v>
      </c>
      <c r="H509" s="51"/>
      <c r="I509" s="17"/>
      <c r="J509" s="56"/>
      <c r="K509" s="56"/>
    </row>
    <row r="510" spans="1:11" ht="38.25" customHeight="1">
      <c r="A510" s="11">
        <v>51202</v>
      </c>
      <c r="B510" s="53" t="s">
        <v>648</v>
      </c>
      <c r="C510" s="60"/>
      <c r="D510" s="14" t="s">
        <v>18</v>
      </c>
      <c r="E510" s="14" t="s">
        <v>28</v>
      </c>
      <c r="F510" s="14" t="s">
        <v>27</v>
      </c>
      <c r="G510" s="17">
        <f>'MAYO-18 '!I510</f>
        <v>0</v>
      </c>
      <c r="H510" s="51"/>
      <c r="I510" s="17">
        <f t="shared" si="9"/>
        <v>0</v>
      </c>
      <c r="J510" s="301"/>
      <c r="K510" s="237"/>
    </row>
    <row r="511" spans="1:11" ht="38.25" customHeight="1">
      <c r="A511" s="11">
        <v>54110</v>
      </c>
      <c r="B511" s="53" t="s">
        <v>649</v>
      </c>
      <c r="C511" s="60"/>
      <c r="D511" s="14" t="s">
        <v>18</v>
      </c>
      <c r="E511" s="14" t="s">
        <v>28</v>
      </c>
      <c r="F511" s="14" t="s">
        <v>27</v>
      </c>
      <c r="G511" s="17">
        <f>'MAYO-18 '!I511</f>
        <v>0</v>
      </c>
      <c r="H511" s="51"/>
      <c r="I511" s="17">
        <f t="shared" si="9"/>
        <v>0</v>
      </c>
      <c r="J511" s="237"/>
      <c r="K511" s="237"/>
    </row>
    <row r="512" spans="1:11" ht="38.25" customHeight="1">
      <c r="A512" s="11">
        <v>54111</v>
      </c>
      <c r="B512" s="53" t="s">
        <v>650</v>
      </c>
      <c r="C512" s="60" t="s">
        <v>1107</v>
      </c>
      <c r="D512" s="14" t="s">
        <v>18</v>
      </c>
      <c r="E512" s="14" t="s">
        <v>28</v>
      </c>
      <c r="F512" s="14" t="s">
        <v>27</v>
      </c>
      <c r="G512" s="17">
        <f>'MAYO-18 '!I512</f>
        <v>0</v>
      </c>
      <c r="H512" s="51"/>
      <c r="I512" s="134">
        <f t="shared" si="9"/>
        <v>0</v>
      </c>
      <c r="J512" s="346"/>
      <c r="K512" s="237"/>
    </row>
    <row r="513" spans="1:11" ht="29.25">
      <c r="A513" s="11">
        <v>54112</v>
      </c>
      <c r="B513" s="53" t="s">
        <v>651</v>
      </c>
      <c r="C513" s="13"/>
      <c r="D513" s="14" t="s">
        <v>18</v>
      </c>
      <c r="E513" s="14" t="s">
        <v>28</v>
      </c>
      <c r="F513" s="14" t="s">
        <v>27</v>
      </c>
      <c r="G513" s="17">
        <f>'MAYO-18 '!I513</f>
        <v>0</v>
      </c>
      <c r="H513" s="51"/>
      <c r="I513" s="17">
        <f t="shared" si="9"/>
        <v>0</v>
      </c>
      <c r="J513" s="237"/>
      <c r="K513" s="237"/>
    </row>
    <row r="514" spans="1:11" ht="29.25">
      <c r="A514" s="11">
        <v>54118</v>
      </c>
      <c r="B514" s="53" t="s">
        <v>652</v>
      </c>
      <c r="C514" s="13"/>
      <c r="D514" s="14" t="s">
        <v>18</v>
      </c>
      <c r="E514" s="14" t="s">
        <v>28</v>
      </c>
      <c r="F514" s="14" t="s">
        <v>27</v>
      </c>
      <c r="G514" s="17">
        <f>'MAYO-18 '!I514</f>
        <v>0</v>
      </c>
      <c r="H514" s="51"/>
      <c r="I514" s="17">
        <f t="shared" si="9"/>
        <v>0</v>
      </c>
      <c r="J514" s="237"/>
      <c r="K514" s="237"/>
    </row>
    <row r="515" spans="1:11" ht="29.25">
      <c r="A515" s="11">
        <v>54304</v>
      </c>
      <c r="B515" s="53" t="s">
        <v>653</v>
      </c>
      <c r="C515" s="13"/>
      <c r="D515" s="14" t="s">
        <v>18</v>
      </c>
      <c r="E515" s="14" t="s">
        <v>28</v>
      </c>
      <c r="F515" s="14" t="s">
        <v>27</v>
      </c>
      <c r="G515" s="17">
        <f>'MAYO-18 '!I515</f>
        <v>0</v>
      </c>
      <c r="H515" s="51"/>
      <c r="I515" s="17">
        <f t="shared" si="9"/>
        <v>0</v>
      </c>
      <c r="J515" s="237"/>
      <c r="K515" s="237"/>
    </row>
    <row r="516" spans="1:11" ht="29.25">
      <c r="A516" s="11">
        <v>54313</v>
      </c>
      <c r="B516" s="53" t="s">
        <v>654</v>
      </c>
      <c r="C516" s="13"/>
      <c r="D516" s="14" t="s">
        <v>18</v>
      </c>
      <c r="E516" s="14" t="s">
        <v>28</v>
      </c>
      <c r="F516" s="14" t="s">
        <v>27</v>
      </c>
      <c r="G516" s="17">
        <f>'MAYO-18 '!I516</f>
        <v>0</v>
      </c>
      <c r="H516" s="51"/>
      <c r="I516" s="17">
        <f t="shared" si="9"/>
        <v>0</v>
      </c>
      <c r="J516" s="237"/>
      <c r="K516" s="346"/>
    </row>
    <row r="517" spans="1:11" ht="29.25">
      <c r="A517" s="11">
        <v>54399</v>
      </c>
      <c r="B517" s="53" t="s">
        <v>655</v>
      </c>
      <c r="C517" s="13"/>
      <c r="D517" s="14" t="s">
        <v>18</v>
      </c>
      <c r="E517" s="14" t="s">
        <v>28</v>
      </c>
      <c r="F517" s="14" t="s">
        <v>27</v>
      </c>
      <c r="G517" s="17">
        <f>'MAYO-18 '!I517</f>
        <v>0</v>
      </c>
      <c r="H517" s="51"/>
      <c r="I517" s="17">
        <f t="shared" si="9"/>
        <v>0</v>
      </c>
      <c r="J517" s="237"/>
      <c r="K517" s="237"/>
    </row>
    <row r="518" spans="1:11" ht="75">
      <c r="A518" s="141" t="s">
        <v>338</v>
      </c>
      <c r="B518" s="53" t="s">
        <v>656</v>
      </c>
      <c r="C518" s="13"/>
      <c r="D518" s="14"/>
      <c r="E518" s="14"/>
      <c r="F518" s="14"/>
      <c r="G518" s="17">
        <f>'MAYO-18 '!I518</f>
        <v>0</v>
      </c>
      <c r="H518" s="51"/>
      <c r="I518" s="17"/>
      <c r="J518" s="56"/>
      <c r="K518" s="56"/>
    </row>
    <row r="519" spans="1:11" ht="29.25">
      <c r="A519" s="11">
        <v>51202</v>
      </c>
      <c r="B519" s="54" t="s">
        <v>657</v>
      </c>
      <c r="C519" s="13"/>
      <c r="D519" s="14" t="s">
        <v>18</v>
      </c>
      <c r="E519" s="14" t="s">
        <v>28</v>
      </c>
      <c r="F519" s="14" t="s">
        <v>27</v>
      </c>
      <c r="G519" s="17">
        <f>'MAYO-18 '!I519</f>
        <v>0</v>
      </c>
      <c r="H519" s="51"/>
      <c r="I519" s="17">
        <f t="shared" si="9"/>
        <v>0</v>
      </c>
      <c r="J519" s="56"/>
      <c r="K519" s="137"/>
    </row>
    <row r="520" spans="1:11" ht="29.25">
      <c r="A520" s="11">
        <v>54110</v>
      </c>
      <c r="B520" s="54" t="s">
        <v>658</v>
      </c>
      <c r="C520" s="13"/>
      <c r="D520" s="14" t="s">
        <v>18</v>
      </c>
      <c r="E520" s="14" t="s">
        <v>28</v>
      </c>
      <c r="F520" s="14" t="s">
        <v>27</v>
      </c>
      <c r="G520" s="17">
        <f>'MAYO-18 '!I520</f>
        <v>0</v>
      </c>
      <c r="H520" s="51"/>
      <c r="I520" s="17">
        <f t="shared" si="9"/>
        <v>0</v>
      </c>
      <c r="J520" s="56"/>
      <c r="K520" s="137"/>
    </row>
    <row r="521" spans="1:11" ht="44.25">
      <c r="A521" s="11">
        <v>54111</v>
      </c>
      <c r="B521" s="54" t="s">
        <v>659</v>
      </c>
      <c r="C521" s="13"/>
      <c r="D521" s="14" t="s">
        <v>18</v>
      </c>
      <c r="E521" s="14" t="s">
        <v>28</v>
      </c>
      <c r="F521" s="14" t="s">
        <v>27</v>
      </c>
      <c r="G521" s="17">
        <f>'MAYO-18 '!I521</f>
        <v>0</v>
      </c>
      <c r="H521" s="51"/>
      <c r="I521" s="17">
        <f t="shared" si="9"/>
        <v>0</v>
      </c>
      <c r="J521" s="56"/>
      <c r="K521" s="137"/>
    </row>
    <row r="522" spans="1:11" ht="44.25">
      <c r="A522" s="11">
        <v>54112</v>
      </c>
      <c r="B522" s="54" t="s">
        <v>660</v>
      </c>
      <c r="C522" s="13"/>
      <c r="D522" s="14" t="s">
        <v>18</v>
      </c>
      <c r="E522" s="14" t="s">
        <v>28</v>
      </c>
      <c r="F522" s="14" t="s">
        <v>27</v>
      </c>
      <c r="G522" s="17">
        <f>'MAYO-18 '!I522</f>
        <v>0</v>
      </c>
      <c r="H522" s="51"/>
      <c r="I522" s="17">
        <f t="shared" si="9"/>
        <v>0</v>
      </c>
      <c r="J522" s="56"/>
      <c r="K522" s="137"/>
    </row>
    <row r="523" spans="1:11" ht="44.25">
      <c r="A523" s="11">
        <v>54304</v>
      </c>
      <c r="B523" s="54" t="s">
        <v>661</v>
      </c>
      <c r="C523" s="13"/>
      <c r="D523" s="14" t="s">
        <v>18</v>
      </c>
      <c r="E523" s="14" t="s">
        <v>28</v>
      </c>
      <c r="F523" s="14" t="s">
        <v>27</v>
      </c>
      <c r="G523" s="17">
        <f>'MAYO-18 '!I523</f>
        <v>0</v>
      </c>
      <c r="H523" s="51"/>
      <c r="I523" s="17">
        <f t="shared" si="9"/>
        <v>0</v>
      </c>
      <c r="J523" s="56"/>
      <c r="K523" s="137"/>
    </row>
    <row r="524" spans="1:11" ht="44.25">
      <c r="A524" s="11">
        <v>54313</v>
      </c>
      <c r="B524" s="54" t="s">
        <v>662</v>
      </c>
      <c r="C524" s="13"/>
      <c r="D524" s="14" t="s">
        <v>18</v>
      </c>
      <c r="E524" s="14" t="s">
        <v>28</v>
      </c>
      <c r="F524" s="14" t="s">
        <v>27</v>
      </c>
      <c r="G524" s="17">
        <f>'MAYO-18 '!I524</f>
        <v>0</v>
      </c>
      <c r="H524" s="51"/>
      <c r="I524" s="17">
        <f t="shared" si="9"/>
        <v>0</v>
      </c>
      <c r="J524" s="56"/>
      <c r="K524" s="137"/>
    </row>
    <row r="525" spans="1:11" ht="44.25">
      <c r="A525" s="11">
        <v>54399</v>
      </c>
      <c r="B525" s="54" t="s">
        <v>663</v>
      </c>
      <c r="C525" s="13"/>
      <c r="D525" s="14" t="s">
        <v>18</v>
      </c>
      <c r="E525" s="14" t="s">
        <v>28</v>
      </c>
      <c r="F525" s="14" t="s">
        <v>27</v>
      </c>
      <c r="G525" s="17">
        <f>'MAYO-18 '!I525</f>
        <v>0</v>
      </c>
      <c r="H525" s="51"/>
      <c r="I525" s="17">
        <f t="shared" si="9"/>
        <v>0</v>
      </c>
      <c r="J525" s="56"/>
      <c r="K525" s="137"/>
    </row>
    <row r="526" spans="1:11" ht="29.25">
      <c r="A526" s="11">
        <v>55603</v>
      </c>
      <c r="B526" s="54" t="s">
        <v>664</v>
      </c>
      <c r="C526" s="13"/>
      <c r="D526" s="14" t="s">
        <v>18</v>
      </c>
      <c r="E526" s="14" t="s">
        <v>28</v>
      </c>
      <c r="F526" s="14" t="s">
        <v>27</v>
      </c>
      <c r="G526" s="17">
        <f>'MAYO-18 '!I526</f>
        <v>0</v>
      </c>
      <c r="H526" s="51"/>
      <c r="I526" s="17">
        <f t="shared" si="9"/>
        <v>0</v>
      </c>
      <c r="J526" s="56"/>
      <c r="K526" s="137"/>
    </row>
    <row r="527" spans="1:11" ht="90">
      <c r="A527" s="141" t="s">
        <v>348</v>
      </c>
      <c r="B527" s="53" t="s">
        <v>665</v>
      </c>
      <c r="C527" s="13"/>
      <c r="D527" s="14"/>
      <c r="E527" s="14"/>
      <c r="F527" s="14"/>
      <c r="G527" s="17">
        <f>'MAYO-18 '!I527</f>
        <v>0</v>
      </c>
      <c r="H527" s="51"/>
      <c r="I527" s="17"/>
      <c r="J527" s="56"/>
      <c r="K527" s="56"/>
    </row>
    <row r="528" spans="1:11" ht="29.25">
      <c r="A528" s="11">
        <v>51202</v>
      </c>
      <c r="B528" s="54" t="s">
        <v>666</v>
      </c>
      <c r="C528" s="13"/>
      <c r="D528" s="14" t="s">
        <v>18</v>
      </c>
      <c r="E528" s="14" t="s">
        <v>28</v>
      </c>
      <c r="F528" s="14" t="s">
        <v>27</v>
      </c>
      <c r="G528" s="17">
        <f>'MAYO-18 '!I528</f>
        <v>0</v>
      </c>
      <c r="H528" s="51"/>
      <c r="I528" s="17">
        <f t="shared" si="9"/>
        <v>0</v>
      </c>
      <c r="J528" s="56"/>
      <c r="K528" s="300"/>
    </row>
    <row r="529" spans="1:11" ht="29.25">
      <c r="A529" s="11">
        <v>54110</v>
      </c>
      <c r="B529" s="54" t="s">
        <v>667</v>
      </c>
      <c r="C529" s="13"/>
      <c r="D529" s="14" t="s">
        <v>18</v>
      </c>
      <c r="E529" s="14" t="s">
        <v>28</v>
      </c>
      <c r="F529" s="14" t="s">
        <v>27</v>
      </c>
      <c r="G529" s="17">
        <f>'MAYO-18 '!I529</f>
        <v>0</v>
      </c>
      <c r="H529" s="51"/>
      <c r="I529" s="17">
        <f t="shared" si="9"/>
        <v>0</v>
      </c>
      <c r="J529" s="56"/>
      <c r="K529" s="300"/>
    </row>
    <row r="530" spans="1:11" ht="44.25">
      <c r="A530" s="11">
        <v>54111</v>
      </c>
      <c r="B530" s="54" t="s">
        <v>668</v>
      </c>
      <c r="C530" s="13"/>
      <c r="D530" s="14" t="s">
        <v>18</v>
      </c>
      <c r="E530" s="14" t="s">
        <v>28</v>
      </c>
      <c r="F530" s="14" t="s">
        <v>27</v>
      </c>
      <c r="G530" s="17">
        <f>'MAYO-18 '!I530</f>
        <v>0</v>
      </c>
      <c r="H530" s="51"/>
      <c r="I530" s="17">
        <f t="shared" si="9"/>
        <v>0</v>
      </c>
      <c r="J530" s="56"/>
      <c r="K530" s="300"/>
    </row>
    <row r="531" spans="1:11" ht="44.25">
      <c r="A531" s="11">
        <v>54112</v>
      </c>
      <c r="B531" s="54" t="s">
        <v>669</v>
      </c>
      <c r="C531" s="13"/>
      <c r="D531" s="14" t="s">
        <v>18</v>
      </c>
      <c r="E531" s="14" t="s">
        <v>28</v>
      </c>
      <c r="F531" s="14" t="s">
        <v>27</v>
      </c>
      <c r="G531" s="17">
        <f>'MAYO-18 '!I531</f>
        <v>0</v>
      </c>
      <c r="H531" s="51"/>
      <c r="I531" s="17">
        <f t="shared" si="9"/>
        <v>0</v>
      </c>
      <c r="J531" s="56"/>
      <c r="K531" s="300"/>
    </row>
    <row r="532" spans="1:11" ht="44.25">
      <c r="A532" s="11">
        <v>54313</v>
      </c>
      <c r="B532" s="54" t="s">
        <v>670</v>
      </c>
      <c r="C532" s="13"/>
      <c r="D532" s="14" t="s">
        <v>18</v>
      </c>
      <c r="E532" s="14" t="s">
        <v>28</v>
      </c>
      <c r="F532" s="14" t="s">
        <v>27</v>
      </c>
      <c r="G532" s="17">
        <f>'MAYO-18 '!I532</f>
        <v>0</v>
      </c>
      <c r="H532" s="51"/>
      <c r="I532" s="17">
        <f t="shared" si="9"/>
        <v>0</v>
      </c>
      <c r="J532" s="56"/>
      <c r="K532" s="300"/>
    </row>
    <row r="533" spans="1:11" ht="44.25">
      <c r="A533" s="11">
        <v>54399</v>
      </c>
      <c r="B533" s="54" t="s">
        <v>671</v>
      </c>
      <c r="C533" s="13"/>
      <c r="D533" s="14" t="s">
        <v>18</v>
      </c>
      <c r="E533" s="14" t="s">
        <v>28</v>
      </c>
      <c r="F533" s="14" t="s">
        <v>27</v>
      </c>
      <c r="G533" s="17">
        <f>'MAYO-18 '!I533</f>
        <v>0</v>
      </c>
      <c r="H533" s="51"/>
      <c r="I533" s="17">
        <f t="shared" si="9"/>
        <v>0</v>
      </c>
      <c r="J533" s="56"/>
      <c r="K533" s="300"/>
    </row>
    <row r="534" spans="1:11" ht="29.25">
      <c r="A534" s="11">
        <v>55603</v>
      </c>
      <c r="B534" s="54" t="s">
        <v>672</v>
      </c>
      <c r="C534" s="13"/>
      <c r="D534" s="14" t="s">
        <v>18</v>
      </c>
      <c r="E534" s="14" t="s">
        <v>28</v>
      </c>
      <c r="F534" s="14" t="s">
        <v>27</v>
      </c>
      <c r="G534" s="17">
        <f>'MAYO-18 '!I534</f>
        <v>0</v>
      </c>
      <c r="H534" s="51"/>
      <c r="I534" s="17">
        <f t="shared" si="9"/>
        <v>0</v>
      </c>
      <c r="J534" s="56"/>
      <c r="K534" s="300"/>
    </row>
    <row r="535" spans="1:11" ht="119.25" customHeight="1">
      <c r="A535" s="141" t="s">
        <v>358</v>
      </c>
      <c r="B535" s="53" t="s">
        <v>673</v>
      </c>
      <c r="C535" s="13"/>
      <c r="D535" s="14"/>
      <c r="E535" s="14"/>
      <c r="F535" s="14"/>
      <c r="G535" s="17">
        <f>'MAYO-18 '!I535</f>
        <v>0</v>
      </c>
      <c r="H535" s="51"/>
      <c r="I535" s="17"/>
      <c r="J535" s="56"/>
      <c r="K535" s="56"/>
    </row>
    <row r="536" spans="1:11" ht="29.25">
      <c r="A536" s="11">
        <v>51202</v>
      </c>
      <c r="B536" s="54" t="s">
        <v>674</v>
      </c>
      <c r="C536" s="13"/>
      <c r="D536" s="14" t="s">
        <v>18</v>
      </c>
      <c r="E536" s="14" t="s">
        <v>28</v>
      </c>
      <c r="F536" s="14" t="s">
        <v>27</v>
      </c>
      <c r="G536" s="17">
        <f>'MAYO-18 '!I536</f>
        <v>0</v>
      </c>
      <c r="H536" s="51"/>
      <c r="I536" s="17">
        <f t="shared" si="9"/>
        <v>0</v>
      </c>
      <c r="J536" s="56"/>
      <c r="K536" s="300"/>
    </row>
    <row r="537" spans="1:11" ht="29.25">
      <c r="A537" s="11">
        <v>54110</v>
      </c>
      <c r="B537" s="54" t="s">
        <v>675</v>
      </c>
      <c r="C537" s="13"/>
      <c r="D537" s="14" t="s">
        <v>18</v>
      </c>
      <c r="E537" s="14" t="s">
        <v>28</v>
      </c>
      <c r="F537" s="14" t="s">
        <v>27</v>
      </c>
      <c r="G537" s="17">
        <f>'MAYO-18 '!I537</f>
        <v>0</v>
      </c>
      <c r="H537" s="51"/>
      <c r="I537" s="17">
        <f t="shared" si="9"/>
        <v>0</v>
      </c>
      <c r="J537" s="56"/>
      <c r="K537" s="300"/>
    </row>
    <row r="538" spans="1:11" ht="29.25">
      <c r="A538" s="11">
        <v>54111</v>
      </c>
      <c r="B538" s="54" t="s">
        <v>677</v>
      </c>
      <c r="C538" s="13"/>
      <c r="D538" s="14" t="s">
        <v>18</v>
      </c>
      <c r="E538" s="14" t="s">
        <v>28</v>
      </c>
      <c r="F538" s="14" t="s">
        <v>27</v>
      </c>
      <c r="G538" s="17">
        <f>'MAYO-18 '!I538</f>
        <v>0</v>
      </c>
      <c r="H538" s="51"/>
      <c r="I538" s="17">
        <f t="shared" si="9"/>
        <v>0</v>
      </c>
      <c r="J538" s="56"/>
      <c r="K538" s="300"/>
    </row>
    <row r="539" spans="1:11" ht="29.25">
      <c r="A539" s="11">
        <v>54112</v>
      </c>
      <c r="B539" s="54" t="s">
        <v>676</v>
      </c>
      <c r="C539" s="13"/>
      <c r="D539" s="14" t="s">
        <v>18</v>
      </c>
      <c r="E539" s="14" t="s">
        <v>28</v>
      </c>
      <c r="F539" s="14" t="s">
        <v>27</v>
      </c>
      <c r="G539" s="17">
        <f>'MAYO-18 '!I539</f>
        <v>0</v>
      </c>
      <c r="H539" s="51"/>
      <c r="I539" s="17">
        <f t="shared" si="9"/>
        <v>0</v>
      </c>
      <c r="J539" s="56"/>
      <c r="K539" s="300"/>
    </row>
    <row r="540" spans="1:11" ht="29.25">
      <c r="A540" s="11">
        <v>54118</v>
      </c>
      <c r="B540" s="54" t="s">
        <v>678</v>
      </c>
      <c r="C540" s="13"/>
      <c r="D540" s="14" t="s">
        <v>18</v>
      </c>
      <c r="E540" s="14" t="s">
        <v>28</v>
      </c>
      <c r="F540" s="14" t="s">
        <v>27</v>
      </c>
      <c r="G540" s="17">
        <f>'MAYO-18 '!I540</f>
        <v>0</v>
      </c>
      <c r="H540" s="51"/>
      <c r="I540" s="17">
        <f t="shared" si="9"/>
        <v>0</v>
      </c>
      <c r="J540" s="56"/>
      <c r="K540" s="300"/>
    </row>
    <row r="541" spans="1:11" ht="29.25">
      <c r="A541" s="11">
        <v>54313</v>
      </c>
      <c r="B541" s="54" t="s">
        <v>679</v>
      </c>
      <c r="C541" s="13"/>
      <c r="D541" s="14" t="s">
        <v>18</v>
      </c>
      <c r="E541" s="14" t="s">
        <v>28</v>
      </c>
      <c r="F541" s="14" t="s">
        <v>27</v>
      </c>
      <c r="G541" s="17">
        <f>'MAYO-18 '!I541</f>
        <v>0</v>
      </c>
      <c r="H541" s="51"/>
      <c r="I541" s="17">
        <f t="shared" si="9"/>
        <v>0</v>
      </c>
      <c r="J541" s="56"/>
      <c r="K541" s="300"/>
    </row>
    <row r="542" spans="1:11" ht="36.75" customHeight="1">
      <c r="A542" s="11">
        <v>54399</v>
      </c>
      <c r="B542" s="54" t="s">
        <v>680</v>
      </c>
      <c r="C542" s="13"/>
      <c r="D542" s="14" t="s">
        <v>18</v>
      </c>
      <c r="E542" s="14" t="s">
        <v>28</v>
      </c>
      <c r="F542" s="14" t="s">
        <v>27</v>
      </c>
      <c r="G542" s="17">
        <f>'MAYO-18 '!I542</f>
        <v>0</v>
      </c>
      <c r="H542" s="51"/>
      <c r="I542" s="17">
        <f t="shared" si="9"/>
        <v>0</v>
      </c>
      <c r="J542" s="56"/>
      <c r="K542" s="300"/>
    </row>
    <row r="543" spans="1:11" ht="29.25">
      <c r="A543" s="11">
        <v>55603</v>
      </c>
      <c r="B543" s="54" t="s">
        <v>681</v>
      </c>
      <c r="C543" s="13"/>
      <c r="D543" s="14" t="s">
        <v>18</v>
      </c>
      <c r="E543" s="14" t="s">
        <v>28</v>
      </c>
      <c r="F543" s="14" t="s">
        <v>27</v>
      </c>
      <c r="G543" s="17">
        <f>'MAYO-18 '!I543</f>
        <v>0</v>
      </c>
      <c r="H543" s="51"/>
      <c r="I543" s="17">
        <f t="shared" si="9"/>
        <v>0</v>
      </c>
      <c r="J543" s="56"/>
      <c r="K543" s="300"/>
    </row>
    <row r="544" spans="1:11" ht="74.25">
      <c r="A544" s="141" t="s">
        <v>374</v>
      </c>
      <c r="B544" s="53" t="s">
        <v>690</v>
      </c>
      <c r="C544" s="13"/>
      <c r="D544" s="14"/>
      <c r="E544" s="14"/>
      <c r="F544" s="14"/>
      <c r="G544" s="17">
        <f>'MAYO-18 '!I544</f>
        <v>0</v>
      </c>
      <c r="H544" s="51"/>
      <c r="I544" s="17"/>
      <c r="J544" s="56"/>
      <c r="K544" s="56"/>
    </row>
    <row r="545" spans="1:11">
      <c r="A545" s="11">
        <v>51202</v>
      </c>
      <c r="B545" s="54" t="s">
        <v>682</v>
      </c>
      <c r="C545" s="13"/>
      <c r="D545" s="14" t="s">
        <v>18</v>
      </c>
      <c r="E545" s="14" t="s">
        <v>28</v>
      </c>
      <c r="F545" s="14" t="s">
        <v>27</v>
      </c>
      <c r="G545" s="17">
        <f>'MAYO-18 '!I545</f>
        <v>0</v>
      </c>
      <c r="H545" s="51"/>
      <c r="I545" s="17">
        <f t="shared" si="9"/>
        <v>0</v>
      </c>
      <c r="J545" s="56"/>
      <c r="K545" s="300"/>
    </row>
    <row r="546" spans="1:11" ht="29.25">
      <c r="A546" s="11">
        <v>54110</v>
      </c>
      <c r="B546" s="54" t="s">
        <v>683</v>
      </c>
      <c r="C546" s="13"/>
      <c r="D546" s="14" t="s">
        <v>18</v>
      </c>
      <c r="E546" s="14" t="s">
        <v>28</v>
      </c>
      <c r="F546" s="14" t="s">
        <v>27</v>
      </c>
      <c r="G546" s="17">
        <f>'MAYO-18 '!I546</f>
        <v>0</v>
      </c>
      <c r="H546" s="51"/>
      <c r="I546" s="17">
        <f t="shared" si="9"/>
        <v>0</v>
      </c>
      <c r="J546" s="56"/>
      <c r="K546" s="300"/>
    </row>
    <row r="547" spans="1:11" ht="30">
      <c r="A547" s="11">
        <v>54111</v>
      </c>
      <c r="B547" s="53" t="s">
        <v>689</v>
      </c>
      <c r="C547" s="13"/>
      <c r="D547" s="14" t="s">
        <v>18</v>
      </c>
      <c r="E547" s="14" t="s">
        <v>28</v>
      </c>
      <c r="F547" s="14" t="s">
        <v>27</v>
      </c>
      <c r="G547" s="17">
        <f>'MAYO-18 '!I547</f>
        <v>0</v>
      </c>
      <c r="H547" s="51"/>
      <c r="I547" s="17">
        <f t="shared" si="9"/>
        <v>0</v>
      </c>
      <c r="J547" s="56"/>
      <c r="K547" s="300"/>
    </row>
    <row r="548" spans="1:11" ht="29.25">
      <c r="A548" s="11">
        <v>54112</v>
      </c>
      <c r="B548" s="53" t="s">
        <v>684</v>
      </c>
      <c r="C548" s="13"/>
      <c r="D548" s="14" t="s">
        <v>18</v>
      </c>
      <c r="E548" s="14" t="s">
        <v>28</v>
      </c>
      <c r="F548" s="14" t="s">
        <v>27</v>
      </c>
      <c r="G548" s="17">
        <f>'MAYO-18 '!I548</f>
        <v>0</v>
      </c>
      <c r="H548" s="51"/>
      <c r="I548" s="17">
        <f t="shared" si="9"/>
        <v>0</v>
      </c>
      <c r="J548" s="56"/>
      <c r="K548" s="300"/>
    </row>
    <row r="549" spans="1:11" ht="29.25">
      <c r="A549" s="11">
        <v>54118</v>
      </c>
      <c r="B549" s="53" t="s">
        <v>685</v>
      </c>
      <c r="C549" s="13"/>
      <c r="D549" s="14" t="s">
        <v>18</v>
      </c>
      <c r="E549" s="14" t="s">
        <v>28</v>
      </c>
      <c r="F549" s="14" t="s">
        <v>27</v>
      </c>
      <c r="G549" s="17">
        <f>'MAYO-18 '!I549</f>
        <v>0</v>
      </c>
      <c r="H549" s="51"/>
      <c r="I549" s="17">
        <f t="shared" si="9"/>
        <v>0</v>
      </c>
      <c r="J549" s="56"/>
      <c r="K549" s="300"/>
    </row>
    <row r="550" spans="1:11" ht="29.25">
      <c r="A550" s="11">
        <v>54313</v>
      </c>
      <c r="B550" s="53" t="s">
        <v>686</v>
      </c>
      <c r="C550" s="13"/>
      <c r="D550" s="14" t="s">
        <v>18</v>
      </c>
      <c r="E550" s="14" t="s">
        <v>28</v>
      </c>
      <c r="F550" s="14" t="s">
        <v>27</v>
      </c>
      <c r="G550" s="17">
        <f>'MAYO-18 '!I550</f>
        <v>0</v>
      </c>
      <c r="H550" s="51"/>
      <c r="I550" s="17">
        <f t="shared" si="9"/>
        <v>0</v>
      </c>
      <c r="J550" s="56"/>
      <c r="K550" s="300"/>
    </row>
    <row r="551" spans="1:11" ht="29.25">
      <c r="A551" s="11">
        <v>54399</v>
      </c>
      <c r="B551" s="54" t="s">
        <v>687</v>
      </c>
      <c r="C551" s="13"/>
      <c r="D551" s="14" t="s">
        <v>18</v>
      </c>
      <c r="E551" s="14" t="s">
        <v>28</v>
      </c>
      <c r="F551" s="14" t="s">
        <v>27</v>
      </c>
      <c r="G551" s="17">
        <f>'MAYO-18 '!I551</f>
        <v>0</v>
      </c>
      <c r="H551" s="51"/>
      <c r="I551" s="17">
        <f t="shared" si="9"/>
        <v>0</v>
      </c>
      <c r="J551" s="56"/>
      <c r="K551" s="300"/>
    </row>
    <row r="552" spans="1:11" ht="29.25">
      <c r="A552" s="11">
        <v>55603</v>
      </c>
      <c r="B552" s="53" t="s">
        <v>688</v>
      </c>
      <c r="C552" s="13"/>
      <c r="D552" s="14" t="s">
        <v>18</v>
      </c>
      <c r="E552" s="14" t="s">
        <v>28</v>
      </c>
      <c r="F552" s="14" t="s">
        <v>27</v>
      </c>
      <c r="G552" s="17">
        <f>'MAYO-18 '!I552</f>
        <v>0</v>
      </c>
      <c r="H552" s="51"/>
      <c r="I552" s="17">
        <f t="shared" si="9"/>
        <v>0</v>
      </c>
      <c r="J552" s="56"/>
      <c r="K552" s="300"/>
    </row>
    <row r="553" spans="1:11" ht="60">
      <c r="A553" s="141" t="s">
        <v>388</v>
      </c>
      <c r="B553" s="53" t="s">
        <v>699</v>
      </c>
      <c r="C553" s="13"/>
      <c r="D553" s="14"/>
      <c r="E553" s="14"/>
      <c r="F553" s="14"/>
      <c r="G553" s="17">
        <f>'MAYO-18 '!I553</f>
        <v>0</v>
      </c>
      <c r="H553" s="51"/>
      <c r="I553" s="17"/>
      <c r="J553" s="56"/>
      <c r="K553" s="56"/>
    </row>
    <row r="554" spans="1:11" ht="29.25">
      <c r="A554" s="11">
        <v>51202</v>
      </c>
      <c r="B554" s="54" t="s">
        <v>691</v>
      </c>
      <c r="C554" s="13"/>
      <c r="D554" s="14" t="s">
        <v>18</v>
      </c>
      <c r="E554" s="14" t="s">
        <v>28</v>
      </c>
      <c r="F554" s="14" t="s">
        <v>27</v>
      </c>
      <c r="G554" s="17">
        <f>'MAYO-18 '!I554</f>
        <v>0</v>
      </c>
      <c r="H554" s="51"/>
      <c r="I554" s="17">
        <f t="shared" si="9"/>
        <v>0</v>
      </c>
      <c r="J554" s="56"/>
      <c r="K554" s="300"/>
    </row>
    <row r="555" spans="1:11" ht="29.25">
      <c r="A555" s="11">
        <v>54110</v>
      </c>
      <c r="B555" s="54" t="s">
        <v>692</v>
      </c>
      <c r="C555" s="13"/>
      <c r="D555" s="14" t="s">
        <v>18</v>
      </c>
      <c r="E555" s="14" t="s">
        <v>28</v>
      </c>
      <c r="F555" s="14" t="s">
        <v>27</v>
      </c>
      <c r="G555" s="17">
        <f>'MAYO-18 '!I555</f>
        <v>0</v>
      </c>
      <c r="H555" s="51"/>
      <c r="I555" s="17">
        <f t="shared" si="9"/>
        <v>0</v>
      </c>
      <c r="J555" s="56"/>
      <c r="K555" s="300"/>
    </row>
    <row r="556" spans="1:11" ht="44.25">
      <c r="A556" s="11">
        <v>54111</v>
      </c>
      <c r="B556" s="53" t="s">
        <v>693</v>
      </c>
      <c r="C556" s="13"/>
      <c r="D556" s="14" t="s">
        <v>18</v>
      </c>
      <c r="E556" s="14" t="s">
        <v>28</v>
      </c>
      <c r="F556" s="14" t="s">
        <v>27</v>
      </c>
      <c r="G556" s="17">
        <f>'MAYO-18 '!I556</f>
        <v>0</v>
      </c>
      <c r="H556" s="51"/>
      <c r="I556" s="17">
        <f t="shared" ref="I556:I566" si="10">G556-H556+J556-K556</f>
        <v>0</v>
      </c>
      <c r="J556" s="56"/>
      <c r="K556" s="300"/>
    </row>
    <row r="557" spans="1:11" ht="29.25">
      <c r="A557" s="11">
        <v>54112</v>
      </c>
      <c r="B557" s="54" t="s">
        <v>694</v>
      </c>
      <c r="C557" s="13"/>
      <c r="D557" s="14" t="s">
        <v>18</v>
      </c>
      <c r="E557" s="14" t="s">
        <v>28</v>
      </c>
      <c r="F557" s="14" t="s">
        <v>27</v>
      </c>
      <c r="G557" s="17">
        <f>'MAYO-18 '!I557</f>
        <v>0</v>
      </c>
      <c r="H557" s="51"/>
      <c r="I557" s="17">
        <f t="shared" si="10"/>
        <v>0</v>
      </c>
      <c r="J557" s="56"/>
      <c r="K557" s="300"/>
    </row>
    <row r="558" spans="1:11" ht="29.25">
      <c r="A558" s="11">
        <v>54118</v>
      </c>
      <c r="B558" s="54" t="s">
        <v>695</v>
      </c>
      <c r="C558" s="13"/>
      <c r="D558" s="14" t="s">
        <v>18</v>
      </c>
      <c r="E558" s="14" t="s">
        <v>28</v>
      </c>
      <c r="F558" s="14" t="s">
        <v>27</v>
      </c>
      <c r="G558" s="17">
        <f>'MAYO-18 '!I558</f>
        <v>0</v>
      </c>
      <c r="H558" s="51"/>
      <c r="I558" s="17">
        <f t="shared" si="10"/>
        <v>0</v>
      </c>
      <c r="J558" s="56"/>
      <c r="K558" s="300"/>
    </row>
    <row r="559" spans="1:11" ht="44.25">
      <c r="A559" s="11">
        <v>54313</v>
      </c>
      <c r="B559" s="53" t="s">
        <v>696</v>
      </c>
      <c r="C559" s="13"/>
      <c r="D559" s="14" t="s">
        <v>18</v>
      </c>
      <c r="E559" s="14" t="s">
        <v>28</v>
      </c>
      <c r="F559" s="14" t="s">
        <v>27</v>
      </c>
      <c r="G559" s="17">
        <f>'MAYO-18 '!I559</f>
        <v>0</v>
      </c>
      <c r="H559" s="51"/>
      <c r="I559" s="17">
        <f t="shared" si="10"/>
        <v>0</v>
      </c>
      <c r="J559" s="56"/>
      <c r="K559" s="300"/>
    </row>
    <row r="560" spans="1:11" ht="29.25">
      <c r="A560" s="11">
        <v>54399</v>
      </c>
      <c r="B560" s="54" t="s">
        <v>697</v>
      </c>
      <c r="C560" s="13"/>
      <c r="D560" s="14" t="s">
        <v>18</v>
      </c>
      <c r="E560" s="14" t="s">
        <v>28</v>
      </c>
      <c r="F560" s="14" t="s">
        <v>27</v>
      </c>
      <c r="G560" s="17">
        <f>'MAYO-18 '!I560</f>
        <v>0</v>
      </c>
      <c r="H560" s="51"/>
      <c r="I560" s="17">
        <f t="shared" si="10"/>
        <v>0</v>
      </c>
      <c r="J560" s="56"/>
      <c r="K560" s="300"/>
    </row>
    <row r="561" spans="1:11" ht="29.25">
      <c r="A561" s="11">
        <v>55603</v>
      </c>
      <c r="B561" s="54" t="s">
        <v>698</v>
      </c>
      <c r="C561" s="13"/>
      <c r="D561" s="14" t="s">
        <v>18</v>
      </c>
      <c r="E561" s="14" t="s">
        <v>28</v>
      </c>
      <c r="F561" s="14" t="s">
        <v>27</v>
      </c>
      <c r="G561" s="17">
        <f>'MAYO-18 '!I561</f>
        <v>0</v>
      </c>
      <c r="H561" s="51"/>
      <c r="I561" s="17">
        <f t="shared" si="10"/>
        <v>0</v>
      </c>
      <c r="J561" s="56"/>
      <c r="K561" s="300"/>
    </row>
    <row r="562" spans="1:11" ht="60">
      <c r="A562" s="141" t="s">
        <v>392</v>
      </c>
      <c r="B562" s="53" t="s">
        <v>700</v>
      </c>
      <c r="C562" s="13"/>
      <c r="D562" s="14"/>
      <c r="E562" s="14"/>
      <c r="F562" s="14"/>
      <c r="G562" s="17">
        <f>'MAYO-18 '!I562</f>
        <v>0</v>
      </c>
      <c r="H562" s="51"/>
      <c r="I562" s="17"/>
      <c r="J562" s="56"/>
      <c r="K562" s="56"/>
    </row>
    <row r="563" spans="1:11" ht="29.25">
      <c r="A563" s="11">
        <v>51202</v>
      </c>
      <c r="B563" s="54" t="s">
        <v>701</v>
      </c>
      <c r="C563" s="13"/>
      <c r="D563" s="14" t="s">
        <v>18</v>
      </c>
      <c r="E563" s="14" t="s">
        <v>28</v>
      </c>
      <c r="F563" s="14" t="s">
        <v>27</v>
      </c>
      <c r="G563" s="17">
        <f>'MAYO-18 '!I563</f>
        <v>0</v>
      </c>
      <c r="H563" s="51"/>
      <c r="I563" s="17">
        <f t="shared" si="10"/>
        <v>0</v>
      </c>
      <c r="J563" s="56"/>
      <c r="K563" s="332"/>
    </row>
    <row r="564" spans="1:11" ht="29.25">
      <c r="A564" s="11">
        <v>54110</v>
      </c>
      <c r="B564" s="53" t="s">
        <v>702</v>
      </c>
      <c r="C564" s="13"/>
      <c r="D564" s="14" t="s">
        <v>18</v>
      </c>
      <c r="E564" s="14" t="s">
        <v>28</v>
      </c>
      <c r="F564" s="14" t="s">
        <v>27</v>
      </c>
      <c r="G564" s="17">
        <f>'MAYO-18 '!I564</f>
        <v>0</v>
      </c>
      <c r="H564" s="51"/>
      <c r="I564" s="17">
        <f t="shared" si="10"/>
        <v>0</v>
      </c>
      <c r="J564" s="56"/>
      <c r="K564" s="332"/>
    </row>
    <row r="565" spans="1:11" ht="44.25">
      <c r="A565" s="11">
        <v>54111</v>
      </c>
      <c r="B565" s="53" t="s">
        <v>703</v>
      </c>
      <c r="C565" s="13"/>
      <c r="D565" s="14" t="s">
        <v>18</v>
      </c>
      <c r="E565" s="14" t="s">
        <v>28</v>
      </c>
      <c r="F565" s="14" t="s">
        <v>27</v>
      </c>
      <c r="G565" s="17">
        <f>'MAYO-18 '!I565</f>
        <v>0</v>
      </c>
      <c r="H565" s="51"/>
      <c r="I565" s="17">
        <f t="shared" si="10"/>
        <v>0</v>
      </c>
      <c r="J565" s="56"/>
      <c r="K565" s="332"/>
    </row>
    <row r="566" spans="1:11" ht="44.25">
      <c r="A566" s="11">
        <v>54313</v>
      </c>
      <c r="B566" s="53" t="s">
        <v>704</v>
      </c>
      <c r="C566" s="13"/>
      <c r="D566" s="14" t="s">
        <v>18</v>
      </c>
      <c r="E566" s="14" t="s">
        <v>28</v>
      </c>
      <c r="F566" s="14" t="s">
        <v>27</v>
      </c>
      <c r="G566" s="17">
        <f>'MAYO-18 '!I566</f>
        <v>0</v>
      </c>
      <c r="H566" s="51"/>
      <c r="I566" s="17">
        <f t="shared" si="10"/>
        <v>0</v>
      </c>
      <c r="J566" s="56"/>
      <c r="K566" s="332"/>
    </row>
    <row r="567" spans="1:11" ht="29.25">
      <c r="A567" s="11">
        <v>55603</v>
      </c>
      <c r="B567" s="53" t="s">
        <v>705</v>
      </c>
      <c r="C567" s="13"/>
      <c r="D567" s="14" t="s">
        <v>18</v>
      </c>
      <c r="E567" s="14" t="s">
        <v>28</v>
      </c>
      <c r="F567" s="14" t="s">
        <v>27</v>
      </c>
      <c r="G567" s="17">
        <f>'MAYO-18 '!I567</f>
        <v>0</v>
      </c>
      <c r="H567" s="51"/>
      <c r="I567" s="17">
        <f>G567-H567+J567-K567</f>
        <v>0</v>
      </c>
      <c r="J567" s="56"/>
      <c r="K567" s="332"/>
    </row>
    <row r="568" spans="1:11" ht="105">
      <c r="A568" s="141" t="s">
        <v>401</v>
      </c>
      <c r="B568" s="53" t="s">
        <v>706</v>
      </c>
      <c r="C568" s="13"/>
      <c r="D568" s="14"/>
      <c r="E568" s="14"/>
      <c r="F568" s="14"/>
      <c r="G568" s="17">
        <f>'MAYO-18 '!I568</f>
        <v>0</v>
      </c>
      <c r="H568" s="51"/>
      <c r="I568" s="17"/>
      <c r="J568" s="56"/>
      <c r="K568" s="56"/>
    </row>
    <row r="569" spans="1:11" ht="29.25">
      <c r="A569" s="11">
        <v>51202</v>
      </c>
      <c r="B569" s="54" t="s">
        <v>707</v>
      </c>
      <c r="C569" s="13"/>
      <c r="D569" s="14" t="s">
        <v>18</v>
      </c>
      <c r="E569" s="14" t="s">
        <v>28</v>
      </c>
      <c r="F569" s="14" t="s">
        <v>27</v>
      </c>
      <c r="G569" s="17">
        <f>'MAYO-18 '!I569</f>
        <v>0</v>
      </c>
      <c r="H569" s="51"/>
      <c r="I569" s="17">
        <f>G569-H569+J569-K569</f>
        <v>0</v>
      </c>
      <c r="J569" s="56"/>
      <c r="K569" s="300"/>
    </row>
    <row r="570" spans="1:11" ht="43.5">
      <c r="A570" s="11">
        <v>54110</v>
      </c>
      <c r="B570" s="54" t="s">
        <v>708</v>
      </c>
      <c r="C570" s="13"/>
      <c r="D570" s="14" t="s">
        <v>18</v>
      </c>
      <c r="E570" s="14" t="s">
        <v>28</v>
      </c>
      <c r="F570" s="14" t="s">
        <v>27</v>
      </c>
      <c r="G570" s="17">
        <f>'MAYO-18 '!I570</f>
        <v>0</v>
      </c>
      <c r="H570" s="51"/>
      <c r="I570" s="17">
        <f t="shared" ref="I570:I610" si="11">G570-H570+J570-K570</f>
        <v>0</v>
      </c>
      <c r="J570" s="56"/>
      <c r="K570" s="300"/>
    </row>
    <row r="571" spans="1:11" ht="44.25">
      <c r="A571" s="11">
        <v>54111</v>
      </c>
      <c r="B571" s="54" t="s">
        <v>709</v>
      </c>
      <c r="C571" s="13"/>
      <c r="D571" s="14" t="s">
        <v>18</v>
      </c>
      <c r="E571" s="14" t="s">
        <v>28</v>
      </c>
      <c r="F571" s="14" t="s">
        <v>27</v>
      </c>
      <c r="G571" s="17">
        <f>'MAYO-18 '!I571</f>
        <v>0</v>
      </c>
      <c r="H571" s="51"/>
      <c r="I571" s="17">
        <f t="shared" si="11"/>
        <v>0</v>
      </c>
      <c r="J571" s="56"/>
      <c r="K571" s="300"/>
    </row>
    <row r="572" spans="1:11" ht="43.5">
      <c r="A572" s="11">
        <v>54118</v>
      </c>
      <c r="B572" s="54" t="s">
        <v>710</v>
      </c>
      <c r="C572" s="13"/>
      <c r="D572" s="14" t="s">
        <v>18</v>
      </c>
      <c r="E572" s="14" t="s">
        <v>28</v>
      </c>
      <c r="F572" s="14" t="s">
        <v>27</v>
      </c>
      <c r="G572" s="17">
        <f>'MAYO-18 '!I572</f>
        <v>0</v>
      </c>
      <c r="H572" s="51"/>
      <c r="I572" s="17">
        <f t="shared" si="11"/>
        <v>0</v>
      </c>
      <c r="J572" s="56"/>
      <c r="K572" s="300"/>
    </row>
    <row r="573" spans="1:11" ht="43.5">
      <c r="A573" s="11">
        <v>54313</v>
      </c>
      <c r="B573" s="54" t="s">
        <v>711</v>
      </c>
      <c r="C573" s="13"/>
      <c r="D573" s="14" t="s">
        <v>18</v>
      </c>
      <c r="E573" s="14" t="s">
        <v>28</v>
      </c>
      <c r="F573" s="14" t="s">
        <v>27</v>
      </c>
      <c r="G573" s="17">
        <f>'MAYO-18 '!I573</f>
        <v>0</v>
      </c>
      <c r="H573" s="51"/>
      <c r="I573" s="17">
        <f t="shared" si="11"/>
        <v>0</v>
      </c>
      <c r="J573" s="56"/>
      <c r="K573" s="300"/>
    </row>
    <row r="574" spans="1:11" ht="44.25">
      <c r="A574" s="11">
        <v>54399</v>
      </c>
      <c r="B574" s="54" t="s">
        <v>712</v>
      </c>
      <c r="C574" s="13"/>
      <c r="D574" s="14" t="s">
        <v>18</v>
      </c>
      <c r="E574" s="14" t="s">
        <v>28</v>
      </c>
      <c r="F574" s="14" t="s">
        <v>27</v>
      </c>
      <c r="G574" s="17">
        <f>'MAYO-18 '!I574</f>
        <v>0</v>
      </c>
      <c r="H574" s="51"/>
      <c r="I574" s="17">
        <f t="shared" si="11"/>
        <v>0</v>
      </c>
      <c r="J574" s="56"/>
      <c r="K574" s="300"/>
    </row>
    <row r="575" spans="1:11" ht="43.5">
      <c r="A575" s="11">
        <v>55603</v>
      </c>
      <c r="B575" s="53" t="s">
        <v>713</v>
      </c>
      <c r="C575" s="13"/>
      <c r="D575" s="14" t="s">
        <v>18</v>
      </c>
      <c r="E575" s="14" t="s">
        <v>28</v>
      </c>
      <c r="F575" s="14" t="s">
        <v>27</v>
      </c>
      <c r="G575" s="17">
        <f>'MAYO-18 '!I575</f>
        <v>0</v>
      </c>
      <c r="H575" s="51"/>
      <c r="I575" s="17">
        <f t="shared" si="11"/>
        <v>0</v>
      </c>
      <c r="J575" s="56"/>
      <c r="K575" s="300"/>
    </row>
    <row r="576" spans="1:11" ht="59.25">
      <c r="A576" s="141" t="s">
        <v>408</v>
      </c>
      <c r="B576" s="53" t="s">
        <v>714</v>
      </c>
      <c r="C576" s="13"/>
      <c r="D576" s="14"/>
      <c r="E576" s="14"/>
      <c r="F576" s="14"/>
      <c r="G576" s="17">
        <f>'MAYO-18 '!I576</f>
        <v>0</v>
      </c>
      <c r="H576" s="51"/>
      <c r="I576" s="17"/>
      <c r="J576" s="56"/>
      <c r="K576" s="56"/>
    </row>
    <row r="577" spans="1:11" ht="29.25">
      <c r="A577" s="11">
        <v>51202</v>
      </c>
      <c r="B577" s="54" t="s">
        <v>715</v>
      </c>
      <c r="C577" s="13"/>
      <c r="D577" s="14" t="s">
        <v>18</v>
      </c>
      <c r="E577" s="14" t="s">
        <v>28</v>
      </c>
      <c r="F577" s="14" t="s">
        <v>27</v>
      </c>
      <c r="G577" s="17">
        <f>'MAYO-18 '!I577</f>
        <v>0</v>
      </c>
      <c r="H577" s="51"/>
      <c r="I577" s="17">
        <f t="shared" si="11"/>
        <v>0</v>
      </c>
      <c r="J577" s="56"/>
      <c r="K577" s="142"/>
    </row>
    <row r="578" spans="1:11" ht="29.25">
      <c r="A578" s="11">
        <v>54110</v>
      </c>
      <c r="B578" s="54" t="s">
        <v>716</v>
      </c>
      <c r="C578" s="13"/>
      <c r="D578" s="14" t="s">
        <v>18</v>
      </c>
      <c r="E578" s="14" t="s">
        <v>28</v>
      </c>
      <c r="F578" s="14" t="s">
        <v>27</v>
      </c>
      <c r="G578" s="17">
        <f>'MAYO-18 '!I578</f>
        <v>0</v>
      </c>
      <c r="H578" s="51"/>
      <c r="I578" s="17">
        <f t="shared" si="11"/>
        <v>0</v>
      </c>
      <c r="J578" s="56"/>
      <c r="K578" s="142"/>
    </row>
    <row r="579" spans="1:11" ht="44.25">
      <c r="A579" s="11">
        <v>54111</v>
      </c>
      <c r="B579" s="54" t="s">
        <v>717</v>
      </c>
      <c r="C579" s="13"/>
      <c r="D579" s="14" t="s">
        <v>18</v>
      </c>
      <c r="E579" s="14" t="s">
        <v>28</v>
      </c>
      <c r="F579" s="14" t="s">
        <v>27</v>
      </c>
      <c r="G579" s="17">
        <f>'MAYO-18 '!I579</f>
        <v>0</v>
      </c>
      <c r="H579" s="51"/>
      <c r="I579" s="17">
        <f t="shared" si="11"/>
        <v>0</v>
      </c>
      <c r="J579" s="56"/>
      <c r="K579" s="142"/>
    </row>
    <row r="580" spans="1:11" ht="43.5">
      <c r="A580" s="11">
        <v>54112</v>
      </c>
      <c r="B580" s="53" t="s">
        <v>718</v>
      </c>
      <c r="C580" s="13"/>
      <c r="D580" s="14" t="s">
        <v>18</v>
      </c>
      <c r="E580" s="14" t="s">
        <v>28</v>
      </c>
      <c r="F580" s="14" t="s">
        <v>27</v>
      </c>
      <c r="G580" s="17">
        <f>'MAYO-18 '!I580</f>
        <v>0</v>
      </c>
      <c r="H580" s="51"/>
      <c r="I580" s="17">
        <f t="shared" si="11"/>
        <v>0</v>
      </c>
      <c r="J580" s="56"/>
      <c r="K580" s="142"/>
    </row>
    <row r="581" spans="1:11" ht="29.25">
      <c r="A581" s="11">
        <v>54118</v>
      </c>
      <c r="B581" s="54" t="s">
        <v>719</v>
      </c>
      <c r="C581" s="13"/>
      <c r="D581" s="14" t="s">
        <v>18</v>
      </c>
      <c r="E581" s="14" t="s">
        <v>28</v>
      </c>
      <c r="F581" s="14" t="s">
        <v>27</v>
      </c>
      <c r="G581" s="17">
        <f>'MAYO-18 '!I581</f>
        <v>0</v>
      </c>
      <c r="H581" s="51"/>
      <c r="I581" s="17">
        <f t="shared" si="11"/>
        <v>0</v>
      </c>
      <c r="J581" s="56"/>
      <c r="K581" s="142"/>
    </row>
    <row r="582" spans="1:11" ht="44.25">
      <c r="A582" s="11">
        <v>54313</v>
      </c>
      <c r="B582" s="54" t="s">
        <v>720</v>
      </c>
      <c r="C582" s="13"/>
      <c r="D582" s="14" t="s">
        <v>18</v>
      </c>
      <c r="E582" s="14" t="s">
        <v>28</v>
      </c>
      <c r="F582" s="14" t="s">
        <v>27</v>
      </c>
      <c r="G582" s="17">
        <f>'MAYO-18 '!I582</f>
        <v>0</v>
      </c>
      <c r="H582" s="51"/>
      <c r="I582" s="17">
        <f t="shared" si="11"/>
        <v>0</v>
      </c>
      <c r="J582" s="56"/>
      <c r="K582" s="142"/>
    </row>
    <row r="583" spans="1:11" ht="44.25">
      <c r="A583" s="11">
        <v>54399</v>
      </c>
      <c r="B583" s="53" t="s">
        <v>721</v>
      </c>
      <c r="C583" s="13"/>
      <c r="D583" s="14" t="s">
        <v>18</v>
      </c>
      <c r="E583" s="14" t="s">
        <v>28</v>
      </c>
      <c r="F583" s="14" t="s">
        <v>27</v>
      </c>
      <c r="G583" s="17">
        <f>'MAYO-18 '!I583</f>
        <v>0</v>
      </c>
      <c r="H583" s="51"/>
      <c r="I583" s="17">
        <f t="shared" si="11"/>
        <v>0</v>
      </c>
      <c r="J583" s="56"/>
      <c r="K583" s="142"/>
    </row>
    <row r="584" spans="1:11" ht="29.25">
      <c r="A584" s="11">
        <v>55603</v>
      </c>
      <c r="B584" s="53" t="s">
        <v>722</v>
      </c>
      <c r="C584" s="13"/>
      <c r="D584" s="14" t="s">
        <v>18</v>
      </c>
      <c r="E584" s="14" t="s">
        <v>28</v>
      </c>
      <c r="F584" s="14" t="s">
        <v>27</v>
      </c>
      <c r="G584" s="17">
        <f>'MAYO-18 '!I584</f>
        <v>0</v>
      </c>
      <c r="H584" s="51"/>
      <c r="I584" s="17">
        <f t="shared" si="11"/>
        <v>0</v>
      </c>
      <c r="J584" s="56"/>
      <c r="K584" s="142"/>
    </row>
    <row r="585" spans="1:11" ht="89.25">
      <c r="A585" s="141" t="s">
        <v>418</v>
      </c>
      <c r="B585" s="53" t="s">
        <v>723</v>
      </c>
      <c r="C585" s="13"/>
      <c r="D585" s="14"/>
      <c r="E585" s="14"/>
      <c r="F585" s="14"/>
      <c r="G585" s="17">
        <f>'MAYO-18 '!I585</f>
        <v>0</v>
      </c>
      <c r="H585" s="51"/>
      <c r="I585" s="17"/>
      <c r="J585" s="56"/>
      <c r="K585" s="56"/>
    </row>
    <row r="586" spans="1:11" ht="29.25">
      <c r="A586" s="11">
        <v>51202</v>
      </c>
      <c r="B586" s="53" t="s">
        <v>724</v>
      </c>
      <c r="C586" s="13"/>
      <c r="D586" s="14" t="s">
        <v>18</v>
      </c>
      <c r="E586" s="14" t="s">
        <v>28</v>
      </c>
      <c r="F586" s="14" t="s">
        <v>27</v>
      </c>
      <c r="G586" s="17">
        <f>'MAYO-18 '!I586</f>
        <v>0</v>
      </c>
      <c r="H586" s="51"/>
      <c r="I586" s="17">
        <f t="shared" si="11"/>
        <v>0</v>
      </c>
      <c r="J586" s="56"/>
      <c r="K586" s="337"/>
    </row>
    <row r="587" spans="1:11" ht="29.25">
      <c r="A587" s="11">
        <v>54110</v>
      </c>
      <c r="B587" s="53" t="s">
        <v>725</v>
      </c>
      <c r="C587" s="13"/>
      <c r="D587" s="14" t="s">
        <v>18</v>
      </c>
      <c r="E587" s="14" t="s">
        <v>28</v>
      </c>
      <c r="F587" s="14" t="s">
        <v>27</v>
      </c>
      <c r="G587" s="17">
        <f>'MAYO-18 '!I587</f>
        <v>0</v>
      </c>
      <c r="H587" s="51"/>
      <c r="I587" s="17">
        <f t="shared" si="11"/>
        <v>0</v>
      </c>
      <c r="J587" s="56"/>
      <c r="K587" s="337"/>
    </row>
    <row r="588" spans="1:11" ht="29.25">
      <c r="A588" s="11">
        <v>54111</v>
      </c>
      <c r="B588" s="53" t="s">
        <v>726</v>
      </c>
      <c r="C588" s="13"/>
      <c r="D588" s="14" t="s">
        <v>18</v>
      </c>
      <c r="E588" s="14" t="s">
        <v>28</v>
      </c>
      <c r="F588" s="14" t="s">
        <v>27</v>
      </c>
      <c r="G588" s="17">
        <f>'MAYO-18 '!I588</f>
        <v>0</v>
      </c>
      <c r="H588" s="51"/>
      <c r="I588" s="17">
        <f t="shared" si="11"/>
        <v>0</v>
      </c>
      <c r="J588" s="56"/>
      <c r="K588" s="337"/>
    </row>
    <row r="589" spans="1:11" ht="29.25">
      <c r="A589" s="11">
        <v>54118</v>
      </c>
      <c r="B589" s="53" t="s">
        <v>727</v>
      </c>
      <c r="C589" s="13"/>
      <c r="D589" s="14" t="s">
        <v>18</v>
      </c>
      <c r="E589" s="14" t="s">
        <v>28</v>
      </c>
      <c r="F589" s="14" t="s">
        <v>27</v>
      </c>
      <c r="G589" s="17">
        <f>'MAYO-18 '!I589</f>
        <v>0</v>
      </c>
      <c r="H589" s="51"/>
      <c r="I589" s="17">
        <f t="shared" si="11"/>
        <v>0</v>
      </c>
      <c r="J589" s="56"/>
      <c r="K589" s="337"/>
    </row>
    <row r="590" spans="1:11" ht="29.25">
      <c r="A590" s="11">
        <v>54313</v>
      </c>
      <c r="B590" s="53" t="s">
        <v>728</v>
      </c>
      <c r="C590" s="13"/>
      <c r="D590" s="14" t="s">
        <v>18</v>
      </c>
      <c r="E590" s="14" t="s">
        <v>28</v>
      </c>
      <c r="F590" s="14" t="s">
        <v>27</v>
      </c>
      <c r="G590" s="17">
        <f>'MAYO-18 '!I590</f>
        <v>0</v>
      </c>
      <c r="H590" s="51"/>
      <c r="I590" s="17">
        <f t="shared" si="11"/>
        <v>0</v>
      </c>
      <c r="J590" s="56"/>
      <c r="K590" s="337"/>
    </row>
    <row r="591" spans="1:11" ht="30">
      <c r="A591" s="11">
        <v>54399</v>
      </c>
      <c r="B591" s="53" t="s">
        <v>729</v>
      </c>
      <c r="C591" s="13"/>
      <c r="D591" s="14" t="s">
        <v>18</v>
      </c>
      <c r="E591" s="14" t="s">
        <v>28</v>
      </c>
      <c r="F591" s="14" t="s">
        <v>27</v>
      </c>
      <c r="G591" s="17">
        <f>'MAYO-18 '!I591</f>
        <v>0</v>
      </c>
      <c r="H591" s="51"/>
      <c r="I591" s="17">
        <f t="shared" si="11"/>
        <v>0</v>
      </c>
      <c r="J591" s="56"/>
      <c r="K591" s="337"/>
    </row>
    <row r="592" spans="1:11" ht="29.25">
      <c r="A592" s="11">
        <v>55603</v>
      </c>
      <c r="B592" s="53" t="s">
        <v>730</v>
      </c>
      <c r="C592" s="13"/>
      <c r="D592" s="14" t="s">
        <v>18</v>
      </c>
      <c r="E592" s="14" t="s">
        <v>28</v>
      </c>
      <c r="F592" s="14" t="s">
        <v>27</v>
      </c>
      <c r="G592" s="17">
        <f>'MAYO-18 '!I592</f>
        <v>0</v>
      </c>
      <c r="H592" s="51"/>
      <c r="I592" s="17">
        <f t="shared" si="11"/>
        <v>0</v>
      </c>
      <c r="J592" s="56"/>
      <c r="K592" s="337"/>
    </row>
    <row r="593" spans="1:11" ht="90">
      <c r="A593" s="141" t="s">
        <v>429</v>
      </c>
      <c r="B593" s="53" t="s">
        <v>731</v>
      </c>
      <c r="C593" s="13"/>
      <c r="D593" s="14"/>
      <c r="E593" s="14"/>
      <c r="F593" s="14"/>
      <c r="G593" s="17">
        <f>'MAYO-18 '!I593</f>
        <v>0</v>
      </c>
      <c r="H593" s="51"/>
      <c r="I593" s="17"/>
      <c r="J593" s="56"/>
      <c r="K593" s="56"/>
    </row>
    <row r="594" spans="1:11">
      <c r="A594" s="11">
        <v>51202</v>
      </c>
      <c r="B594" s="53" t="s">
        <v>732</v>
      </c>
      <c r="C594" s="13"/>
      <c r="D594" s="14" t="s">
        <v>18</v>
      </c>
      <c r="E594" s="14" t="s">
        <v>28</v>
      </c>
      <c r="F594" s="14" t="s">
        <v>27</v>
      </c>
      <c r="G594" s="17">
        <f>'MAYO-18 '!I594</f>
        <v>12190</v>
      </c>
      <c r="H594" s="51"/>
      <c r="I594" s="17">
        <f t="shared" si="11"/>
        <v>12190</v>
      </c>
      <c r="J594" s="56"/>
      <c r="K594" s="56"/>
    </row>
    <row r="595" spans="1:11" ht="29.25">
      <c r="A595" s="11">
        <v>54110</v>
      </c>
      <c r="B595" s="53" t="s">
        <v>733</v>
      </c>
      <c r="C595" s="13"/>
      <c r="D595" s="14" t="s">
        <v>18</v>
      </c>
      <c r="E595" s="14" t="s">
        <v>28</v>
      </c>
      <c r="F595" s="14" t="s">
        <v>27</v>
      </c>
      <c r="G595" s="17">
        <f>'MAYO-18 '!I595</f>
        <v>300</v>
      </c>
      <c r="H595" s="51"/>
      <c r="I595" s="17">
        <f t="shared" si="11"/>
        <v>300</v>
      </c>
      <c r="J595" s="56"/>
      <c r="K595" s="56"/>
    </row>
    <row r="596" spans="1:11" ht="29.25">
      <c r="A596" s="11">
        <v>54111</v>
      </c>
      <c r="B596" s="53" t="s">
        <v>734</v>
      </c>
      <c r="C596" s="13"/>
      <c r="D596" s="14" t="s">
        <v>18</v>
      </c>
      <c r="E596" s="14" t="s">
        <v>28</v>
      </c>
      <c r="F596" s="14" t="s">
        <v>27</v>
      </c>
      <c r="G596" s="17">
        <f>'MAYO-18 '!I596</f>
        <v>15000</v>
      </c>
      <c r="H596" s="51"/>
      <c r="I596" s="17">
        <f t="shared" si="11"/>
        <v>15000</v>
      </c>
      <c r="J596" s="56"/>
      <c r="K596" s="56"/>
    </row>
    <row r="597" spans="1:11" ht="29.25">
      <c r="A597" s="11">
        <v>54112</v>
      </c>
      <c r="B597" s="53" t="s">
        <v>735</v>
      </c>
      <c r="C597" s="13"/>
      <c r="D597" s="14" t="s">
        <v>18</v>
      </c>
      <c r="E597" s="14" t="s">
        <v>28</v>
      </c>
      <c r="F597" s="14" t="s">
        <v>27</v>
      </c>
      <c r="G597" s="17">
        <f>'MAYO-18 '!I597</f>
        <v>8000</v>
      </c>
      <c r="H597" s="51"/>
      <c r="I597" s="17">
        <f t="shared" si="11"/>
        <v>8000</v>
      </c>
      <c r="J597" s="56"/>
      <c r="K597" s="56"/>
    </row>
    <row r="598" spans="1:11" ht="29.25">
      <c r="A598" s="11">
        <v>54118</v>
      </c>
      <c r="B598" s="53" t="s">
        <v>736</v>
      </c>
      <c r="C598" s="13"/>
      <c r="D598" s="14" t="s">
        <v>18</v>
      </c>
      <c r="E598" s="14" t="s">
        <v>28</v>
      </c>
      <c r="F598" s="14" t="s">
        <v>27</v>
      </c>
      <c r="G598" s="17">
        <f>'MAYO-18 '!I598</f>
        <v>7000</v>
      </c>
      <c r="H598" s="51"/>
      <c r="I598" s="17">
        <f t="shared" si="11"/>
        <v>7000</v>
      </c>
      <c r="J598" s="56"/>
      <c r="K598" s="56"/>
    </row>
    <row r="599" spans="1:11" ht="29.25">
      <c r="A599" s="11">
        <v>54304</v>
      </c>
      <c r="B599" s="53" t="s">
        <v>737</v>
      </c>
      <c r="C599" s="13"/>
      <c r="D599" s="14" t="s">
        <v>18</v>
      </c>
      <c r="E599" s="14" t="s">
        <v>28</v>
      </c>
      <c r="F599" s="14" t="s">
        <v>27</v>
      </c>
      <c r="G599" s="17">
        <f>'MAYO-18 '!I599</f>
        <v>2000</v>
      </c>
      <c r="H599" s="51"/>
      <c r="I599" s="17">
        <f t="shared" si="11"/>
        <v>2000</v>
      </c>
      <c r="J599" s="56"/>
      <c r="K599" s="56"/>
    </row>
    <row r="600" spans="1:11" ht="30">
      <c r="A600" s="11">
        <v>54313</v>
      </c>
      <c r="B600" s="53" t="s">
        <v>738</v>
      </c>
      <c r="C600" s="13"/>
      <c r="D600" s="14" t="s">
        <v>18</v>
      </c>
      <c r="E600" s="14" t="s">
        <v>28</v>
      </c>
      <c r="F600" s="14" t="s">
        <v>27</v>
      </c>
      <c r="G600" s="17">
        <f>'MAYO-18 '!I600</f>
        <v>300</v>
      </c>
      <c r="H600" s="51"/>
      <c r="I600" s="17">
        <f t="shared" si="11"/>
        <v>300</v>
      </c>
      <c r="J600" s="56"/>
      <c r="K600" s="56"/>
    </row>
    <row r="601" spans="1:11" ht="29.25">
      <c r="A601" s="11">
        <v>54399</v>
      </c>
      <c r="B601" s="53" t="s">
        <v>739</v>
      </c>
      <c r="C601" s="13"/>
      <c r="D601" s="14" t="s">
        <v>18</v>
      </c>
      <c r="E601" s="14" t="s">
        <v>28</v>
      </c>
      <c r="F601" s="14" t="s">
        <v>27</v>
      </c>
      <c r="G601" s="17">
        <f>'MAYO-18 '!I601</f>
        <v>200</v>
      </c>
      <c r="H601" s="51"/>
      <c r="I601" s="17">
        <f t="shared" si="11"/>
        <v>200</v>
      </c>
      <c r="J601" s="56"/>
      <c r="K601" s="56"/>
    </row>
    <row r="602" spans="1:11" ht="29.25">
      <c r="A602" s="11">
        <v>55603</v>
      </c>
      <c r="B602" s="53" t="s">
        <v>740</v>
      </c>
      <c r="C602" s="13"/>
      <c r="D602" s="14" t="s">
        <v>18</v>
      </c>
      <c r="E602" s="14" t="s">
        <v>28</v>
      </c>
      <c r="F602" s="14" t="s">
        <v>27</v>
      </c>
      <c r="G602" s="17">
        <f>'MAYO-18 '!I602</f>
        <v>10</v>
      </c>
      <c r="H602" s="51"/>
      <c r="I602" s="17">
        <f t="shared" si="11"/>
        <v>10</v>
      </c>
      <c r="J602" s="56"/>
      <c r="K602" s="56"/>
    </row>
    <row r="603" spans="1:11" ht="75">
      <c r="A603" s="144" t="s">
        <v>437</v>
      </c>
      <c r="B603" s="53" t="s">
        <v>742</v>
      </c>
      <c r="C603" s="13"/>
      <c r="D603" s="14"/>
      <c r="E603" s="14"/>
      <c r="F603" s="14"/>
      <c r="G603" s="17">
        <f>'MAYO-18 '!I603</f>
        <v>0</v>
      </c>
      <c r="H603" s="51"/>
      <c r="I603" s="17"/>
      <c r="J603" s="56"/>
      <c r="K603" s="56"/>
    </row>
    <row r="604" spans="1:11" ht="29.25">
      <c r="A604" s="11">
        <v>51202</v>
      </c>
      <c r="B604" s="53" t="s">
        <v>743</v>
      </c>
      <c r="C604" s="13"/>
      <c r="D604" s="14" t="s">
        <v>18</v>
      </c>
      <c r="E604" s="14" t="s">
        <v>28</v>
      </c>
      <c r="F604" s="14" t="s">
        <v>27</v>
      </c>
      <c r="G604" s="17">
        <f>'MAYO-18 '!I604</f>
        <v>0</v>
      </c>
      <c r="H604" s="51"/>
      <c r="I604" s="17">
        <f t="shared" si="11"/>
        <v>0</v>
      </c>
      <c r="J604" s="56"/>
      <c r="K604" s="337"/>
    </row>
    <row r="605" spans="1:11" ht="29.25">
      <c r="A605" s="11">
        <v>54110</v>
      </c>
      <c r="B605" s="53" t="s">
        <v>744</v>
      </c>
      <c r="C605" s="13"/>
      <c r="D605" s="14" t="s">
        <v>18</v>
      </c>
      <c r="E605" s="14" t="s">
        <v>28</v>
      </c>
      <c r="F605" s="14" t="s">
        <v>27</v>
      </c>
      <c r="G605" s="17">
        <f>'MAYO-18 '!I605</f>
        <v>0</v>
      </c>
      <c r="H605" s="51"/>
      <c r="I605" s="17">
        <f t="shared" si="11"/>
        <v>0</v>
      </c>
      <c r="J605" s="56"/>
      <c r="K605" s="337"/>
    </row>
    <row r="606" spans="1:11" ht="43.5">
      <c r="A606" s="11">
        <v>54111</v>
      </c>
      <c r="B606" s="53" t="s">
        <v>745</v>
      </c>
      <c r="C606" s="13"/>
      <c r="D606" s="14" t="s">
        <v>18</v>
      </c>
      <c r="E606" s="14" t="s">
        <v>28</v>
      </c>
      <c r="F606" s="14" t="s">
        <v>27</v>
      </c>
      <c r="G606" s="17">
        <f>'MAYO-18 '!I606</f>
        <v>0</v>
      </c>
      <c r="H606" s="51"/>
      <c r="I606" s="17">
        <f t="shared" si="11"/>
        <v>0</v>
      </c>
      <c r="J606" s="56"/>
      <c r="K606" s="337"/>
    </row>
    <row r="607" spans="1:11" ht="43.5">
      <c r="A607" s="11">
        <v>54118</v>
      </c>
      <c r="B607" s="53" t="s">
        <v>746</v>
      </c>
      <c r="C607" s="13"/>
      <c r="D607" s="14" t="s">
        <v>18</v>
      </c>
      <c r="E607" s="14" t="s">
        <v>28</v>
      </c>
      <c r="F607" s="14" t="s">
        <v>27</v>
      </c>
      <c r="G607" s="17">
        <f>'MAYO-18 '!I607</f>
        <v>2366.81</v>
      </c>
      <c r="H607" s="51"/>
      <c r="I607" s="17">
        <f t="shared" si="11"/>
        <v>2366.81</v>
      </c>
      <c r="J607" s="56"/>
      <c r="K607" s="337"/>
    </row>
    <row r="608" spans="1:11" ht="43.5">
      <c r="A608" s="11">
        <v>54313</v>
      </c>
      <c r="B608" s="53" t="s">
        <v>747</v>
      </c>
      <c r="C608" s="13"/>
      <c r="D608" s="14" t="s">
        <v>18</v>
      </c>
      <c r="E608" s="14" t="s">
        <v>28</v>
      </c>
      <c r="F608" s="14" t="s">
        <v>27</v>
      </c>
      <c r="G608" s="17">
        <f>'MAYO-18 '!I608</f>
        <v>0</v>
      </c>
      <c r="H608" s="51"/>
      <c r="I608" s="17">
        <f t="shared" si="11"/>
        <v>0</v>
      </c>
      <c r="J608" s="56"/>
      <c r="K608" s="337"/>
    </row>
    <row r="609" spans="1:11" ht="44.25">
      <c r="A609" s="11">
        <v>54399</v>
      </c>
      <c r="B609" s="53" t="s">
        <v>748</v>
      </c>
      <c r="C609" s="13"/>
      <c r="D609" s="14" t="s">
        <v>18</v>
      </c>
      <c r="E609" s="14" t="s">
        <v>28</v>
      </c>
      <c r="F609" s="14" t="s">
        <v>27</v>
      </c>
      <c r="G609" s="17">
        <f>'MAYO-18 '!I609</f>
        <v>0</v>
      </c>
      <c r="H609" s="51"/>
      <c r="I609" s="17">
        <f t="shared" si="11"/>
        <v>0</v>
      </c>
      <c r="J609" s="56"/>
      <c r="K609" s="337"/>
    </row>
    <row r="610" spans="1:11" ht="29.25">
      <c r="A610" s="11">
        <v>55603</v>
      </c>
      <c r="B610" s="53" t="s">
        <v>749</v>
      </c>
      <c r="C610" s="13"/>
      <c r="D610" s="14" t="s">
        <v>18</v>
      </c>
      <c r="E610" s="14" t="s">
        <v>28</v>
      </c>
      <c r="F610" s="14" t="s">
        <v>27</v>
      </c>
      <c r="G610" s="17">
        <f>'MAYO-18 '!I610</f>
        <v>10</v>
      </c>
      <c r="H610" s="51"/>
      <c r="I610" s="17">
        <f t="shared" si="11"/>
        <v>10</v>
      </c>
      <c r="J610" s="56"/>
      <c r="K610" s="56"/>
    </row>
    <row r="611" spans="1:11">
      <c r="A611" s="11"/>
      <c r="B611" s="54"/>
      <c r="C611" s="13"/>
      <c r="D611" s="14"/>
      <c r="E611" s="14"/>
      <c r="F611" s="14"/>
      <c r="G611" s="17">
        <f>'MAYO-18 '!I611</f>
        <v>0</v>
      </c>
      <c r="H611" s="51"/>
      <c r="I611" s="17"/>
      <c r="J611" s="56"/>
      <c r="K611" s="56"/>
    </row>
    <row r="612" spans="1:11" ht="60">
      <c r="A612" s="141" t="s">
        <v>443</v>
      </c>
      <c r="B612" s="53" t="s">
        <v>750</v>
      </c>
      <c r="C612" s="13"/>
      <c r="D612" s="14"/>
      <c r="E612" s="14"/>
      <c r="F612" s="14"/>
      <c r="G612" s="17">
        <f>'MAYO-18 '!I612</f>
        <v>0</v>
      </c>
      <c r="H612" s="51"/>
      <c r="I612" s="17"/>
      <c r="J612" s="56"/>
      <c r="K612" s="56"/>
    </row>
    <row r="613" spans="1:11" ht="29.25">
      <c r="A613" s="11">
        <v>51202</v>
      </c>
      <c r="B613" s="53" t="s">
        <v>741</v>
      </c>
      <c r="C613" s="13"/>
      <c r="D613" s="14" t="s">
        <v>18</v>
      </c>
      <c r="E613" s="14" t="s">
        <v>28</v>
      </c>
      <c r="F613" s="14" t="s">
        <v>27</v>
      </c>
      <c r="G613" s="17">
        <f>'MAYO-18 '!I613</f>
        <v>3000</v>
      </c>
      <c r="H613" s="51"/>
      <c r="I613" s="17">
        <f t="shared" ref="I613:I679" si="12">G613-H613+J613-K613</f>
        <v>3000</v>
      </c>
      <c r="J613" s="56"/>
      <c r="K613" s="56"/>
    </row>
    <row r="614" spans="1:11" ht="29.25">
      <c r="A614" s="11">
        <v>54110</v>
      </c>
      <c r="B614" s="53" t="s">
        <v>751</v>
      </c>
      <c r="C614" s="13"/>
      <c r="D614" s="14" t="s">
        <v>18</v>
      </c>
      <c r="E614" s="14" t="s">
        <v>28</v>
      </c>
      <c r="F614" s="14" t="s">
        <v>27</v>
      </c>
      <c r="G614" s="17">
        <f>'MAYO-18 '!I614</f>
        <v>100</v>
      </c>
      <c r="H614" s="51"/>
      <c r="I614" s="17">
        <f t="shared" si="12"/>
        <v>100</v>
      </c>
      <c r="J614" s="56"/>
      <c r="K614" s="56"/>
    </row>
    <row r="615" spans="1:11" ht="43.5">
      <c r="A615" s="11">
        <v>54111</v>
      </c>
      <c r="B615" s="53" t="s">
        <v>752</v>
      </c>
      <c r="C615" s="13"/>
      <c r="D615" s="14" t="s">
        <v>18</v>
      </c>
      <c r="E615" s="14" t="s">
        <v>28</v>
      </c>
      <c r="F615" s="14" t="s">
        <v>27</v>
      </c>
      <c r="G615" s="17">
        <f>'MAYO-18 '!I615</f>
        <v>2000</v>
      </c>
      <c r="H615" s="51"/>
      <c r="I615" s="17">
        <f t="shared" si="12"/>
        <v>2000</v>
      </c>
      <c r="J615" s="56"/>
      <c r="K615" s="56"/>
    </row>
    <row r="616" spans="1:11" ht="29.25">
      <c r="A616" s="11">
        <v>54118</v>
      </c>
      <c r="B616" s="53" t="s">
        <v>753</v>
      </c>
      <c r="C616" s="13"/>
      <c r="D616" s="14" t="s">
        <v>18</v>
      </c>
      <c r="E616" s="14" t="s">
        <v>28</v>
      </c>
      <c r="F616" s="14" t="s">
        <v>27</v>
      </c>
      <c r="G616" s="17">
        <f>'MAYO-18 '!I616</f>
        <v>290</v>
      </c>
      <c r="H616" s="51"/>
      <c r="I616" s="17">
        <f t="shared" si="12"/>
        <v>290</v>
      </c>
      <c r="J616" s="56"/>
      <c r="K616" s="56"/>
    </row>
    <row r="617" spans="1:11" ht="29.25">
      <c r="A617" s="11">
        <v>54304</v>
      </c>
      <c r="B617" s="53" t="s">
        <v>754</v>
      </c>
      <c r="C617" s="13"/>
      <c r="D617" s="14" t="s">
        <v>18</v>
      </c>
      <c r="E617" s="14" t="s">
        <v>28</v>
      </c>
      <c r="F617" s="14" t="s">
        <v>27</v>
      </c>
      <c r="G617" s="17">
        <f>'MAYO-18 '!I617</f>
        <v>100</v>
      </c>
      <c r="H617" s="51"/>
      <c r="I617" s="17">
        <f t="shared" si="12"/>
        <v>100</v>
      </c>
      <c r="J617" s="56"/>
      <c r="K617" s="56"/>
    </row>
    <row r="618" spans="1:11" ht="29.25">
      <c r="A618" s="11">
        <v>54313</v>
      </c>
      <c r="B618" s="53" t="s">
        <v>755</v>
      </c>
      <c r="C618" s="13"/>
      <c r="D618" s="14" t="s">
        <v>18</v>
      </c>
      <c r="E618" s="14" t="s">
        <v>28</v>
      </c>
      <c r="F618" s="14" t="s">
        <v>27</v>
      </c>
      <c r="G618" s="17">
        <f>'MAYO-18 '!I618</f>
        <v>300</v>
      </c>
      <c r="H618" s="17"/>
      <c r="I618" s="17">
        <f t="shared" si="12"/>
        <v>300</v>
      </c>
      <c r="J618" s="56"/>
      <c r="K618" s="56"/>
    </row>
    <row r="619" spans="1:11" ht="43.5">
      <c r="A619" s="11">
        <v>54399</v>
      </c>
      <c r="B619" s="53" t="s">
        <v>756</v>
      </c>
      <c r="C619" s="13"/>
      <c r="D619" s="14" t="s">
        <v>18</v>
      </c>
      <c r="E619" s="14" t="s">
        <v>28</v>
      </c>
      <c r="F619" s="14" t="s">
        <v>27</v>
      </c>
      <c r="G619" s="17">
        <f>'MAYO-18 '!I619</f>
        <v>200</v>
      </c>
      <c r="H619" s="51"/>
      <c r="I619" s="17">
        <f t="shared" si="12"/>
        <v>200</v>
      </c>
      <c r="J619" s="56"/>
      <c r="K619" s="56"/>
    </row>
    <row r="620" spans="1:11" ht="29.25">
      <c r="A620" s="11">
        <v>55603</v>
      </c>
      <c r="B620" s="53" t="s">
        <v>757</v>
      </c>
      <c r="C620" s="13"/>
      <c r="D620" s="14" t="s">
        <v>18</v>
      </c>
      <c r="E620" s="14" t="s">
        <v>28</v>
      </c>
      <c r="F620" s="14" t="s">
        <v>27</v>
      </c>
      <c r="G620" s="17">
        <f>'MAYO-18 '!I620</f>
        <v>10</v>
      </c>
      <c r="H620" s="51"/>
      <c r="I620" s="17">
        <f t="shared" si="12"/>
        <v>10</v>
      </c>
      <c r="J620" s="56"/>
      <c r="K620" s="56"/>
    </row>
    <row r="621" spans="1:11" ht="60">
      <c r="A621" s="141" t="s">
        <v>451</v>
      </c>
      <c r="B621" s="53" t="s">
        <v>758</v>
      </c>
      <c r="C621" s="13"/>
      <c r="D621" s="14"/>
      <c r="E621" s="14"/>
      <c r="F621" s="14"/>
      <c r="G621" s="17">
        <f>'MAYO-18 '!I621</f>
        <v>0</v>
      </c>
      <c r="H621" s="51"/>
      <c r="I621" s="17"/>
      <c r="J621" s="56"/>
      <c r="K621" s="56"/>
    </row>
    <row r="622" spans="1:11" ht="29.25">
      <c r="A622" s="11">
        <v>51202</v>
      </c>
      <c r="B622" s="54" t="s">
        <v>759</v>
      </c>
      <c r="C622" s="13"/>
      <c r="D622" s="14" t="s">
        <v>18</v>
      </c>
      <c r="E622" s="14" t="s">
        <v>28</v>
      </c>
      <c r="F622" s="14" t="s">
        <v>27</v>
      </c>
      <c r="G622" s="17">
        <f>'MAYO-18 '!I622</f>
        <v>0</v>
      </c>
      <c r="H622" s="51"/>
      <c r="I622" s="17">
        <f t="shared" si="12"/>
        <v>0</v>
      </c>
      <c r="J622" s="56"/>
      <c r="K622" s="142"/>
    </row>
    <row r="623" spans="1:11" ht="29.25">
      <c r="A623" s="11">
        <v>54110</v>
      </c>
      <c r="B623" s="54" t="s">
        <v>760</v>
      </c>
      <c r="C623" s="13"/>
      <c r="D623" s="14" t="s">
        <v>18</v>
      </c>
      <c r="E623" s="14" t="s">
        <v>28</v>
      </c>
      <c r="F623" s="14" t="s">
        <v>27</v>
      </c>
      <c r="G623" s="17">
        <f>'MAYO-18 '!I623</f>
        <v>0</v>
      </c>
      <c r="H623" s="51"/>
      <c r="I623" s="17">
        <f t="shared" si="12"/>
        <v>0</v>
      </c>
      <c r="J623" s="56"/>
      <c r="K623" s="142"/>
    </row>
    <row r="624" spans="1:11" ht="41.25" customHeight="1">
      <c r="A624" s="11">
        <v>54111</v>
      </c>
      <c r="B624" s="54" t="s">
        <v>761</v>
      </c>
      <c r="C624" s="13"/>
      <c r="D624" s="14" t="s">
        <v>18</v>
      </c>
      <c r="E624" s="14" t="s">
        <v>28</v>
      </c>
      <c r="F624" s="14" t="s">
        <v>27</v>
      </c>
      <c r="G624" s="17">
        <f>'MAYO-18 '!I624</f>
        <v>0</v>
      </c>
      <c r="H624" s="51"/>
      <c r="I624" s="17">
        <f t="shared" si="12"/>
        <v>0</v>
      </c>
      <c r="J624" s="56"/>
      <c r="K624" s="142"/>
    </row>
    <row r="625" spans="1:11" ht="30" customHeight="1">
      <c r="A625" s="11">
        <v>54118</v>
      </c>
      <c r="B625" s="54" t="s">
        <v>762</v>
      </c>
      <c r="C625" s="13"/>
      <c r="D625" s="14" t="s">
        <v>18</v>
      </c>
      <c r="E625" s="14" t="s">
        <v>28</v>
      </c>
      <c r="F625" s="14" t="s">
        <v>27</v>
      </c>
      <c r="G625" s="17">
        <f>'MAYO-18 '!I625</f>
        <v>0</v>
      </c>
      <c r="H625" s="51"/>
      <c r="I625" s="17">
        <f t="shared" si="12"/>
        <v>0</v>
      </c>
      <c r="J625" s="56"/>
      <c r="K625" s="142"/>
    </row>
    <row r="626" spans="1:11" ht="29.25">
      <c r="A626" s="11">
        <v>54313</v>
      </c>
      <c r="B626" s="54" t="s">
        <v>763</v>
      </c>
      <c r="C626" s="13"/>
      <c r="D626" s="14" t="s">
        <v>18</v>
      </c>
      <c r="E626" s="14" t="s">
        <v>28</v>
      </c>
      <c r="F626" s="14" t="s">
        <v>27</v>
      </c>
      <c r="G626" s="17">
        <f>'MAYO-18 '!I626</f>
        <v>0</v>
      </c>
      <c r="H626" s="51"/>
      <c r="I626" s="17">
        <f t="shared" si="12"/>
        <v>0</v>
      </c>
      <c r="J626" s="56"/>
      <c r="K626" s="142"/>
    </row>
    <row r="627" spans="1:11" ht="44.25">
      <c r="A627" s="11">
        <v>54399</v>
      </c>
      <c r="B627" s="54" t="s">
        <v>764</v>
      </c>
      <c r="C627" s="13"/>
      <c r="D627" s="14" t="s">
        <v>18</v>
      </c>
      <c r="E627" s="14" t="s">
        <v>28</v>
      </c>
      <c r="F627" s="14" t="s">
        <v>27</v>
      </c>
      <c r="G627" s="17">
        <f>'MAYO-18 '!I627</f>
        <v>0</v>
      </c>
      <c r="H627" s="51"/>
      <c r="I627" s="17">
        <f t="shared" si="12"/>
        <v>0</v>
      </c>
      <c r="J627" s="56"/>
      <c r="K627" s="142"/>
    </row>
    <row r="628" spans="1:11" ht="29.25">
      <c r="A628" s="11">
        <v>55603</v>
      </c>
      <c r="B628" s="54" t="s">
        <v>765</v>
      </c>
      <c r="C628" s="13"/>
      <c r="D628" s="14" t="s">
        <v>18</v>
      </c>
      <c r="E628" s="14" t="s">
        <v>28</v>
      </c>
      <c r="F628" s="14" t="s">
        <v>27</v>
      </c>
      <c r="G628" s="17">
        <f>'MAYO-18 '!I628</f>
        <v>0</v>
      </c>
      <c r="H628" s="51"/>
      <c r="I628" s="17">
        <f t="shared" si="12"/>
        <v>0</v>
      </c>
      <c r="J628" s="56"/>
      <c r="K628" s="142"/>
    </row>
    <row r="629" spans="1:11" ht="78.75" customHeight="1">
      <c r="A629" s="141" t="s">
        <v>459</v>
      </c>
      <c r="B629" s="53" t="s">
        <v>766</v>
      </c>
      <c r="C629" s="13"/>
      <c r="D629" s="14"/>
      <c r="E629" s="14"/>
      <c r="F629" s="14"/>
      <c r="G629" s="17">
        <f>'MAYO-18 '!I629</f>
        <v>0</v>
      </c>
      <c r="H629" s="51"/>
      <c r="I629" s="17"/>
      <c r="J629" s="56"/>
      <c r="K629" s="56"/>
    </row>
    <row r="630" spans="1:11" ht="29.25">
      <c r="A630" s="11">
        <v>51202</v>
      </c>
      <c r="B630" s="54" t="s">
        <v>767</v>
      </c>
      <c r="C630" s="13"/>
      <c r="D630" s="14" t="s">
        <v>18</v>
      </c>
      <c r="E630" s="14" t="s">
        <v>28</v>
      </c>
      <c r="F630" s="14" t="s">
        <v>27</v>
      </c>
      <c r="G630" s="17">
        <f>'MAYO-18 '!I630</f>
        <v>0</v>
      </c>
      <c r="H630" s="51"/>
      <c r="I630" s="17">
        <f t="shared" si="12"/>
        <v>0</v>
      </c>
      <c r="J630" s="56"/>
      <c r="K630" s="137"/>
    </row>
    <row r="631" spans="1:11" ht="29.25">
      <c r="A631" s="11">
        <v>54110</v>
      </c>
      <c r="B631" s="54" t="s">
        <v>768</v>
      </c>
      <c r="C631" s="13"/>
      <c r="D631" s="14" t="s">
        <v>18</v>
      </c>
      <c r="E631" s="14" t="s">
        <v>28</v>
      </c>
      <c r="F631" s="14" t="s">
        <v>27</v>
      </c>
      <c r="G631" s="17">
        <f>'MAYO-18 '!I631</f>
        <v>0</v>
      </c>
      <c r="H631" s="51"/>
      <c r="I631" s="17">
        <f t="shared" si="12"/>
        <v>0</v>
      </c>
      <c r="J631" s="56"/>
      <c r="K631" s="137"/>
    </row>
    <row r="632" spans="1:11" ht="43.5">
      <c r="A632" s="11">
        <v>54111</v>
      </c>
      <c r="B632" s="54" t="s">
        <v>769</v>
      </c>
      <c r="C632" s="13"/>
      <c r="D632" s="14" t="s">
        <v>18</v>
      </c>
      <c r="E632" s="14" t="s">
        <v>28</v>
      </c>
      <c r="F632" s="14" t="s">
        <v>27</v>
      </c>
      <c r="G632" s="17">
        <f>'MAYO-18 '!I632</f>
        <v>0</v>
      </c>
      <c r="H632" s="51"/>
      <c r="I632" s="17">
        <f t="shared" si="12"/>
        <v>0</v>
      </c>
      <c r="J632" s="56"/>
      <c r="K632" s="137"/>
    </row>
    <row r="633" spans="1:11" ht="43.5">
      <c r="A633" s="11">
        <v>54118</v>
      </c>
      <c r="B633" s="54" t="s">
        <v>770</v>
      </c>
      <c r="C633" s="13"/>
      <c r="D633" s="14" t="s">
        <v>18</v>
      </c>
      <c r="E633" s="14" t="s">
        <v>28</v>
      </c>
      <c r="F633" s="14" t="s">
        <v>27</v>
      </c>
      <c r="G633" s="17">
        <f>'MAYO-18 '!I633</f>
        <v>0</v>
      </c>
      <c r="H633" s="51"/>
      <c r="I633" s="17">
        <f t="shared" si="12"/>
        <v>0</v>
      </c>
      <c r="J633" s="56"/>
      <c r="K633" s="137"/>
    </row>
    <row r="634" spans="1:11" ht="44.25">
      <c r="A634" s="11">
        <v>54313</v>
      </c>
      <c r="B634" s="54" t="s">
        <v>771</v>
      </c>
      <c r="C634" s="13"/>
      <c r="D634" s="14" t="s">
        <v>18</v>
      </c>
      <c r="E634" s="14" t="s">
        <v>28</v>
      </c>
      <c r="F634" s="14" t="s">
        <v>27</v>
      </c>
      <c r="G634" s="17">
        <f>'MAYO-18 '!I634</f>
        <v>0</v>
      </c>
      <c r="H634" s="51"/>
      <c r="I634" s="17">
        <f t="shared" si="12"/>
        <v>0</v>
      </c>
      <c r="J634" s="56"/>
      <c r="K634" s="137"/>
    </row>
    <row r="635" spans="1:11" ht="43.5">
      <c r="A635" s="11">
        <v>54399</v>
      </c>
      <c r="B635" s="54" t="s">
        <v>772</v>
      </c>
      <c r="C635" s="13"/>
      <c r="D635" s="14" t="s">
        <v>18</v>
      </c>
      <c r="E635" s="14" t="s">
        <v>28</v>
      </c>
      <c r="F635" s="14" t="s">
        <v>27</v>
      </c>
      <c r="G635" s="17">
        <f>'MAYO-18 '!I635</f>
        <v>0</v>
      </c>
      <c r="H635" s="51"/>
      <c r="I635" s="17">
        <f t="shared" si="12"/>
        <v>0</v>
      </c>
      <c r="J635" s="56"/>
      <c r="K635" s="137"/>
    </row>
    <row r="636" spans="1:11" ht="43.5">
      <c r="A636" s="11">
        <v>55603</v>
      </c>
      <c r="B636" s="54" t="s">
        <v>773</v>
      </c>
      <c r="C636" s="13"/>
      <c r="D636" s="14" t="s">
        <v>18</v>
      </c>
      <c r="E636" s="14" t="s">
        <v>28</v>
      </c>
      <c r="F636" s="14" t="s">
        <v>27</v>
      </c>
      <c r="G636" s="17">
        <f>'MAYO-18 '!I636</f>
        <v>0</v>
      </c>
      <c r="H636" s="51"/>
      <c r="I636" s="17">
        <f t="shared" si="12"/>
        <v>0</v>
      </c>
      <c r="J636" s="56"/>
      <c r="K636" s="137"/>
    </row>
    <row r="637" spans="1:11" ht="74.25">
      <c r="A637" s="141" t="s">
        <v>461</v>
      </c>
      <c r="B637" s="53" t="s">
        <v>774</v>
      </c>
      <c r="C637" s="13"/>
      <c r="D637" s="14"/>
      <c r="E637" s="14"/>
      <c r="F637" s="14"/>
      <c r="G637" s="17">
        <f>'MAYO-18 '!I637</f>
        <v>0</v>
      </c>
      <c r="H637" s="51"/>
      <c r="I637" s="17"/>
      <c r="J637" s="56"/>
      <c r="K637" s="56"/>
    </row>
    <row r="638" spans="1:11" ht="29.25">
      <c r="A638" s="11">
        <v>51202</v>
      </c>
      <c r="B638" s="54" t="s">
        <v>775</v>
      </c>
      <c r="C638" s="13"/>
      <c r="D638" s="14" t="s">
        <v>18</v>
      </c>
      <c r="E638" s="14" t="s">
        <v>28</v>
      </c>
      <c r="F638" s="14" t="s">
        <v>27</v>
      </c>
      <c r="G638" s="17">
        <f>'MAYO-18 '!I638</f>
        <v>7000</v>
      </c>
      <c r="H638" s="51"/>
      <c r="I638" s="17">
        <f t="shared" si="12"/>
        <v>7000</v>
      </c>
      <c r="J638" s="56"/>
      <c r="K638" s="56"/>
    </row>
    <row r="639" spans="1:11" ht="29.25">
      <c r="A639" s="11">
        <v>54110</v>
      </c>
      <c r="B639" s="54" t="s">
        <v>776</v>
      </c>
      <c r="C639" s="13"/>
      <c r="D639" s="14" t="s">
        <v>18</v>
      </c>
      <c r="E639" s="14" t="s">
        <v>28</v>
      </c>
      <c r="F639" s="14" t="s">
        <v>27</v>
      </c>
      <c r="G639" s="17">
        <f>'MAYO-18 '!I639</f>
        <v>200</v>
      </c>
      <c r="H639" s="51"/>
      <c r="I639" s="17">
        <f t="shared" si="12"/>
        <v>200</v>
      </c>
      <c r="J639" s="56"/>
      <c r="K639" s="56"/>
    </row>
    <row r="640" spans="1:11" ht="44.25">
      <c r="A640" s="11">
        <v>54111</v>
      </c>
      <c r="B640" s="54" t="s">
        <v>777</v>
      </c>
      <c r="C640" s="13"/>
      <c r="D640" s="14" t="s">
        <v>18</v>
      </c>
      <c r="E640" s="14" t="s">
        <v>28</v>
      </c>
      <c r="F640" s="14" t="s">
        <v>27</v>
      </c>
      <c r="G640" s="17">
        <f>'MAYO-18 '!I640</f>
        <v>9290</v>
      </c>
      <c r="H640" s="51"/>
      <c r="I640" s="17">
        <f t="shared" si="12"/>
        <v>9290</v>
      </c>
      <c r="J640" s="56"/>
      <c r="K640" s="56"/>
    </row>
    <row r="641" spans="1:11" ht="43.5">
      <c r="A641" s="11">
        <v>54118</v>
      </c>
      <c r="B641" s="54" t="s">
        <v>778</v>
      </c>
      <c r="C641" s="13"/>
      <c r="D641" s="14" t="s">
        <v>18</v>
      </c>
      <c r="E641" s="14" t="s">
        <v>28</v>
      </c>
      <c r="F641" s="14" t="s">
        <v>27</v>
      </c>
      <c r="G641" s="17">
        <f>'MAYO-18 '!I641</f>
        <v>3000</v>
      </c>
      <c r="H641" s="51"/>
      <c r="I641" s="17">
        <f t="shared" si="12"/>
        <v>3000</v>
      </c>
      <c r="J641" s="56"/>
      <c r="K641" s="56"/>
    </row>
    <row r="642" spans="1:11" ht="43.5">
      <c r="A642" s="11">
        <v>54313</v>
      </c>
      <c r="B642" s="54" t="s">
        <v>779</v>
      </c>
      <c r="C642" s="13"/>
      <c r="D642" s="14" t="s">
        <v>18</v>
      </c>
      <c r="E642" s="14" t="s">
        <v>28</v>
      </c>
      <c r="F642" s="14" t="s">
        <v>27</v>
      </c>
      <c r="G642" s="17">
        <f>'MAYO-18 '!I642</f>
        <v>300</v>
      </c>
      <c r="H642" s="51"/>
      <c r="I642" s="17">
        <f t="shared" si="12"/>
        <v>300</v>
      </c>
      <c r="J642" s="56"/>
      <c r="K642" s="56"/>
    </row>
    <row r="643" spans="1:11" ht="43.5">
      <c r="A643" s="11">
        <v>54399</v>
      </c>
      <c r="B643" s="54" t="s">
        <v>780</v>
      </c>
      <c r="C643" s="13"/>
      <c r="D643" s="14" t="s">
        <v>18</v>
      </c>
      <c r="E643" s="14" t="s">
        <v>28</v>
      </c>
      <c r="F643" s="14" t="s">
        <v>27</v>
      </c>
      <c r="G643" s="17">
        <f>'MAYO-18 '!I643</f>
        <v>200</v>
      </c>
      <c r="H643" s="51"/>
      <c r="I643" s="17">
        <f t="shared" si="12"/>
        <v>200</v>
      </c>
      <c r="J643" s="56"/>
      <c r="K643" s="56"/>
    </row>
    <row r="644" spans="1:11" ht="43.5">
      <c r="A644" s="11">
        <v>55603</v>
      </c>
      <c r="B644" s="54" t="s">
        <v>781</v>
      </c>
      <c r="C644" s="13"/>
      <c r="D644" s="14" t="s">
        <v>18</v>
      </c>
      <c r="E644" s="14" t="s">
        <v>28</v>
      </c>
      <c r="F644" s="14" t="s">
        <v>27</v>
      </c>
      <c r="G644" s="17">
        <f>'MAYO-18 '!I644</f>
        <v>10</v>
      </c>
      <c r="H644" s="51"/>
      <c r="I644" s="17">
        <f t="shared" si="12"/>
        <v>10</v>
      </c>
      <c r="J644" s="56"/>
      <c r="K644" s="56"/>
    </row>
    <row r="645" spans="1:11" ht="89.25">
      <c r="A645" s="141" t="s">
        <v>468</v>
      </c>
      <c r="B645" s="53" t="s">
        <v>782</v>
      </c>
      <c r="C645" s="13"/>
      <c r="D645" s="14"/>
      <c r="E645" s="14"/>
      <c r="F645" s="14"/>
      <c r="G645" s="17">
        <f>'MAYO-18 '!I645</f>
        <v>0</v>
      </c>
      <c r="H645" s="51"/>
      <c r="I645" s="17"/>
      <c r="J645" s="56"/>
      <c r="K645" s="56"/>
    </row>
    <row r="646" spans="1:11" ht="29.25">
      <c r="A646" s="11">
        <v>51202</v>
      </c>
      <c r="B646" s="54" t="s">
        <v>783</v>
      </c>
      <c r="C646" s="13"/>
      <c r="D646" s="14" t="s">
        <v>18</v>
      </c>
      <c r="E646" s="14" t="s">
        <v>28</v>
      </c>
      <c r="F646" s="14" t="s">
        <v>27</v>
      </c>
      <c r="G646" s="17">
        <f>'MAYO-18 '!I646</f>
        <v>7000</v>
      </c>
      <c r="H646" s="51"/>
      <c r="I646" s="17">
        <f t="shared" si="12"/>
        <v>7000</v>
      </c>
      <c r="J646" s="56"/>
      <c r="K646" s="56"/>
    </row>
    <row r="647" spans="1:11" ht="43.5">
      <c r="A647" s="11">
        <v>54110</v>
      </c>
      <c r="B647" s="54" t="s">
        <v>784</v>
      </c>
      <c r="C647" s="13"/>
      <c r="D647" s="14" t="s">
        <v>18</v>
      </c>
      <c r="E647" s="14" t="s">
        <v>28</v>
      </c>
      <c r="F647" s="14" t="s">
        <v>27</v>
      </c>
      <c r="G647" s="17">
        <f>'MAYO-18 '!I647</f>
        <v>200</v>
      </c>
      <c r="H647" s="51"/>
      <c r="I647" s="17">
        <f t="shared" si="12"/>
        <v>200</v>
      </c>
      <c r="J647" s="56"/>
      <c r="K647" s="56"/>
    </row>
    <row r="648" spans="1:11" ht="44.25">
      <c r="A648" s="11">
        <v>54111</v>
      </c>
      <c r="B648" s="53" t="s">
        <v>785</v>
      </c>
      <c r="C648" s="13"/>
      <c r="D648" s="14" t="s">
        <v>18</v>
      </c>
      <c r="E648" s="14" t="s">
        <v>28</v>
      </c>
      <c r="F648" s="14" t="s">
        <v>27</v>
      </c>
      <c r="G648" s="17">
        <f>'MAYO-18 '!I648</f>
        <v>9290</v>
      </c>
      <c r="H648" s="51"/>
      <c r="I648" s="17">
        <f t="shared" si="12"/>
        <v>9290</v>
      </c>
      <c r="J648" s="56"/>
      <c r="K648" s="56"/>
    </row>
    <row r="649" spans="1:11" ht="43.5">
      <c r="A649" s="11">
        <v>54118</v>
      </c>
      <c r="B649" s="54" t="s">
        <v>786</v>
      </c>
      <c r="C649" s="13"/>
      <c r="D649" s="14" t="s">
        <v>18</v>
      </c>
      <c r="E649" s="14" t="s">
        <v>28</v>
      </c>
      <c r="F649" s="14" t="s">
        <v>27</v>
      </c>
      <c r="G649" s="17">
        <f>'MAYO-18 '!I649</f>
        <v>3000</v>
      </c>
      <c r="H649" s="51"/>
      <c r="I649" s="17">
        <f t="shared" si="12"/>
        <v>3000</v>
      </c>
      <c r="J649" s="56"/>
      <c r="K649" s="56"/>
    </row>
    <row r="650" spans="1:11" ht="44.25">
      <c r="A650" s="11">
        <v>54313</v>
      </c>
      <c r="B650" s="54" t="s">
        <v>787</v>
      </c>
      <c r="C650" s="13"/>
      <c r="D650" s="14" t="s">
        <v>18</v>
      </c>
      <c r="E650" s="14" t="s">
        <v>28</v>
      </c>
      <c r="F650" s="14" t="s">
        <v>27</v>
      </c>
      <c r="G650" s="17">
        <f>'MAYO-18 '!I650</f>
        <v>300</v>
      </c>
      <c r="H650" s="51"/>
      <c r="I650" s="17">
        <f t="shared" si="12"/>
        <v>300</v>
      </c>
      <c r="J650" s="56"/>
      <c r="K650" s="56"/>
    </row>
    <row r="651" spans="1:11" ht="44.25">
      <c r="A651" s="11">
        <v>54399</v>
      </c>
      <c r="B651" s="54" t="s">
        <v>788</v>
      </c>
      <c r="C651" s="13"/>
      <c r="D651" s="14" t="s">
        <v>18</v>
      </c>
      <c r="E651" s="14" t="s">
        <v>28</v>
      </c>
      <c r="F651" s="14" t="s">
        <v>27</v>
      </c>
      <c r="G651" s="17">
        <f>'MAYO-18 '!I651</f>
        <v>200</v>
      </c>
      <c r="H651" s="51"/>
      <c r="I651" s="17">
        <f t="shared" si="12"/>
        <v>200</v>
      </c>
      <c r="J651" s="56"/>
      <c r="K651" s="56"/>
    </row>
    <row r="652" spans="1:11" ht="40.5" customHeight="1">
      <c r="A652" s="11">
        <v>55603</v>
      </c>
      <c r="B652" s="54" t="s">
        <v>789</v>
      </c>
      <c r="C652" s="13"/>
      <c r="D652" s="14" t="s">
        <v>18</v>
      </c>
      <c r="E652" s="14" t="s">
        <v>28</v>
      </c>
      <c r="F652" s="14" t="s">
        <v>27</v>
      </c>
      <c r="G652" s="17">
        <f>'MAYO-18 '!I652</f>
        <v>10</v>
      </c>
      <c r="H652" s="51"/>
      <c r="I652" s="17">
        <f t="shared" si="12"/>
        <v>10</v>
      </c>
      <c r="J652" s="56"/>
      <c r="K652" s="56"/>
    </row>
    <row r="653" spans="1:11" ht="60">
      <c r="A653" s="144" t="s">
        <v>477</v>
      </c>
      <c r="B653" s="53" t="s">
        <v>791</v>
      </c>
      <c r="C653" s="13"/>
      <c r="D653" s="14"/>
      <c r="E653" s="14"/>
      <c r="F653" s="14"/>
      <c r="G653" s="17">
        <f>'MAYO-18 '!I653</f>
        <v>0</v>
      </c>
      <c r="H653" s="51"/>
      <c r="I653" s="17"/>
      <c r="J653" s="56"/>
      <c r="K653" s="56"/>
    </row>
    <row r="654" spans="1:11" ht="30">
      <c r="A654" s="11">
        <v>51202</v>
      </c>
      <c r="B654" s="54" t="s">
        <v>792</v>
      </c>
      <c r="C654" s="13"/>
      <c r="D654" s="14" t="s">
        <v>18</v>
      </c>
      <c r="E654" s="14" t="s">
        <v>28</v>
      </c>
      <c r="F654" s="14" t="s">
        <v>27</v>
      </c>
      <c r="G654" s="17">
        <f>'MAYO-18 '!I654</f>
        <v>9000</v>
      </c>
      <c r="H654" s="51"/>
      <c r="I654" s="17">
        <f t="shared" si="12"/>
        <v>9000</v>
      </c>
      <c r="J654" s="56"/>
      <c r="K654" s="56"/>
    </row>
    <row r="655" spans="1:11" ht="30">
      <c r="A655" s="11">
        <v>54110</v>
      </c>
      <c r="B655" s="54" t="s">
        <v>793</v>
      </c>
      <c r="C655" s="13"/>
      <c r="D655" s="14" t="s">
        <v>18</v>
      </c>
      <c r="E655" s="14" t="s">
        <v>28</v>
      </c>
      <c r="F655" s="14" t="s">
        <v>27</v>
      </c>
      <c r="G655" s="17">
        <f>'MAYO-18 '!I655</f>
        <v>200</v>
      </c>
      <c r="H655" s="51"/>
      <c r="I655" s="17">
        <f t="shared" si="12"/>
        <v>200</v>
      </c>
      <c r="J655" s="56"/>
      <c r="K655" s="56"/>
    </row>
    <row r="656" spans="1:11" ht="30">
      <c r="A656" s="11">
        <v>54111</v>
      </c>
      <c r="B656" s="54" t="s">
        <v>794</v>
      </c>
      <c r="C656" s="13"/>
      <c r="D656" s="14" t="s">
        <v>18</v>
      </c>
      <c r="E656" s="14" t="s">
        <v>28</v>
      </c>
      <c r="F656" s="14" t="s">
        <v>27</v>
      </c>
      <c r="G656" s="17">
        <f>'MAYO-18 '!I656</f>
        <v>11290</v>
      </c>
      <c r="H656" s="51"/>
      <c r="I656" s="17">
        <f t="shared" si="12"/>
        <v>11290</v>
      </c>
      <c r="J656" s="56"/>
      <c r="K656" s="56"/>
    </row>
    <row r="657" spans="1:11" ht="30">
      <c r="A657" s="11">
        <v>54118</v>
      </c>
      <c r="B657" s="54" t="s">
        <v>795</v>
      </c>
      <c r="C657" s="13"/>
      <c r="D657" s="14" t="s">
        <v>18</v>
      </c>
      <c r="E657" s="14" t="s">
        <v>28</v>
      </c>
      <c r="F657" s="14" t="s">
        <v>27</v>
      </c>
      <c r="G657" s="17">
        <f>'MAYO-18 '!I657</f>
        <v>3000</v>
      </c>
      <c r="H657" s="51"/>
      <c r="I657" s="17">
        <f t="shared" si="12"/>
        <v>3000</v>
      </c>
      <c r="J657" s="56"/>
      <c r="K657" s="56"/>
    </row>
    <row r="658" spans="1:11" ht="45">
      <c r="A658" s="11">
        <v>54313</v>
      </c>
      <c r="B658" s="54" t="s">
        <v>796</v>
      </c>
      <c r="C658" s="13"/>
      <c r="D658" s="14" t="s">
        <v>18</v>
      </c>
      <c r="E658" s="14" t="s">
        <v>28</v>
      </c>
      <c r="F658" s="14" t="s">
        <v>27</v>
      </c>
      <c r="G658" s="17">
        <f>'MAYO-18 '!I658</f>
        <v>300</v>
      </c>
      <c r="H658" s="51"/>
      <c r="I658" s="17">
        <f t="shared" si="12"/>
        <v>300</v>
      </c>
      <c r="J658" s="56"/>
      <c r="K658" s="56"/>
    </row>
    <row r="659" spans="1:11" ht="30">
      <c r="A659" s="11">
        <v>54399</v>
      </c>
      <c r="B659" s="54" t="s">
        <v>797</v>
      </c>
      <c r="C659" s="13"/>
      <c r="D659" s="14" t="s">
        <v>18</v>
      </c>
      <c r="E659" s="14" t="s">
        <v>28</v>
      </c>
      <c r="F659" s="14" t="s">
        <v>27</v>
      </c>
      <c r="G659" s="17">
        <f>'MAYO-18 '!I659</f>
        <v>1200</v>
      </c>
      <c r="H659" s="51"/>
      <c r="I659" s="17">
        <f t="shared" si="12"/>
        <v>1200</v>
      </c>
      <c r="J659" s="56"/>
      <c r="K659" s="56"/>
    </row>
    <row r="660" spans="1:11" ht="30">
      <c r="A660" s="11">
        <v>55603</v>
      </c>
      <c r="B660" s="54" t="s">
        <v>798</v>
      </c>
      <c r="C660" s="13"/>
      <c r="D660" s="14" t="s">
        <v>18</v>
      </c>
      <c r="E660" s="14" t="s">
        <v>28</v>
      </c>
      <c r="F660" s="14" t="s">
        <v>27</v>
      </c>
      <c r="G660" s="17">
        <f>'MAYO-18 '!I660</f>
        <v>10</v>
      </c>
      <c r="H660" s="51"/>
      <c r="I660" s="17">
        <f t="shared" si="12"/>
        <v>10</v>
      </c>
      <c r="J660" s="56"/>
      <c r="K660" s="56"/>
    </row>
    <row r="661" spans="1:11" ht="60">
      <c r="A661" s="141" t="s">
        <v>486</v>
      </c>
      <c r="B661" s="53" t="s">
        <v>790</v>
      </c>
      <c r="C661" s="13"/>
      <c r="D661" s="14"/>
      <c r="E661" s="14"/>
      <c r="F661" s="14"/>
      <c r="G661" s="17">
        <f>'MAYO-18 '!I661</f>
        <v>0</v>
      </c>
      <c r="H661" s="51"/>
      <c r="I661" s="17"/>
      <c r="J661" s="56"/>
      <c r="K661" s="56"/>
    </row>
    <row r="662" spans="1:11" ht="29.25">
      <c r="A662" s="11">
        <v>51202</v>
      </c>
      <c r="B662" s="54" t="s">
        <v>799</v>
      </c>
      <c r="C662" s="13"/>
      <c r="D662" s="14" t="s">
        <v>18</v>
      </c>
      <c r="E662" s="14" t="s">
        <v>28</v>
      </c>
      <c r="F662" s="14" t="s">
        <v>27</v>
      </c>
      <c r="G662" s="17">
        <f>'MAYO-18 '!I662</f>
        <v>9000</v>
      </c>
      <c r="H662" s="51"/>
      <c r="I662" s="17">
        <f t="shared" si="12"/>
        <v>9000</v>
      </c>
      <c r="J662" s="56"/>
      <c r="K662" s="56"/>
    </row>
    <row r="663" spans="1:11" ht="29.25">
      <c r="A663" s="11">
        <v>54110</v>
      </c>
      <c r="B663" s="54" t="s">
        <v>800</v>
      </c>
      <c r="C663" s="13"/>
      <c r="D663" s="14" t="s">
        <v>18</v>
      </c>
      <c r="E663" s="14" t="s">
        <v>28</v>
      </c>
      <c r="F663" s="14" t="s">
        <v>27</v>
      </c>
      <c r="G663" s="17">
        <f>'MAYO-18 '!I663</f>
        <v>200</v>
      </c>
      <c r="H663" s="51"/>
      <c r="I663" s="17">
        <f t="shared" si="12"/>
        <v>200</v>
      </c>
      <c r="J663" s="56"/>
      <c r="K663" s="56"/>
    </row>
    <row r="664" spans="1:11" ht="44.25">
      <c r="A664" s="11">
        <v>54111</v>
      </c>
      <c r="B664" s="54" t="s">
        <v>801</v>
      </c>
      <c r="C664" s="13"/>
      <c r="D664" s="14" t="s">
        <v>18</v>
      </c>
      <c r="E664" s="14" t="s">
        <v>28</v>
      </c>
      <c r="F664" s="14" t="s">
        <v>27</v>
      </c>
      <c r="G664" s="17">
        <f>'MAYO-18 '!I664</f>
        <v>12290</v>
      </c>
      <c r="H664" s="51"/>
      <c r="I664" s="17">
        <f t="shared" si="12"/>
        <v>12290</v>
      </c>
      <c r="J664" s="56"/>
      <c r="K664" s="56"/>
    </row>
    <row r="665" spans="1:11" ht="29.25">
      <c r="A665" s="11">
        <v>54118</v>
      </c>
      <c r="B665" s="54" t="s">
        <v>802</v>
      </c>
      <c r="C665" s="13"/>
      <c r="D665" s="14" t="s">
        <v>18</v>
      </c>
      <c r="E665" s="14" t="s">
        <v>28</v>
      </c>
      <c r="F665" s="14" t="s">
        <v>27</v>
      </c>
      <c r="G665" s="17">
        <f>'MAYO-18 '!I665</f>
        <v>3000</v>
      </c>
      <c r="H665" s="51"/>
      <c r="I665" s="17">
        <f t="shared" si="12"/>
        <v>3000</v>
      </c>
      <c r="J665" s="56"/>
      <c r="K665" s="56"/>
    </row>
    <row r="666" spans="1:11" ht="43.5">
      <c r="A666" s="11">
        <v>54313</v>
      </c>
      <c r="B666" s="54" t="s">
        <v>803</v>
      </c>
      <c r="C666" s="13"/>
      <c r="D666" s="14" t="s">
        <v>18</v>
      </c>
      <c r="E666" s="14" t="s">
        <v>28</v>
      </c>
      <c r="F666" s="14" t="s">
        <v>27</v>
      </c>
      <c r="G666" s="17">
        <f>'MAYO-18 '!I666</f>
        <v>300</v>
      </c>
      <c r="H666" s="51"/>
      <c r="I666" s="17">
        <f t="shared" si="12"/>
        <v>300</v>
      </c>
      <c r="J666" s="56"/>
      <c r="K666" s="56"/>
    </row>
    <row r="667" spans="1:11" ht="43.5">
      <c r="A667" s="11">
        <v>54399</v>
      </c>
      <c r="B667" s="54" t="s">
        <v>804</v>
      </c>
      <c r="C667" s="13"/>
      <c r="D667" s="14" t="s">
        <v>18</v>
      </c>
      <c r="E667" s="14" t="s">
        <v>28</v>
      </c>
      <c r="F667" s="14" t="s">
        <v>27</v>
      </c>
      <c r="G667" s="17">
        <f>'MAYO-18 '!I667</f>
        <v>200</v>
      </c>
      <c r="H667" s="51"/>
      <c r="I667" s="17">
        <f t="shared" si="12"/>
        <v>200</v>
      </c>
      <c r="J667" s="56"/>
      <c r="K667" s="56"/>
    </row>
    <row r="668" spans="1:11" ht="33.75" customHeight="1">
      <c r="A668" s="11">
        <v>55603</v>
      </c>
      <c r="B668" s="54" t="s">
        <v>805</v>
      </c>
      <c r="C668" s="13"/>
      <c r="D668" s="14" t="s">
        <v>18</v>
      </c>
      <c r="E668" s="14" t="s">
        <v>28</v>
      </c>
      <c r="F668" s="14" t="s">
        <v>27</v>
      </c>
      <c r="G668" s="17">
        <f>'MAYO-18 '!I668</f>
        <v>10</v>
      </c>
      <c r="H668" s="51"/>
      <c r="I668" s="17">
        <f t="shared" si="12"/>
        <v>10</v>
      </c>
      <c r="J668" s="56"/>
      <c r="K668" s="56"/>
    </row>
    <row r="669" spans="1:11" ht="75">
      <c r="A669" s="141" t="s">
        <v>504</v>
      </c>
      <c r="B669" s="53" t="s">
        <v>806</v>
      </c>
      <c r="C669" s="13"/>
      <c r="D669" s="14"/>
      <c r="E669" s="14"/>
      <c r="F669" s="14"/>
      <c r="G669" s="17">
        <f>'MAYO-18 '!I669</f>
        <v>0</v>
      </c>
      <c r="H669" s="51"/>
      <c r="I669" s="17"/>
      <c r="J669" s="56"/>
      <c r="K669" s="56"/>
    </row>
    <row r="670" spans="1:11" ht="29.25">
      <c r="A670" s="11">
        <v>51202</v>
      </c>
      <c r="B670" s="54" t="s">
        <v>807</v>
      </c>
      <c r="C670" s="13"/>
      <c r="D670" s="14" t="s">
        <v>18</v>
      </c>
      <c r="E670" s="14" t="s">
        <v>28</v>
      </c>
      <c r="F670" s="14" t="s">
        <v>27</v>
      </c>
      <c r="G670" s="17">
        <f>'MAYO-18 '!I670</f>
        <v>7000</v>
      </c>
      <c r="H670" s="51"/>
      <c r="I670" s="17">
        <f t="shared" si="12"/>
        <v>7000</v>
      </c>
      <c r="J670" s="56"/>
      <c r="K670" s="56"/>
    </row>
    <row r="671" spans="1:11" ht="29.25">
      <c r="A671" s="11">
        <v>54110</v>
      </c>
      <c r="B671" s="54" t="s">
        <v>808</v>
      </c>
      <c r="C671" s="13"/>
      <c r="D671" s="14" t="s">
        <v>18</v>
      </c>
      <c r="E671" s="14" t="s">
        <v>28</v>
      </c>
      <c r="F671" s="14" t="s">
        <v>27</v>
      </c>
      <c r="G671" s="17">
        <f>'MAYO-18 '!I671</f>
        <v>200</v>
      </c>
      <c r="H671" s="51"/>
      <c r="I671" s="17">
        <f t="shared" si="12"/>
        <v>200</v>
      </c>
      <c r="J671" s="56"/>
      <c r="K671" s="56"/>
    </row>
    <row r="672" spans="1:11" ht="29.25">
      <c r="A672" s="11">
        <v>54111</v>
      </c>
      <c r="B672" s="54" t="s">
        <v>809</v>
      </c>
      <c r="C672" s="13"/>
      <c r="D672" s="14" t="s">
        <v>18</v>
      </c>
      <c r="E672" s="14" t="s">
        <v>28</v>
      </c>
      <c r="F672" s="14" t="s">
        <v>27</v>
      </c>
      <c r="G672" s="17">
        <f>'MAYO-18 '!I672</f>
        <v>10290</v>
      </c>
      <c r="H672" s="51"/>
      <c r="I672" s="17">
        <f t="shared" si="12"/>
        <v>10290</v>
      </c>
      <c r="J672" s="56"/>
      <c r="K672" s="56"/>
    </row>
    <row r="673" spans="1:11" ht="29.25">
      <c r="A673" s="11">
        <v>54118</v>
      </c>
      <c r="B673" s="54" t="s">
        <v>810</v>
      </c>
      <c r="C673" s="13"/>
      <c r="D673" s="14" t="s">
        <v>18</v>
      </c>
      <c r="E673" s="14" t="s">
        <v>28</v>
      </c>
      <c r="F673" s="14" t="s">
        <v>27</v>
      </c>
      <c r="G673" s="17">
        <f>'MAYO-18 '!I673</f>
        <v>1500</v>
      </c>
      <c r="H673" s="51"/>
      <c r="I673" s="17">
        <f t="shared" si="12"/>
        <v>1500</v>
      </c>
      <c r="J673" s="56"/>
      <c r="K673" s="56"/>
    </row>
    <row r="674" spans="1:11" ht="44.25">
      <c r="A674" s="11">
        <v>54313</v>
      </c>
      <c r="B674" s="54" t="s">
        <v>811</v>
      </c>
      <c r="C674" s="13"/>
      <c r="D674" s="14" t="s">
        <v>18</v>
      </c>
      <c r="E674" s="14" t="s">
        <v>28</v>
      </c>
      <c r="F674" s="14" t="s">
        <v>27</v>
      </c>
      <c r="G674" s="17">
        <f>'MAYO-18 '!I674</f>
        <v>300</v>
      </c>
      <c r="H674" s="51"/>
      <c r="I674" s="17">
        <f t="shared" si="12"/>
        <v>300</v>
      </c>
      <c r="J674" s="56"/>
      <c r="K674" s="56"/>
    </row>
    <row r="675" spans="1:11" ht="29.25">
      <c r="A675" s="11">
        <v>54399</v>
      </c>
      <c r="B675" s="54" t="s">
        <v>812</v>
      </c>
      <c r="C675" s="13"/>
      <c r="D675" s="14" t="s">
        <v>18</v>
      </c>
      <c r="E675" s="14" t="s">
        <v>28</v>
      </c>
      <c r="F675" s="14" t="s">
        <v>27</v>
      </c>
      <c r="G675" s="17">
        <f>'MAYO-18 '!I675</f>
        <v>700</v>
      </c>
      <c r="H675" s="51"/>
      <c r="I675" s="17">
        <f t="shared" si="12"/>
        <v>700</v>
      </c>
      <c r="J675" s="56"/>
      <c r="K675" s="56"/>
    </row>
    <row r="676" spans="1:11" ht="29.25">
      <c r="A676" s="11">
        <v>55603</v>
      </c>
      <c r="B676" s="54" t="s">
        <v>813</v>
      </c>
      <c r="C676" s="13"/>
      <c r="D676" s="14" t="s">
        <v>18</v>
      </c>
      <c r="E676" s="14" t="s">
        <v>28</v>
      </c>
      <c r="F676" s="14" t="s">
        <v>27</v>
      </c>
      <c r="G676" s="17">
        <f>'MAYO-18 '!I676</f>
        <v>10</v>
      </c>
      <c r="H676" s="51"/>
      <c r="I676" s="17">
        <f t="shared" si="12"/>
        <v>10</v>
      </c>
      <c r="J676" s="56"/>
      <c r="K676" s="56"/>
    </row>
    <row r="677" spans="1:11" ht="88.5">
      <c r="A677" s="141" t="s">
        <v>505</v>
      </c>
      <c r="B677" s="53" t="s">
        <v>821</v>
      </c>
      <c r="C677" s="13"/>
      <c r="D677" s="14"/>
      <c r="E677" s="14"/>
      <c r="F677" s="14"/>
      <c r="G677" s="17">
        <f>'MAYO-18 '!I677</f>
        <v>0</v>
      </c>
      <c r="H677" s="51"/>
      <c r="I677" s="17"/>
      <c r="J677" s="56"/>
      <c r="K677" s="56"/>
    </row>
    <row r="678" spans="1:11" ht="29.25">
      <c r="A678" s="11">
        <v>51202</v>
      </c>
      <c r="B678" s="54" t="s">
        <v>814</v>
      </c>
      <c r="C678" s="13"/>
      <c r="D678" s="14" t="s">
        <v>18</v>
      </c>
      <c r="E678" s="14" t="s">
        <v>28</v>
      </c>
      <c r="F678" s="14" t="s">
        <v>27</v>
      </c>
      <c r="G678" s="17">
        <f>'MAYO-18 '!I678</f>
        <v>9000</v>
      </c>
      <c r="H678" s="51"/>
      <c r="I678" s="17">
        <f t="shared" si="12"/>
        <v>9000</v>
      </c>
      <c r="J678" s="56"/>
      <c r="K678" s="56"/>
    </row>
    <row r="679" spans="1:11" ht="29.25">
      <c r="A679" s="11">
        <v>54110</v>
      </c>
      <c r="B679" s="54" t="s">
        <v>815</v>
      </c>
      <c r="C679" s="13"/>
      <c r="D679" s="14" t="s">
        <v>18</v>
      </c>
      <c r="E679" s="14" t="s">
        <v>28</v>
      </c>
      <c r="F679" s="14" t="s">
        <v>27</v>
      </c>
      <c r="G679" s="17">
        <f>'MAYO-18 '!I679</f>
        <v>200</v>
      </c>
      <c r="H679" s="51"/>
      <c r="I679" s="17">
        <f t="shared" si="12"/>
        <v>200</v>
      </c>
      <c r="J679" s="56"/>
      <c r="K679" s="56"/>
    </row>
    <row r="680" spans="1:11" ht="44.25">
      <c r="A680" s="11">
        <v>54111</v>
      </c>
      <c r="B680" s="53" t="s">
        <v>816</v>
      </c>
      <c r="C680" s="13"/>
      <c r="D680" s="14" t="s">
        <v>18</v>
      </c>
      <c r="E680" s="14" t="s">
        <v>28</v>
      </c>
      <c r="F680" s="14" t="s">
        <v>27</v>
      </c>
      <c r="G680" s="17">
        <f>'MAYO-18 '!I680</f>
        <v>12290</v>
      </c>
      <c r="H680" s="51"/>
      <c r="I680" s="17">
        <f t="shared" ref="I680:I743" si="13">G680-H680+J680-K680</f>
        <v>12290</v>
      </c>
      <c r="J680" s="56"/>
      <c r="K680" s="56"/>
    </row>
    <row r="681" spans="1:11" ht="29.25">
      <c r="A681" s="11">
        <v>54118</v>
      </c>
      <c r="B681" s="54" t="s">
        <v>817</v>
      </c>
      <c r="C681" s="13"/>
      <c r="D681" s="14" t="s">
        <v>18</v>
      </c>
      <c r="E681" s="14" t="s">
        <v>28</v>
      </c>
      <c r="F681" s="14" t="s">
        <v>27</v>
      </c>
      <c r="G681" s="17">
        <f>'MAYO-18 '!I681</f>
        <v>3000</v>
      </c>
      <c r="H681" s="51"/>
      <c r="I681" s="17">
        <f t="shared" si="13"/>
        <v>3000</v>
      </c>
      <c r="J681" s="56"/>
      <c r="K681" s="56"/>
    </row>
    <row r="682" spans="1:11" ht="44.25">
      <c r="A682" s="11">
        <v>54313</v>
      </c>
      <c r="B682" s="54" t="s">
        <v>818</v>
      </c>
      <c r="C682" s="13"/>
      <c r="D682" s="14" t="s">
        <v>18</v>
      </c>
      <c r="E682" s="14" t="s">
        <v>28</v>
      </c>
      <c r="F682" s="14" t="s">
        <v>27</v>
      </c>
      <c r="G682" s="17">
        <f>'MAYO-18 '!I682</f>
        <v>300</v>
      </c>
      <c r="H682" s="51"/>
      <c r="I682" s="17">
        <f t="shared" si="13"/>
        <v>300</v>
      </c>
      <c r="J682" s="56"/>
      <c r="K682" s="56"/>
    </row>
    <row r="683" spans="1:11" ht="43.5">
      <c r="A683" s="11">
        <v>54399</v>
      </c>
      <c r="B683" s="54" t="s">
        <v>819</v>
      </c>
      <c r="C683" s="13"/>
      <c r="D683" s="14" t="s">
        <v>18</v>
      </c>
      <c r="E683" s="14" t="s">
        <v>28</v>
      </c>
      <c r="F683" s="14" t="s">
        <v>27</v>
      </c>
      <c r="G683" s="17">
        <f>'MAYO-18 '!I683</f>
        <v>200</v>
      </c>
      <c r="H683" s="51"/>
      <c r="I683" s="17">
        <f t="shared" si="13"/>
        <v>200</v>
      </c>
      <c r="J683" s="56"/>
      <c r="K683" s="56"/>
    </row>
    <row r="684" spans="1:11" ht="29.25">
      <c r="A684" s="11">
        <v>55603</v>
      </c>
      <c r="B684" s="54" t="s">
        <v>820</v>
      </c>
      <c r="C684" s="13"/>
      <c r="D684" s="14" t="s">
        <v>18</v>
      </c>
      <c r="E684" s="14" t="s">
        <v>28</v>
      </c>
      <c r="F684" s="14" t="s">
        <v>27</v>
      </c>
      <c r="G684" s="17">
        <f>'MAYO-18 '!I684</f>
        <v>10</v>
      </c>
      <c r="H684" s="51"/>
      <c r="I684" s="17">
        <f t="shared" si="13"/>
        <v>10</v>
      </c>
      <c r="J684" s="56"/>
      <c r="K684" s="56"/>
    </row>
    <row r="685" spans="1:11" ht="75">
      <c r="A685" s="141" t="s">
        <v>511</v>
      </c>
      <c r="B685" s="53" t="s">
        <v>824</v>
      </c>
      <c r="C685" s="13"/>
      <c r="D685" s="14"/>
      <c r="E685" s="14"/>
      <c r="F685" s="14"/>
      <c r="G685" s="17">
        <f>'MAYO-18 '!I685</f>
        <v>0</v>
      </c>
      <c r="H685" s="51"/>
      <c r="I685" s="17"/>
      <c r="J685" s="56"/>
      <c r="K685" s="56"/>
    </row>
    <row r="686" spans="1:11" ht="29.25">
      <c r="A686" s="11">
        <v>51202</v>
      </c>
      <c r="B686" s="54" t="s">
        <v>823</v>
      </c>
      <c r="C686" s="13"/>
      <c r="D686" s="14" t="s">
        <v>18</v>
      </c>
      <c r="E686" s="14" t="s">
        <v>28</v>
      </c>
      <c r="F686" s="14" t="s">
        <v>27</v>
      </c>
      <c r="G686" s="17">
        <f>'MAYO-18 '!I686</f>
        <v>3000</v>
      </c>
      <c r="H686" s="51"/>
      <c r="I686" s="17">
        <f t="shared" si="13"/>
        <v>3000</v>
      </c>
      <c r="J686" s="56"/>
      <c r="K686" s="56"/>
    </row>
    <row r="687" spans="1:11" ht="29.25">
      <c r="A687" s="11">
        <v>54110</v>
      </c>
      <c r="B687" s="54" t="s">
        <v>825</v>
      </c>
      <c r="C687" s="13"/>
      <c r="D687" s="14" t="s">
        <v>18</v>
      </c>
      <c r="E687" s="14" t="s">
        <v>28</v>
      </c>
      <c r="F687" s="14" t="s">
        <v>27</v>
      </c>
      <c r="G687" s="17">
        <f>'MAYO-18 '!I687</f>
        <v>200</v>
      </c>
      <c r="H687" s="51"/>
      <c r="I687" s="17">
        <f t="shared" si="13"/>
        <v>200</v>
      </c>
      <c r="J687" s="56"/>
      <c r="K687" s="56"/>
    </row>
    <row r="688" spans="1:11" ht="44.25">
      <c r="A688" s="11">
        <v>54111</v>
      </c>
      <c r="B688" s="54" t="s">
        <v>826</v>
      </c>
      <c r="C688" s="13"/>
      <c r="D688" s="14" t="s">
        <v>18</v>
      </c>
      <c r="E688" s="14" t="s">
        <v>28</v>
      </c>
      <c r="F688" s="14" t="s">
        <v>27</v>
      </c>
      <c r="G688" s="17">
        <f>'MAYO-18 '!I688</f>
        <v>4990</v>
      </c>
      <c r="H688" s="51"/>
      <c r="I688" s="17">
        <f t="shared" si="13"/>
        <v>4990</v>
      </c>
      <c r="J688" s="56"/>
      <c r="K688" s="56"/>
    </row>
    <row r="689" spans="1:11" ht="29.25">
      <c r="A689" s="11">
        <v>54118</v>
      </c>
      <c r="B689" s="54" t="s">
        <v>827</v>
      </c>
      <c r="C689" s="13"/>
      <c r="D689" s="14" t="s">
        <v>18</v>
      </c>
      <c r="E689" s="14" t="s">
        <v>28</v>
      </c>
      <c r="F689" s="14" t="s">
        <v>27</v>
      </c>
      <c r="G689" s="17">
        <f>'MAYO-18 '!I689</f>
        <v>800</v>
      </c>
      <c r="H689" s="51"/>
      <c r="I689" s="17">
        <f t="shared" si="13"/>
        <v>800</v>
      </c>
      <c r="J689" s="56"/>
      <c r="K689" s="56"/>
    </row>
    <row r="690" spans="1:11" ht="44.25">
      <c r="A690" s="11">
        <v>54313</v>
      </c>
      <c r="B690" s="54" t="s">
        <v>828</v>
      </c>
      <c r="C690" s="13"/>
      <c r="D690" s="14" t="s">
        <v>18</v>
      </c>
      <c r="E690" s="14" t="s">
        <v>28</v>
      </c>
      <c r="F690" s="14" t="s">
        <v>27</v>
      </c>
      <c r="G690" s="17">
        <f>'MAYO-18 '!I690</f>
        <v>300</v>
      </c>
      <c r="H690" s="51"/>
      <c r="I690" s="17">
        <f t="shared" si="13"/>
        <v>300</v>
      </c>
      <c r="J690" s="56"/>
      <c r="K690" s="56"/>
    </row>
    <row r="691" spans="1:11" ht="44.25">
      <c r="A691" s="11">
        <v>54399</v>
      </c>
      <c r="B691" s="54" t="s">
        <v>829</v>
      </c>
      <c r="C691" s="13"/>
      <c r="D691" s="14" t="s">
        <v>18</v>
      </c>
      <c r="E691" s="14" t="s">
        <v>28</v>
      </c>
      <c r="F691" s="14" t="s">
        <v>27</v>
      </c>
      <c r="G691" s="17">
        <f>'MAYO-18 '!I691</f>
        <v>700</v>
      </c>
      <c r="H691" s="51"/>
      <c r="I691" s="17">
        <f t="shared" si="13"/>
        <v>700</v>
      </c>
      <c r="J691" s="56"/>
      <c r="K691" s="56"/>
    </row>
    <row r="692" spans="1:11" ht="29.25">
      <c r="A692" s="11">
        <v>55603</v>
      </c>
      <c r="B692" s="54" t="s">
        <v>830</v>
      </c>
      <c r="C692" s="13"/>
      <c r="D692" s="14" t="s">
        <v>18</v>
      </c>
      <c r="E692" s="14" t="s">
        <v>28</v>
      </c>
      <c r="F692" s="14" t="s">
        <v>27</v>
      </c>
      <c r="G692" s="17">
        <f>'MAYO-18 '!I692</f>
        <v>10</v>
      </c>
      <c r="H692" s="51"/>
      <c r="I692" s="17">
        <f t="shared" si="13"/>
        <v>10</v>
      </c>
      <c r="J692" s="56"/>
      <c r="K692" s="56"/>
    </row>
    <row r="693" spans="1:11" ht="74.25">
      <c r="A693" s="141" t="s">
        <v>517</v>
      </c>
      <c r="B693" s="53" t="s">
        <v>822</v>
      </c>
      <c r="C693" s="13"/>
      <c r="D693" s="14"/>
      <c r="E693" s="14"/>
      <c r="F693" s="14"/>
      <c r="G693" s="17">
        <f>'MAYO-18 '!I693</f>
        <v>0</v>
      </c>
      <c r="H693" s="51"/>
      <c r="I693" s="17"/>
      <c r="J693" s="56"/>
      <c r="K693" s="56"/>
    </row>
    <row r="694" spans="1:11" ht="29.25">
      <c r="A694" s="11">
        <v>51202</v>
      </c>
      <c r="B694" s="54" t="s">
        <v>831</v>
      </c>
      <c r="C694" s="13"/>
      <c r="D694" s="14" t="s">
        <v>18</v>
      </c>
      <c r="E694" s="14" t="s">
        <v>28</v>
      </c>
      <c r="F694" s="14" t="s">
        <v>27</v>
      </c>
      <c r="G694" s="17">
        <f>'MAYO-18 '!I694</f>
        <v>9000</v>
      </c>
      <c r="H694" s="51"/>
      <c r="I694" s="17">
        <f t="shared" si="13"/>
        <v>9000</v>
      </c>
      <c r="J694" s="56"/>
      <c r="K694" s="56"/>
    </row>
    <row r="695" spans="1:11" ht="29.25">
      <c r="A695" s="11">
        <v>54110</v>
      </c>
      <c r="B695" s="54" t="s">
        <v>832</v>
      </c>
      <c r="C695" s="13"/>
      <c r="D695" s="14" t="s">
        <v>18</v>
      </c>
      <c r="E695" s="14" t="s">
        <v>28</v>
      </c>
      <c r="F695" s="14" t="s">
        <v>27</v>
      </c>
      <c r="G695" s="17">
        <f>'MAYO-18 '!I695</f>
        <v>200</v>
      </c>
      <c r="H695" s="51"/>
      <c r="I695" s="17">
        <f t="shared" si="13"/>
        <v>200</v>
      </c>
      <c r="J695" s="56"/>
      <c r="K695" s="56"/>
    </row>
    <row r="696" spans="1:11" ht="29.25">
      <c r="A696" s="11">
        <v>54111</v>
      </c>
      <c r="B696" s="54" t="s">
        <v>833</v>
      </c>
      <c r="C696" s="13"/>
      <c r="D696" s="14" t="s">
        <v>18</v>
      </c>
      <c r="E696" s="14" t="s">
        <v>28</v>
      </c>
      <c r="F696" s="14" t="s">
        <v>27</v>
      </c>
      <c r="G696" s="17">
        <f>'MAYO-18 '!I696</f>
        <v>12290</v>
      </c>
      <c r="H696" s="51"/>
      <c r="I696" s="17">
        <f t="shared" si="13"/>
        <v>12290</v>
      </c>
      <c r="J696" s="56"/>
      <c r="K696" s="56"/>
    </row>
    <row r="697" spans="1:11" ht="29.25">
      <c r="A697" s="11">
        <v>54118</v>
      </c>
      <c r="B697" s="54" t="s">
        <v>834</v>
      </c>
      <c r="C697" s="13"/>
      <c r="D697" s="14" t="s">
        <v>18</v>
      </c>
      <c r="E697" s="14" t="s">
        <v>28</v>
      </c>
      <c r="F697" s="14" t="s">
        <v>27</v>
      </c>
      <c r="G697" s="17">
        <f>'MAYO-18 '!I697</f>
        <v>3000</v>
      </c>
      <c r="H697" s="51"/>
      <c r="I697" s="17">
        <f t="shared" si="13"/>
        <v>3000</v>
      </c>
      <c r="J697" s="56"/>
      <c r="K697" s="56"/>
    </row>
    <row r="698" spans="1:11" ht="29.25">
      <c r="A698" s="11">
        <v>54313</v>
      </c>
      <c r="B698" s="54" t="s">
        <v>835</v>
      </c>
      <c r="C698" s="13"/>
      <c r="D698" s="14" t="s">
        <v>18</v>
      </c>
      <c r="E698" s="14" t="s">
        <v>28</v>
      </c>
      <c r="F698" s="14" t="s">
        <v>27</v>
      </c>
      <c r="G698" s="17">
        <f>'MAYO-18 '!I698</f>
        <v>300</v>
      </c>
      <c r="H698" s="51"/>
      <c r="I698" s="17">
        <f t="shared" si="13"/>
        <v>300</v>
      </c>
      <c r="J698" s="56"/>
      <c r="K698" s="56"/>
    </row>
    <row r="699" spans="1:11" ht="29.25">
      <c r="A699" s="11">
        <v>54399</v>
      </c>
      <c r="B699" s="54" t="s">
        <v>836</v>
      </c>
      <c r="C699" s="13"/>
      <c r="D699" s="14" t="s">
        <v>18</v>
      </c>
      <c r="E699" s="14" t="s">
        <v>28</v>
      </c>
      <c r="F699" s="14" t="s">
        <v>27</v>
      </c>
      <c r="G699" s="17">
        <f>'MAYO-18 '!I699</f>
        <v>200</v>
      </c>
      <c r="H699" s="51"/>
      <c r="I699" s="17">
        <f t="shared" si="13"/>
        <v>200</v>
      </c>
      <c r="J699" s="56"/>
      <c r="K699" s="56"/>
    </row>
    <row r="700" spans="1:11" ht="29.25">
      <c r="A700" s="11">
        <v>55603</v>
      </c>
      <c r="B700" s="53" t="s">
        <v>837</v>
      </c>
      <c r="C700" s="13"/>
      <c r="D700" s="14" t="s">
        <v>18</v>
      </c>
      <c r="E700" s="14" t="s">
        <v>28</v>
      </c>
      <c r="F700" s="14" t="s">
        <v>27</v>
      </c>
      <c r="G700" s="17">
        <f>'MAYO-18 '!I700</f>
        <v>10</v>
      </c>
      <c r="H700" s="51"/>
      <c r="I700" s="17">
        <f t="shared" si="13"/>
        <v>10</v>
      </c>
      <c r="J700" s="56"/>
      <c r="K700" s="56"/>
    </row>
    <row r="701" spans="1:11" ht="75">
      <c r="A701" s="141" t="s">
        <v>838</v>
      </c>
      <c r="B701" s="53" t="s">
        <v>840</v>
      </c>
      <c r="C701" s="13"/>
      <c r="D701" s="14"/>
      <c r="E701" s="14"/>
      <c r="F701" s="14"/>
      <c r="G701" s="17">
        <f>'MAYO-18 '!I701</f>
        <v>0</v>
      </c>
      <c r="H701" s="51"/>
      <c r="I701" s="17"/>
      <c r="J701" s="56"/>
      <c r="K701" s="56"/>
    </row>
    <row r="702" spans="1:11" ht="29.25">
      <c r="A702" s="11">
        <v>51202</v>
      </c>
      <c r="B702" s="54" t="s">
        <v>842</v>
      </c>
      <c r="C702" s="13"/>
      <c r="D702" s="14" t="s">
        <v>18</v>
      </c>
      <c r="E702" s="14" t="s">
        <v>28</v>
      </c>
      <c r="F702" s="14" t="s">
        <v>27</v>
      </c>
      <c r="G702" s="17">
        <f>'MAYO-18 '!I702</f>
        <v>9000</v>
      </c>
      <c r="H702" s="51"/>
      <c r="I702" s="17">
        <f t="shared" si="13"/>
        <v>9000</v>
      </c>
      <c r="J702" s="56"/>
      <c r="K702" s="56"/>
    </row>
    <row r="703" spans="1:11" ht="43.5">
      <c r="A703" s="11">
        <v>54110</v>
      </c>
      <c r="B703" s="53" t="s">
        <v>844</v>
      </c>
      <c r="C703" s="13"/>
      <c r="D703" s="14" t="s">
        <v>18</v>
      </c>
      <c r="E703" s="14" t="s">
        <v>28</v>
      </c>
      <c r="F703" s="14" t="s">
        <v>27</v>
      </c>
      <c r="G703" s="17">
        <f>'MAYO-18 '!I703</f>
        <v>200</v>
      </c>
      <c r="H703" s="51"/>
      <c r="I703" s="17">
        <f t="shared" si="13"/>
        <v>200</v>
      </c>
      <c r="J703" s="56"/>
      <c r="K703" s="56"/>
    </row>
    <row r="704" spans="1:11" ht="44.25">
      <c r="A704" s="11">
        <v>54111</v>
      </c>
      <c r="B704" s="53" t="s">
        <v>845</v>
      </c>
      <c r="C704" s="13"/>
      <c r="D704" s="14" t="s">
        <v>18</v>
      </c>
      <c r="E704" s="14" t="s">
        <v>28</v>
      </c>
      <c r="F704" s="14" t="s">
        <v>27</v>
      </c>
      <c r="G704" s="17">
        <f>'MAYO-18 '!I704</f>
        <v>12290</v>
      </c>
      <c r="H704" s="51"/>
      <c r="I704" s="17">
        <f t="shared" si="13"/>
        <v>12290</v>
      </c>
      <c r="J704" s="56"/>
      <c r="K704" s="56"/>
    </row>
    <row r="705" spans="1:11" ht="43.5">
      <c r="A705" s="11">
        <v>54118</v>
      </c>
      <c r="B705" s="53" t="s">
        <v>846</v>
      </c>
      <c r="C705" s="13"/>
      <c r="D705" s="14" t="s">
        <v>18</v>
      </c>
      <c r="E705" s="14" t="s">
        <v>28</v>
      </c>
      <c r="F705" s="14" t="s">
        <v>27</v>
      </c>
      <c r="G705" s="17">
        <f>'MAYO-18 '!I705</f>
        <v>3000</v>
      </c>
      <c r="H705" s="51"/>
      <c r="I705" s="17">
        <f t="shared" si="13"/>
        <v>3000</v>
      </c>
      <c r="J705" s="56"/>
      <c r="K705" s="56"/>
    </row>
    <row r="706" spans="1:11" ht="44.25">
      <c r="A706" s="11">
        <v>54313</v>
      </c>
      <c r="B706" s="53" t="s">
        <v>847</v>
      </c>
      <c r="C706" s="13"/>
      <c r="D706" s="14" t="s">
        <v>18</v>
      </c>
      <c r="E706" s="14" t="s">
        <v>28</v>
      </c>
      <c r="F706" s="14" t="s">
        <v>27</v>
      </c>
      <c r="G706" s="17">
        <f>'MAYO-18 '!I706</f>
        <v>300</v>
      </c>
      <c r="H706" s="51"/>
      <c r="I706" s="17">
        <f t="shared" si="13"/>
        <v>300</v>
      </c>
      <c r="J706" s="56"/>
      <c r="K706" s="56"/>
    </row>
    <row r="707" spans="1:11" ht="44.25">
      <c r="A707" s="11">
        <v>54399</v>
      </c>
      <c r="B707" s="53" t="s">
        <v>848</v>
      </c>
      <c r="C707" s="13"/>
      <c r="D707" s="14" t="s">
        <v>18</v>
      </c>
      <c r="E707" s="14" t="s">
        <v>28</v>
      </c>
      <c r="F707" s="14" t="s">
        <v>27</v>
      </c>
      <c r="G707" s="17">
        <f>'MAYO-18 '!I707</f>
        <v>200</v>
      </c>
      <c r="H707" s="51"/>
      <c r="I707" s="17">
        <f t="shared" si="13"/>
        <v>200</v>
      </c>
      <c r="J707" s="56"/>
      <c r="K707" s="56"/>
    </row>
    <row r="708" spans="1:11" ht="43.5">
      <c r="A708" s="11">
        <v>55603</v>
      </c>
      <c r="B708" s="53" t="s">
        <v>849</v>
      </c>
      <c r="C708" s="13"/>
      <c r="D708" s="14" t="s">
        <v>18</v>
      </c>
      <c r="E708" s="14" t="s">
        <v>28</v>
      </c>
      <c r="F708" s="14" t="s">
        <v>27</v>
      </c>
      <c r="G708" s="17">
        <f>'MAYO-18 '!I708</f>
        <v>10</v>
      </c>
      <c r="H708" s="51"/>
      <c r="I708" s="17">
        <f t="shared" si="13"/>
        <v>10</v>
      </c>
      <c r="J708" s="56"/>
      <c r="K708" s="56"/>
    </row>
    <row r="709" spans="1:11" ht="60">
      <c r="A709" s="141" t="s">
        <v>839</v>
      </c>
      <c r="B709" s="53" t="s">
        <v>841</v>
      </c>
      <c r="C709" s="13"/>
      <c r="D709" s="14"/>
      <c r="E709" s="14"/>
      <c r="F709" s="14"/>
      <c r="G709" s="17">
        <f>'MAYO-18 '!I709</f>
        <v>0</v>
      </c>
      <c r="H709" s="51"/>
      <c r="I709" s="17"/>
      <c r="J709" s="56"/>
      <c r="K709" s="56"/>
    </row>
    <row r="710" spans="1:11" ht="29.25">
      <c r="A710" s="11">
        <v>51202</v>
      </c>
      <c r="B710" s="54" t="s">
        <v>843</v>
      </c>
      <c r="C710" s="13"/>
      <c r="D710" s="14" t="s">
        <v>18</v>
      </c>
      <c r="E710" s="14" t="s">
        <v>28</v>
      </c>
      <c r="F710" s="14" t="s">
        <v>27</v>
      </c>
      <c r="G710" s="17">
        <f>'MAYO-18 '!I710</f>
        <v>9000</v>
      </c>
      <c r="H710" s="51"/>
      <c r="I710" s="17">
        <f t="shared" si="13"/>
        <v>9000</v>
      </c>
      <c r="J710" s="56"/>
      <c r="K710" s="56"/>
    </row>
    <row r="711" spans="1:11" ht="29.25">
      <c r="A711" s="11">
        <v>54110</v>
      </c>
      <c r="B711" s="53" t="s">
        <v>850</v>
      </c>
      <c r="C711" s="13"/>
      <c r="D711" s="14" t="s">
        <v>18</v>
      </c>
      <c r="E711" s="14" t="s">
        <v>28</v>
      </c>
      <c r="F711" s="14" t="s">
        <v>27</v>
      </c>
      <c r="G711" s="17">
        <f>'MAYO-18 '!I711</f>
        <v>200</v>
      </c>
      <c r="H711" s="51"/>
      <c r="I711" s="17">
        <f t="shared" si="13"/>
        <v>200</v>
      </c>
      <c r="J711" s="56"/>
      <c r="K711" s="56"/>
    </row>
    <row r="712" spans="1:11" ht="29.25">
      <c r="A712" s="11">
        <v>54111</v>
      </c>
      <c r="B712" s="54" t="s">
        <v>851</v>
      </c>
      <c r="C712" s="13"/>
      <c r="D712" s="14" t="s">
        <v>18</v>
      </c>
      <c r="E712" s="14" t="s">
        <v>28</v>
      </c>
      <c r="F712" s="14" t="s">
        <v>27</v>
      </c>
      <c r="G712" s="17">
        <f>'MAYO-18 '!I712</f>
        <v>12290</v>
      </c>
      <c r="H712" s="51"/>
      <c r="I712" s="17">
        <f t="shared" si="13"/>
        <v>12290</v>
      </c>
      <c r="J712" s="56"/>
      <c r="K712" s="56"/>
    </row>
    <row r="713" spans="1:11" ht="29.25">
      <c r="A713" s="11">
        <v>54118</v>
      </c>
      <c r="B713" s="53" t="s">
        <v>852</v>
      </c>
      <c r="C713" s="13"/>
      <c r="D713" s="14" t="s">
        <v>18</v>
      </c>
      <c r="E713" s="14" t="s">
        <v>28</v>
      </c>
      <c r="F713" s="14" t="s">
        <v>27</v>
      </c>
      <c r="G713" s="17">
        <f>'MAYO-18 '!I713</f>
        <v>3000</v>
      </c>
      <c r="H713" s="51"/>
      <c r="I713" s="17">
        <f t="shared" si="13"/>
        <v>3000</v>
      </c>
      <c r="J713" s="56"/>
      <c r="K713" s="56"/>
    </row>
    <row r="714" spans="1:11" ht="29.25">
      <c r="A714" s="11">
        <v>54313</v>
      </c>
      <c r="B714" s="54" t="s">
        <v>853</v>
      </c>
      <c r="C714" s="13"/>
      <c r="D714" s="14" t="s">
        <v>18</v>
      </c>
      <c r="E714" s="14" t="s">
        <v>28</v>
      </c>
      <c r="F714" s="14" t="s">
        <v>27</v>
      </c>
      <c r="G714" s="17">
        <f>'MAYO-18 '!I714</f>
        <v>300</v>
      </c>
      <c r="H714" s="51"/>
      <c r="I714" s="17">
        <f t="shared" si="13"/>
        <v>300</v>
      </c>
      <c r="J714" s="56"/>
      <c r="K714" s="56"/>
    </row>
    <row r="715" spans="1:11" ht="37.5" customHeight="1">
      <c r="A715" s="11">
        <v>54399</v>
      </c>
      <c r="B715" s="54" t="s">
        <v>854</v>
      </c>
      <c r="C715" s="13"/>
      <c r="D715" s="14" t="s">
        <v>18</v>
      </c>
      <c r="E715" s="14" t="s">
        <v>28</v>
      </c>
      <c r="F715" s="14" t="s">
        <v>27</v>
      </c>
      <c r="G715" s="17">
        <f>'MAYO-18 '!I715</f>
        <v>200</v>
      </c>
      <c r="H715" s="51"/>
      <c r="I715" s="17">
        <f t="shared" si="13"/>
        <v>200</v>
      </c>
      <c r="J715" s="56"/>
      <c r="K715" s="56"/>
    </row>
    <row r="716" spans="1:11" ht="29.25">
      <c r="A716" s="11">
        <v>55603</v>
      </c>
      <c r="B716" s="54" t="s">
        <v>855</v>
      </c>
      <c r="C716" s="13"/>
      <c r="D716" s="14" t="s">
        <v>18</v>
      </c>
      <c r="E716" s="14" t="s">
        <v>28</v>
      </c>
      <c r="F716" s="14" t="s">
        <v>27</v>
      </c>
      <c r="G716" s="17">
        <f>'MAYO-18 '!I716</f>
        <v>10</v>
      </c>
      <c r="H716" s="51"/>
      <c r="I716" s="17">
        <f t="shared" si="13"/>
        <v>10</v>
      </c>
      <c r="J716" s="56"/>
      <c r="K716" s="56"/>
    </row>
    <row r="717" spans="1:11" ht="60">
      <c r="A717" s="141" t="s">
        <v>872</v>
      </c>
      <c r="B717" s="53" t="s">
        <v>856</v>
      </c>
      <c r="C717" s="13"/>
      <c r="D717" s="14"/>
      <c r="E717" s="14"/>
      <c r="F717" s="14"/>
      <c r="G717" s="17">
        <f>'MAYO-18 '!I717</f>
        <v>0</v>
      </c>
      <c r="H717" s="51"/>
      <c r="I717" s="17"/>
      <c r="J717" s="56"/>
      <c r="K717" s="56"/>
    </row>
    <row r="718" spans="1:11" ht="29.25">
      <c r="A718" s="11">
        <v>51202</v>
      </c>
      <c r="B718" s="54" t="s">
        <v>857</v>
      </c>
      <c r="C718" s="13"/>
      <c r="D718" s="14" t="s">
        <v>18</v>
      </c>
      <c r="E718" s="14" t="s">
        <v>28</v>
      </c>
      <c r="F718" s="14" t="s">
        <v>27</v>
      </c>
      <c r="G718" s="17">
        <f>'MAYO-18 '!I718</f>
        <v>1800</v>
      </c>
      <c r="H718" s="51"/>
      <c r="I718" s="17">
        <f t="shared" si="13"/>
        <v>1800</v>
      </c>
      <c r="J718" s="56"/>
      <c r="K718" s="56"/>
    </row>
    <row r="719" spans="1:11" ht="29.25">
      <c r="A719" s="11">
        <v>54110</v>
      </c>
      <c r="B719" s="53" t="s">
        <v>858</v>
      </c>
      <c r="C719" s="13"/>
      <c r="D719" s="14" t="s">
        <v>18</v>
      </c>
      <c r="E719" s="14" t="s">
        <v>28</v>
      </c>
      <c r="F719" s="14" t="s">
        <v>27</v>
      </c>
      <c r="G719" s="17">
        <f>'MAYO-18 '!I719</f>
        <v>100</v>
      </c>
      <c r="H719" s="51"/>
      <c r="I719" s="17">
        <f t="shared" si="13"/>
        <v>100</v>
      </c>
      <c r="J719" s="56"/>
      <c r="K719" s="56"/>
    </row>
    <row r="720" spans="1:11" ht="44.25">
      <c r="A720" s="11">
        <v>54111</v>
      </c>
      <c r="B720" s="53" t="s">
        <v>859</v>
      </c>
      <c r="C720" s="13"/>
      <c r="D720" s="14" t="s">
        <v>18</v>
      </c>
      <c r="E720" s="14" t="s">
        <v>28</v>
      </c>
      <c r="F720" s="14" t="s">
        <v>27</v>
      </c>
      <c r="G720" s="17">
        <f>'MAYO-18 '!I720</f>
        <v>2590</v>
      </c>
      <c r="H720" s="51"/>
      <c r="I720" s="17">
        <f t="shared" si="13"/>
        <v>2590</v>
      </c>
      <c r="J720" s="56"/>
      <c r="K720" s="56"/>
    </row>
    <row r="721" spans="1:11" ht="29.25">
      <c r="A721" s="11">
        <v>54118</v>
      </c>
      <c r="B721" s="53" t="s">
        <v>860</v>
      </c>
      <c r="C721" s="13"/>
      <c r="D721" s="14" t="s">
        <v>18</v>
      </c>
      <c r="E721" s="14" t="s">
        <v>28</v>
      </c>
      <c r="F721" s="14" t="s">
        <v>27</v>
      </c>
      <c r="G721" s="17">
        <f>'MAYO-18 '!I721</f>
        <v>100</v>
      </c>
      <c r="H721" s="51"/>
      <c r="I721" s="17">
        <f t="shared" si="13"/>
        <v>100</v>
      </c>
      <c r="J721" s="56"/>
      <c r="K721" s="56"/>
    </row>
    <row r="722" spans="1:11" ht="44.25">
      <c r="A722" s="11">
        <v>54313</v>
      </c>
      <c r="B722" s="53" t="s">
        <v>861</v>
      </c>
      <c r="C722" s="13"/>
      <c r="D722" s="14" t="s">
        <v>18</v>
      </c>
      <c r="E722" s="14" t="s">
        <v>28</v>
      </c>
      <c r="F722" s="14" t="s">
        <v>27</v>
      </c>
      <c r="G722" s="17">
        <f>'MAYO-18 '!I722</f>
        <v>200</v>
      </c>
      <c r="H722" s="51"/>
      <c r="I722" s="17">
        <f t="shared" si="13"/>
        <v>200</v>
      </c>
      <c r="J722" s="56"/>
      <c r="K722" s="56"/>
    </row>
    <row r="723" spans="1:11" ht="44.25">
      <c r="A723" s="11">
        <v>54399</v>
      </c>
      <c r="B723" s="53" t="s">
        <v>862</v>
      </c>
      <c r="C723" s="13"/>
      <c r="D723" s="14" t="s">
        <v>18</v>
      </c>
      <c r="E723" s="14" t="s">
        <v>28</v>
      </c>
      <c r="F723" s="14" t="s">
        <v>27</v>
      </c>
      <c r="G723" s="17">
        <f>'MAYO-18 '!I723</f>
        <v>200</v>
      </c>
      <c r="H723" s="51"/>
      <c r="I723" s="17">
        <f t="shared" si="13"/>
        <v>200</v>
      </c>
      <c r="J723" s="56"/>
      <c r="K723" s="56"/>
    </row>
    <row r="724" spans="1:11" ht="29.25">
      <c r="A724" s="11">
        <v>55603</v>
      </c>
      <c r="B724" s="53" t="s">
        <v>863</v>
      </c>
      <c r="C724" s="13"/>
      <c r="D724" s="14" t="s">
        <v>18</v>
      </c>
      <c r="E724" s="14" t="s">
        <v>28</v>
      </c>
      <c r="F724" s="14" t="s">
        <v>27</v>
      </c>
      <c r="G724" s="17">
        <f>'MAYO-18 '!I724</f>
        <v>10</v>
      </c>
      <c r="H724" s="51"/>
      <c r="I724" s="17">
        <f t="shared" si="13"/>
        <v>10</v>
      </c>
      <c r="J724" s="56"/>
      <c r="K724" s="56"/>
    </row>
    <row r="725" spans="1:11" ht="59.25">
      <c r="A725" s="141" t="s">
        <v>873</v>
      </c>
      <c r="B725" s="53" t="s">
        <v>864</v>
      </c>
      <c r="C725" s="13"/>
      <c r="D725" s="14"/>
      <c r="E725" s="14"/>
      <c r="F725" s="14"/>
      <c r="G725" s="17">
        <f>'MAYO-18 '!I725</f>
        <v>0</v>
      </c>
      <c r="H725" s="51"/>
      <c r="I725" s="17"/>
      <c r="J725" s="56"/>
      <c r="K725" s="56"/>
    </row>
    <row r="726" spans="1:11" ht="29.25">
      <c r="A726" s="11">
        <v>51202</v>
      </c>
      <c r="B726" s="53" t="s">
        <v>865</v>
      </c>
      <c r="C726" s="13"/>
      <c r="D726" s="14" t="s">
        <v>18</v>
      </c>
      <c r="E726" s="14" t="s">
        <v>28</v>
      </c>
      <c r="F726" s="14" t="s">
        <v>27</v>
      </c>
      <c r="G726" s="17">
        <f>'MAYO-18 '!I726</f>
        <v>7000</v>
      </c>
      <c r="H726" s="51"/>
      <c r="I726" s="17">
        <f t="shared" si="13"/>
        <v>7000</v>
      </c>
      <c r="J726" s="56"/>
      <c r="K726" s="56"/>
    </row>
    <row r="727" spans="1:11" ht="29.25">
      <c r="A727" s="11">
        <v>54110</v>
      </c>
      <c r="B727" s="53" t="s">
        <v>866</v>
      </c>
      <c r="C727" s="13"/>
      <c r="D727" s="14" t="s">
        <v>18</v>
      </c>
      <c r="E727" s="14" t="s">
        <v>28</v>
      </c>
      <c r="F727" s="14" t="s">
        <v>27</v>
      </c>
      <c r="G727" s="17">
        <f>'MAYO-18 '!I727</f>
        <v>200</v>
      </c>
      <c r="H727" s="51"/>
      <c r="I727" s="17">
        <f t="shared" si="13"/>
        <v>200</v>
      </c>
      <c r="J727" s="56"/>
      <c r="K727" s="56"/>
    </row>
    <row r="728" spans="1:11" ht="30">
      <c r="A728" s="11">
        <v>54111</v>
      </c>
      <c r="B728" s="53" t="s">
        <v>867</v>
      </c>
      <c r="C728" s="13"/>
      <c r="D728" s="14" t="s">
        <v>18</v>
      </c>
      <c r="E728" s="14" t="s">
        <v>28</v>
      </c>
      <c r="F728" s="14" t="s">
        <v>27</v>
      </c>
      <c r="G728" s="17">
        <f>'MAYO-18 '!I728</f>
        <v>10290</v>
      </c>
      <c r="H728" s="51"/>
      <c r="I728" s="17">
        <f t="shared" si="13"/>
        <v>10290</v>
      </c>
      <c r="J728" s="56"/>
      <c r="K728" s="56"/>
    </row>
    <row r="729" spans="1:11" ht="29.25">
      <c r="A729" s="11">
        <v>54118</v>
      </c>
      <c r="B729" s="53" t="s">
        <v>868</v>
      </c>
      <c r="C729" s="13"/>
      <c r="D729" s="14" t="s">
        <v>18</v>
      </c>
      <c r="E729" s="14" t="s">
        <v>28</v>
      </c>
      <c r="F729" s="14" t="s">
        <v>27</v>
      </c>
      <c r="G729" s="17">
        <f>'MAYO-18 '!I729</f>
        <v>2000</v>
      </c>
      <c r="H729" s="51"/>
      <c r="I729" s="17">
        <f t="shared" si="13"/>
        <v>2000</v>
      </c>
      <c r="J729" s="56"/>
      <c r="K729" s="56"/>
    </row>
    <row r="730" spans="1:11" ht="44.25">
      <c r="A730" s="11">
        <v>54313</v>
      </c>
      <c r="B730" s="53" t="s">
        <v>869</v>
      </c>
      <c r="C730" s="13"/>
      <c r="D730" s="14" t="s">
        <v>18</v>
      </c>
      <c r="E730" s="14" t="s">
        <v>28</v>
      </c>
      <c r="F730" s="14" t="s">
        <v>27</v>
      </c>
      <c r="G730" s="17">
        <f>'MAYO-18 '!I730</f>
        <v>300</v>
      </c>
      <c r="H730" s="51"/>
      <c r="I730" s="17">
        <f t="shared" si="13"/>
        <v>300</v>
      </c>
      <c r="J730" s="56"/>
      <c r="K730" s="56"/>
    </row>
    <row r="731" spans="1:11" ht="30">
      <c r="A731" s="11">
        <v>54399</v>
      </c>
      <c r="B731" s="53" t="s">
        <v>870</v>
      </c>
      <c r="C731" s="13"/>
      <c r="D731" s="14" t="s">
        <v>18</v>
      </c>
      <c r="E731" s="14" t="s">
        <v>28</v>
      </c>
      <c r="F731" s="14" t="s">
        <v>27</v>
      </c>
      <c r="G731" s="17">
        <f>'MAYO-18 '!I731</f>
        <v>200</v>
      </c>
      <c r="H731" s="51"/>
      <c r="I731" s="17">
        <f t="shared" si="13"/>
        <v>200</v>
      </c>
      <c r="J731" s="56"/>
      <c r="K731" s="56"/>
    </row>
    <row r="732" spans="1:11" ht="29.25">
      <c r="A732" s="11">
        <v>55603</v>
      </c>
      <c r="B732" s="53" t="s">
        <v>871</v>
      </c>
      <c r="C732" s="13"/>
      <c r="D732" s="14" t="s">
        <v>18</v>
      </c>
      <c r="E732" s="14" t="s">
        <v>28</v>
      </c>
      <c r="F732" s="14" t="s">
        <v>27</v>
      </c>
      <c r="G732" s="17">
        <f>'MAYO-18 '!I732</f>
        <v>10</v>
      </c>
      <c r="H732" s="51"/>
      <c r="I732" s="17">
        <f t="shared" si="13"/>
        <v>10</v>
      </c>
      <c r="J732" s="56"/>
      <c r="K732" s="56"/>
    </row>
    <row r="733" spans="1:11" ht="60">
      <c r="A733" s="141" t="s">
        <v>532</v>
      </c>
      <c r="B733" s="53" t="s">
        <v>874</v>
      </c>
      <c r="C733" s="13"/>
      <c r="D733" s="14"/>
      <c r="E733" s="14"/>
      <c r="F733" s="14"/>
      <c r="G733" s="17">
        <f>'MAYO-18 '!I733</f>
        <v>0</v>
      </c>
      <c r="H733" s="51"/>
      <c r="I733" s="17"/>
      <c r="J733" s="56"/>
      <c r="K733" s="56"/>
    </row>
    <row r="734" spans="1:11" ht="29.25">
      <c r="A734" s="11">
        <v>51202</v>
      </c>
      <c r="B734" s="53" t="s">
        <v>875</v>
      </c>
      <c r="C734" s="13"/>
      <c r="D734" s="14" t="s">
        <v>18</v>
      </c>
      <c r="E734" s="14" t="s">
        <v>28</v>
      </c>
      <c r="F734" s="14" t="s">
        <v>27</v>
      </c>
      <c r="G734" s="17">
        <f>'MAYO-18 '!I734</f>
        <v>6990</v>
      </c>
      <c r="H734" s="51"/>
      <c r="I734" s="17">
        <f t="shared" si="13"/>
        <v>6990</v>
      </c>
      <c r="J734" s="56"/>
      <c r="K734" s="56"/>
    </row>
    <row r="735" spans="1:11" ht="29.25">
      <c r="A735" s="11">
        <v>54110</v>
      </c>
      <c r="B735" s="53" t="s">
        <v>876</v>
      </c>
      <c r="C735" s="13"/>
      <c r="D735" s="14" t="s">
        <v>18</v>
      </c>
      <c r="E735" s="14" t="s">
        <v>28</v>
      </c>
      <c r="F735" s="14" t="s">
        <v>27</v>
      </c>
      <c r="G735" s="17">
        <f>'MAYO-18 '!I735</f>
        <v>200</v>
      </c>
      <c r="H735" s="51"/>
      <c r="I735" s="17">
        <f t="shared" si="13"/>
        <v>200</v>
      </c>
      <c r="J735" s="56"/>
      <c r="K735" s="56"/>
    </row>
    <row r="736" spans="1:11" ht="44.25">
      <c r="A736" s="11">
        <v>54111</v>
      </c>
      <c r="B736" s="53" t="s">
        <v>881</v>
      </c>
      <c r="C736" s="13"/>
      <c r="D736" s="14" t="s">
        <v>18</v>
      </c>
      <c r="E736" s="14" t="s">
        <v>28</v>
      </c>
      <c r="F736" s="14" t="s">
        <v>27</v>
      </c>
      <c r="G736" s="17">
        <f>'MAYO-18 '!I736</f>
        <v>10000</v>
      </c>
      <c r="H736" s="51"/>
      <c r="I736" s="17">
        <f t="shared" si="13"/>
        <v>10000</v>
      </c>
      <c r="J736" s="56"/>
      <c r="K736" s="56"/>
    </row>
    <row r="737" spans="1:11" ht="29.25">
      <c r="A737" s="11">
        <v>54118</v>
      </c>
      <c r="B737" s="53" t="s">
        <v>877</v>
      </c>
      <c r="C737" s="13"/>
      <c r="D737" s="14" t="s">
        <v>18</v>
      </c>
      <c r="E737" s="14" t="s">
        <v>28</v>
      </c>
      <c r="F737" s="14" t="s">
        <v>27</v>
      </c>
      <c r="G737" s="17">
        <f>'MAYO-18 '!I737</f>
        <v>2000</v>
      </c>
      <c r="H737" s="51"/>
      <c r="I737" s="17">
        <f t="shared" si="13"/>
        <v>2000</v>
      </c>
      <c r="J737" s="56"/>
      <c r="K737" s="56"/>
    </row>
    <row r="738" spans="1:11" ht="44.25">
      <c r="A738" s="11">
        <v>54313</v>
      </c>
      <c r="B738" s="53" t="s">
        <v>878</v>
      </c>
      <c r="C738" s="13"/>
      <c r="D738" s="14" t="s">
        <v>18</v>
      </c>
      <c r="E738" s="14" t="s">
        <v>28</v>
      </c>
      <c r="F738" s="14" t="s">
        <v>27</v>
      </c>
      <c r="G738" s="17">
        <f>'MAYO-18 '!I738</f>
        <v>300</v>
      </c>
      <c r="H738" s="51"/>
      <c r="I738" s="17">
        <f t="shared" si="13"/>
        <v>300</v>
      </c>
      <c r="J738" s="56"/>
      <c r="K738" s="56"/>
    </row>
    <row r="739" spans="1:11" ht="43.5">
      <c r="A739" s="11">
        <v>54399</v>
      </c>
      <c r="B739" s="53" t="s">
        <v>879</v>
      </c>
      <c r="C739" s="13"/>
      <c r="D739" s="14" t="s">
        <v>18</v>
      </c>
      <c r="E739" s="14" t="s">
        <v>28</v>
      </c>
      <c r="F739" s="14" t="s">
        <v>27</v>
      </c>
      <c r="G739" s="17">
        <f>'MAYO-18 '!I739</f>
        <v>500</v>
      </c>
      <c r="H739" s="51"/>
      <c r="I739" s="17">
        <f t="shared" si="13"/>
        <v>500</v>
      </c>
      <c r="J739" s="56"/>
      <c r="K739" s="56"/>
    </row>
    <row r="740" spans="1:11" ht="29.25">
      <c r="A740" s="11">
        <v>55603</v>
      </c>
      <c r="B740" s="53" t="s">
        <v>880</v>
      </c>
      <c r="C740" s="13"/>
      <c r="D740" s="14" t="s">
        <v>18</v>
      </c>
      <c r="E740" s="14" t="s">
        <v>28</v>
      </c>
      <c r="F740" s="14" t="s">
        <v>27</v>
      </c>
      <c r="G740" s="17">
        <f>'MAYO-18 '!I740</f>
        <v>10</v>
      </c>
      <c r="H740" s="51"/>
      <c r="I740" s="17">
        <f t="shared" si="13"/>
        <v>10</v>
      </c>
      <c r="J740" s="56"/>
      <c r="K740" s="56"/>
    </row>
    <row r="741" spans="1:11" ht="72.75">
      <c r="A741" s="144" t="s">
        <v>540</v>
      </c>
      <c r="B741" s="53" t="s">
        <v>882</v>
      </c>
      <c r="C741" s="13"/>
      <c r="D741" s="14"/>
      <c r="E741" s="14"/>
      <c r="F741" s="14"/>
      <c r="G741" s="17">
        <f>'MAYO-18 '!I741</f>
        <v>0</v>
      </c>
      <c r="H741" s="51"/>
      <c r="I741" s="17"/>
      <c r="J741" s="56"/>
      <c r="K741" s="56"/>
    </row>
    <row r="742" spans="1:11" ht="43.5">
      <c r="A742" s="11">
        <v>51202</v>
      </c>
      <c r="B742" s="53" t="s">
        <v>883</v>
      </c>
      <c r="C742" s="13"/>
      <c r="D742" s="14" t="s">
        <v>18</v>
      </c>
      <c r="E742" s="14" t="s">
        <v>28</v>
      </c>
      <c r="F742" s="14" t="s">
        <v>27</v>
      </c>
      <c r="G742" s="17">
        <f>'MAYO-18 '!I742</f>
        <v>10000</v>
      </c>
      <c r="H742" s="51"/>
      <c r="I742" s="17">
        <f t="shared" si="13"/>
        <v>10000</v>
      </c>
      <c r="J742" s="56"/>
      <c r="K742" s="56"/>
    </row>
    <row r="743" spans="1:11" ht="43.5">
      <c r="A743" s="11">
        <v>54110</v>
      </c>
      <c r="B743" s="53" t="s">
        <v>968</v>
      </c>
      <c r="C743" s="13"/>
      <c r="D743" s="14" t="s">
        <v>18</v>
      </c>
      <c r="E743" s="14" t="s">
        <v>28</v>
      </c>
      <c r="F743" s="14" t="s">
        <v>27</v>
      </c>
      <c r="G743" s="17">
        <f>'MAYO-18 '!I743</f>
        <v>500</v>
      </c>
      <c r="H743" s="51"/>
      <c r="I743" s="17">
        <f t="shared" si="13"/>
        <v>500</v>
      </c>
      <c r="J743" s="56"/>
      <c r="K743" s="56"/>
    </row>
    <row r="744" spans="1:11" ht="44.25">
      <c r="A744" s="11">
        <v>54111</v>
      </c>
      <c r="B744" s="53" t="s">
        <v>884</v>
      </c>
      <c r="C744" s="13"/>
      <c r="D744" s="14" t="s">
        <v>18</v>
      </c>
      <c r="E744" s="14" t="s">
        <v>28</v>
      </c>
      <c r="F744" s="14" t="s">
        <v>27</v>
      </c>
      <c r="G744" s="17">
        <f>'MAYO-18 '!I744</f>
        <v>15000</v>
      </c>
      <c r="H744" s="51"/>
      <c r="I744" s="17">
        <f t="shared" ref="I744:I790" si="14">G744-H744+J744-K744</f>
        <v>15000</v>
      </c>
      <c r="J744" s="56"/>
      <c r="K744" s="56"/>
    </row>
    <row r="745" spans="1:11" ht="43.5">
      <c r="A745" s="11">
        <v>54118</v>
      </c>
      <c r="B745" s="53" t="s">
        <v>885</v>
      </c>
      <c r="C745" s="13"/>
      <c r="D745" s="14" t="s">
        <v>18</v>
      </c>
      <c r="E745" s="14" t="s">
        <v>28</v>
      </c>
      <c r="F745" s="14" t="s">
        <v>27</v>
      </c>
      <c r="G745" s="17">
        <f>'MAYO-18 '!I745</f>
        <v>5000</v>
      </c>
      <c r="H745" s="51"/>
      <c r="I745" s="17">
        <f t="shared" si="14"/>
        <v>5000</v>
      </c>
      <c r="J745" s="56"/>
      <c r="K745" s="56"/>
    </row>
    <row r="746" spans="1:11" ht="43.5">
      <c r="A746" s="11">
        <v>54304</v>
      </c>
      <c r="B746" s="53" t="s">
        <v>889</v>
      </c>
      <c r="C746" s="13"/>
      <c r="D746" s="14" t="s">
        <v>18</v>
      </c>
      <c r="E746" s="14" t="s">
        <v>28</v>
      </c>
      <c r="F746" s="14" t="s">
        <v>27</v>
      </c>
      <c r="G746" s="17">
        <f>'MAYO-18 '!I746</f>
        <v>2690</v>
      </c>
      <c r="H746" s="51"/>
      <c r="I746" s="17">
        <f t="shared" si="14"/>
        <v>2690</v>
      </c>
      <c r="J746" s="56"/>
      <c r="K746" s="56"/>
    </row>
    <row r="747" spans="1:11" ht="44.25">
      <c r="A747" s="11">
        <v>54313</v>
      </c>
      <c r="B747" s="53" t="s">
        <v>886</v>
      </c>
      <c r="C747" s="13"/>
      <c r="D747" s="14" t="s">
        <v>18</v>
      </c>
      <c r="E747" s="14" t="s">
        <v>28</v>
      </c>
      <c r="F747" s="14" t="s">
        <v>27</v>
      </c>
      <c r="G747" s="17">
        <f>'MAYO-18 '!I747</f>
        <v>300</v>
      </c>
      <c r="H747" s="51"/>
      <c r="I747" s="17">
        <f t="shared" si="14"/>
        <v>300</v>
      </c>
      <c r="J747" s="56"/>
      <c r="K747" s="56"/>
    </row>
    <row r="748" spans="1:11" ht="44.25">
      <c r="A748" s="11">
        <v>54399</v>
      </c>
      <c r="B748" s="53" t="s">
        <v>887</v>
      </c>
      <c r="C748" s="13"/>
      <c r="D748" s="14" t="s">
        <v>18</v>
      </c>
      <c r="E748" s="14" t="s">
        <v>28</v>
      </c>
      <c r="F748" s="14" t="s">
        <v>27</v>
      </c>
      <c r="G748" s="17">
        <f>'MAYO-18 '!I748</f>
        <v>1500</v>
      </c>
      <c r="H748" s="51"/>
      <c r="I748" s="17">
        <f t="shared" si="14"/>
        <v>1500</v>
      </c>
      <c r="J748" s="56"/>
      <c r="K748" s="56"/>
    </row>
    <row r="749" spans="1:11" ht="43.5">
      <c r="A749" s="11">
        <v>55603</v>
      </c>
      <c r="B749" s="53" t="s">
        <v>888</v>
      </c>
      <c r="C749" s="13"/>
      <c r="D749" s="14" t="s">
        <v>18</v>
      </c>
      <c r="E749" s="14" t="s">
        <v>28</v>
      </c>
      <c r="F749" s="14" t="s">
        <v>27</v>
      </c>
      <c r="G749" s="17">
        <f>'MAYO-18 '!I749</f>
        <v>10</v>
      </c>
      <c r="H749" s="51"/>
      <c r="I749" s="17">
        <f t="shared" si="14"/>
        <v>10</v>
      </c>
      <c r="J749" s="56"/>
      <c r="K749" s="56"/>
    </row>
    <row r="750" spans="1:11" ht="63.75" customHeight="1">
      <c r="A750" s="141" t="s">
        <v>901</v>
      </c>
      <c r="B750" s="53" t="s">
        <v>890</v>
      </c>
      <c r="C750" s="344" t="s">
        <v>1108</v>
      </c>
      <c r="D750" s="14"/>
      <c r="E750" s="14"/>
      <c r="F750" s="14"/>
      <c r="G750" s="17">
        <f>'MAYO-18 '!I750</f>
        <v>0</v>
      </c>
      <c r="H750" s="51"/>
      <c r="I750" s="17"/>
      <c r="J750" s="56"/>
      <c r="K750" s="56"/>
    </row>
    <row r="751" spans="1:11" ht="29.25">
      <c r="A751" s="11">
        <v>51202</v>
      </c>
      <c r="B751" s="53" t="s">
        <v>1014</v>
      </c>
      <c r="C751" s="13"/>
      <c r="D751" s="14" t="s">
        <v>18</v>
      </c>
      <c r="E751" s="14" t="s">
        <v>28</v>
      </c>
      <c r="F751" s="14" t="s">
        <v>27</v>
      </c>
      <c r="G751" s="17">
        <f>'MAYO-18 '!I751</f>
        <v>7688</v>
      </c>
      <c r="H751" s="51">
        <f>936+80+80+80+100+112+112+112+112+112+112+112+112</f>
        <v>2172</v>
      </c>
      <c r="I751" s="17">
        <f t="shared" si="14"/>
        <v>5516</v>
      </c>
      <c r="J751" s="56"/>
      <c r="K751" s="56"/>
    </row>
    <row r="752" spans="1:11" ht="29.25">
      <c r="A752" s="11">
        <v>51999</v>
      </c>
      <c r="B752" s="53" t="s">
        <v>1015</v>
      </c>
      <c r="C752" s="13"/>
      <c r="D752" s="14" t="s">
        <v>18</v>
      </c>
      <c r="E752" s="14" t="s">
        <v>28</v>
      </c>
      <c r="F752" s="14" t="s">
        <v>27</v>
      </c>
      <c r="G752" s="17">
        <f>'MAYO-18 '!I752</f>
        <v>931.59999999999991</v>
      </c>
      <c r="H752" s="51"/>
      <c r="I752" s="17">
        <f t="shared" si="14"/>
        <v>931.59999999999991</v>
      </c>
      <c r="J752" s="56"/>
      <c r="K752" s="56"/>
    </row>
    <row r="753" spans="1:11" ht="29.25">
      <c r="A753" s="11">
        <v>54110</v>
      </c>
      <c r="B753" s="53" t="s">
        <v>1016</v>
      </c>
      <c r="C753" s="13"/>
      <c r="D753" s="14" t="s">
        <v>18</v>
      </c>
      <c r="E753" s="14" t="s">
        <v>28</v>
      </c>
      <c r="F753" s="14" t="s">
        <v>27</v>
      </c>
      <c r="G753" s="17">
        <f>'MAYO-18 '!I753</f>
        <v>500</v>
      </c>
      <c r="H753" s="51"/>
      <c r="I753" s="17">
        <f t="shared" si="14"/>
        <v>500</v>
      </c>
      <c r="J753" s="56"/>
      <c r="K753" s="56"/>
    </row>
    <row r="754" spans="1:11" ht="29.25">
      <c r="A754" s="11">
        <v>54111</v>
      </c>
      <c r="B754" s="53" t="s">
        <v>1017</v>
      </c>
      <c r="C754" s="13"/>
      <c r="D754" s="14" t="s">
        <v>18</v>
      </c>
      <c r="E754" s="14" t="s">
        <v>28</v>
      </c>
      <c r="F754" s="14" t="s">
        <v>27</v>
      </c>
      <c r="G754" s="17">
        <f>'MAYO-18 '!I754</f>
        <v>10000</v>
      </c>
      <c r="H754" s="51"/>
      <c r="I754" s="17">
        <f t="shared" si="14"/>
        <v>10000</v>
      </c>
      <c r="J754" s="56"/>
      <c r="K754" s="127"/>
    </row>
    <row r="755" spans="1:11" ht="44.25">
      <c r="A755" s="11">
        <v>54112</v>
      </c>
      <c r="B755" s="53" t="s">
        <v>1021</v>
      </c>
      <c r="C755" s="13"/>
      <c r="D755" s="14" t="s">
        <v>18</v>
      </c>
      <c r="E755" s="14" t="s">
        <v>28</v>
      </c>
      <c r="F755" s="14" t="s">
        <v>27</v>
      </c>
      <c r="G755" s="17">
        <f>'MAYO-18 '!I755</f>
        <v>2981.25</v>
      </c>
      <c r="H755" s="51"/>
      <c r="I755" s="17">
        <f t="shared" si="14"/>
        <v>2981.25</v>
      </c>
      <c r="J755" s="56"/>
      <c r="K755" s="56"/>
    </row>
    <row r="756" spans="1:11" ht="29.25">
      <c r="A756" s="11">
        <v>54118</v>
      </c>
      <c r="B756" s="53" t="s">
        <v>1020</v>
      </c>
      <c r="C756" s="61" t="s">
        <v>1109</v>
      </c>
      <c r="D756" s="14" t="s">
        <v>18</v>
      </c>
      <c r="E756" s="14" t="s">
        <v>28</v>
      </c>
      <c r="F756" s="14" t="s">
        <v>27</v>
      </c>
      <c r="G756" s="17">
        <f>'MAYO-18 '!I756</f>
        <v>2562.9</v>
      </c>
      <c r="H756" s="51">
        <f>137+471.05+68</f>
        <v>676.05</v>
      </c>
      <c r="I756" s="17">
        <f t="shared" si="14"/>
        <v>1886.8500000000001</v>
      </c>
      <c r="J756" s="56"/>
      <c r="K756" s="56"/>
    </row>
    <row r="757" spans="1:11" ht="29.25">
      <c r="A757" s="11">
        <v>54199</v>
      </c>
      <c r="B757" s="53" t="s">
        <v>1018</v>
      </c>
      <c r="C757" s="13"/>
      <c r="D757" s="14" t="s">
        <v>18</v>
      </c>
      <c r="E757" s="14" t="s">
        <v>28</v>
      </c>
      <c r="F757" s="14" t="s">
        <v>27</v>
      </c>
      <c r="G757" s="17">
        <f>'MAYO-18 '!I757</f>
        <v>2079.0500000000002</v>
      </c>
      <c r="H757" s="51"/>
      <c r="I757" s="17">
        <f t="shared" si="14"/>
        <v>2079.0500000000002</v>
      </c>
      <c r="J757" s="56"/>
      <c r="K757" s="56"/>
    </row>
    <row r="758" spans="1:11" ht="29.25">
      <c r="A758" s="11">
        <v>54313</v>
      </c>
      <c r="B758" s="53" t="s">
        <v>1019</v>
      </c>
      <c r="C758" s="13"/>
      <c r="D758" s="14" t="s">
        <v>18</v>
      </c>
      <c r="E758" s="14" t="s">
        <v>28</v>
      </c>
      <c r="F758" s="14" t="s">
        <v>27</v>
      </c>
      <c r="G758" s="17">
        <f>'MAYO-18 '!I758</f>
        <v>1650</v>
      </c>
      <c r="H758" s="51"/>
      <c r="I758" s="17">
        <f t="shared" si="14"/>
        <v>1650</v>
      </c>
      <c r="J758" s="56"/>
      <c r="K758" s="56"/>
    </row>
    <row r="759" spans="1:11" ht="44.25">
      <c r="A759" s="11">
        <v>54399</v>
      </c>
      <c r="B759" s="53" t="s">
        <v>1022</v>
      </c>
      <c r="C759" s="13"/>
      <c r="D759" s="14" t="s">
        <v>18</v>
      </c>
      <c r="E759" s="14" t="s">
        <v>28</v>
      </c>
      <c r="F759" s="14" t="s">
        <v>27</v>
      </c>
      <c r="G759" s="17">
        <f>'MAYO-18 '!I759</f>
        <v>1439.35</v>
      </c>
      <c r="H759" s="51"/>
      <c r="I759" s="17">
        <f t="shared" si="14"/>
        <v>1439.35</v>
      </c>
      <c r="J759" s="137"/>
      <c r="K759" s="56"/>
    </row>
    <row r="760" spans="1:11" ht="29.25">
      <c r="A760" s="11">
        <v>55603</v>
      </c>
      <c r="B760" s="53" t="s">
        <v>898</v>
      </c>
      <c r="C760" s="13"/>
      <c r="D760" s="14" t="s">
        <v>18</v>
      </c>
      <c r="E760" s="14" t="s">
        <v>28</v>
      </c>
      <c r="F760" s="14" t="s">
        <v>27</v>
      </c>
      <c r="G760" s="17">
        <f>'MAYO-18 '!I760</f>
        <v>5.3</v>
      </c>
      <c r="H760" s="400">
        <v>2.83</v>
      </c>
      <c r="I760" s="17">
        <f t="shared" si="14"/>
        <v>2.4699999999999998</v>
      </c>
      <c r="J760" s="56"/>
      <c r="K760" s="56"/>
    </row>
    <row r="761" spans="1:11" ht="60">
      <c r="A761" s="141">
        <v>41</v>
      </c>
      <c r="B761" s="53" t="s">
        <v>902</v>
      </c>
      <c r="C761" s="13"/>
      <c r="D761" s="14"/>
      <c r="E761" s="14"/>
      <c r="F761" s="14"/>
      <c r="G761" s="17">
        <f>'MAYO-18 '!I761</f>
        <v>0</v>
      </c>
      <c r="H761" s="51"/>
      <c r="I761" s="17"/>
      <c r="J761" s="56"/>
      <c r="K761" s="56"/>
    </row>
    <row r="762" spans="1:11" ht="29.25">
      <c r="A762" s="11">
        <v>51999</v>
      </c>
      <c r="B762" s="53" t="s">
        <v>903</v>
      </c>
      <c r="C762" s="13"/>
      <c r="D762" s="14" t="s">
        <v>18</v>
      </c>
      <c r="E762" s="14" t="s">
        <v>28</v>
      </c>
      <c r="F762" s="14" t="s">
        <v>27</v>
      </c>
      <c r="G762" s="17">
        <f>'MAYO-18 '!I762</f>
        <v>1000</v>
      </c>
      <c r="H762" s="51"/>
      <c r="I762" s="17">
        <f t="shared" si="14"/>
        <v>1000</v>
      </c>
      <c r="J762" s="56"/>
      <c r="K762" s="56"/>
    </row>
    <row r="763" spans="1:11" ht="44.25">
      <c r="A763" s="11">
        <v>54111</v>
      </c>
      <c r="B763" s="53" t="s">
        <v>904</v>
      </c>
      <c r="C763" s="13"/>
      <c r="D763" s="14" t="s">
        <v>18</v>
      </c>
      <c r="E763" s="14" t="s">
        <v>28</v>
      </c>
      <c r="F763" s="14" t="s">
        <v>27</v>
      </c>
      <c r="G763" s="17">
        <f>'MAYO-18 '!I763</f>
        <v>1000</v>
      </c>
      <c r="H763" s="51"/>
      <c r="I763" s="17">
        <f t="shared" si="14"/>
        <v>1000</v>
      </c>
      <c r="J763" s="56"/>
      <c r="K763" s="56"/>
    </row>
    <row r="764" spans="1:11" ht="43.5">
      <c r="A764" s="11">
        <v>54118</v>
      </c>
      <c r="B764" s="53" t="s">
        <v>905</v>
      </c>
      <c r="C764" s="13"/>
      <c r="D764" s="14" t="s">
        <v>18</v>
      </c>
      <c r="E764" s="14" t="s">
        <v>28</v>
      </c>
      <c r="F764" s="14" t="s">
        <v>27</v>
      </c>
      <c r="G764" s="17">
        <f>'MAYO-18 '!I764</f>
        <v>1000</v>
      </c>
      <c r="H764" s="51"/>
      <c r="I764" s="17">
        <f t="shared" si="14"/>
        <v>1000</v>
      </c>
      <c r="J764" s="56"/>
      <c r="K764" s="56"/>
    </row>
    <row r="765" spans="1:11" ht="44.25">
      <c r="A765" s="11">
        <v>54313</v>
      </c>
      <c r="B765" s="53" t="s">
        <v>906</v>
      </c>
      <c r="C765" s="13"/>
      <c r="D765" s="14" t="s">
        <v>18</v>
      </c>
      <c r="E765" s="14" t="s">
        <v>28</v>
      </c>
      <c r="F765" s="14" t="s">
        <v>27</v>
      </c>
      <c r="G765" s="17">
        <f>'MAYO-18 '!I765</f>
        <v>100</v>
      </c>
      <c r="H765" s="51"/>
      <c r="I765" s="17">
        <f t="shared" si="14"/>
        <v>100</v>
      </c>
      <c r="J765" s="56"/>
      <c r="K765" s="56"/>
    </row>
    <row r="766" spans="1:11" ht="44.25">
      <c r="A766" s="11">
        <v>54399</v>
      </c>
      <c r="B766" s="53" t="s">
        <v>907</v>
      </c>
      <c r="C766" s="13"/>
      <c r="D766" s="14" t="s">
        <v>18</v>
      </c>
      <c r="E766" s="14" t="s">
        <v>28</v>
      </c>
      <c r="F766" s="14" t="s">
        <v>27</v>
      </c>
      <c r="G766" s="17">
        <f>'MAYO-18 '!I766</f>
        <v>1890</v>
      </c>
      <c r="H766" s="51"/>
      <c r="I766" s="17">
        <f t="shared" si="14"/>
        <v>1890</v>
      </c>
      <c r="J766" s="56"/>
      <c r="K766" s="56"/>
    </row>
    <row r="767" spans="1:11" ht="29.25">
      <c r="A767" s="11">
        <v>55603</v>
      </c>
      <c r="B767" s="53" t="s">
        <v>908</v>
      </c>
      <c r="C767" s="13"/>
      <c r="D767" s="14" t="s">
        <v>18</v>
      </c>
      <c r="E767" s="14" t="s">
        <v>28</v>
      </c>
      <c r="F767" s="14" t="s">
        <v>27</v>
      </c>
      <c r="G767" s="17">
        <f>'MAYO-18 '!I767</f>
        <v>10</v>
      </c>
      <c r="H767" s="51"/>
      <c r="I767" s="17">
        <f t="shared" si="14"/>
        <v>10</v>
      </c>
      <c r="J767" s="56"/>
      <c r="K767" s="56"/>
    </row>
    <row r="768" spans="1:11" ht="45">
      <c r="A768" s="141" t="s">
        <v>909</v>
      </c>
      <c r="B768" s="53" t="s">
        <v>910</v>
      </c>
      <c r="C768" s="13"/>
      <c r="D768" s="14"/>
      <c r="E768" s="14"/>
      <c r="F768" s="14"/>
      <c r="G768" s="17">
        <f>'MAYO-18 '!I768</f>
        <v>0</v>
      </c>
      <c r="H768" s="51"/>
      <c r="I768" s="17"/>
      <c r="J768" s="56"/>
      <c r="K768" s="56"/>
    </row>
    <row r="769" spans="1:11" ht="29.25">
      <c r="A769" s="11">
        <v>51999</v>
      </c>
      <c r="B769" s="54" t="s">
        <v>911</v>
      </c>
      <c r="C769" s="13"/>
      <c r="D769" s="14" t="s">
        <v>18</v>
      </c>
      <c r="E769" s="14" t="s">
        <v>28</v>
      </c>
      <c r="F769" s="14" t="s">
        <v>27</v>
      </c>
      <c r="G769" s="17">
        <f>'MAYO-18 '!I769</f>
        <v>500</v>
      </c>
      <c r="H769" s="51"/>
      <c r="I769" s="17">
        <f t="shared" si="14"/>
        <v>500</v>
      </c>
      <c r="J769" s="56"/>
      <c r="K769" s="56"/>
    </row>
    <row r="770" spans="1:11" ht="29.25">
      <c r="A770" s="11">
        <v>54110</v>
      </c>
      <c r="B770" s="54" t="s">
        <v>912</v>
      </c>
      <c r="C770" s="13"/>
      <c r="D770" s="14" t="s">
        <v>18</v>
      </c>
      <c r="E770" s="14" t="s">
        <v>28</v>
      </c>
      <c r="F770" s="14" t="s">
        <v>27</v>
      </c>
      <c r="G770" s="17">
        <f>'MAYO-18 '!I770</f>
        <v>500</v>
      </c>
      <c r="H770" s="51"/>
      <c r="I770" s="17">
        <f t="shared" si="14"/>
        <v>500</v>
      </c>
      <c r="J770" s="56"/>
      <c r="K770" s="56"/>
    </row>
    <row r="771" spans="1:11" ht="30">
      <c r="A771" s="11">
        <v>54111</v>
      </c>
      <c r="B771" s="53" t="s">
        <v>913</v>
      </c>
      <c r="C771" s="13"/>
      <c r="D771" s="14" t="s">
        <v>18</v>
      </c>
      <c r="E771" s="14" t="s">
        <v>28</v>
      </c>
      <c r="F771" s="14" t="s">
        <v>27</v>
      </c>
      <c r="G771" s="17">
        <f>'MAYO-18 '!I771</f>
        <v>1000</v>
      </c>
      <c r="H771" s="51"/>
      <c r="I771" s="17">
        <f t="shared" si="14"/>
        <v>1000</v>
      </c>
      <c r="J771" s="56"/>
      <c r="K771" s="56"/>
    </row>
    <row r="772" spans="1:11" ht="29.25">
      <c r="A772" s="11">
        <v>54118</v>
      </c>
      <c r="B772" s="53" t="s">
        <v>914</v>
      </c>
      <c r="C772" s="13"/>
      <c r="D772" s="14" t="s">
        <v>18</v>
      </c>
      <c r="E772" s="14" t="s">
        <v>28</v>
      </c>
      <c r="F772" s="14" t="s">
        <v>27</v>
      </c>
      <c r="G772" s="17">
        <f>'MAYO-18 '!I772</f>
        <v>1000</v>
      </c>
      <c r="H772" s="51"/>
      <c r="I772" s="17">
        <f t="shared" si="14"/>
        <v>1000</v>
      </c>
      <c r="J772" s="56"/>
      <c r="K772" s="56"/>
    </row>
    <row r="773" spans="1:11" ht="29.25">
      <c r="A773" s="11">
        <v>54199</v>
      </c>
      <c r="B773" s="53" t="s">
        <v>915</v>
      </c>
      <c r="C773" s="13"/>
      <c r="D773" s="14" t="s">
        <v>18</v>
      </c>
      <c r="E773" s="14" t="s">
        <v>28</v>
      </c>
      <c r="F773" s="14" t="s">
        <v>27</v>
      </c>
      <c r="G773" s="17">
        <f>'MAYO-18 '!I773</f>
        <v>500</v>
      </c>
      <c r="H773" s="51"/>
      <c r="I773" s="17">
        <f t="shared" si="14"/>
        <v>500</v>
      </c>
      <c r="J773" s="56"/>
      <c r="K773" s="56"/>
    </row>
    <row r="774" spans="1:11" ht="44.25">
      <c r="A774" s="11">
        <v>54313</v>
      </c>
      <c r="B774" s="53" t="s">
        <v>916</v>
      </c>
      <c r="C774" s="13"/>
      <c r="D774" s="14" t="s">
        <v>18</v>
      </c>
      <c r="E774" s="14" t="s">
        <v>28</v>
      </c>
      <c r="F774" s="14" t="s">
        <v>27</v>
      </c>
      <c r="G774" s="17">
        <f>'MAYO-18 '!I774</f>
        <v>600</v>
      </c>
      <c r="H774" s="51"/>
      <c r="I774" s="17">
        <f t="shared" si="14"/>
        <v>600</v>
      </c>
      <c r="J774" s="56"/>
      <c r="K774" s="56"/>
    </row>
    <row r="775" spans="1:11" ht="30">
      <c r="A775" s="11">
        <v>54399</v>
      </c>
      <c r="B775" s="53" t="s">
        <v>917</v>
      </c>
      <c r="C775" s="13"/>
      <c r="D775" s="14" t="s">
        <v>18</v>
      </c>
      <c r="E775" s="14" t="s">
        <v>28</v>
      </c>
      <c r="F775" s="14" t="s">
        <v>27</v>
      </c>
      <c r="G775" s="17">
        <f>'MAYO-18 '!I775</f>
        <v>890</v>
      </c>
      <c r="H775" s="51"/>
      <c r="I775" s="17">
        <f t="shared" si="14"/>
        <v>890</v>
      </c>
      <c r="J775" s="56"/>
      <c r="K775" s="56"/>
    </row>
    <row r="776" spans="1:11" ht="29.25">
      <c r="A776" s="11">
        <v>55603</v>
      </c>
      <c r="B776" s="53" t="s">
        <v>918</v>
      </c>
      <c r="C776" s="13"/>
      <c r="D776" s="14" t="s">
        <v>18</v>
      </c>
      <c r="E776" s="14" t="s">
        <v>28</v>
      </c>
      <c r="F776" s="14" t="s">
        <v>27</v>
      </c>
      <c r="G776" s="17">
        <f>'MAYO-18 '!I776</f>
        <v>10</v>
      </c>
      <c r="H776" s="51"/>
      <c r="I776" s="17">
        <f t="shared" si="14"/>
        <v>10</v>
      </c>
      <c r="J776" s="56"/>
      <c r="K776" s="56"/>
    </row>
    <row r="777" spans="1:11" ht="74.25">
      <c r="A777" s="141" t="s">
        <v>1093</v>
      </c>
      <c r="B777" s="53" t="s">
        <v>964</v>
      </c>
      <c r="C777" s="13"/>
      <c r="D777" s="14"/>
      <c r="E777" s="14"/>
      <c r="F777" s="14"/>
      <c r="G777" s="17">
        <f>'MAYO-18 '!I777</f>
        <v>0</v>
      </c>
      <c r="H777" s="51"/>
      <c r="I777" s="17"/>
      <c r="J777" s="56"/>
      <c r="K777" s="56"/>
    </row>
    <row r="778" spans="1:11" s="178" customFormat="1" ht="45">
      <c r="A778" s="1" t="s">
        <v>19</v>
      </c>
      <c r="B778" s="179" t="s">
        <v>965</v>
      </c>
      <c r="C778" s="180"/>
      <c r="D778" s="14" t="s">
        <v>18</v>
      </c>
      <c r="E778" s="14" t="s">
        <v>28</v>
      </c>
      <c r="F778" s="14" t="s">
        <v>27</v>
      </c>
      <c r="G778" s="17">
        <f>'MAYO-18 '!I778</f>
        <v>1.8189894035458565E-12</v>
      </c>
      <c r="H778" s="210"/>
      <c r="I778" s="17">
        <f t="shared" si="14"/>
        <v>1.8189894035458565E-12</v>
      </c>
      <c r="J778" s="143"/>
      <c r="K778" s="209"/>
    </row>
    <row r="779" spans="1:11" s="178" customFormat="1" ht="71.25">
      <c r="A779" s="1">
        <v>51202</v>
      </c>
      <c r="B779" s="53" t="s">
        <v>985</v>
      </c>
      <c r="C779" s="180"/>
      <c r="D779" s="14" t="s">
        <v>18</v>
      </c>
      <c r="E779" s="14" t="s">
        <v>28</v>
      </c>
      <c r="F779" s="14" t="s">
        <v>27</v>
      </c>
      <c r="G779" s="17">
        <f>'MAYO-18 '!I779</f>
        <v>0.15999999999939973</v>
      </c>
      <c r="H779" s="210"/>
      <c r="I779" s="17">
        <f t="shared" si="14"/>
        <v>0.15999999999939973</v>
      </c>
      <c r="J779" s="209"/>
      <c r="K779" s="209"/>
    </row>
    <row r="780" spans="1:11" ht="29.25">
      <c r="A780" s="11">
        <v>54118</v>
      </c>
      <c r="B780" s="53" t="s">
        <v>919</v>
      </c>
      <c r="C780" s="13"/>
      <c r="D780" s="14" t="s">
        <v>18</v>
      </c>
      <c r="E780" s="14" t="s">
        <v>28</v>
      </c>
      <c r="F780" s="14" t="s">
        <v>27</v>
      </c>
      <c r="G780" s="17">
        <f>'MAYO-18 '!I780</f>
        <v>0</v>
      </c>
      <c r="H780" s="51"/>
      <c r="I780" s="17">
        <f t="shared" si="14"/>
        <v>0</v>
      </c>
      <c r="J780" s="56"/>
      <c r="K780" s="137"/>
    </row>
    <row r="781" spans="1:11" ht="44.25">
      <c r="A781" s="11">
        <v>54313</v>
      </c>
      <c r="B781" s="168" t="s">
        <v>920</v>
      </c>
      <c r="C781" s="13"/>
      <c r="D781" s="14" t="s">
        <v>18</v>
      </c>
      <c r="E781" s="14" t="s">
        <v>28</v>
      </c>
      <c r="F781" s="14" t="s">
        <v>27</v>
      </c>
      <c r="G781" s="17">
        <f>'MAYO-18 '!I781</f>
        <v>0</v>
      </c>
      <c r="H781" s="51"/>
      <c r="I781" s="17">
        <f t="shared" si="14"/>
        <v>0</v>
      </c>
      <c r="J781" s="56"/>
      <c r="K781" s="137"/>
    </row>
    <row r="782" spans="1:11" ht="29.25">
      <c r="A782" s="11">
        <v>56303</v>
      </c>
      <c r="B782" s="53" t="s">
        <v>921</v>
      </c>
      <c r="C782" s="13"/>
      <c r="D782" s="14" t="s">
        <v>18</v>
      </c>
      <c r="E782" s="14" t="s">
        <v>28</v>
      </c>
      <c r="F782" s="14" t="s">
        <v>27</v>
      </c>
      <c r="G782" s="17">
        <f>'MAYO-18 '!I782</f>
        <v>0</v>
      </c>
      <c r="H782" s="51"/>
      <c r="I782" s="17">
        <f t="shared" si="14"/>
        <v>0</v>
      </c>
      <c r="J782" s="56"/>
      <c r="K782" s="137"/>
    </row>
    <row r="783" spans="1:11" ht="29.25">
      <c r="A783" s="11">
        <v>55603</v>
      </c>
      <c r="B783" s="53" t="s">
        <v>922</v>
      </c>
      <c r="C783" s="13"/>
      <c r="D783" s="14" t="s">
        <v>18</v>
      </c>
      <c r="E783" s="14" t="s">
        <v>28</v>
      </c>
      <c r="F783" s="14" t="s">
        <v>27</v>
      </c>
      <c r="G783" s="17">
        <f>'MAYO-18 '!I783</f>
        <v>0</v>
      </c>
      <c r="H783" s="51"/>
      <c r="I783" s="17">
        <f t="shared" si="14"/>
        <v>0</v>
      </c>
      <c r="J783" s="56"/>
      <c r="K783" s="137"/>
    </row>
    <row r="784" spans="1:11" ht="103.5">
      <c r="A784" s="11" t="s">
        <v>923</v>
      </c>
      <c r="B784" s="53" t="s">
        <v>924</v>
      </c>
      <c r="C784" s="13"/>
      <c r="D784" s="14" t="s">
        <v>18</v>
      </c>
      <c r="E784" s="14" t="s">
        <v>28</v>
      </c>
      <c r="F784" s="14" t="s">
        <v>27</v>
      </c>
      <c r="G784" s="17">
        <f>'MAYO-18 '!I784</f>
        <v>3.5242919693700969E-12</v>
      </c>
      <c r="H784" s="51"/>
      <c r="I784" s="17">
        <f t="shared" si="14"/>
        <v>3.5242919693700969E-12</v>
      </c>
      <c r="J784" s="56"/>
      <c r="K784" s="266"/>
    </row>
    <row r="785" spans="1:11">
      <c r="A785" s="38"/>
      <c r="B785" s="161" t="s">
        <v>975</v>
      </c>
      <c r="C785" s="39"/>
      <c r="D785" s="39"/>
      <c r="E785" s="39"/>
      <c r="F785" s="39"/>
      <c r="G785" s="17">
        <f>'MAYO-18 '!I785</f>
        <v>482676.17999999993</v>
      </c>
      <c r="H785" s="95">
        <f>SUM(H422:H784)</f>
        <v>14243.45</v>
      </c>
      <c r="I785" s="40">
        <f>SUM(I422:I784)</f>
        <v>468432.72999999986</v>
      </c>
      <c r="J785" s="40">
        <f>SUM(J422:J784)</f>
        <v>2000</v>
      </c>
      <c r="K785" s="40">
        <f>SUM(K422:K784)</f>
        <v>2000</v>
      </c>
    </row>
    <row r="786" spans="1:11" s="198" customFormat="1" ht="54.75" customHeight="1" thickBot="1">
      <c r="A786" s="191" t="s">
        <v>925</v>
      </c>
      <c r="B786" s="192" t="s">
        <v>926</v>
      </c>
      <c r="C786" s="193"/>
      <c r="D786" s="194" t="s">
        <v>20</v>
      </c>
      <c r="E786" s="194" t="s">
        <v>31</v>
      </c>
      <c r="F786" s="194" t="s">
        <v>27</v>
      </c>
      <c r="G786" s="17">
        <f>' MARZO-18-1'!I766</f>
        <v>0</v>
      </c>
      <c r="H786" s="246"/>
      <c r="I786" s="196">
        <f t="shared" si="14"/>
        <v>0</v>
      </c>
      <c r="J786" s="197"/>
      <c r="K786" s="267"/>
    </row>
    <row r="787" spans="1:11" s="199" customFormat="1" ht="23.25" customHeight="1" thickBot="1">
      <c r="A787" s="38"/>
      <c r="B787" s="161" t="s">
        <v>21</v>
      </c>
      <c r="C787" s="39"/>
      <c r="D787" s="39"/>
      <c r="E787" s="39"/>
      <c r="F787" s="39"/>
      <c r="G787" s="17">
        <f>' MARZO-18-1'!I767</f>
        <v>0</v>
      </c>
      <c r="H787" s="95">
        <f>SUM(H786)</f>
        <v>0</v>
      </c>
      <c r="I787" s="196">
        <f t="shared" si="14"/>
        <v>0</v>
      </c>
      <c r="J787" s="40"/>
      <c r="K787" s="40">
        <f>SUM(K786)</f>
        <v>0</v>
      </c>
    </row>
    <row r="788" spans="1:11" s="171" customFormat="1" ht="45">
      <c r="A788" s="184" t="s">
        <v>929</v>
      </c>
      <c r="B788" s="185" t="s">
        <v>928</v>
      </c>
      <c r="C788" s="186"/>
      <c r="D788" s="187" t="s">
        <v>22</v>
      </c>
      <c r="E788" s="187" t="s">
        <v>31</v>
      </c>
      <c r="F788" s="187" t="s">
        <v>27</v>
      </c>
      <c r="G788" s="17">
        <f>'MAYO-18 '!I788</f>
        <v>117.86000000000001</v>
      </c>
      <c r="H788" s="245"/>
      <c r="I788" s="189">
        <f t="shared" si="14"/>
        <v>117.86000000000001</v>
      </c>
      <c r="J788" s="190"/>
      <c r="K788" s="268"/>
    </row>
    <row r="789" spans="1:11" s="171" customFormat="1" ht="63" customHeight="1">
      <c r="A789" s="175" t="s">
        <v>927</v>
      </c>
      <c r="B789" s="174" t="s">
        <v>978</v>
      </c>
      <c r="C789" s="139"/>
      <c r="D789" s="14" t="s">
        <v>22</v>
      </c>
      <c r="E789" s="14" t="s">
        <v>31</v>
      </c>
      <c r="F789" s="14" t="s">
        <v>27</v>
      </c>
      <c r="G789" s="17">
        <f>'MAYO-18 '!I789</f>
        <v>290.39999999999998</v>
      </c>
      <c r="H789" s="244"/>
      <c r="I789" s="17">
        <f t="shared" si="14"/>
        <v>290.39999999999998</v>
      </c>
      <c r="J789" s="140"/>
      <c r="K789" s="140"/>
    </row>
    <row r="790" spans="1:11">
      <c r="A790" s="38"/>
      <c r="B790" s="161" t="s">
        <v>23</v>
      </c>
      <c r="C790" s="39"/>
      <c r="D790" s="39"/>
      <c r="E790" s="39"/>
      <c r="F790" s="39"/>
      <c r="G790" s="17">
        <f>'MAYO-18 '!I790</f>
        <v>408.2600000000001</v>
      </c>
      <c r="H790" s="95">
        <f>SUM(H788:H789)</f>
        <v>0</v>
      </c>
      <c r="I790" s="17">
        <f t="shared" si="14"/>
        <v>408.2600000000001</v>
      </c>
      <c r="J790" s="40"/>
      <c r="K790" s="40">
        <f>SUM(K788:K789)</f>
        <v>0</v>
      </c>
    </row>
    <row r="791" spans="1:11" s="171" customFormat="1" ht="116.25" customHeight="1">
      <c r="A791" s="169" t="s">
        <v>200</v>
      </c>
      <c r="B791" s="174" t="s">
        <v>1081</v>
      </c>
      <c r="C791" s="139"/>
      <c r="D791" s="139"/>
      <c r="E791" s="139"/>
      <c r="F791" s="139"/>
      <c r="G791" s="17"/>
      <c r="H791" s="170"/>
      <c r="I791" s="140"/>
      <c r="J791" s="140"/>
      <c r="K791" s="140"/>
    </row>
    <row r="792" spans="1:11" s="171" customFormat="1" ht="38.25" customHeight="1">
      <c r="A792" s="255">
        <v>51999</v>
      </c>
      <c r="B792" s="173" t="s">
        <v>933</v>
      </c>
      <c r="C792" s="139"/>
      <c r="D792" s="14" t="s">
        <v>11</v>
      </c>
      <c r="E792" s="14" t="s">
        <v>25</v>
      </c>
      <c r="F792" s="257" t="s">
        <v>1025</v>
      </c>
      <c r="G792" s="17">
        <f>'MAYO-18 '!I792</f>
        <v>2100</v>
      </c>
      <c r="H792" s="140"/>
      <c r="I792" s="17">
        <f t="shared" ref="I792:I828" si="15">G792-H792+J792-K792</f>
        <v>2100</v>
      </c>
      <c r="J792" s="135"/>
      <c r="K792" s="135"/>
    </row>
    <row r="793" spans="1:11" s="171" customFormat="1" ht="30" customHeight="1">
      <c r="A793" s="255">
        <v>54199</v>
      </c>
      <c r="B793" s="173" t="s">
        <v>931</v>
      </c>
      <c r="C793" s="139"/>
      <c r="D793" s="14" t="s">
        <v>11</v>
      </c>
      <c r="E793" s="14" t="s">
        <v>25</v>
      </c>
      <c r="F793" s="257" t="s">
        <v>1025</v>
      </c>
      <c r="G793" s="17">
        <f>'MAYO-18 '!I793</f>
        <v>0</v>
      </c>
      <c r="H793" s="170"/>
      <c r="I793" s="17">
        <f t="shared" si="15"/>
        <v>0</v>
      </c>
      <c r="J793" s="135"/>
      <c r="K793" s="135"/>
    </row>
    <row r="794" spans="1:11" s="171" customFormat="1" ht="24.75" customHeight="1">
      <c r="A794" s="255">
        <v>55799</v>
      </c>
      <c r="B794" s="173" t="s">
        <v>932</v>
      </c>
      <c r="C794" s="139"/>
      <c r="D794" s="14" t="s">
        <v>11</v>
      </c>
      <c r="E794" s="14" t="s">
        <v>25</v>
      </c>
      <c r="F794" s="257" t="s">
        <v>1025</v>
      </c>
      <c r="G794" s="17">
        <f>'MAYO-18 '!I794</f>
        <v>1413.6799999999998</v>
      </c>
      <c r="H794" s="170"/>
      <c r="I794" s="17">
        <f t="shared" si="15"/>
        <v>1413.6799999999998</v>
      </c>
      <c r="J794" s="135"/>
      <c r="K794" s="135"/>
    </row>
    <row r="795" spans="1:11" s="171" customFormat="1" ht="68.25" customHeight="1">
      <c r="A795" s="176" t="s">
        <v>201</v>
      </c>
      <c r="B795" s="173" t="s">
        <v>934</v>
      </c>
      <c r="C795" s="139"/>
      <c r="D795" s="139"/>
      <c r="E795" s="139"/>
      <c r="F795" s="257" t="s">
        <v>1024</v>
      </c>
      <c r="G795" s="17">
        <f>'MAYO-18 '!I795</f>
        <v>0</v>
      </c>
      <c r="H795" s="170"/>
      <c r="I795" s="17"/>
      <c r="J795" s="140"/>
      <c r="K795" s="140"/>
    </row>
    <row r="796" spans="1:11" s="171" customFormat="1" ht="37.5" customHeight="1">
      <c r="A796" s="254">
        <v>51202</v>
      </c>
      <c r="B796" s="173" t="s">
        <v>954</v>
      </c>
      <c r="C796" s="139"/>
      <c r="D796" s="14" t="s">
        <v>11</v>
      </c>
      <c r="E796" s="14" t="s">
        <v>25</v>
      </c>
      <c r="F796" s="257" t="s">
        <v>1024</v>
      </c>
      <c r="G796" s="17">
        <f>'MAYO-18 '!I796</f>
        <v>335.67000000000098</v>
      </c>
      <c r="H796" s="140"/>
      <c r="I796" s="17">
        <f t="shared" si="15"/>
        <v>335.67000000000098</v>
      </c>
      <c r="J796" s="140"/>
      <c r="K796" s="140"/>
    </row>
    <row r="797" spans="1:11" s="171" customFormat="1" ht="33" customHeight="1">
      <c r="A797" s="254">
        <v>51999</v>
      </c>
      <c r="B797" s="177" t="s">
        <v>935</v>
      </c>
      <c r="C797" s="139"/>
      <c r="D797" s="14" t="s">
        <v>11</v>
      </c>
      <c r="E797" s="14" t="s">
        <v>25</v>
      </c>
      <c r="F797" s="257" t="s">
        <v>1024</v>
      </c>
      <c r="G797" s="17">
        <f>'MAYO-18 '!I797</f>
        <v>0</v>
      </c>
      <c r="H797" s="140"/>
      <c r="I797" s="17">
        <f t="shared" si="15"/>
        <v>0</v>
      </c>
      <c r="J797" s="140"/>
      <c r="K797" s="135"/>
    </row>
    <row r="798" spans="1:11" s="171" customFormat="1" ht="29.25">
      <c r="A798" s="254">
        <v>54110</v>
      </c>
      <c r="B798" s="177" t="s">
        <v>936</v>
      </c>
      <c r="C798" s="139"/>
      <c r="D798" s="14" t="s">
        <v>11</v>
      </c>
      <c r="E798" s="14" t="s">
        <v>25</v>
      </c>
      <c r="F798" s="257" t="s">
        <v>1024</v>
      </c>
      <c r="G798" s="17">
        <f>'MAYO-18 '!I798</f>
        <v>393.8599999999999</v>
      </c>
      <c r="H798" s="140"/>
      <c r="I798" s="17">
        <f t="shared" si="15"/>
        <v>393.8599999999999</v>
      </c>
      <c r="J798" s="140"/>
      <c r="K798" s="135"/>
    </row>
    <row r="799" spans="1:11" s="171" customFormat="1" ht="44.25">
      <c r="A799" s="254">
        <v>54111</v>
      </c>
      <c r="B799" s="173" t="s">
        <v>937</v>
      </c>
      <c r="C799" s="139"/>
      <c r="D799" s="14" t="s">
        <v>11</v>
      </c>
      <c r="E799" s="14" t="s">
        <v>25</v>
      </c>
      <c r="F799" s="257" t="s">
        <v>1024</v>
      </c>
      <c r="G799" s="17">
        <f>'MAYO-18 '!I799</f>
        <v>176.97000000000116</v>
      </c>
      <c r="H799" s="140"/>
      <c r="I799" s="17">
        <f t="shared" si="15"/>
        <v>176.97000000000116</v>
      </c>
      <c r="J799" s="140"/>
      <c r="K799" s="135"/>
    </row>
    <row r="800" spans="1:11" s="171" customFormat="1" ht="44.25">
      <c r="A800" s="254">
        <v>54112</v>
      </c>
      <c r="B800" s="173" t="s">
        <v>938</v>
      </c>
      <c r="C800" s="139"/>
      <c r="D800" s="14" t="s">
        <v>11</v>
      </c>
      <c r="E800" s="14" t="s">
        <v>25</v>
      </c>
      <c r="F800" s="257" t="s">
        <v>1024</v>
      </c>
      <c r="G800" s="17">
        <f>'MAYO-18 '!I800</f>
        <v>713.29999999999927</v>
      </c>
      <c r="H800" s="140"/>
      <c r="I800" s="17">
        <f t="shared" si="15"/>
        <v>713.29999999999927</v>
      </c>
      <c r="J800" s="135"/>
      <c r="K800" s="135"/>
    </row>
    <row r="801" spans="1:11" s="171" customFormat="1" ht="29.25">
      <c r="A801" s="254">
        <v>54118</v>
      </c>
      <c r="B801" s="173" t="s">
        <v>939</v>
      </c>
      <c r="C801" s="139"/>
      <c r="D801" s="14" t="s">
        <v>11</v>
      </c>
      <c r="E801" s="14" t="s">
        <v>25</v>
      </c>
      <c r="F801" s="257" t="s">
        <v>1024</v>
      </c>
      <c r="G801" s="17">
        <f>'MAYO-18 '!I801</f>
        <v>41.749999999999773</v>
      </c>
      <c r="H801" s="244"/>
      <c r="I801" s="17">
        <f t="shared" si="15"/>
        <v>41.749999999999773</v>
      </c>
      <c r="J801" s="140"/>
      <c r="K801" s="135"/>
    </row>
    <row r="802" spans="1:11" s="171" customFormat="1" ht="29.25">
      <c r="A802" s="254">
        <v>54304</v>
      </c>
      <c r="B802" s="173" t="s">
        <v>940</v>
      </c>
      <c r="C802" s="139"/>
      <c r="D802" s="14" t="s">
        <v>11</v>
      </c>
      <c r="E802" s="14" t="s">
        <v>25</v>
      </c>
      <c r="F802" s="257" t="s">
        <v>1024</v>
      </c>
      <c r="G802" s="17">
        <f>'MAYO-18 '!I802</f>
        <v>0</v>
      </c>
      <c r="H802" s="170"/>
      <c r="I802" s="17">
        <f t="shared" si="15"/>
        <v>0</v>
      </c>
      <c r="J802" s="140"/>
      <c r="K802" s="135"/>
    </row>
    <row r="803" spans="1:11" s="171" customFormat="1" ht="39" customHeight="1">
      <c r="A803" s="254">
        <v>54313</v>
      </c>
      <c r="B803" s="173" t="s">
        <v>941</v>
      </c>
      <c r="C803" s="139"/>
      <c r="D803" s="14" t="s">
        <v>11</v>
      </c>
      <c r="E803" s="14" t="s">
        <v>25</v>
      </c>
      <c r="F803" s="257" t="s">
        <v>1024</v>
      </c>
      <c r="G803" s="17">
        <f>'MAYO-18 '!I803</f>
        <v>0</v>
      </c>
      <c r="H803" s="170"/>
      <c r="I803" s="17">
        <f t="shared" si="15"/>
        <v>0</v>
      </c>
      <c r="J803" s="140"/>
      <c r="K803" s="140"/>
    </row>
    <row r="804" spans="1:11" s="171" customFormat="1" ht="36" customHeight="1">
      <c r="A804" s="254">
        <v>54399</v>
      </c>
      <c r="B804" s="173" t="s">
        <v>942</v>
      </c>
      <c r="C804" s="139"/>
      <c r="D804" s="14" t="s">
        <v>11</v>
      </c>
      <c r="E804" s="14" t="s">
        <v>25</v>
      </c>
      <c r="F804" s="257" t="s">
        <v>1024</v>
      </c>
      <c r="G804" s="17">
        <f>'MAYO-18 '!I804</f>
        <v>53.789999999999964</v>
      </c>
      <c r="H804" s="170"/>
      <c r="I804" s="17">
        <f t="shared" si="15"/>
        <v>53.789999999999964</v>
      </c>
      <c r="J804" s="140"/>
      <c r="K804" s="135"/>
    </row>
    <row r="805" spans="1:11" s="171" customFormat="1" ht="34.5" customHeight="1">
      <c r="A805" s="254">
        <v>55603</v>
      </c>
      <c r="B805" s="173" t="s">
        <v>943</v>
      </c>
      <c r="C805" s="139"/>
      <c r="D805" s="14" t="s">
        <v>11</v>
      </c>
      <c r="E805" s="14" t="s">
        <v>25</v>
      </c>
      <c r="F805" s="257" t="s">
        <v>1024</v>
      </c>
      <c r="G805" s="17">
        <f>'MAYO-18 '!I805</f>
        <v>6.35</v>
      </c>
      <c r="H805" s="170"/>
      <c r="I805" s="134">
        <f t="shared" si="15"/>
        <v>6.35</v>
      </c>
      <c r="J805" s="135"/>
      <c r="K805" s="140"/>
    </row>
    <row r="806" spans="1:11" s="171" customFormat="1" ht="98.25" customHeight="1">
      <c r="A806" s="169" t="s">
        <v>220</v>
      </c>
      <c r="B806" s="241" t="s">
        <v>973</v>
      </c>
      <c r="C806" s="139"/>
      <c r="D806" s="14"/>
      <c r="E806" s="14"/>
      <c r="F806" s="257" t="s">
        <v>1024</v>
      </c>
      <c r="G806" s="17">
        <f>'MAYO-18 '!I806</f>
        <v>0</v>
      </c>
      <c r="H806" s="170"/>
      <c r="I806" s="17"/>
      <c r="J806" s="140"/>
      <c r="K806" s="140"/>
    </row>
    <row r="807" spans="1:11" s="171" customFormat="1" ht="29.25">
      <c r="A807" s="254">
        <v>51202</v>
      </c>
      <c r="B807" s="173" t="s">
        <v>944</v>
      </c>
      <c r="C807" s="139"/>
      <c r="D807" s="14" t="s">
        <v>11</v>
      </c>
      <c r="E807" s="14" t="s">
        <v>25</v>
      </c>
      <c r="F807" s="257" t="s">
        <v>1024</v>
      </c>
      <c r="G807" s="17">
        <f>'MAYO-18 '!I807</f>
        <v>12091.14</v>
      </c>
      <c r="H807" s="140"/>
      <c r="I807" s="17">
        <f t="shared" si="15"/>
        <v>12091.14</v>
      </c>
      <c r="J807" s="140"/>
      <c r="K807" s="140"/>
    </row>
    <row r="808" spans="1:11" s="171" customFormat="1" ht="29.25">
      <c r="A808" s="254">
        <v>51999</v>
      </c>
      <c r="B808" s="173" t="s">
        <v>946</v>
      </c>
      <c r="C808" s="139"/>
      <c r="D808" s="14" t="s">
        <v>11</v>
      </c>
      <c r="E808" s="14" t="s">
        <v>25</v>
      </c>
      <c r="F808" s="257" t="s">
        <v>1024</v>
      </c>
      <c r="G808" s="17">
        <f>'MAYO-18 '!I808</f>
        <v>1000</v>
      </c>
      <c r="H808" s="140"/>
      <c r="I808" s="17">
        <f t="shared" si="15"/>
        <v>1000</v>
      </c>
      <c r="J808" s="140"/>
      <c r="K808" s="140"/>
    </row>
    <row r="809" spans="1:11" s="171" customFormat="1" ht="36" customHeight="1">
      <c r="A809" s="254">
        <v>54110</v>
      </c>
      <c r="B809" s="173" t="s">
        <v>945</v>
      </c>
      <c r="C809" s="139"/>
      <c r="D809" s="14" t="s">
        <v>11</v>
      </c>
      <c r="E809" s="14" t="s">
        <v>25</v>
      </c>
      <c r="F809" s="257" t="s">
        <v>1024</v>
      </c>
      <c r="G809" s="17">
        <f>'MAYO-18 '!I809</f>
        <v>2000</v>
      </c>
      <c r="H809" s="140"/>
      <c r="I809" s="17">
        <f t="shared" si="15"/>
        <v>2000</v>
      </c>
      <c r="J809" s="140"/>
      <c r="K809" s="140"/>
    </row>
    <row r="810" spans="1:11" s="171" customFormat="1" ht="41.25" customHeight="1">
      <c r="A810" s="254">
        <v>54111</v>
      </c>
      <c r="B810" s="173" t="s">
        <v>947</v>
      </c>
      <c r="C810" s="139"/>
      <c r="D810" s="14" t="s">
        <v>11</v>
      </c>
      <c r="E810" s="14" t="s">
        <v>25</v>
      </c>
      <c r="F810" s="257" t="s">
        <v>1024</v>
      </c>
      <c r="G810" s="17">
        <f>'MAYO-18 '!I810</f>
        <v>13877</v>
      </c>
      <c r="H810" s="140"/>
      <c r="I810" s="17">
        <f t="shared" si="15"/>
        <v>13877</v>
      </c>
      <c r="J810" s="140"/>
      <c r="K810" s="140"/>
    </row>
    <row r="811" spans="1:11" s="171" customFormat="1" ht="35.25" customHeight="1">
      <c r="A811" s="254">
        <v>54112</v>
      </c>
      <c r="B811" s="173" t="s">
        <v>948</v>
      </c>
      <c r="C811" s="139"/>
      <c r="D811" s="14" t="s">
        <v>11</v>
      </c>
      <c r="E811" s="14" t="s">
        <v>25</v>
      </c>
      <c r="F811" s="257" t="s">
        <v>1024</v>
      </c>
      <c r="G811" s="17">
        <f>'MAYO-18 '!I811</f>
        <v>5265.95</v>
      </c>
      <c r="H811" s="140"/>
      <c r="I811" s="17">
        <f t="shared" si="15"/>
        <v>5265.95</v>
      </c>
      <c r="J811" s="140"/>
      <c r="K811" s="140"/>
    </row>
    <row r="812" spans="1:11" s="171" customFormat="1" ht="29.25">
      <c r="A812" s="254">
        <v>54118</v>
      </c>
      <c r="B812" s="173" t="s">
        <v>949</v>
      </c>
      <c r="C812" s="139"/>
      <c r="D812" s="14" t="s">
        <v>11</v>
      </c>
      <c r="E812" s="14" t="s">
        <v>25</v>
      </c>
      <c r="F812" s="257" t="s">
        <v>1024</v>
      </c>
      <c r="G812" s="17">
        <f>'MAYO-18 '!I812</f>
        <v>2670</v>
      </c>
      <c r="H812" s="140"/>
      <c r="I812" s="17">
        <f t="shared" si="15"/>
        <v>2670</v>
      </c>
      <c r="J812" s="140"/>
      <c r="K812" s="140"/>
    </row>
    <row r="813" spans="1:11" s="171" customFormat="1" ht="29.25">
      <c r="A813" s="254">
        <v>54304</v>
      </c>
      <c r="B813" s="173" t="s">
        <v>950</v>
      </c>
      <c r="C813" s="139"/>
      <c r="D813" s="14" t="s">
        <v>11</v>
      </c>
      <c r="E813" s="14" t="s">
        <v>25</v>
      </c>
      <c r="F813" s="257" t="s">
        <v>1024</v>
      </c>
      <c r="G813" s="17">
        <f>'MAYO-18 '!I813</f>
        <v>12000</v>
      </c>
      <c r="H813" s="140"/>
      <c r="I813" s="17">
        <f t="shared" si="15"/>
        <v>12000</v>
      </c>
      <c r="J813" s="140"/>
      <c r="K813" s="140"/>
    </row>
    <row r="814" spans="1:11" s="171" customFormat="1" ht="44.25">
      <c r="A814" s="254">
        <v>54313</v>
      </c>
      <c r="B814" s="173" t="s">
        <v>951</v>
      </c>
      <c r="C814" s="139"/>
      <c r="D814" s="14" t="s">
        <v>11</v>
      </c>
      <c r="E814" s="14" t="s">
        <v>25</v>
      </c>
      <c r="F814" s="257" t="s">
        <v>1024</v>
      </c>
      <c r="G814" s="17">
        <f>'MAYO-18 '!I814</f>
        <v>1000</v>
      </c>
      <c r="H814" s="140"/>
      <c r="I814" s="17">
        <f t="shared" si="15"/>
        <v>1000</v>
      </c>
      <c r="J814" s="140"/>
      <c r="K814" s="140"/>
    </row>
    <row r="815" spans="1:11" s="171" customFormat="1" ht="44.25">
      <c r="A815" s="254">
        <v>54399</v>
      </c>
      <c r="B815" s="173" t="s">
        <v>952</v>
      </c>
      <c r="C815" s="139"/>
      <c r="D815" s="14" t="s">
        <v>11</v>
      </c>
      <c r="E815" s="14" t="s">
        <v>25</v>
      </c>
      <c r="F815" s="257" t="s">
        <v>1024</v>
      </c>
      <c r="G815" s="17">
        <f>'MAYO-18 '!I815</f>
        <v>1988</v>
      </c>
      <c r="H815" s="140"/>
      <c r="I815" s="17">
        <f t="shared" si="15"/>
        <v>1988</v>
      </c>
      <c r="J815" s="135"/>
      <c r="K815" s="135"/>
    </row>
    <row r="816" spans="1:11" s="171" customFormat="1" ht="50.25" customHeight="1">
      <c r="A816" s="254">
        <v>55603</v>
      </c>
      <c r="B816" s="173" t="s">
        <v>953</v>
      </c>
      <c r="C816" s="139"/>
      <c r="D816" s="14" t="s">
        <v>11</v>
      </c>
      <c r="E816" s="14" t="s">
        <v>25</v>
      </c>
      <c r="F816" s="257" t="s">
        <v>1024</v>
      </c>
      <c r="G816" s="17">
        <f>'MAYO-18 '!I816</f>
        <v>6.35</v>
      </c>
      <c r="H816" s="140"/>
      <c r="I816" s="134">
        <f t="shared" si="15"/>
        <v>6.35</v>
      </c>
      <c r="J816" s="135"/>
      <c r="K816" s="135"/>
    </row>
    <row r="817" spans="1:11" s="171" customFormat="1" ht="99.75">
      <c r="A817" s="256" t="s">
        <v>238</v>
      </c>
      <c r="B817" s="241" t="s">
        <v>972</v>
      </c>
      <c r="C817" s="139"/>
      <c r="D817" s="14"/>
      <c r="E817" s="14"/>
      <c r="F817" s="257" t="s">
        <v>1024</v>
      </c>
      <c r="G817" s="17">
        <f>'MAYO-18 '!I817</f>
        <v>0</v>
      </c>
      <c r="H817" s="170"/>
      <c r="I817" s="17"/>
      <c r="J817" s="140"/>
      <c r="K817" s="140"/>
    </row>
    <row r="818" spans="1:11" s="171" customFormat="1" ht="29.25">
      <c r="A818" s="254">
        <v>51202</v>
      </c>
      <c r="B818" s="173" t="s">
        <v>955</v>
      </c>
      <c r="C818" s="139"/>
      <c r="D818" s="14" t="s">
        <v>11</v>
      </c>
      <c r="E818" s="14" t="s">
        <v>25</v>
      </c>
      <c r="F818" s="257" t="s">
        <v>1024</v>
      </c>
      <c r="G818" s="17">
        <f>'MAYO-18 '!I818</f>
        <v>5476.74</v>
      </c>
      <c r="H818" s="244"/>
      <c r="I818" s="17">
        <f t="shared" si="15"/>
        <v>5476.74</v>
      </c>
      <c r="J818" s="140"/>
      <c r="K818" s="140"/>
    </row>
    <row r="819" spans="1:11" s="171" customFormat="1" ht="43.5">
      <c r="A819" s="254">
        <v>51999</v>
      </c>
      <c r="B819" s="173" t="s">
        <v>956</v>
      </c>
      <c r="C819" s="139"/>
      <c r="D819" s="14" t="s">
        <v>11</v>
      </c>
      <c r="E819" s="14" t="s">
        <v>25</v>
      </c>
      <c r="F819" s="257" t="s">
        <v>1024</v>
      </c>
      <c r="G819" s="17">
        <f>'MAYO-18 '!I819</f>
        <v>0</v>
      </c>
      <c r="H819" s="244"/>
      <c r="I819" s="17">
        <f t="shared" si="15"/>
        <v>0</v>
      </c>
      <c r="J819" s="140"/>
      <c r="K819" s="135"/>
    </row>
    <row r="820" spans="1:11" s="171" customFormat="1" ht="43.5">
      <c r="A820" s="254">
        <v>54110</v>
      </c>
      <c r="B820" s="173" t="s">
        <v>957</v>
      </c>
      <c r="C820" s="139"/>
      <c r="D820" s="14" t="s">
        <v>11</v>
      </c>
      <c r="E820" s="14" t="s">
        <v>25</v>
      </c>
      <c r="F820" s="257" t="s">
        <v>1024</v>
      </c>
      <c r="G820" s="17">
        <f>'MAYO-18 '!I820</f>
        <v>909.2</v>
      </c>
      <c r="H820" s="244"/>
      <c r="I820" s="17">
        <f t="shared" si="15"/>
        <v>909.2</v>
      </c>
      <c r="J820" s="140"/>
      <c r="K820" s="140"/>
    </row>
    <row r="821" spans="1:11" s="171" customFormat="1" ht="44.25">
      <c r="A821" s="254">
        <v>54111</v>
      </c>
      <c r="B821" s="173" t="s">
        <v>958</v>
      </c>
      <c r="C821" s="139"/>
      <c r="D821" s="14" t="s">
        <v>11</v>
      </c>
      <c r="E821" s="14" t="s">
        <v>25</v>
      </c>
      <c r="F821" s="257" t="s">
        <v>1024</v>
      </c>
      <c r="G821" s="17">
        <f>'MAYO-18 '!I821</f>
        <v>1543.5</v>
      </c>
      <c r="H821" s="244"/>
      <c r="I821" s="17">
        <f t="shared" si="15"/>
        <v>1543.5</v>
      </c>
      <c r="J821" s="140"/>
      <c r="K821" s="135"/>
    </row>
    <row r="822" spans="1:11" s="171" customFormat="1" ht="44.25">
      <c r="A822" s="254">
        <v>54112</v>
      </c>
      <c r="B822" s="173" t="s">
        <v>959</v>
      </c>
      <c r="C822" s="139"/>
      <c r="D822" s="14" t="s">
        <v>11</v>
      </c>
      <c r="E822" s="14" t="s">
        <v>25</v>
      </c>
      <c r="F822" s="257" t="s">
        <v>1024</v>
      </c>
      <c r="G822" s="17">
        <f>'MAYO-18 '!I822</f>
        <v>391.85000000000036</v>
      </c>
      <c r="H822" s="244"/>
      <c r="I822" s="134">
        <f t="shared" si="15"/>
        <v>391.85000000000036</v>
      </c>
      <c r="J822" s="135"/>
      <c r="K822" s="135"/>
    </row>
    <row r="823" spans="1:11" s="171" customFormat="1" ht="38.25" customHeight="1">
      <c r="A823" s="254">
        <v>54118</v>
      </c>
      <c r="B823" s="173" t="s">
        <v>960</v>
      </c>
      <c r="C823" s="139"/>
      <c r="D823" s="14" t="s">
        <v>11</v>
      </c>
      <c r="E823" s="14" t="s">
        <v>25</v>
      </c>
      <c r="F823" s="257" t="s">
        <v>1024</v>
      </c>
      <c r="G823" s="17">
        <f>'MAYO-18 '!I823</f>
        <v>1464.85</v>
      </c>
      <c r="H823" s="244"/>
      <c r="I823" s="17">
        <f t="shared" si="15"/>
        <v>1464.85</v>
      </c>
      <c r="J823" s="135"/>
      <c r="K823" s="135"/>
    </row>
    <row r="824" spans="1:11" s="171" customFormat="1" ht="39" customHeight="1">
      <c r="A824" s="254">
        <v>54304</v>
      </c>
      <c r="B824" s="173" t="s">
        <v>961</v>
      </c>
      <c r="C824" s="139"/>
      <c r="D824" s="14" t="s">
        <v>11</v>
      </c>
      <c r="E824" s="14" t="s">
        <v>25</v>
      </c>
      <c r="F824" s="257" t="s">
        <v>1024</v>
      </c>
      <c r="G824" s="17">
        <f>'MAYO-18 '!I824</f>
        <v>993</v>
      </c>
      <c r="H824" s="170"/>
      <c r="I824" s="17">
        <f t="shared" si="15"/>
        <v>993</v>
      </c>
      <c r="J824" s="135"/>
      <c r="K824" s="135"/>
    </row>
    <row r="825" spans="1:11" s="171" customFormat="1" ht="39" customHeight="1">
      <c r="A825" s="254">
        <v>54313</v>
      </c>
      <c r="B825" s="173" t="s">
        <v>962</v>
      </c>
      <c r="C825" s="139"/>
      <c r="D825" s="14" t="s">
        <v>11</v>
      </c>
      <c r="E825" s="14" t="s">
        <v>25</v>
      </c>
      <c r="F825" s="257" t="s">
        <v>1024</v>
      </c>
      <c r="G825" s="17">
        <f>'MAYO-18 '!I825</f>
        <v>500</v>
      </c>
      <c r="H825" s="170"/>
      <c r="I825" s="17">
        <f t="shared" si="15"/>
        <v>500</v>
      </c>
      <c r="J825" s="135"/>
      <c r="K825" s="135"/>
    </row>
    <row r="826" spans="1:11" s="171" customFormat="1" ht="45" customHeight="1">
      <c r="A826" s="254">
        <v>54316</v>
      </c>
      <c r="B826" s="173" t="s">
        <v>1023</v>
      </c>
      <c r="C826" s="139"/>
      <c r="D826" s="14" t="s">
        <v>11</v>
      </c>
      <c r="E826" s="14" t="s">
        <v>25</v>
      </c>
      <c r="F826" s="257" t="s">
        <v>1024</v>
      </c>
      <c r="G826" s="17">
        <f>'MAYO-18 '!I826</f>
        <v>50</v>
      </c>
      <c r="H826" s="170"/>
      <c r="I826" s="134">
        <f t="shared" si="15"/>
        <v>50</v>
      </c>
      <c r="J826" s="135"/>
      <c r="K826" s="135"/>
    </row>
    <row r="827" spans="1:11" s="171" customFormat="1" ht="40.5" customHeight="1">
      <c r="A827" s="254">
        <v>54399</v>
      </c>
      <c r="B827" s="173" t="s">
        <v>963</v>
      </c>
      <c r="C827" s="139"/>
      <c r="D827" s="14" t="s">
        <v>11</v>
      </c>
      <c r="E827" s="14" t="s">
        <v>25</v>
      </c>
      <c r="F827" s="257" t="s">
        <v>1024</v>
      </c>
      <c r="G827" s="17">
        <f>'MAYO-18 '!I827</f>
        <v>495</v>
      </c>
      <c r="H827" s="170"/>
      <c r="I827" s="17">
        <f t="shared" si="15"/>
        <v>495</v>
      </c>
      <c r="J827" s="135"/>
      <c r="K827" s="135"/>
    </row>
    <row r="828" spans="1:11" s="171" customFormat="1" ht="57.75">
      <c r="A828" s="254">
        <v>55603</v>
      </c>
      <c r="B828" s="173" t="s">
        <v>971</v>
      </c>
      <c r="C828" s="139"/>
      <c r="D828" s="14" t="s">
        <v>11</v>
      </c>
      <c r="E828" s="14" t="s">
        <v>25</v>
      </c>
      <c r="F828" s="257" t="s">
        <v>1024</v>
      </c>
      <c r="G828" s="17">
        <f>'MAYO-18 '!I828</f>
        <v>6.35</v>
      </c>
      <c r="H828" s="170"/>
      <c r="I828" s="134">
        <f t="shared" si="15"/>
        <v>6.35</v>
      </c>
      <c r="J828" s="135"/>
      <c r="K828" s="140"/>
    </row>
    <row r="829" spans="1:11" ht="21">
      <c r="A829" s="38" t="s">
        <v>8</v>
      </c>
      <c r="B829" s="39" t="s">
        <v>24</v>
      </c>
      <c r="C829" s="39"/>
      <c r="D829" s="39" t="s">
        <v>11</v>
      </c>
      <c r="E829" s="39" t="s">
        <v>25</v>
      </c>
      <c r="F829" s="257" t="s">
        <v>1024</v>
      </c>
      <c r="G829" s="17">
        <f>'MAYO-18 '!I829</f>
        <v>68964.299999999988</v>
      </c>
      <c r="H829" s="95">
        <f>SUM(H791:H828)</f>
        <v>0</v>
      </c>
      <c r="I829" s="40">
        <f>G829-H829+J829-K829</f>
        <v>68964.299999999988</v>
      </c>
      <c r="J829" s="40">
        <f>SUM(J791:J828)</f>
        <v>0</v>
      </c>
      <c r="K829" s="40">
        <f>SUM(K791:K828)</f>
        <v>0</v>
      </c>
    </row>
    <row r="830" spans="1:11" ht="28.5">
      <c r="A830" s="169" t="s">
        <v>15</v>
      </c>
      <c r="B830" s="282" t="s">
        <v>990</v>
      </c>
      <c r="C830" s="139" t="s">
        <v>1070</v>
      </c>
      <c r="D830" s="14" t="s">
        <v>18</v>
      </c>
      <c r="E830" s="14" t="s">
        <v>28</v>
      </c>
      <c r="F830" s="287" t="s">
        <v>1073</v>
      </c>
      <c r="G830" s="17">
        <f>'ABRIL-18'!I819</f>
        <v>0</v>
      </c>
      <c r="H830" s="170"/>
      <c r="I830" s="135">
        <f>G830-H830+J830-K830</f>
        <v>0</v>
      </c>
      <c r="J830" s="135"/>
      <c r="K830" s="140"/>
    </row>
    <row r="831" spans="1:11" ht="25.5">
      <c r="A831" s="38"/>
      <c r="B831" s="39" t="s">
        <v>989</v>
      </c>
      <c r="C831" s="39"/>
      <c r="D831" s="99" t="s">
        <v>18</v>
      </c>
      <c r="E831" s="99" t="s">
        <v>28</v>
      </c>
      <c r="F831" s="242" t="s">
        <v>996</v>
      </c>
      <c r="G831" s="17"/>
      <c r="H831" s="95">
        <f>SUM(H830)</f>
        <v>0</v>
      </c>
      <c r="I831" s="40">
        <f>SUM(I830)</f>
        <v>0</v>
      </c>
      <c r="J831" s="40">
        <f>SUM(J828:J830)</f>
        <v>0</v>
      </c>
      <c r="K831" s="40"/>
    </row>
    <row r="832" spans="1:11" ht="28.5">
      <c r="A832" s="169" t="s">
        <v>16</v>
      </c>
      <c r="B832" s="282" t="s">
        <v>1068</v>
      </c>
      <c r="C832" s="139" t="s">
        <v>1070</v>
      </c>
      <c r="D832" s="14" t="s">
        <v>18</v>
      </c>
      <c r="E832" s="14" t="s">
        <v>28</v>
      </c>
      <c r="F832" s="139" t="s">
        <v>1074</v>
      </c>
      <c r="G832" s="17">
        <f>'MAYO-18 '!I832</f>
        <v>10</v>
      </c>
      <c r="H832" s="170"/>
      <c r="I832" s="244">
        <f>G832-H832+J832-K832</f>
        <v>10</v>
      </c>
      <c r="J832" s="140"/>
      <c r="K832" s="140"/>
    </row>
    <row r="833" spans="1:11">
      <c r="A833" s="38"/>
      <c r="B833" s="39" t="s">
        <v>989</v>
      </c>
      <c r="C833" s="39"/>
      <c r="D833" s="99" t="s">
        <v>18</v>
      </c>
      <c r="E833" s="99" t="s">
        <v>28</v>
      </c>
      <c r="F833" s="139" t="s">
        <v>1069</v>
      </c>
      <c r="G833" s="17">
        <f>SUM(G832)</f>
        <v>10</v>
      </c>
      <c r="H833" s="95">
        <f>SUM(H832)</f>
        <v>0</v>
      </c>
      <c r="I833" s="40">
        <f>SUM(I830:I832)</f>
        <v>10</v>
      </c>
      <c r="J833" s="40">
        <f>SUM(J832)</f>
        <v>0</v>
      </c>
      <c r="K833" s="40"/>
    </row>
    <row r="834" spans="1:11" ht="20.25" customHeight="1">
      <c r="A834" s="469" t="s">
        <v>124</v>
      </c>
      <c r="B834" s="469"/>
      <c r="C834" s="469"/>
      <c r="D834" s="48"/>
      <c r="E834" s="48"/>
      <c r="F834" s="48"/>
      <c r="G834" s="17">
        <f>'MAYO-18 '!I834</f>
        <v>2185712.62</v>
      </c>
      <c r="H834" s="51">
        <f>H833+H831+H829+H790+H787+H785+H421+H158+H150+H137+H126+H101+H74+H61</f>
        <v>174390.82</v>
      </c>
      <c r="I834" s="49">
        <f>I833+I831+I829+I790+I787+I785+I421+I158+I150+I137+I126+I101+I74+I61</f>
        <v>2011321.7999999998</v>
      </c>
      <c r="J834" s="231">
        <f>J833+J831+J829+J790+J787+J785+J421+J158+J150+J137+J126+J101+J74+J61</f>
        <v>64927.369999999995</v>
      </c>
      <c r="K834" s="231">
        <f>K829+K790+K785+K421+K158+K150+K137+K126+K101+K74+K61+K787</f>
        <v>64927.369999999995</v>
      </c>
    </row>
    <row r="835" spans="1:11">
      <c r="I835" s="130">
        <f>I833+I829+I790+I787+I785+I421+I158+I150+I137+I126+I101+I74+I61</f>
        <v>2011321.7999999998</v>
      </c>
      <c r="J835" s="130"/>
    </row>
    <row r="836" spans="1:11">
      <c r="I836" s="274"/>
      <c r="J836" s="262">
        <f>J834-K834</f>
        <v>0</v>
      </c>
    </row>
    <row r="837" spans="1:11">
      <c r="A837" s="232" t="s">
        <v>1031</v>
      </c>
    </row>
    <row r="838" spans="1:11">
      <c r="A838" s="273" t="s">
        <v>1050</v>
      </c>
      <c r="B838" s="273"/>
      <c r="C838" s="273"/>
      <c r="D838" s="273"/>
      <c r="E838" s="273"/>
      <c r="F838" s="273"/>
    </row>
  </sheetData>
  <mergeCells count="3">
    <mergeCell ref="B1:K1"/>
    <mergeCell ref="B2:J2"/>
    <mergeCell ref="A834:C834"/>
  </mergeCells>
  <pageMargins left="0.15748031496062992" right="0.11811023622047245" top="0.19685039370078741" bottom="0.62992125984251968" header="0.15748031496062992" footer="0.11811023622047245"/>
  <pageSetup paperSize="5" scale="80" orientation="landscape" horizontalDpi="4294967293" verticalDpi="4294967293" r:id="rId1"/>
  <headerFooter>
    <oddFooter>&amp;L&amp;P
&amp;F
&amp;D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AF67D"/>
  </sheetPr>
  <dimension ref="A1:J27"/>
  <sheetViews>
    <sheetView topLeftCell="C12" zoomScaleNormal="100" workbookViewId="0">
      <selection activeCell="I22" sqref="I22"/>
    </sheetView>
  </sheetViews>
  <sheetFormatPr baseColWidth="10" defaultRowHeight="15"/>
  <cols>
    <col min="1" max="1" width="18" customWidth="1"/>
    <col min="2" max="2" width="28.85546875" customWidth="1"/>
    <col min="3" max="3" width="26.5703125" customWidth="1"/>
    <col min="4" max="4" width="20.28515625" customWidth="1"/>
    <col min="5" max="5" width="16.28515625" customWidth="1"/>
    <col min="6" max="6" width="20.28515625" customWidth="1"/>
    <col min="7" max="7" width="26.7109375" customWidth="1"/>
    <col min="8" max="9" width="25.140625" customWidth="1"/>
  </cols>
  <sheetData>
    <row r="1" spans="1:10" ht="36.75">
      <c r="A1" s="467" t="s">
        <v>155</v>
      </c>
      <c r="B1" s="467"/>
      <c r="C1" s="467"/>
      <c r="D1" s="467"/>
      <c r="E1" s="467"/>
      <c r="F1" s="467"/>
      <c r="G1" s="467"/>
      <c r="H1" s="467"/>
      <c r="I1" s="467"/>
      <c r="J1" s="467"/>
    </row>
    <row r="2" spans="1:10" ht="36.75">
      <c r="A2" s="468" t="s">
        <v>1119</v>
      </c>
      <c r="B2" s="468"/>
      <c r="C2" s="468"/>
      <c r="D2" s="468"/>
      <c r="E2" s="468"/>
      <c r="F2" s="468"/>
      <c r="G2" s="468"/>
      <c r="H2" s="468"/>
      <c r="I2" s="468"/>
      <c r="J2" s="366"/>
    </row>
    <row r="3" spans="1:10" ht="66" customHeight="1">
      <c r="A3" s="100" t="s">
        <v>142</v>
      </c>
      <c r="B3" s="100" t="s">
        <v>38</v>
      </c>
      <c r="C3" s="100" t="s">
        <v>144</v>
      </c>
      <c r="D3" s="100" t="s">
        <v>145</v>
      </c>
      <c r="E3" s="100" t="s">
        <v>146</v>
      </c>
      <c r="F3" s="100" t="s">
        <v>147</v>
      </c>
      <c r="G3" s="100" t="s">
        <v>148</v>
      </c>
      <c r="H3" s="100" t="s">
        <v>1128</v>
      </c>
      <c r="I3" s="100" t="s">
        <v>1129</v>
      </c>
    </row>
    <row r="4" spans="1:10" ht="30" customHeight="1">
      <c r="A4" s="101" t="s">
        <v>42</v>
      </c>
      <c r="B4" s="100" t="s">
        <v>149</v>
      </c>
      <c r="C4" s="85">
        <f>'JUNIO-18 '!G61</f>
        <v>183744.44</v>
      </c>
      <c r="D4" s="353">
        <f>'JUNIO-18 '!J61</f>
        <v>9600</v>
      </c>
      <c r="E4" s="354"/>
      <c r="F4" s="354">
        <f>'JUNIO-18 '!K61</f>
        <v>9600</v>
      </c>
      <c r="G4" s="351">
        <f>C4+D4-F4</f>
        <v>183744.44</v>
      </c>
      <c r="H4" s="351">
        <f>'JUNIO-18 '!H61</f>
        <v>21523.78</v>
      </c>
      <c r="I4" s="355">
        <f>G4-H4</f>
        <v>162220.66</v>
      </c>
      <c r="J4" s="72"/>
    </row>
    <row r="5" spans="1:10" ht="30" customHeight="1">
      <c r="A5" s="101" t="s">
        <v>94</v>
      </c>
      <c r="B5" s="100" t="s">
        <v>149</v>
      </c>
      <c r="C5" s="88">
        <f>'JUNIO-18 '!G74</f>
        <v>20396.310000000005</v>
      </c>
      <c r="D5" s="350">
        <f>'JUNIO-18 '!J74</f>
        <v>0</v>
      </c>
      <c r="E5" s="89"/>
      <c r="F5" s="350">
        <f>'JUNIO-18 '!K74</f>
        <v>0</v>
      </c>
      <c r="G5" s="85">
        <f t="shared" ref="G5:G20" si="0">C5+D5-F5</f>
        <v>20396.310000000005</v>
      </c>
      <c r="H5" s="90">
        <f>'JUNIO-18 '!H74</f>
        <v>1851.25</v>
      </c>
      <c r="I5" s="355">
        <f t="shared" ref="I5:I20" si="1">G5-H5</f>
        <v>18545.060000000005</v>
      </c>
      <c r="J5" s="72"/>
    </row>
    <row r="6" spans="1:10" ht="30" customHeight="1">
      <c r="A6" s="101" t="s">
        <v>97</v>
      </c>
      <c r="B6" s="100" t="s">
        <v>149</v>
      </c>
      <c r="C6" s="90">
        <f>'JUNIO-18 '!G101</f>
        <v>63954.709999999992</v>
      </c>
      <c r="D6" s="350">
        <f>'JUNIO-18 '!J101</f>
        <v>300</v>
      </c>
      <c r="E6" s="89"/>
      <c r="F6" s="350">
        <f>'JUNIO-18 '!K101</f>
        <v>300</v>
      </c>
      <c r="G6" s="85">
        <f t="shared" si="0"/>
        <v>63954.709999999992</v>
      </c>
      <c r="H6" s="90">
        <f>'JUNIO-18 '!H101</f>
        <v>7046.92</v>
      </c>
      <c r="I6" s="355">
        <f t="shared" si="1"/>
        <v>56907.789999999994</v>
      </c>
      <c r="J6" s="72"/>
    </row>
    <row r="7" spans="1:10" ht="30" customHeight="1">
      <c r="A7" s="101"/>
      <c r="B7" s="100"/>
      <c r="C7" s="90"/>
      <c r="D7" s="350"/>
      <c r="E7" s="89"/>
      <c r="F7" s="350"/>
      <c r="G7" s="359">
        <f>SUM(G4:G6)</f>
        <v>268095.45999999996</v>
      </c>
      <c r="H7" s="360">
        <f>SUM(H4:H6)</f>
        <v>30421.949999999997</v>
      </c>
      <c r="I7" s="361">
        <f>SUM(I4:I6)</f>
        <v>237673.51</v>
      </c>
      <c r="J7" s="72"/>
    </row>
    <row r="8" spans="1:10" ht="30" customHeight="1">
      <c r="A8" s="101" t="s">
        <v>42</v>
      </c>
      <c r="B8" s="100" t="s">
        <v>150</v>
      </c>
      <c r="C8" s="90">
        <f>'JUNIO-18 '!G126</f>
        <v>116808.95000000001</v>
      </c>
      <c r="D8" s="350">
        <f>'JUNIO-18 '!J126</f>
        <v>31027.37</v>
      </c>
      <c r="E8" s="89"/>
      <c r="F8" s="350">
        <f>'JUNIO-18 '!K126</f>
        <v>20027.37</v>
      </c>
      <c r="G8" s="351">
        <f t="shared" si="0"/>
        <v>127808.95000000001</v>
      </c>
      <c r="H8" s="352">
        <f>'JUNIO-18 '!H126</f>
        <v>19353.55</v>
      </c>
      <c r="I8" s="355">
        <f t="shared" si="1"/>
        <v>108455.40000000001</v>
      </c>
      <c r="J8" s="72"/>
    </row>
    <row r="9" spans="1:10" ht="30" customHeight="1">
      <c r="A9" s="101" t="s">
        <v>94</v>
      </c>
      <c r="B9" s="100" t="s">
        <v>150</v>
      </c>
      <c r="C9" s="90">
        <f>'JUNIO-18 '!G137</f>
        <v>81177.330000000016</v>
      </c>
      <c r="D9" s="350">
        <f>'JUNIO-18 '!J137</f>
        <v>3000</v>
      </c>
      <c r="E9" s="89"/>
      <c r="F9" s="350">
        <f>'JUNIO-18 '!K137</f>
        <v>11000</v>
      </c>
      <c r="G9" s="85">
        <f t="shared" si="0"/>
        <v>73177.330000000016</v>
      </c>
      <c r="H9" s="90">
        <f>'JUNIO-18 '!H137</f>
        <v>6728.29</v>
      </c>
      <c r="I9" s="355">
        <f t="shared" si="1"/>
        <v>66449.040000000023</v>
      </c>
      <c r="J9" s="72"/>
    </row>
    <row r="10" spans="1:10" ht="30" customHeight="1">
      <c r="A10" s="101" t="s">
        <v>97</v>
      </c>
      <c r="B10" s="100" t="s">
        <v>150</v>
      </c>
      <c r="C10" s="90">
        <f>'JUNIO-18 '!G150</f>
        <v>177443.81000000006</v>
      </c>
      <c r="D10" s="350">
        <f>'JUNIO-18 '!J150</f>
        <v>9000</v>
      </c>
      <c r="E10" s="89"/>
      <c r="F10" s="350">
        <f>'JUNIO-18 '!K150</f>
        <v>12000</v>
      </c>
      <c r="G10" s="351">
        <f t="shared" si="0"/>
        <v>174443.81000000006</v>
      </c>
      <c r="H10" s="352">
        <f>'JUNIO-18 '!H150</f>
        <v>20137.449999999997</v>
      </c>
      <c r="I10" s="355">
        <f t="shared" si="1"/>
        <v>154306.36000000004</v>
      </c>
      <c r="J10" s="72"/>
    </row>
    <row r="11" spans="1:10" ht="30" customHeight="1">
      <c r="A11" s="101"/>
      <c r="B11" s="100"/>
      <c r="C11" s="90"/>
      <c r="D11" s="350"/>
      <c r="E11" s="89"/>
      <c r="F11" s="350"/>
      <c r="G11" s="362">
        <f>SUM(G8:G10)</f>
        <v>375430.09000000008</v>
      </c>
      <c r="H11" s="363">
        <f>SUM(H8:H10)</f>
        <v>46219.289999999994</v>
      </c>
      <c r="I11" s="361">
        <f>SUM(I8:I10)</f>
        <v>329210.80000000005</v>
      </c>
      <c r="J11" s="72"/>
    </row>
    <row r="12" spans="1:10" ht="30" customHeight="1">
      <c r="A12" s="101" t="s">
        <v>1</v>
      </c>
      <c r="B12" s="100" t="s">
        <v>151</v>
      </c>
      <c r="C12" s="90">
        <f>'JUNIO-18 '!G158</f>
        <v>8545.9699999999993</v>
      </c>
      <c r="D12" s="350">
        <v>0</v>
      </c>
      <c r="E12" s="89"/>
      <c r="F12" s="350">
        <v>0</v>
      </c>
      <c r="G12" s="85">
        <f t="shared" si="0"/>
        <v>8545.9699999999993</v>
      </c>
      <c r="H12" s="90">
        <f>'MAYO-18 '!H158</f>
        <v>0</v>
      </c>
      <c r="I12" s="109">
        <f t="shared" si="1"/>
        <v>8545.9699999999993</v>
      </c>
      <c r="J12" s="72"/>
    </row>
    <row r="13" spans="1:10" ht="30" customHeight="1">
      <c r="A13" s="101" t="s">
        <v>11</v>
      </c>
      <c r="B13" s="100" t="s">
        <v>151</v>
      </c>
      <c r="C13" s="90">
        <f>'JUNIO-18 '!G421</f>
        <v>981582.36000000022</v>
      </c>
      <c r="D13" s="350">
        <f>'JUNIO-18 '!J421</f>
        <v>10000</v>
      </c>
      <c r="E13" s="89"/>
      <c r="F13" s="350">
        <f>'JUNIO-18 '!K421</f>
        <v>10000</v>
      </c>
      <c r="G13" s="351">
        <f>C13+D13-F13</f>
        <v>981582.36000000022</v>
      </c>
      <c r="H13" s="352">
        <f>'JUNIO-18 '!H421</f>
        <v>83506.13</v>
      </c>
      <c r="I13" s="355">
        <f>G13-H13</f>
        <v>898076.23000000021</v>
      </c>
      <c r="J13" s="72"/>
    </row>
    <row r="14" spans="1:10" ht="30" customHeight="1">
      <c r="A14" s="101" t="s">
        <v>18</v>
      </c>
      <c r="B14" s="100" t="s">
        <v>151</v>
      </c>
      <c r="C14" s="90">
        <f>'JUNIO-18 '!G785</f>
        <v>482676.17999999993</v>
      </c>
      <c r="D14" s="350">
        <f>'JUNIO-18 '!J785</f>
        <v>2000</v>
      </c>
      <c r="E14" s="89"/>
      <c r="F14" s="350">
        <f>'JUNIO-18 '!K785</f>
        <v>2000</v>
      </c>
      <c r="G14" s="351">
        <f t="shared" si="0"/>
        <v>482676.17999999993</v>
      </c>
      <c r="H14" s="90">
        <f>'JUNIO-18 '!H785</f>
        <v>14243.45</v>
      </c>
      <c r="I14" s="355">
        <f t="shared" si="1"/>
        <v>468432.72999999992</v>
      </c>
      <c r="J14" s="72"/>
    </row>
    <row r="15" spans="1:10" ht="30" customHeight="1">
      <c r="A15" s="101"/>
      <c r="B15" s="100"/>
      <c r="C15" s="90"/>
      <c r="D15" s="350"/>
      <c r="E15" s="89"/>
      <c r="F15" s="350"/>
      <c r="G15" s="362">
        <f>SUM(G12:G14)</f>
        <v>1472804.5100000002</v>
      </c>
      <c r="H15" s="364">
        <f>SUM(H12:H14)</f>
        <v>97749.58</v>
      </c>
      <c r="I15" s="361">
        <f>SUM(I12:I14)</f>
        <v>1375054.9300000002</v>
      </c>
      <c r="J15" s="72"/>
    </row>
    <row r="16" spans="1:10" ht="30" customHeight="1">
      <c r="A16" s="101" t="s">
        <v>20</v>
      </c>
      <c r="B16" s="100" t="s">
        <v>156</v>
      </c>
      <c r="C16" s="90">
        <f>'ABRIL-18'!G776</f>
        <v>0</v>
      </c>
      <c r="D16" s="89">
        <v>0</v>
      </c>
      <c r="E16" s="89"/>
      <c r="F16" s="89"/>
      <c r="G16" s="85">
        <f t="shared" si="0"/>
        <v>0</v>
      </c>
      <c r="H16" s="91">
        <f>' MARZO-18-1'!H767</f>
        <v>0</v>
      </c>
      <c r="I16" s="109">
        <f t="shared" si="1"/>
        <v>0</v>
      </c>
      <c r="J16" s="72"/>
    </row>
    <row r="17" spans="1:10" ht="35.25" customHeight="1">
      <c r="A17" s="101" t="s">
        <v>22</v>
      </c>
      <c r="B17" s="100" t="s">
        <v>157</v>
      </c>
      <c r="C17" s="91">
        <f>'JUNIO-18 '!G790</f>
        <v>408.2600000000001</v>
      </c>
      <c r="D17" s="92">
        <v>0</v>
      </c>
      <c r="E17" s="92"/>
      <c r="F17" s="92"/>
      <c r="G17" s="93">
        <f t="shared" si="0"/>
        <v>408.2600000000001</v>
      </c>
      <c r="H17" s="91"/>
      <c r="I17" s="109">
        <f t="shared" si="1"/>
        <v>408.2600000000001</v>
      </c>
      <c r="J17" s="72"/>
    </row>
    <row r="18" spans="1:10" ht="30.75" customHeight="1">
      <c r="A18" s="102" t="s">
        <v>11</v>
      </c>
      <c r="B18" s="103" t="s">
        <v>997</v>
      </c>
      <c r="C18" s="96">
        <f>'JUNIO-18 '!G829</f>
        <v>68964.299999999988</v>
      </c>
      <c r="D18" s="97"/>
      <c r="E18" s="97"/>
      <c r="F18" s="97"/>
      <c r="G18" s="356">
        <f t="shared" si="0"/>
        <v>68964.299999999988</v>
      </c>
      <c r="H18" s="357"/>
      <c r="I18" s="356">
        <f t="shared" si="1"/>
        <v>68964.299999999988</v>
      </c>
      <c r="J18" s="72"/>
    </row>
    <row r="19" spans="1:10" ht="16.5" customHeight="1">
      <c r="A19" s="236" t="s">
        <v>18</v>
      </c>
      <c r="B19" s="100" t="s">
        <v>994</v>
      </c>
      <c r="C19" s="96">
        <f>'MAYO-18 '!G831</f>
        <v>0</v>
      </c>
      <c r="D19" s="97"/>
      <c r="E19" s="97"/>
      <c r="F19" s="97">
        <v>0</v>
      </c>
      <c r="G19" s="98">
        <f t="shared" si="0"/>
        <v>0</v>
      </c>
      <c r="H19" s="96"/>
      <c r="I19" s="98">
        <f t="shared" si="1"/>
        <v>0</v>
      </c>
      <c r="J19" s="72"/>
    </row>
    <row r="20" spans="1:10" ht="43.5" customHeight="1" thickBot="1">
      <c r="A20" s="236" t="s">
        <v>18</v>
      </c>
      <c r="B20" s="100" t="s">
        <v>1076</v>
      </c>
      <c r="C20" s="96">
        <f>'JUNIO-18 '!G832</f>
        <v>10</v>
      </c>
      <c r="D20" s="97">
        <v>0</v>
      </c>
      <c r="E20" s="97"/>
      <c r="F20" s="97">
        <v>0</v>
      </c>
      <c r="G20" s="98">
        <f t="shared" si="0"/>
        <v>10</v>
      </c>
      <c r="H20" s="96"/>
      <c r="I20" s="98">
        <f t="shared" si="1"/>
        <v>10</v>
      </c>
      <c r="J20" s="72"/>
    </row>
    <row r="21" spans="1:10" ht="23.25">
      <c r="A21" s="110" t="s">
        <v>153</v>
      </c>
      <c r="B21" s="110"/>
      <c r="C21" s="111">
        <f>SUM(C4:C20)</f>
        <v>2185712.62</v>
      </c>
      <c r="D21" s="111">
        <f>SUM(D4:D20)</f>
        <v>64927.369999999995</v>
      </c>
      <c r="E21" s="111">
        <f>SUM(E4:E20)</f>
        <v>0</v>
      </c>
      <c r="F21" s="111">
        <f>SUM(F4:F20)</f>
        <v>64927.369999999995</v>
      </c>
      <c r="G21" s="111">
        <f>G7+G11+G15+G17+G18+G20</f>
        <v>2185712.62</v>
      </c>
      <c r="H21" s="111">
        <f>H7+H11+H15</f>
        <v>174390.82</v>
      </c>
      <c r="I21" s="111">
        <f>I7+I11+I15+I17+I18+I20</f>
        <v>2011321.8000000003</v>
      </c>
      <c r="J21" s="72"/>
    </row>
    <row r="22" spans="1:10" ht="15.75" thickBot="1">
      <c r="A22" s="73"/>
      <c r="B22" s="74"/>
      <c r="C22" s="75"/>
      <c r="D22" s="76"/>
      <c r="E22" s="77"/>
      <c r="F22" s="77"/>
      <c r="G22" s="77" t="s">
        <v>1130</v>
      </c>
      <c r="H22" s="77"/>
      <c r="I22" s="77"/>
      <c r="J22" s="78"/>
    </row>
    <row r="23" spans="1:10" ht="15.75" thickBot="1">
      <c r="A23" s="73" t="s">
        <v>154</v>
      </c>
      <c r="B23" s="74"/>
      <c r="C23" s="79">
        <f ca="1">TODAY()</f>
        <v>43586</v>
      </c>
      <c r="D23" s="80"/>
      <c r="E23" s="81">
        <f>D21-F21</f>
        <v>0</v>
      </c>
      <c r="F23" s="80"/>
      <c r="G23" s="80"/>
      <c r="H23" s="80"/>
      <c r="I23" s="80"/>
      <c r="J23" s="72"/>
    </row>
    <row r="24" spans="1:10" ht="24.75">
      <c r="A24" s="83"/>
      <c r="B24" s="84"/>
      <c r="C24" s="84"/>
      <c r="D24" s="84"/>
      <c r="E24" s="263">
        <v>9000</v>
      </c>
      <c r="F24" s="80" t="s">
        <v>1033</v>
      </c>
      <c r="G24" s="80">
        <v>0</v>
      </c>
      <c r="H24" s="80"/>
    </row>
    <row r="25" spans="1:10">
      <c r="A25" s="83"/>
      <c r="B25" s="84"/>
      <c r="C25" s="84"/>
      <c r="D25" s="84"/>
      <c r="E25" s="264">
        <v>4500</v>
      </c>
      <c r="F25" s="80" t="s">
        <v>1032</v>
      </c>
      <c r="G25" s="80"/>
      <c r="H25" s="80"/>
    </row>
    <row r="26" spans="1:10">
      <c r="A26" s="83"/>
      <c r="B26" s="84"/>
      <c r="C26" s="84"/>
      <c r="D26" s="84"/>
      <c r="F26" s="80"/>
      <c r="G26" s="80"/>
      <c r="H26" s="80"/>
    </row>
    <row r="27" spans="1:10">
      <c r="A27" s="83"/>
      <c r="B27" s="84"/>
      <c r="C27" s="84"/>
      <c r="D27" s="84"/>
    </row>
  </sheetData>
  <mergeCells count="2">
    <mergeCell ref="A1:J1"/>
    <mergeCell ref="A2:I2"/>
  </mergeCells>
  <pageMargins left="0.19685039370078741" right="0.19685039370078741" top="0.35433070866141736" bottom="0.31496062992125984" header="0.31496062992125984" footer="0.31496062992125984"/>
  <pageSetup paperSize="5" scale="82" orientation="landscape" horizontalDpi="4294967293" vertic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A851"/>
  <sheetViews>
    <sheetView topLeftCell="A823" zoomScale="85" zoomScaleNormal="85" zoomScaleSheetLayoutView="84" workbookViewId="0">
      <selection activeCell="H820" sqref="H820:H829"/>
    </sheetView>
  </sheetViews>
  <sheetFormatPr baseColWidth="10" defaultRowHeight="15"/>
  <cols>
    <col min="1" max="1" width="11.5703125" customWidth="1"/>
    <col min="2" max="2" width="62" customWidth="1"/>
    <col min="3" max="3" width="18.42578125" customWidth="1"/>
    <col min="4" max="4" width="11" customWidth="1"/>
    <col min="5" max="5" width="10.85546875" customWidth="1"/>
    <col min="6" max="6" width="15.42578125" customWidth="1"/>
    <col min="7" max="7" width="14.7109375" customWidth="1"/>
    <col min="8" max="8" width="14.42578125" customWidth="1"/>
    <col min="9" max="9" width="17" customWidth="1"/>
    <col min="10" max="10" width="12.7109375" bestFit="1" customWidth="1"/>
    <col min="11" max="11" width="14.7109375" customWidth="1"/>
  </cols>
  <sheetData>
    <row r="1" spans="1:11" ht="36.75">
      <c r="A1" s="15"/>
      <c r="B1" s="467" t="s">
        <v>33</v>
      </c>
      <c r="C1" s="467"/>
      <c r="D1" s="467"/>
      <c r="E1" s="467"/>
      <c r="F1" s="467"/>
      <c r="G1" s="467"/>
      <c r="H1" s="467"/>
      <c r="I1" s="467"/>
      <c r="J1" s="467"/>
      <c r="K1" s="467"/>
    </row>
    <row r="2" spans="1:11" ht="36.75">
      <c r="A2" s="16"/>
      <c r="B2" s="468" t="s">
        <v>1133</v>
      </c>
      <c r="C2" s="468"/>
      <c r="D2" s="468"/>
      <c r="E2" s="468"/>
      <c r="F2" s="468"/>
      <c r="G2" s="468"/>
      <c r="H2" s="468"/>
      <c r="I2" s="468"/>
      <c r="J2" s="468"/>
      <c r="K2" s="377"/>
    </row>
    <row r="3" spans="1:11" ht="53.25" customHeight="1">
      <c r="A3" s="41" t="s">
        <v>8</v>
      </c>
      <c r="B3" s="41" t="s">
        <v>34</v>
      </c>
      <c r="C3" s="41" t="s">
        <v>35</v>
      </c>
      <c r="D3" s="41" t="s">
        <v>36</v>
      </c>
      <c r="E3" s="41" t="s">
        <v>37</v>
      </c>
      <c r="F3" s="41" t="s">
        <v>38</v>
      </c>
      <c r="G3" s="42" t="s">
        <v>39</v>
      </c>
      <c r="H3" s="42" t="s">
        <v>1135</v>
      </c>
      <c r="I3" s="42" t="s">
        <v>1134</v>
      </c>
      <c r="J3" s="42" t="s">
        <v>40</v>
      </c>
      <c r="K3" s="42" t="s">
        <v>41</v>
      </c>
    </row>
    <row r="4" spans="1:11" ht="41.25" customHeight="1">
      <c r="A4" s="308">
        <v>51101</v>
      </c>
      <c r="B4" s="306" t="s">
        <v>1110</v>
      </c>
      <c r="C4" s="304"/>
      <c r="D4" s="3" t="s">
        <v>42</v>
      </c>
      <c r="E4" s="3" t="s">
        <v>29</v>
      </c>
      <c r="F4" s="3" t="s">
        <v>43</v>
      </c>
      <c r="G4" s="305">
        <f>'JUNIO-18 '!I4</f>
        <v>1551.9899999999998</v>
      </c>
      <c r="H4" s="341"/>
      <c r="I4" s="17">
        <f>G4-H4+J4-K4</f>
        <v>1551.9899999999998</v>
      </c>
      <c r="J4" s="342"/>
      <c r="K4" s="305"/>
    </row>
    <row r="5" spans="1:11">
      <c r="A5" s="4">
        <v>51103</v>
      </c>
      <c r="B5" s="7" t="s">
        <v>164</v>
      </c>
      <c r="C5" s="2"/>
      <c r="D5" s="3" t="s">
        <v>42</v>
      </c>
      <c r="E5" s="3" t="s">
        <v>29</v>
      </c>
      <c r="F5" s="3" t="s">
        <v>43</v>
      </c>
      <c r="G5" s="305">
        <f>'JUNIO-18 '!I5</f>
        <v>570.95000000000005</v>
      </c>
      <c r="H5" s="51"/>
      <c r="I5" s="17">
        <f>G5-H5+J5-K5</f>
        <v>570.95000000000005</v>
      </c>
      <c r="J5" s="18"/>
      <c r="K5" s="18"/>
    </row>
    <row r="6" spans="1:11">
      <c r="A6" s="4">
        <v>51105</v>
      </c>
      <c r="B6" s="7" t="s">
        <v>125</v>
      </c>
      <c r="C6" s="2"/>
      <c r="D6" s="3" t="s">
        <v>42</v>
      </c>
      <c r="E6" s="3" t="s">
        <v>29</v>
      </c>
      <c r="F6" s="3" t="s">
        <v>43</v>
      </c>
      <c r="G6" s="305">
        <f>'JUNIO-18 '!I6</f>
        <v>14254.400000000001</v>
      </c>
      <c r="H6" s="51"/>
      <c r="I6" s="17">
        <f>G6-H6+J6-K6</f>
        <v>14254.400000000001</v>
      </c>
      <c r="J6" s="18"/>
      <c r="K6" s="18"/>
    </row>
    <row r="7" spans="1:11">
      <c r="A7" s="4">
        <v>51107</v>
      </c>
      <c r="B7" s="7" t="s">
        <v>167</v>
      </c>
      <c r="C7" s="2"/>
      <c r="D7" s="3" t="s">
        <v>42</v>
      </c>
      <c r="E7" s="3" t="s">
        <v>29</v>
      </c>
      <c r="F7" s="3" t="s">
        <v>43</v>
      </c>
      <c r="G7" s="305">
        <f>'JUNIO-18 '!I7</f>
        <v>315</v>
      </c>
      <c r="H7" s="51"/>
      <c r="I7" s="17">
        <f t="shared" ref="I7:I71" si="0">G7-H7+J7-K7</f>
        <v>315</v>
      </c>
      <c r="J7" s="18"/>
      <c r="K7" s="18"/>
    </row>
    <row r="8" spans="1:11">
      <c r="A8" s="4">
        <v>51201</v>
      </c>
      <c r="B8" s="7" t="s">
        <v>44</v>
      </c>
      <c r="C8" s="2"/>
      <c r="D8" s="3" t="s">
        <v>42</v>
      </c>
      <c r="E8" s="3" t="s">
        <v>29</v>
      </c>
      <c r="F8" s="3" t="s">
        <v>43</v>
      </c>
      <c r="G8" s="305">
        <f>'JUNIO-18 '!I8</f>
        <v>1666</v>
      </c>
      <c r="H8" s="369"/>
      <c r="I8" s="17">
        <f t="shared" si="0"/>
        <v>2666</v>
      </c>
      <c r="J8" s="23">
        <v>1000</v>
      </c>
      <c r="K8" s="18"/>
    </row>
    <row r="9" spans="1:11" ht="36.75" customHeight="1">
      <c r="A9" s="4">
        <v>51401</v>
      </c>
      <c r="B9" s="5" t="s">
        <v>128</v>
      </c>
      <c r="C9" s="2"/>
      <c r="D9" s="3" t="s">
        <v>42</v>
      </c>
      <c r="E9" s="3" t="s">
        <v>29</v>
      </c>
      <c r="F9" s="3" t="s">
        <v>43</v>
      </c>
      <c r="G9" s="305">
        <f>'JUNIO-18 '!I9</f>
        <v>2244.1799999999998</v>
      </c>
      <c r="H9" s="108"/>
      <c r="I9" s="17">
        <f t="shared" si="0"/>
        <v>2244.1799999999998</v>
      </c>
      <c r="J9" s="20"/>
      <c r="K9" s="18"/>
    </row>
    <row r="10" spans="1:11" ht="42" customHeight="1">
      <c r="A10" s="4">
        <v>51501</v>
      </c>
      <c r="B10" s="5" t="s">
        <v>168</v>
      </c>
      <c r="C10" s="47"/>
      <c r="D10" s="3" t="s">
        <v>42</v>
      </c>
      <c r="E10" s="3" t="s">
        <v>29</v>
      </c>
      <c r="F10" s="3" t="s">
        <v>43</v>
      </c>
      <c r="G10" s="305">
        <f>'JUNIO-18 '!I10</f>
        <v>2829.78</v>
      </c>
      <c r="H10" s="51"/>
      <c r="I10" s="17">
        <f t="shared" si="0"/>
        <v>2829.78</v>
      </c>
      <c r="J10" s="21"/>
      <c r="K10" s="18"/>
    </row>
    <row r="11" spans="1:11" ht="25.5">
      <c r="A11" s="4">
        <v>51701</v>
      </c>
      <c r="B11" s="7" t="s">
        <v>126</v>
      </c>
      <c r="C11" s="2"/>
      <c r="D11" s="3" t="s">
        <v>42</v>
      </c>
      <c r="E11" s="3" t="s">
        <v>29</v>
      </c>
      <c r="F11" s="3" t="s">
        <v>43</v>
      </c>
      <c r="G11" s="305">
        <f>'JUNIO-18 '!I11</f>
        <v>646.81000000000677</v>
      </c>
      <c r="H11" s="51"/>
      <c r="I11" s="17">
        <f t="shared" si="0"/>
        <v>146.81000000000677</v>
      </c>
      <c r="J11" s="22"/>
      <c r="K11" s="18">
        <v>500</v>
      </c>
    </row>
    <row r="12" spans="1:11" ht="25.5">
      <c r="A12" s="4">
        <v>51601</v>
      </c>
      <c r="B12" s="7" t="s">
        <v>129</v>
      </c>
      <c r="C12" s="2"/>
      <c r="D12" s="3" t="s">
        <v>42</v>
      </c>
      <c r="E12" s="3" t="s">
        <v>29</v>
      </c>
      <c r="F12" s="3" t="s">
        <v>43</v>
      </c>
      <c r="G12" s="305">
        <f>'JUNIO-18 '!I12</f>
        <v>6000</v>
      </c>
      <c r="H12" s="51">
        <v>1500</v>
      </c>
      <c r="I12" s="17">
        <f t="shared" si="0"/>
        <v>4500</v>
      </c>
      <c r="J12" s="21"/>
      <c r="K12" s="18"/>
    </row>
    <row r="13" spans="1:11">
      <c r="A13" s="4">
        <v>51602</v>
      </c>
      <c r="B13" s="2" t="s">
        <v>46</v>
      </c>
      <c r="C13" s="2"/>
      <c r="D13" s="3" t="s">
        <v>42</v>
      </c>
      <c r="E13" s="3" t="s">
        <v>29</v>
      </c>
      <c r="F13" s="3" t="s">
        <v>43</v>
      </c>
      <c r="G13" s="305">
        <f>'JUNIO-18 '!I13</f>
        <v>1</v>
      </c>
      <c r="H13" s="51"/>
      <c r="I13" s="17">
        <f t="shared" si="0"/>
        <v>1</v>
      </c>
      <c r="J13" s="20"/>
      <c r="K13" s="18"/>
    </row>
    <row r="14" spans="1:11">
      <c r="A14" s="4">
        <v>51999</v>
      </c>
      <c r="B14" s="2" t="s">
        <v>47</v>
      </c>
      <c r="C14" s="2"/>
      <c r="D14" s="3" t="s">
        <v>42</v>
      </c>
      <c r="E14" s="3" t="s">
        <v>29</v>
      </c>
      <c r="F14" s="3" t="s">
        <v>43</v>
      </c>
      <c r="G14" s="305">
        <f>'JUNIO-18 '!I14</f>
        <v>55</v>
      </c>
      <c r="H14" s="51">
        <v>100</v>
      </c>
      <c r="I14" s="18">
        <f t="shared" si="0"/>
        <v>455</v>
      </c>
      <c r="J14" s="21">
        <v>500</v>
      </c>
      <c r="K14" s="18"/>
    </row>
    <row r="15" spans="1:11" ht="45" customHeight="1">
      <c r="A15" s="4">
        <v>54101</v>
      </c>
      <c r="B15" s="5" t="s">
        <v>48</v>
      </c>
      <c r="C15" s="2"/>
      <c r="D15" s="3" t="s">
        <v>42</v>
      </c>
      <c r="E15" s="3" t="s">
        <v>29</v>
      </c>
      <c r="F15" s="3" t="s">
        <v>43</v>
      </c>
      <c r="G15" s="305">
        <f>'JUNIO-18 '!I15</f>
        <v>25601.599999999999</v>
      </c>
      <c r="H15" s="51">
        <f>3.7+30+10.75+10.5+20+28.8+7.4+30+10+28.8+5.95+15+12+1.5+18+7.9+3.5+20+7.71+30+7.75+30+5.25+29+12+7.5+2.5+230+50+45+16.65+126+90.2+150+140.67+50+30+10.5+30+390.8+50+148+101.25+201.7+65+75+41.2+27.85</f>
        <v>2465.3299999999995</v>
      </c>
      <c r="I15" s="17">
        <f t="shared" si="0"/>
        <v>23136.27</v>
      </c>
      <c r="J15" s="23"/>
      <c r="K15" s="18"/>
    </row>
    <row r="16" spans="1:11" ht="26.25">
      <c r="A16" s="4">
        <v>54104</v>
      </c>
      <c r="B16" s="5" t="s">
        <v>130</v>
      </c>
      <c r="C16" s="2"/>
      <c r="D16" s="3" t="s">
        <v>42</v>
      </c>
      <c r="E16" s="3" t="s">
        <v>29</v>
      </c>
      <c r="F16" s="3" t="s">
        <v>43</v>
      </c>
      <c r="G16" s="305">
        <f>'JUNIO-18 '!I16</f>
        <v>1832.6</v>
      </c>
      <c r="H16" s="51"/>
      <c r="I16" s="17">
        <f t="shared" si="0"/>
        <v>1832.6</v>
      </c>
      <c r="J16" s="21"/>
      <c r="K16" s="18"/>
    </row>
    <row r="17" spans="1:11">
      <c r="A17" s="4">
        <v>54105</v>
      </c>
      <c r="B17" s="2" t="s">
        <v>49</v>
      </c>
      <c r="C17" s="2"/>
      <c r="D17" s="3" t="s">
        <v>42</v>
      </c>
      <c r="E17" s="3" t="s">
        <v>29</v>
      </c>
      <c r="F17" s="3" t="s">
        <v>43</v>
      </c>
      <c r="G17" s="305">
        <f>'JUNIO-18 '!I17</f>
        <v>500</v>
      </c>
      <c r="H17" s="51">
        <v>92.3</v>
      </c>
      <c r="I17" s="17">
        <f t="shared" si="0"/>
        <v>407.7</v>
      </c>
      <c r="J17" s="20"/>
      <c r="K17" s="18"/>
    </row>
    <row r="18" spans="1:11">
      <c r="A18" s="4">
        <v>54107</v>
      </c>
      <c r="B18" s="2" t="s">
        <v>50</v>
      </c>
      <c r="C18" s="2"/>
      <c r="D18" s="3" t="s">
        <v>42</v>
      </c>
      <c r="E18" s="3" t="s">
        <v>29</v>
      </c>
      <c r="F18" s="3" t="s">
        <v>43</v>
      </c>
      <c r="G18" s="305">
        <f>'JUNIO-18 '!I18</f>
        <v>750</v>
      </c>
      <c r="H18" s="51">
        <f>75+155</f>
        <v>230</v>
      </c>
      <c r="I18" s="17">
        <f t="shared" si="0"/>
        <v>520</v>
      </c>
      <c r="J18" s="22"/>
      <c r="K18" s="18"/>
    </row>
    <row r="19" spans="1:11">
      <c r="A19" s="4">
        <v>54108</v>
      </c>
      <c r="B19" s="2" t="s">
        <v>51</v>
      </c>
      <c r="C19" s="2"/>
      <c r="D19" s="3" t="s">
        <v>42</v>
      </c>
      <c r="E19" s="3" t="s">
        <v>29</v>
      </c>
      <c r="F19" s="3" t="s">
        <v>43</v>
      </c>
      <c r="G19" s="305">
        <f>'JUNIO-18 '!I19</f>
        <v>100</v>
      </c>
      <c r="H19" s="51"/>
      <c r="I19" s="17">
        <f t="shared" si="0"/>
        <v>100</v>
      </c>
      <c r="J19" s="20"/>
      <c r="K19" s="18"/>
    </row>
    <row r="20" spans="1:11">
      <c r="A20" s="4">
        <v>54109</v>
      </c>
      <c r="B20" s="2" t="s">
        <v>131</v>
      </c>
      <c r="C20" s="2"/>
      <c r="D20" s="3" t="s">
        <v>42</v>
      </c>
      <c r="E20" s="3" t="s">
        <v>29</v>
      </c>
      <c r="F20" s="3" t="s">
        <v>43</v>
      </c>
      <c r="G20" s="305">
        <f>'JUNIO-18 '!I20</f>
        <v>500</v>
      </c>
      <c r="H20" s="51"/>
      <c r="I20" s="17">
        <f t="shared" si="0"/>
        <v>500</v>
      </c>
      <c r="J20" s="20"/>
      <c r="K20" s="18"/>
    </row>
    <row r="21" spans="1:11">
      <c r="A21" s="4">
        <v>54110</v>
      </c>
      <c r="B21" s="2" t="s">
        <v>132</v>
      </c>
      <c r="C21" s="2"/>
      <c r="D21" s="3" t="s">
        <v>42</v>
      </c>
      <c r="E21" s="3" t="s">
        <v>29</v>
      </c>
      <c r="F21" s="3" t="s">
        <v>43</v>
      </c>
      <c r="G21" s="305">
        <f>'JUNIO-18 '!I21</f>
        <v>9254.6200000000008</v>
      </c>
      <c r="H21" s="51">
        <f>427.21+566.45</f>
        <v>993.66000000000008</v>
      </c>
      <c r="I21" s="17">
        <f t="shared" si="0"/>
        <v>8260.9600000000009</v>
      </c>
      <c r="J21" s="24"/>
      <c r="K21" s="18"/>
    </row>
    <row r="22" spans="1:11" ht="30.75" customHeight="1">
      <c r="A22" s="4">
        <v>54111</v>
      </c>
      <c r="B22" s="5" t="s">
        <v>54</v>
      </c>
      <c r="C22" s="2"/>
      <c r="D22" s="3" t="s">
        <v>42</v>
      </c>
      <c r="E22" s="3" t="s">
        <v>29</v>
      </c>
      <c r="F22" s="3" t="s">
        <v>43</v>
      </c>
      <c r="G22" s="305">
        <f>'JUNIO-18 '!I22</f>
        <v>349.05000000000018</v>
      </c>
      <c r="H22" s="51"/>
      <c r="I22" s="138">
        <f t="shared" si="0"/>
        <v>349.05000000000018</v>
      </c>
      <c r="J22" s="23"/>
      <c r="K22" s="18"/>
    </row>
    <row r="23" spans="1:11" ht="42.75" customHeight="1">
      <c r="A23" s="4">
        <v>54112</v>
      </c>
      <c r="B23" s="5" t="s">
        <v>55</v>
      </c>
      <c r="C23" s="2"/>
      <c r="D23" s="3" t="s">
        <v>42</v>
      </c>
      <c r="E23" s="3" t="s">
        <v>29</v>
      </c>
      <c r="F23" s="3" t="s">
        <v>43</v>
      </c>
      <c r="G23" s="305">
        <f>'JUNIO-18 '!I23</f>
        <v>1000</v>
      </c>
      <c r="H23" s="51"/>
      <c r="I23" s="17">
        <f t="shared" si="0"/>
        <v>1000</v>
      </c>
      <c r="J23" s="21"/>
      <c r="K23" s="18"/>
    </row>
    <row r="24" spans="1:11">
      <c r="A24" s="4">
        <v>54114</v>
      </c>
      <c r="B24" s="2" t="s">
        <v>56</v>
      </c>
      <c r="C24" s="2"/>
      <c r="D24" s="3" t="s">
        <v>42</v>
      </c>
      <c r="E24" s="3" t="s">
        <v>29</v>
      </c>
      <c r="F24" s="3" t="s">
        <v>43</v>
      </c>
      <c r="G24" s="305">
        <f>'JUNIO-18 '!I24</f>
        <v>1000</v>
      </c>
      <c r="H24" s="51">
        <v>147.94</v>
      </c>
      <c r="I24" s="17">
        <f t="shared" si="0"/>
        <v>852.06</v>
      </c>
      <c r="J24" s="20"/>
      <c r="K24" s="18"/>
    </row>
    <row r="25" spans="1:11">
      <c r="A25" s="4">
        <v>54115</v>
      </c>
      <c r="B25" s="2" t="s">
        <v>57</v>
      </c>
      <c r="C25" s="2"/>
      <c r="D25" s="3" t="s">
        <v>42</v>
      </c>
      <c r="E25" s="3" t="s">
        <v>29</v>
      </c>
      <c r="F25" s="3" t="s">
        <v>43</v>
      </c>
      <c r="G25" s="305">
        <f>'JUNIO-18 '!I25</f>
        <v>955</v>
      </c>
      <c r="H25" s="51">
        <f>179.48</f>
        <v>179.48</v>
      </c>
      <c r="I25" s="17">
        <f t="shared" si="0"/>
        <v>775.52</v>
      </c>
      <c r="J25" s="20"/>
      <c r="K25" s="18"/>
    </row>
    <row r="26" spans="1:11" ht="30">
      <c r="A26" s="4">
        <v>54116</v>
      </c>
      <c r="B26" s="5" t="s">
        <v>58</v>
      </c>
      <c r="C26" s="2"/>
      <c r="D26" s="3" t="s">
        <v>42</v>
      </c>
      <c r="E26" s="3" t="s">
        <v>29</v>
      </c>
      <c r="F26" s="3" t="s">
        <v>43</v>
      </c>
      <c r="G26" s="305">
        <f>'JUNIO-18 '!I26</f>
        <v>460</v>
      </c>
      <c r="H26" s="51"/>
      <c r="I26" s="17">
        <f t="shared" si="0"/>
        <v>460</v>
      </c>
      <c r="J26" s="20"/>
      <c r="K26" s="18"/>
    </row>
    <row r="27" spans="1:11">
      <c r="A27" s="4">
        <v>54117</v>
      </c>
      <c r="B27" s="25" t="s">
        <v>12</v>
      </c>
      <c r="C27" s="25"/>
      <c r="D27" s="3" t="s">
        <v>42</v>
      </c>
      <c r="E27" s="3" t="s">
        <v>29</v>
      </c>
      <c r="F27" s="3" t="s">
        <v>43</v>
      </c>
      <c r="G27" s="305">
        <f>'JUNIO-18 '!I27</f>
        <v>1000</v>
      </c>
      <c r="H27" s="51"/>
      <c r="I27" s="17">
        <f t="shared" si="0"/>
        <v>1000</v>
      </c>
      <c r="J27" s="20"/>
      <c r="K27" s="18"/>
    </row>
    <row r="28" spans="1:11">
      <c r="A28" s="4">
        <v>54118</v>
      </c>
      <c r="B28" s="2" t="s">
        <v>59</v>
      </c>
      <c r="C28" s="2"/>
      <c r="D28" s="3" t="s">
        <v>42</v>
      </c>
      <c r="E28" s="3" t="s">
        <v>29</v>
      </c>
      <c r="F28" s="3" t="s">
        <v>43</v>
      </c>
      <c r="G28" s="305">
        <f>'JUNIO-18 '!I28</f>
        <v>500</v>
      </c>
      <c r="H28" s="51"/>
      <c r="I28" s="17">
        <f t="shared" si="0"/>
        <v>500</v>
      </c>
      <c r="J28" s="23"/>
      <c r="K28" s="18"/>
    </row>
    <row r="29" spans="1:11">
      <c r="A29" s="4">
        <v>54119</v>
      </c>
      <c r="B29" s="2" t="s">
        <v>60</v>
      </c>
      <c r="C29" s="2"/>
      <c r="D29" s="3" t="s">
        <v>42</v>
      </c>
      <c r="E29" s="3" t="s">
        <v>29</v>
      </c>
      <c r="F29" s="3" t="s">
        <v>43</v>
      </c>
      <c r="G29" s="305">
        <f>'JUNIO-18 '!I29</f>
        <v>500</v>
      </c>
      <c r="H29" s="51"/>
      <c r="I29" s="17">
        <f t="shared" si="0"/>
        <v>500</v>
      </c>
      <c r="J29" s="21"/>
      <c r="K29" s="18"/>
    </row>
    <row r="30" spans="1:11">
      <c r="A30" s="4">
        <v>54199</v>
      </c>
      <c r="B30" s="2" t="s">
        <v>61</v>
      </c>
      <c r="C30" s="2"/>
      <c r="D30" s="3" t="s">
        <v>42</v>
      </c>
      <c r="E30" s="3" t="s">
        <v>29</v>
      </c>
      <c r="F30" s="3" t="s">
        <v>43</v>
      </c>
      <c r="G30" s="305">
        <f>'JUNIO-18 '!I30</f>
        <v>1431.15</v>
      </c>
      <c r="H30" s="51">
        <f>50</f>
        <v>50</v>
      </c>
      <c r="I30" s="17">
        <f t="shared" si="0"/>
        <v>1381.15</v>
      </c>
      <c r="J30" s="21"/>
      <c r="K30" s="18"/>
    </row>
    <row r="31" spans="1:11">
      <c r="A31" s="4">
        <v>54201</v>
      </c>
      <c r="B31" s="2" t="s">
        <v>62</v>
      </c>
      <c r="C31" s="2"/>
      <c r="D31" s="3" t="s">
        <v>42</v>
      </c>
      <c r="E31" s="3" t="s">
        <v>29</v>
      </c>
      <c r="F31" s="3" t="s">
        <v>43</v>
      </c>
      <c r="G31" s="305">
        <f>'JUNIO-18 '!I31</f>
        <v>15609.820000000002</v>
      </c>
      <c r="H31" s="51">
        <f>2231.05+3370.89</f>
        <v>5601.9400000000005</v>
      </c>
      <c r="I31" s="17">
        <f t="shared" si="0"/>
        <v>10007.880000000001</v>
      </c>
      <c r="J31" s="20"/>
      <c r="K31" s="18"/>
    </row>
    <row r="32" spans="1:11">
      <c r="A32" s="4">
        <v>54202</v>
      </c>
      <c r="B32" s="2" t="s">
        <v>63</v>
      </c>
      <c r="C32" s="2"/>
      <c r="D32" s="3" t="s">
        <v>42</v>
      </c>
      <c r="E32" s="3" t="s">
        <v>29</v>
      </c>
      <c r="F32" s="3" t="s">
        <v>43</v>
      </c>
      <c r="G32" s="305">
        <f>'JUNIO-18 '!I32</f>
        <v>2763.8</v>
      </c>
      <c r="H32" s="51"/>
      <c r="I32" s="17">
        <f t="shared" si="0"/>
        <v>2763.8</v>
      </c>
      <c r="J32" s="20"/>
      <c r="K32" s="18"/>
    </row>
    <row r="33" spans="1:11" ht="26.25">
      <c r="A33" s="4">
        <v>54203</v>
      </c>
      <c r="B33" s="5" t="s">
        <v>133</v>
      </c>
      <c r="C33" s="2"/>
      <c r="D33" s="3" t="s">
        <v>42</v>
      </c>
      <c r="E33" s="3" t="s">
        <v>29</v>
      </c>
      <c r="F33" s="3" t="s">
        <v>43</v>
      </c>
      <c r="G33" s="305">
        <f>'JUNIO-18 '!I33</f>
        <v>12539.810000000001</v>
      </c>
      <c r="H33" s="51">
        <f>291.25+555.5+242.73+886.7</f>
        <v>1976.18</v>
      </c>
      <c r="I33" s="17">
        <f t="shared" si="0"/>
        <v>10563.630000000001</v>
      </c>
      <c r="J33" s="20"/>
      <c r="K33" s="21"/>
    </row>
    <row r="34" spans="1:11">
      <c r="A34" s="4">
        <v>54204</v>
      </c>
      <c r="B34" s="2" t="s">
        <v>65</v>
      </c>
      <c r="C34" s="2"/>
      <c r="D34" s="3" t="s">
        <v>42</v>
      </c>
      <c r="E34" s="3" t="s">
        <v>29</v>
      </c>
      <c r="F34" s="3" t="s">
        <v>43</v>
      </c>
      <c r="G34" s="305">
        <f>'JUNIO-18 '!I34</f>
        <v>100</v>
      </c>
      <c r="H34" s="51"/>
      <c r="I34" s="17">
        <f t="shared" si="0"/>
        <v>100</v>
      </c>
      <c r="J34" s="20"/>
      <c r="K34" s="18"/>
    </row>
    <row r="35" spans="1:11">
      <c r="A35" s="4">
        <v>54301</v>
      </c>
      <c r="B35" s="2" t="s">
        <v>66</v>
      </c>
      <c r="C35" s="2"/>
      <c r="D35" s="3" t="s">
        <v>42</v>
      </c>
      <c r="E35" s="3" t="s">
        <v>29</v>
      </c>
      <c r="F35" s="3" t="s">
        <v>43</v>
      </c>
      <c r="G35" s="305">
        <f>'JUNIO-18 '!I35</f>
        <v>198</v>
      </c>
      <c r="H35" s="51"/>
      <c r="I35" s="17">
        <f t="shared" si="0"/>
        <v>198</v>
      </c>
      <c r="J35" s="21"/>
      <c r="K35" s="18"/>
    </row>
    <row r="36" spans="1:11">
      <c r="A36" s="4">
        <v>54302</v>
      </c>
      <c r="B36" s="2" t="s">
        <v>67</v>
      </c>
      <c r="C36" s="2"/>
      <c r="D36" s="3" t="s">
        <v>42</v>
      </c>
      <c r="E36" s="3" t="s">
        <v>29</v>
      </c>
      <c r="F36" s="3" t="s">
        <v>43</v>
      </c>
      <c r="G36" s="305">
        <f>'JUNIO-18 '!I36</f>
        <v>500</v>
      </c>
      <c r="H36" s="51"/>
      <c r="I36" s="17">
        <f t="shared" si="0"/>
        <v>500</v>
      </c>
      <c r="J36" s="20"/>
      <c r="K36" s="18"/>
    </row>
    <row r="37" spans="1:11">
      <c r="A37" s="4">
        <v>54303</v>
      </c>
      <c r="B37" s="2" t="s">
        <v>68</v>
      </c>
      <c r="C37" s="2"/>
      <c r="D37" s="3" t="s">
        <v>42</v>
      </c>
      <c r="E37" s="3" t="s">
        <v>29</v>
      </c>
      <c r="F37" s="3" t="s">
        <v>43</v>
      </c>
      <c r="G37" s="305">
        <f>'JUNIO-18 '!I37</f>
        <v>1000</v>
      </c>
      <c r="H37" s="51"/>
      <c r="I37" s="17">
        <f t="shared" si="0"/>
        <v>1000</v>
      </c>
      <c r="J37" s="20"/>
      <c r="K37" s="18"/>
    </row>
    <row r="38" spans="1:11">
      <c r="A38" s="4">
        <v>54304</v>
      </c>
      <c r="B38" s="2" t="s">
        <v>69</v>
      </c>
      <c r="C38" s="2"/>
      <c r="D38" s="3" t="s">
        <v>42</v>
      </c>
      <c r="E38" s="3" t="s">
        <v>29</v>
      </c>
      <c r="F38" s="3" t="s">
        <v>43</v>
      </c>
      <c r="G38" s="305">
        <f>'JUNIO-18 '!I38</f>
        <v>917.24</v>
      </c>
      <c r="H38" s="51">
        <f>180+122.22</f>
        <v>302.22000000000003</v>
      </c>
      <c r="I38" s="17">
        <f t="shared" si="0"/>
        <v>615.02</v>
      </c>
      <c r="J38" s="18"/>
      <c r="K38" s="21"/>
    </row>
    <row r="39" spans="1:11">
      <c r="A39" s="4">
        <v>54305</v>
      </c>
      <c r="B39" s="2" t="s">
        <v>70</v>
      </c>
      <c r="C39" s="2"/>
      <c r="D39" s="3" t="s">
        <v>42</v>
      </c>
      <c r="E39" s="3" t="s">
        <v>29</v>
      </c>
      <c r="F39" s="3" t="s">
        <v>43</v>
      </c>
      <c r="G39" s="305">
        <f>'JUNIO-18 '!I39</f>
        <v>1000</v>
      </c>
      <c r="H39" s="51">
        <v>999</v>
      </c>
      <c r="I39" s="17">
        <f t="shared" si="0"/>
        <v>501</v>
      </c>
      <c r="J39" s="21">
        <v>500</v>
      </c>
      <c r="K39" s="18"/>
    </row>
    <row r="40" spans="1:11">
      <c r="A40" s="4">
        <v>54313</v>
      </c>
      <c r="B40" s="2" t="s">
        <v>71</v>
      </c>
      <c r="C40" s="2"/>
      <c r="D40" s="3" t="s">
        <v>42</v>
      </c>
      <c r="E40" s="3" t="s">
        <v>29</v>
      </c>
      <c r="F40" s="3" t="s">
        <v>43</v>
      </c>
      <c r="G40" s="305">
        <f>'JUNIO-18 '!I40</f>
        <v>1611.55</v>
      </c>
      <c r="H40" s="51">
        <f>162.72+13.56+200+50+59.85</f>
        <v>486.13</v>
      </c>
      <c r="I40" s="17">
        <f t="shared" si="0"/>
        <v>1125.42</v>
      </c>
      <c r="J40" s="18"/>
      <c r="K40" s="21"/>
    </row>
    <row r="41" spans="1:11">
      <c r="A41" s="4">
        <v>54316</v>
      </c>
      <c r="B41" s="2" t="s">
        <v>72</v>
      </c>
      <c r="C41" s="2"/>
      <c r="D41" s="3" t="s">
        <v>42</v>
      </c>
      <c r="E41" s="3" t="s">
        <v>29</v>
      </c>
      <c r="F41" s="3" t="s">
        <v>43</v>
      </c>
      <c r="G41" s="305">
        <f>'JUNIO-18 '!I41</f>
        <v>1000</v>
      </c>
      <c r="H41" s="51">
        <v>600</v>
      </c>
      <c r="I41" s="17">
        <f t="shared" si="0"/>
        <v>400</v>
      </c>
      <c r="J41" s="20"/>
      <c r="K41" s="18"/>
    </row>
    <row r="42" spans="1:11">
      <c r="A42" s="4">
        <v>54317</v>
      </c>
      <c r="B42" s="2" t="s">
        <v>73</v>
      </c>
      <c r="C42" s="2"/>
      <c r="D42" s="3" t="s">
        <v>42</v>
      </c>
      <c r="E42" s="3" t="s">
        <v>29</v>
      </c>
      <c r="F42" s="3" t="s">
        <v>43</v>
      </c>
      <c r="G42" s="305">
        <f>'JUNIO-18 '!I42</f>
        <v>3220</v>
      </c>
      <c r="H42" s="51">
        <f>330</f>
        <v>330</v>
      </c>
      <c r="I42" s="17">
        <f t="shared" si="0"/>
        <v>2890</v>
      </c>
      <c r="J42" s="20"/>
      <c r="K42" s="18"/>
    </row>
    <row r="43" spans="1:11">
      <c r="A43" s="4">
        <v>54399</v>
      </c>
      <c r="B43" s="2" t="s">
        <v>74</v>
      </c>
      <c r="C43" s="2"/>
      <c r="D43" s="3" t="s">
        <v>42</v>
      </c>
      <c r="E43" s="3" t="s">
        <v>29</v>
      </c>
      <c r="F43" s="3" t="s">
        <v>43</v>
      </c>
      <c r="G43" s="305">
        <f>'JUNIO-18 '!I43</f>
        <v>163.28</v>
      </c>
      <c r="H43" s="51"/>
      <c r="I43" s="17">
        <f t="shared" si="0"/>
        <v>163.28</v>
      </c>
      <c r="J43" s="18"/>
      <c r="K43" s="21"/>
    </row>
    <row r="44" spans="1:11">
      <c r="A44" s="4">
        <v>54401</v>
      </c>
      <c r="B44" s="2" t="s">
        <v>75</v>
      </c>
      <c r="C44" s="2"/>
      <c r="D44" s="3" t="s">
        <v>42</v>
      </c>
      <c r="E44" s="3" t="s">
        <v>29</v>
      </c>
      <c r="F44" s="3" t="s">
        <v>43</v>
      </c>
      <c r="G44" s="305">
        <f>'JUNIO-18 '!I44</f>
        <v>200</v>
      </c>
      <c r="H44" s="51"/>
      <c r="I44" s="17">
        <f t="shared" si="0"/>
        <v>200</v>
      </c>
      <c r="J44" s="20"/>
      <c r="K44" s="18"/>
    </row>
    <row r="45" spans="1:11">
      <c r="A45" s="4">
        <v>54403</v>
      </c>
      <c r="B45" s="2" t="s">
        <v>76</v>
      </c>
      <c r="C45" s="2"/>
      <c r="D45" s="3" t="s">
        <v>42</v>
      </c>
      <c r="E45" s="3" t="s">
        <v>29</v>
      </c>
      <c r="F45" s="3" t="s">
        <v>43</v>
      </c>
      <c r="G45" s="305">
        <f>'JUNIO-18 '!I45</f>
        <v>300</v>
      </c>
      <c r="H45" s="51"/>
      <c r="I45" s="17">
        <f t="shared" si="0"/>
        <v>300</v>
      </c>
      <c r="J45" s="20"/>
      <c r="K45" s="18"/>
    </row>
    <row r="46" spans="1:11">
      <c r="A46" s="4">
        <v>54501</v>
      </c>
      <c r="B46" s="2" t="s">
        <v>77</v>
      </c>
      <c r="C46" s="2"/>
      <c r="D46" s="3" t="s">
        <v>42</v>
      </c>
      <c r="E46" s="3" t="s">
        <v>29</v>
      </c>
      <c r="F46" s="3" t="s">
        <v>43</v>
      </c>
      <c r="G46" s="305">
        <f>'JUNIO-18 '!I46</f>
        <v>3800</v>
      </c>
      <c r="H46" s="51"/>
      <c r="I46" s="17">
        <f t="shared" si="0"/>
        <v>3800</v>
      </c>
      <c r="J46" s="18"/>
      <c r="K46" s="22"/>
    </row>
    <row r="47" spans="1:11">
      <c r="A47" s="4">
        <v>54503</v>
      </c>
      <c r="B47" s="2" t="s">
        <v>78</v>
      </c>
      <c r="C47" s="2"/>
      <c r="D47" s="3" t="s">
        <v>42</v>
      </c>
      <c r="E47" s="3" t="s">
        <v>29</v>
      </c>
      <c r="F47" s="3" t="s">
        <v>43</v>
      </c>
      <c r="G47" s="305">
        <f>'JUNIO-18 '!I47</f>
        <v>2000</v>
      </c>
      <c r="H47" s="51"/>
      <c r="I47" s="17">
        <f t="shared" si="0"/>
        <v>2000</v>
      </c>
      <c r="J47" s="18"/>
      <c r="K47" s="18"/>
    </row>
    <row r="48" spans="1:11">
      <c r="A48" s="4">
        <v>54504</v>
      </c>
      <c r="B48" s="2" t="s">
        <v>79</v>
      </c>
      <c r="C48" s="2"/>
      <c r="D48" s="3" t="s">
        <v>80</v>
      </c>
      <c r="E48" s="3" t="s">
        <v>29</v>
      </c>
      <c r="F48" s="3" t="s">
        <v>43</v>
      </c>
      <c r="G48" s="305">
        <f>'JUNIO-18 '!I48</f>
        <v>1000</v>
      </c>
      <c r="H48" s="51"/>
      <c r="I48" s="17">
        <f t="shared" si="0"/>
        <v>1000</v>
      </c>
      <c r="J48" s="18"/>
      <c r="K48" s="18"/>
    </row>
    <row r="49" spans="1:11">
      <c r="A49" s="4">
        <v>54505</v>
      </c>
      <c r="B49" s="5" t="s">
        <v>81</v>
      </c>
      <c r="C49" s="2"/>
      <c r="D49" s="3" t="s">
        <v>42</v>
      </c>
      <c r="E49" s="3" t="s">
        <v>29</v>
      </c>
      <c r="F49" s="3" t="s">
        <v>43</v>
      </c>
      <c r="G49" s="305">
        <f>'JUNIO-18 '!I49</f>
        <v>1000</v>
      </c>
      <c r="H49" s="51"/>
      <c r="I49" s="17">
        <f t="shared" si="0"/>
        <v>1000</v>
      </c>
      <c r="J49" s="18"/>
      <c r="K49" s="22"/>
    </row>
    <row r="50" spans="1:11" ht="20.25" customHeight="1">
      <c r="A50" s="4">
        <v>54599</v>
      </c>
      <c r="B50" s="5" t="s">
        <v>82</v>
      </c>
      <c r="C50" s="5"/>
      <c r="D50" s="3" t="s">
        <v>42</v>
      </c>
      <c r="E50" s="3" t="s">
        <v>29</v>
      </c>
      <c r="F50" s="3" t="s">
        <v>43</v>
      </c>
      <c r="G50" s="305">
        <f>'JUNIO-18 '!I50</f>
        <v>700</v>
      </c>
      <c r="H50" s="51"/>
      <c r="I50" s="17">
        <f t="shared" si="0"/>
        <v>700</v>
      </c>
      <c r="J50" s="18"/>
      <c r="K50" s="18"/>
    </row>
    <row r="51" spans="1:11" ht="30" customHeight="1">
      <c r="A51" s="4">
        <v>55302</v>
      </c>
      <c r="B51" s="5" t="s">
        <v>83</v>
      </c>
      <c r="C51" s="2"/>
      <c r="D51" s="3" t="s">
        <v>42</v>
      </c>
      <c r="E51" s="3" t="s">
        <v>29</v>
      </c>
      <c r="F51" s="3" t="s">
        <v>43</v>
      </c>
      <c r="G51" s="305">
        <f>'JUNIO-18 '!I51</f>
        <v>500</v>
      </c>
      <c r="H51" s="51"/>
      <c r="I51" s="17">
        <f t="shared" si="0"/>
        <v>500</v>
      </c>
      <c r="J51" s="18"/>
      <c r="K51" s="21"/>
    </row>
    <row r="52" spans="1:11">
      <c r="A52" s="4">
        <v>55601</v>
      </c>
      <c r="B52" s="2" t="s">
        <v>84</v>
      </c>
      <c r="C52" s="2" t="s">
        <v>85</v>
      </c>
      <c r="D52" s="3" t="s">
        <v>42</v>
      </c>
      <c r="E52" s="3" t="s">
        <v>29</v>
      </c>
      <c r="F52" s="3" t="s">
        <v>43</v>
      </c>
      <c r="G52" s="305">
        <f>'JUNIO-18 '!I52</f>
        <v>5000</v>
      </c>
      <c r="H52" s="51"/>
      <c r="I52" s="17">
        <f t="shared" si="0"/>
        <v>5000</v>
      </c>
      <c r="J52" s="18"/>
      <c r="K52" s="22"/>
    </row>
    <row r="53" spans="1:11">
      <c r="A53" s="4">
        <v>55602</v>
      </c>
      <c r="B53" s="2" t="s">
        <v>86</v>
      </c>
      <c r="C53" s="2" t="s">
        <v>87</v>
      </c>
      <c r="D53" s="3" t="s">
        <v>42</v>
      </c>
      <c r="E53" s="3" t="s">
        <v>29</v>
      </c>
      <c r="F53" s="3" t="s">
        <v>43</v>
      </c>
      <c r="G53" s="305">
        <f>'JUNIO-18 '!I53</f>
        <v>8000</v>
      </c>
      <c r="H53" s="51"/>
      <c r="I53" s="17">
        <f t="shared" si="0"/>
        <v>8000</v>
      </c>
      <c r="J53" s="18"/>
      <c r="K53" s="22"/>
    </row>
    <row r="54" spans="1:11">
      <c r="A54" s="4">
        <v>55603</v>
      </c>
      <c r="B54" s="2" t="s">
        <v>6</v>
      </c>
      <c r="C54" s="2"/>
      <c r="D54" s="3" t="s">
        <v>42</v>
      </c>
      <c r="E54" s="3" t="s">
        <v>29</v>
      </c>
      <c r="F54" s="3" t="s">
        <v>43</v>
      </c>
      <c r="G54" s="305">
        <f>'JUNIO-18 '!I54</f>
        <v>455.98</v>
      </c>
      <c r="H54" s="51"/>
      <c r="I54" s="17">
        <f t="shared" si="0"/>
        <v>455.98</v>
      </c>
      <c r="J54" s="18"/>
      <c r="K54" s="21"/>
    </row>
    <row r="55" spans="1:11" ht="33" customHeight="1">
      <c r="A55" s="4">
        <v>55799</v>
      </c>
      <c r="B55" s="5" t="s">
        <v>169</v>
      </c>
      <c r="C55" s="5"/>
      <c r="D55" s="3" t="s">
        <v>42</v>
      </c>
      <c r="E55" s="3" t="s">
        <v>29</v>
      </c>
      <c r="F55" s="3" t="s">
        <v>43</v>
      </c>
      <c r="G55" s="305">
        <f>'JUNIO-18 '!I55</f>
        <v>394.71000000000004</v>
      </c>
      <c r="H55" s="51"/>
      <c r="I55" s="17">
        <f t="shared" si="0"/>
        <v>394.71000000000004</v>
      </c>
      <c r="J55" s="18"/>
      <c r="K55" s="21"/>
    </row>
    <row r="56" spans="1:11" ht="33" customHeight="1">
      <c r="A56" s="4" t="s">
        <v>170</v>
      </c>
      <c r="B56" s="5" t="s">
        <v>1028</v>
      </c>
      <c r="C56" s="5"/>
      <c r="D56" s="3" t="s">
        <v>42</v>
      </c>
      <c r="E56" s="3" t="s">
        <v>29</v>
      </c>
      <c r="F56" s="3" t="s">
        <v>43</v>
      </c>
      <c r="G56" s="305">
        <f>'JUNIO-18 '!I56</f>
        <v>700</v>
      </c>
      <c r="H56" s="51"/>
      <c r="I56" s="17">
        <f t="shared" si="0"/>
        <v>700</v>
      </c>
      <c r="J56" s="18"/>
      <c r="K56" s="21"/>
    </row>
    <row r="57" spans="1:11" ht="39">
      <c r="A57" s="4" t="s">
        <v>171</v>
      </c>
      <c r="B57" s="5" t="s">
        <v>1137</v>
      </c>
      <c r="C57" s="5"/>
      <c r="D57" s="3" t="s">
        <v>42</v>
      </c>
      <c r="E57" s="3" t="s">
        <v>29</v>
      </c>
      <c r="F57" s="3" t="s">
        <v>43</v>
      </c>
      <c r="G57" s="305">
        <f>'JUNIO-18 '!I57</f>
        <v>1621.7800000000002</v>
      </c>
      <c r="H57" s="51">
        <v>373.75</v>
      </c>
      <c r="I57" s="17">
        <f t="shared" si="0"/>
        <v>1248.0300000000002</v>
      </c>
      <c r="J57" s="18"/>
      <c r="K57" s="18"/>
    </row>
    <row r="58" spans="1:11" ht="27">
      <c r="A58" s="4" t="s">
        <v>161</v>
      </c>
      <c r="B58" s="5" t="s">
        <v>1027</v>
      </c>
      <c r="C58" s="5"/>
      <c r="D58" s="3" t="s">
        <v>42</v>
      </c>
      <c r="E58" s="3" t="s">
        <v>29</v>
      </c>
      <c r="F58" s="3" t="s">
        <v>43</v>
      </c>
      <c r="G58" s="305">
        <f>'JUNIO-18 '!I58</f>
        <v>0</v>
      </c>
      <c r="H58" s="51"/>
      <c r="I58" s="17">
        <f t="shared" si="0"/>
        <v>0</v>
      </c>
      <c r="J58" s="18"/>
      <c r="K58" s="18"/>
    </row>
    <row r="59" spans="1:11" ht="21" customHeight="1">
      <c r="A59" s="4">
        <v>56303</v>
      </c>
      <c r="B59" s="2" t="s">
        <v>90</v>
      </c>
      <c r="C59" s="2"/>
      <c r="D59" s="3" t="s">
        <v>42</v>
      </c>
      <c r="E59" s="3" t="s">
        <v>29</v>
      </c>
      <c r="F59" s="3" t="s">
        <v>43</v>
      </c>
      <c r="G59" s="305">
        <f>'JUNIO-18 '!I59</f>
        <v>10763.789999999999</v>
      </c>
      <c r="H59" s="51">
        <f>150+442+100+50+150+150+166.67+50+80+414+220+380.25</f>
        <v>2352.92</v>
      </c>
      <c r="I59" s="17">
        <f t="shared" si="0"/>
        <v>8410.869999999999</v>
      </c>
      <c r="J59" s="18"/>
      <c r="K59" s="18"/>
    </row>
    <row r="60" spans="1:11" ht="21.75" customHeight="1">
      <c r="A60" s="4">
        <v>56304</v>
      </c>
      <c r="B60" s="2" t="s">
        <v>91</v>
      </c>
      <c r="C60" s="2"/>
      <c r="D60" s="3" t="s">
        <v>42</v>
      </c>
      <c r="E60" s="3" t="s">
        <v>29</v>
      </c>
      <c r="F60" s="3" t="s">
        <v>43</v>
      </c>
      <c r="G60" s="305">
        <f>'JUNIO-18 '!I60</f>
        <v>9291.77</v>
      </c>
      <c r="H60" s="51">
        <f>100+30+25+25+25+25+25+25+25+25+25+25+25+45+480+25+25+25+25+25+25+25+25+25+25+25+100+100+375+100+25+25+25</f>
        <v>1955</v>
      </c>
      <c r="I60" s="17">
        <f t="shared" si="0"/>
        <v>7336.77</v>
      </c>
      <c r="J60" s="18"/>
      <c r="K60" s="18"/>
    </row>
    <row r="61" spans="1:11" ht="45.75" customHeight="1">
      <c r="A61" s="38" t="s">
        <v>8</v>
      </c>
      <c r="B61" s="39" t="s">
        <v>92</v>
      </c>
      <c r="C61" s="39"/>
      <c r="D61" s="39" t="s">
        <v>42</v>
      </c>
      <c r="E61" s="39" t="s">
        <v>29</v>
      </c>
      <c r="F61" s="39" t="s">
        <v>43</v>
      </c>
      <c r="G61" s="305">
        <f>'JUNIO-18 '!I61</f>
        <v>162220.66</v>
      </c>
      <c r="H61" s="95">
        <f>SUM(H4:H60)</f>
        <v>20735.849999999999</v>
      </c>
      <c r="I61" s="40">
        <f>G61-H61+J61-K61</f>
        <v>142984.81</v>
      </c>
      <c r="J61" s="107">
        <f>SUM(J4:J60)</f>
        <v>2000</v>
      </c>
      <c r="K61" s="107">
        <f>SUM(K5:K60)</f>
        <v>500</v>
      </c>
    </row>
    <row r="62" spans="1:11">
      <c r="A62" s="4">
        <v>51103</v>
      </c>
      <c r="B62" s="2" t="s">
        <v>173</v>
      </c>
      <c r="C62" s="2"/>
      <c r="D62" s="3" t="s">
        <v>94</v>
      </c>
      <c r="E62" s="3" t="s">
        <v>29</v>
      </c>
      <c r="F62" s="3" t="s">
        <v>43</v>
      </c>
      <c r="G62" s="17">
        <f>'JUNIO-18 '!I62</f>
        <v>100</v>
      </c>
      <c r="H62" s="51"/>
      <c r="I62" s="17">
        <f t="shared" si="0"/>
        <v>100</v>
      </c>
      <c r="J62" s="27"/>
      <c r="K62" s="28"/>
    </row>
    <row r="63" spans="1:11">
      <c r="A63" s="4">
        <v>51107</v>
      </c>
      <c r="B63" s="2" t="s">
        <v>93</v>
      </c>
      <c r="C63" s="2"/>
      <c r="D63" s="3" t="s">
        <v>94</v>
      </c>
      <c r="E63" s="3" t="s">
        <v>29</v>
      </c>
      <c r="F63" s="3" t="s">
        <v>43</v>
      </c>
      <c r="G63" s="17">
        <f>'JUNIO-18 '!I63</f>
        <v>820</v>
      </c>
      <c r="H63" s="51"/>
      <c r="I63" s="17">
        <f t="shared" si="0"/>
        <v>820</v>
      </c>
      <c r="J63" s="27"/>
      <c r="K63" s="28"/>
    </row>
    <row r="64" spans="1:11">
      <c r="A64" s="4">
        <v>51301</v>
      </c>
      <c r="B64" s="2" t="s">
        <v>45</v>
      </c>
      <c r="C64" s="2"/>
      <c r="D64" s="3" t="s">
        <v>94</v>
      </c>
      <c r="E64" s="3" t="s">
        <v>29</v>
      </c>
      <c r="F64" s="3" t="s">
        <v>43</v>
      </c>
      <c r="G64" s="17">
        <f>'JUNIO-18 '!I64</f>
        <v>5000</v>
      </c>
      <c r="H64" s="51"/>
      <c r="I64" s="17">
        <f t="shared" si="0"/>
        <v>3500</v>
      </c>
      <c r="J64" s="27"/>
      <c r="K64" s="29">
        <v>1500</v>
      </c>
    </row>
    <row r="65" spans="1:11" ht="25.5">
      <c r="A65" s="4">
        <v>51401</v>
      </c>
      <c r="B65" s="7" t="s">
        <v>128</v>
      </c>
      <c r="C65" s="2"/>
      <c r="D65" s="3" t="s">
        <v>94</v>
      </c>
      <c r="E65" s="3" t="s">
        <v>29</v>
      </c>
      <c r="F65" s="3" t="s">
        <v>43</v>
      </c>
      <c r="G65" s="17">
        <f>'JUNIO-18 '!I65</f>
        <v>2099.1</v>
      </c>
      <c r="H65" s="51"/>
      <c r="I65" s="17">
        <f t="shared" si="0"/>
        <v>2099.1</v>
      </c>
      <c r="J65" s="27"/>
      <c r="K65" s="30"/>
    </row>
    <row r="66" spans="1:11" ht="36">
      <c r="A66" s="4">
        <v>51501</v>
      </c>
      <c r="B66" s="5" t="s">
        <v>141</v>
      </c>
      <c r="C66" s="2"/>
      <c r="D66" s="3" t="s">
        <v>94</v>
      </c>
      <c r="E66" s="3" t="s">
        <v>29</v>
      </c>
      <c r="F66" s="3" t="s">
        <v>43</v>
      </c>
      <c r="G66" s="17">
        <f>'JUNIO-18 '!I66</f>
        <v>1889.16</v>
      </c>
      <c r="H66" s="51"/>
      <c r="I66" s="17">
        <f t="shared" si="0"/>
        <v>1889.16</v>
      </c>
      <c r="J66" s="27"/>
      <c r="K66" s="21"/>
    </row>
    <row r="67" spans="1:11">
      <c r="A67" s="4">
        <v>54104</v>
      </c>
      <c r="B67" s="2" t="s">
        <v>10</v>
      </c>
      <c r="C67" s="2"/>
      <c r="D67" s="3" t="s">
        <v>94</v>
      </c>
      <c r="E67" s="3" t="s">
        <v>29</v>
      </c>
      <c r="F67" s="3" t="s">
        <v>43</v>
      </c>
      <c r="G67" s="17">
        <f>'JUNIO-18 '!I67</f>
        <v>2000</v>
      </c>
      <c r="H67" s="51"/>
      <c r="I67" s="17">
        <f t="shared" si="0"/>
        <v>1000</v>
      </c>
      <c r="J67" s="27"/>
      <c r="K67" s="22">
        <v>1000</v>
      </c>
    </row>
    <row r="68" spans="1:11">
      <c r="A68" s="4">
        <v>54105</v>
      </c>
      <c r="B68" s="2" t="s">
        <v>49</v>
      </c>
      <c r="C68" s="2"/>
      <c r="D68" s="3" t="s">
        <v>94</v>
      </c>
      <c r="E68" s="3" t="s">
        <v>29</v>
      </c>
      <c r="F68" s="3" t="s">
        <v>43</v>
      </c>
      <c r="G68" s="17">
        <f>'JUNIO-18 '!I68</f>
        <v>1757.38</v>
      </c>
      <c r="H68" s="51">
        <f>347.16</f>
        <v>347.16</v>
      </c>
      <c r="I68" s="17">
        <f t="shared" si="0"/>
        <v>1410.22</v>
      </c>
      <c r="J68" s="27"/>
      <c r="K68" s="18"/>
    </row>
    <row r="69" spans="1:11">
      <c r="A69" s="4">
        <v>54114</v>
      </c>
      <c r="B69" s="2" t="s">
        <v>56</v>
      </c>
      <c r="C69" s="2"/>
      <c r="D69" s="3" t="s">
        <v>94</v>
      </c>
      <c r="E69" s="3" t="s">
        <v>29</v>
      </c>
      <c r="F69" s="3" t="s">
        <v>43</v>
      </c>
      <c r="G69" s="17">
        <f>'JUNIO-18 '!I69</f>
        <v>2816.42</v>
      </c>
      <c r="H69" s="51">
        <f>21.55</f>
        <v>21.55</v>
      </c>
      <c r="I69" s="17">
        <f t="shared" si="0"/>
        <v>2794.87</v>
      </c>
      <c r="J69" s="27"/>
      <c r="K69" s="21"/>
    </row>
    <row r="70" spans="1:11">
      <c r="A70" s="4">
        <v>54115</v>
      </c>
      <c r="B70" s="2" t="s">
        <v>57</v>
      </c>
      <c r="C70" s="2"/>
      <c r="D70" s="3" t="s">
        <v>94</v>
      </c>
      <c r="E70" s="3" t="s">
        <v>29</v>
      </c>
      <c r="F70" s="3" t="s">
        <v>43</v>
      </c>
      <c r="G70" s="17">
        <f>'JUNIO-18 '!I70</f>
        <v>623</v>
      </c>
      <c r="H70" s="51">
        <v>688.5</v>
      </c>
      <c r="I70" s="18">
        <f t="shared" si="0"/>
        <v>934.5</v>
      </c>
      <c r="J70" s="31">
        <v>1000</v>
      </c>
      <c r="K70" s="21"/>
    </row>
    <row r="71" spans="1:11">
      <c r="A71" s="4">
        <v>54401</v>
      </c>
      <c r="B71" s="2" t="s">
        <v>75</v>
      </c>
      <c r="C71" s="2"/>
      <c r="D71" s="3" t="s">
        <v>94</v>
      </c>
      <c r="E71" s="3" t="s">
        <v>29</v>
      </c>
      <c r="F71" s="3" t="s">
        <v>43</v>
      </c>
      <c r="G71" s="17">
        <f>'JUNIO-18 '!I71</f>
        <v>200</v>
      </c>
      <c r="H71" s="51"/>
      <c r="I71" s="17">
        <f t="shared" si="0"/>
        <v>200</v>
      </c>
      <c r="J71" s="27"/>
      <c r="K71" s="21"/>
    </row>
    <row r="72" spans="1:11">
      <c r="A72" s="4">
        <v>54403</v>
      </c>
      <c r="B72" s="2" t="s">
        <v>76</v>
      </c>
      <c r="C72" s="2"/>
      <c r="D72" s="3" t="s">
        <v>94</v>
      </c>
      <c r="E72" s="3" t="s">
        <v>29</v>
      </c>
      <c r="F72" s="3" t="s">
        <v>43</v>
      </c>
      <c r="G72" s="17">
        <f>'JUNIO-18 '!I72</f>
        <v>300</v>
      </c>
      <c r="H72" s="51"/>
      <c r="I72" s="17">
        <f>G72-H72+J72-K72</f>
        <v>300</v>
      </c>
      <c r="J72" s="27"/>
      <c r="K72" s="28"/>
    </row>
    <row r="73" spans="1:11" ht="21" customHeight="1">
      <c r="A73" s="4">
        <v>54507</v>
      </c>
      <c r="B73" s="5" t="s">
        <v>95</v>
      </c>
      <c r="C73" s="2"/>
      <c r="D73" s="3" t="s">
        <v>94</v>
      </c>
      <c r="E73" s="3" t="s">
        <v>29</v>
      </c>
      <c r="F73" s="3" t="s">
        <v>43</v>
      </c>
      <c r="G73" s="17">
        <f>'JUNIO-18 '!I73</f>
        <v>940</v>
      </c>
      <c r="H73" s="51"/>
      <c r="I73" s="17">
        <f>G73-H73+J73-K73</f>
        <v>940</v>
      </c>
      <c r="J73" s="32"/>
      <c r="K73" s="28"/>
    </row>
    <row r="74" spans="1:11" ht="21">
      <c r="A74" s="38" t="s">
        <v>8</v>
      </c>
      <c r="B74" s="39" t="s">
        <v>96</v>
      </c>
      <c r="C74" s="39"/>
      <c r="D74" s="39" t="s">
        <v>94</v>
      </c>
      <c r="E74" s="39" t="s">
        <v>29</v>
      </c>
      <c r="F74" s="39" t="s">
        <v>43</v>
      </c>
      <c r="G74" s="17">
        <f>'JUNIO-18 '!I74</f>
        <v>18545.060000000005</v>
      </c>
      <c r="H74" s="95">
        <f>SUM(H62:H73)</f>
        <v>1057.21</v>
      </c>
      <c r="I74" s="40">
        <f>G74-H74+J74-K74</f>
        <v>15987.850000000006</v>
      </c>
      <c r="J74" s="107">
        <f>SUM(J62:J73)</f>
        <v>1000</v>
      </c>
      <c r="K74" s="107">
        <f>SUM(K62:K73)</f>
        <v>2500</v>
      </c>
    </row>
    <row r="75" spans="1:11">
      <c r="A75" s="4">
        <v>51103</v>
      </c>
      <c r="B75" s="2" t="s">
        <v>174</v>
      </c>
      <c r="C75" s="2"/>
      <c r="D75" s="3" t="s">
        <v>97</v>
      </c>
      <c r="E75" s="3" t="s">
        <v>29</v>
      </c>
      <c r="F75" s="3" t="s">
        <v>43</v>
      </c>
      <c r="G75" s="17">
        <f>'JUNIO-18 '!I75</f>
        <v>100</v>
      </c>
      <c r="H75" s="51"/>
      <c r="I75" s="170">
        <f t="shared" ref="I75:I100" si="1">G75-H75+J75-K75</f>
        <v>100</v>
      </c>
      <c r="J75" s="28"/>
      <c r="K75" s="28"/>
    </row>
    <row r="76" spans="1:11">
      <c r="A76" s="4">
        <v>51107</v>
      </c>
      <c r="B76" s="2" t="s">
        <v>93</v>
      </c>
      <c r="C76" s="2"/>
      <c r="D76" s="3" t="s">
        <v>97</v>
      </c>
      <c r="E76" s="3" t="s">
        <v>29</v>
      </c>
      <c r="F76" s="3" t="s">
        <v>43</v>
      </c>
      <c r="G76" s="17">
        <f>'JUNIO-18 '!I76</f>
        <v>1256</v>
      </c>
      <c r="H76" s="51"/>
      <c r="I76" s="170">
        <f t="shared" si="1"/>
        <v>1256</v>
      </c>
      <c r="J76" s="28"/>
      <c r="K76" s="28"/>
    </row>
    <row r="77" spans="1:11">
      <c r="A77" s="4">
        <v>51201</v>
      </c>
      <c r="B77" s="2" t="s">
        <v>44</v>
      </c>
      <c r="C77" s="2"/>
      <c r="D77" s="3" t="s">
        <v>97</v>
      </c>
      <c r="E77" s="3" t="s">
        <v>29</v>
      </c>
      <c r="F77" s="3" t="s">
        <v>43</v>
      </c>
      <c r="G77" s="17">
        <f>'JUNIO-18 '!I77</f>
        <v>1670</v>
      </c>
      <c r="H77" s="51">
        <f>330+330</f>
        <v>660</v>
      </c>
      <c r="I77" s="170">
        <f t="shared" si="1"/>
        <v>1010</v>
      </c>
      <c r="J77" s="30"/>
      <c r="K77" s="28"/>
    </row>
    <row r="78" spans="1:11">
      <c r="A78" s="4">
        <v>51301</v>
      </c>
      <c r="B78" s="7" t="s">
        <v>98</v>
      </c>
      <c r="C78" s="2"/>
      <c r="D78" s="3" t="s">
        <v>97</v>
      </c>
      <c r="E78" s="3" t="s">
        <v>29</v>
      </c>
      <c r="F78" s="3" t="s">
        <v>43</v>
      </c>
      <c r="G78" s="17">
        <f>'JUNIO-18 '!I78</f>
        <v>3000</v>
      </c>
      <c r="H78" s="51"/>
      <c r="I78" s="170">
        <f t="shared" si="1"/>
        <v>3000</v>
      </c>
      <c r="J78" s="30"/>
      <c r="K78" s="28"/>
    </row>
    <row r="79" spans="1:11" ht="48.75" customHeight="1">
      <c r="A79" s="4">
        <v>51401</v>
      </c>
      <c r="B79" s="7" t="s">
        <v>134</v>
      </c>
      <c r="C79" s="2"/>
      <c r="D79" s="3" t="s">
        <v>97</v>
      </c>
      <c r="E79" s="3" t="s">
        <v>29</v>
      </c>
      <c r="F79" s="3" t="s">
        <v>43</v>
      </c>
      <c r="G79" s="17">
        <f>'JUNIO-18 '!I79</f>
        <v>9778.74</v>
      </c>
      <c r="H79" s="51"/>
      <c r="I79" s="170">
        <f t="shared" si="1"/>
        <v>9778.74</v>
      </c>
      <c r="J79" s="29"/>
      <c r="K79" s="28"/>
    </row>
    <row r="80" spans="1:11" ht="36">
      <c r="A80" s="4">
        <v>51501</v>
      </c>
      <c r="B80" s="5" t="s">
        <v>127</v>
      </c>
      <c r="C80" s="2"/>
      <c r="D80" s="3" t="s">
        <v>97</v>
      </c>
      <c r="E80" s="3" t="s">
        <v>29</v>
      </c>
      <c r="F80" s="3" t="s">
        <v>43</v>
      </c>
      <c r="G80" s="17">
        <f>'JUNIO-18 '!I80</f>
        <v>7853.28</v>
      </c>
      <c r="H80" s="51"/>
      <c r="I80" s="170">
        <f t="shared" si="1"/>
        <v>7853.28</v>
      </c>
      <c r="J80" s="27"/>
      <c r="K80" s="28"/>
    </row>
    <row r="81" spans="1:11" ht="24" customHeight="1">
      <c r="A81" s="4">
        <v>54104</v>
      </c>
      <c r="B81" s="2" t="s">
        <v>10</v>
      </c>
      <c r="C81" s="2"/>
      <c r="D81" s="3" t="s">
        <v>97</v>
      </c>
      <c r="E81" s="3" t="s">
        <v>29</v>
      </c>
      <c r="F81" s="3" t="s">
        <v>43</v>
      </c>
      <c r="G81" s="17">
        <f>'JUNIO-18 '!I81</f>
        <v>3819</v>
      </c>
      <c r="H81" s="51"/>
      <c r="I81" s="170">
        <f t="shared" si="1"/>
        <v>3819</v>
      </c>
      <c r="J81" s="28"/>
      <c r="K81" s="28"/>
    </row>
    <row r="82" spans="1:11" ht="21.75" customHeight="1">
      <c r="A82" s="4">
        <v>54105</v>
      </c>
      <c r="B82" s="2" t="s">
        <v>49</v>
      </c>
      <c r="C82" s="2"/>
      <c r="D82" s="3" t="s">
        <v>97</v>
      </c>
      <c r="E82" s="3" t="s">
        <v>29</v>
      </c>
      <c r="F82" s="3" t="s">
        <v>43</v>
      </c>
      <c r="G82" s="17">
        <f>'JUNIO-18 '!I82</f>
        <v>800</v>
      </c>
      <c r="H82" s="51"/>
      <c r="I82" s="170">
        <f t="shared" si="1"/>
        <v>500</v>
      </c>
      <c r="J82" s="27"/>
      <c r="K82" s="28">
        <v>300</v>
      </c>
    </row>
    <row r="83" spans="1:11" ht="27" customHeight="1">
      <c r="A83" s="4">
        <v>54106</v>
      </c>
      <c r="B83" s="5" t="s">
        <v>99</v>
      </c>
      <c r="C83" s="5"/>
      <c r="D83" s="3" t="s">
        <v>97</v>
      </c>
      <c r="E83" s="3" t="s">
        <v>29</v>
      </c>
      <c r="F83" s="3" t="s">
        <v>43</v>
      </c>
      <c r="G83" s="17">
        <f>'JUNIO-18 '!I83</f>
        <v>500</v>
      </c>
      <c r="H83" s="51"/>
      <c r="I83" s="170">
        <f t="shared" si="1"/>
        <v>500</v>
      </c>
      <c r="J83" s="27"/>
      <c r="K83" s="28"/>
    </row>
    <row r="84" spans="1:11" ht="24" customHeight="1">
      <c r="A84" s="4">
        <v>54109</v>
      </c>
      <c r="B84" s="2" t="s">
        <v>52</v>
      </c>
      <c r="C84" s="2"/>
      <c r="D84" s="3" t="s">
        <v>97</v>
      </c>
      <c r="E84" s="3" t="s">
        <v>29</v>
      </c>
      <c r="F84" s="3" t="s">
        <v>43</v>
      </c>
      <c r="G84" s="17">
        <f>'JUNIO-18 '!I84</f>
        <v>500</v>
      </c>
      <c r="H84" s="51"/>
      <c r="I84" s="170">
        <f t="shared" si="1"/>
        <v>500</v>
      </c>
      <c r="J84" s="33"/>
      <c r="K84" s="28"/>
    </row>
    <row r="85" spans="1:11" ht="28.5" customHeight="1">
      <c r="A85" s="4">
        <v>54110</v>
      </c>
      <c r="B85" s="2" t="s">
        <v>53</v>
      </c>
      <c r="C85" s="2"/>
      <c r="D85" s="3" t="s">
        <v>97</v>
      </c>
      <c r="E85" s="3" t="s">
        <v>29</v>
      </c>
      <c r="F85" s="3" t="s">
        <v>43</v>
      </c>
      <c r="G85" s="17">
        <f>'JUNIO-18 '!I85</f>
        <v>7079.5</v>
      </c>
      <c r="H85" s="51">
        <f>1056.28+1154.26</f>
        <v>2210.54</v>
      </c>
      <c r="I85" s="170">
        <f t="shared" si="1"/>
        <v>4868.96</v>
      </c>
      <c r="J85" s="33"/>
      <c r="K85" s="30"/>
    </row>
    <row r="86" spans="1:11" ht="30.75" customHeight="1">
      <c r="A86" s="4">
        <v>54111</v>
      </c>
      <c r="B86" s="5" t="s">
        <v>54</v>
      </c>
      <c r="C86" s="2"/>
      <c r="D86" s="3" t="s">
        <v>97</v>
      </c>
      <c r="E86" s="3" t="s">
        <v>29</v>
      </c>
      <c r="F86" s="3" t="s">
        <v>43</v>
      </c>
      <c r="G86" s="17">
        <f>'JUNIO-18 '!I86</f>
        <v>500</v>
      </c>
      <c r="H86" s="51"/>
      <c r="I86" s="170">
        <f t="shared" si="1"/>
        <v>500</v>
      </c>
      <c r="J86" s="33"/>
      <c r="K86" s="277"/>
    </row>
    <row r="87" spans="1:11" ht="39">
      <c r="A87" s="4">
        <v>54112</v>
      </c>
      <c r="B87" s="5" t="s">
        <v>55</v>
      </c>
      <c r="C87" s="2"/>
      <c r="D87" s="3" t="s">
        <v>97</v>
      </c>
      <c r="E87" s="3" t="s">
        <v>29</v>
      </c>
      <c r="F87" s="3" t="s">
        <v>43</v>
      </c>
      <c r="G87" s="17">
        <f>'JUNIO-18 '!I87</f>
        <v>490.5</v>
      </c>
      <c r="H87" s="51">
        <v>314.5</v>
      </c>
      <c r="I87" s="170">
        <f t="shared" si="1"/>
        <v>176</v>
      </c>
      <c r="J87" s="33"/>
      <c r="K87" s="28"/>
    </row>
    <row r="88" spans="1:11">
      <c r="A88" s="4">
        <v>54114</v>
      </c>
      <c r="B88" s="2" t="s">
        <v>56</v>
      </c>
      <c r="C88" s="2"/>
      <c r="D88" s="3" t="s">
        <v>97</v>
      </c>
      <c r="E88" s="3" t="s">
        <v>29</v>
      </c>
      <c r="F88" s="3" t="s">
        <v>43</v>
      </c>
      <c r="G88" s="17">
        <f>'JUNIO-18 '!I88</f>
        <v>500</v>
      </c>
      <c r="H88" s="51"/>
      <c r="I88" s="170">
        <f t="shared" si="1"/>
        <v>500</v>
      </c>
      <c r="J88" s="27"/>
      <c r="K88" s="28"/>
    </row>
    <row r="89" spans="1:11">
      <c r="A89" s="4">
        <v>54115</v>
      </c>
      <c r="B89" s="2" t="s">
        <v>57</v>
      </c>
      <c r="C89" s="2"/>
      <c r="D89" s="3" t="s">
        <v>97</v>
      </c>
      <c r="E89" s="3" t="s">
        <v>29</v>
      </c>
      <c r="F89" s="3" t="s">
        <v>43</v>
      </c>
      <c r="G89" s="17">
        <f>'JUNIO-18 '!I89</f>
        <v>500</v>
      </c>
      <c r="H89" s="51">
        <f>10+10</f>
        <v>20</v>
      </c>
      <c r="I89" s="170">
        <f t="shared" si="1"/>
        <v>480</v>
      </c>
      <c r="J89" s="33"/>
      <c r="K89" s="28"/>
    </row>
    <row r="90" spans="1:11" ht="27" customHeight="1">
      <c r="A90" s="4">
        <v>54118</v>
      </c>
      <c r="B90" s="5" t="s">
        <v>100</v>
      </c>
      <c r="C90" s="2"/>
      <c r="D90" s="3" t="s">
        <v>97</v>
      </c>
      <c r="E90" s="3" t="s">
        <v>29</v>
      </c>
      <c r="F90" s="3" t="s">
        <v>43</v>
      </c>
      <c r="G90" s="17">
        <f>'JUNIO-18 '!I90</f>
        <v>595.9</v>
      </c>
      <c r="H90" s="51">
        <f>5+3.73+50</f>
        <v>58.730000000000004</v>
      </c>
      <c r="I90" s="170">
        <f t="shared" si="1"/>
        <v>537.16999999999996</v>
      </c>
      <c r="J90" s="30"/>
      <c r="K90" s="28"/>
    </row>
    <row r="91" spans="1:11">
      <c r="A91" s="4">
        <v>54119</v>
      </c>
      <c r="B91" s="2" t="s">
        <v>60</v>
      </c>
      <c r="C91" s="2"/>
      <c r="D91" s="3" t="s">
        <v>97</v>
      </c>
      <c r="E91" s="3" t="s">
        <v>29</v>
      </c>
      <c r="F91" s="3" t="s">
        <v>43</v>
      </c>
      <c r="G91" s="17">
        <f>'JUNIO-18 '!I91</f>
        <v>557.20000000000005</v>
      </c>
      <c r="H91" s="51">
        <v>1.6</v>
      </c>
      <c r="I91" s="170">
        <f t="shared" si="1"/>
        <v>555.6</v>
      </c>
      <c r="J91" s="30"/>
      <c r="K91" s="28"/>
    </row>
    <row r="92" spans="1:11">
      <c r="A92" s="4">
        <v>54199</v>
      </c>
      <c r="B92" s="2" t="s">
        <v>61</v>
      </c>
      <c r="C92" s="2"/>
      <c r="D92" s="3" t="s">
        <v>97</v>
      </c>
      <c r="E92" s="3" t="s">
        <v>29</v>
      </c>
      <c r="F92" s="3" t="s">
        <v>43</v>
      </c>
      <c r="G92" s="17">
        <f>'JUNIO-18 '!I92</f>
        <v>785.15000000000009</v>
      </c>
      <c r="H92" s="51">
        <f>2.4+3.9+4+2.4+4.9+1.7+4+6.9+0.4+214.59+100.27</f>
        <v>345.46</v>
      </c>
      <c r="I92" s="170">
        <f t="shared" si="1"/>
        <v>439.69000000000011</v>
      </c>
      <c r="J92" s="33"/>
      <c r="K92" s="28"/>
    </row>
    <row r="93" spans="1:11">
      <c r="A93" s="4">
        <v>54301</v>
      </c>
      <c r="B93" s="2" t="s">
        <v>66</v>
      </c>
      <c r="C93" s="2"/>
      <c r="D93" s="3" t="s">
        <v>97</v>
      </c>
      <c r="E93" s="3" t="s">
        <v>29</v>
      </c>
      <c r="F93" s="3" t="s">
        <v>43</v>
      </c>
      <c r="G93" s="17">
        <f>'JUNIO-18 '!I93</f>
        <v>93.329999999999984</v>
      </c>
      <c r="H93" s="51">
        <v>229</v>
      </c>
      <c r="I93" s="135">
        <f t="shared" si="1"/>
        <v>164.32999999999998</v>
      </c>
      <c r="J93" s="29">
        <v>300</v>
      </c>
      <c r="K93" s="28"/>
    </row>
    <row r="94" spans="1:11">
      <c r="A94" s="4">
        <v>54302</v>
      </c>
      <c r="B94" s="2" t="s">
        <v>67</v>
      </c>
      <c r="C94" s="2"/>
      <c r="D94" s="3" t="s">
        <v>97</v>
      </c>
      <c r="E94" s="3" t="s">
        <v>29</v>
      </c>
      <c r="F94" s="3" t="s">
        <v>43</v>
      </c>
      <c r="G94" s="17">
        <f>'JUNIO-18 '!I94</f>
        <v>380</v>
      </c>
      <c r="H94" s="51"/>
      <c r="I94" s="170">
        <f t="shared" si="1"/>
        <v>380</v>
      </c>
      <c r="J94" s="27"/>
      <c r="K94" s="28"/>
    </row>
    <row r="95" spans="1:11" ht="24.75" customHeight="1">
      <c r="A95" s="4">
        <v>54314</v>
      </c>
      <c r="B95" s="5" t="s">
        <v>101</v>
      </c>
      <c r="C95" s="2"/>
      <c r="D95" s="3" t="s">
        <v>97</v>
      </c>
      <c r="E95" s="3" t="s">
        <v>29</v>
      </c>
      <c r="F95" s="3" t="s">
        <v>43</v>
      </c>
      <c r="G95" s="17">
        <f>'JUNIO-18 '!I95</f>
        <v>14562.550000000001</v>
      </c>
      <c r="H95" s="51">
        <f>848.79+48.9+250+3840</f>
        <v>4987.6900000000005</v>
      </c>
      <c r="I95" s="170">
        <f t="shared" si="1"/>
        <v>9574.86</v>
      </c>
      <c r="J95" s="33"/>
      <c r="K95" s="315"/>
    </row>
    <row r="96" spans="1:11">
      <c r="A96" s="4">
        <v>54399</v>
      </c>
      <c r="B96" s="2" t="s">
        <v>74</v>
      </c>
      <c r="C96" s="2"/>
      <c r="D96" s="3" t="s">
        <v>97</v>
      </c>
      <c r="E96" s="3" t="s">
        <v>29</v>
      </c>
      <c r="F96" s="3" t="s">
        <v>43</v>
      </c>
      <c r="G96" s="17">
        <f>'JUNIO-18 '!I96</f>
        <v>52.659999999999854</v>
      </c>
      <c r="H96" s="51"/>
      <c r="I96" s="170">
        <f t="shared" si="1"/>
        <v>52.659999999999854</v>
      </c>
      <c r="J96" s="33"/>
      <c r="K96" s="33"/>
    </row>
    <row r="97" spans="1:11">
      <c r="A97" s="4">
        <v>54401</v>
      </c>
      <c r="B97" s="2" t="s">
        <v>75</v>
      </c>
      <c r="C97" s="2"/>
      <c r="D97" s="3" t="s">
        <v>97</v>
      </c>
      <c r="E97" s="3" t="s">
        <v>29</v>
      </c>
      <c r="F97" s="3" t="s">
        <v>43</v>
      </c>
      <c r="G97" s="17">
        <f>'JUNIO-18 '!I97</f>
        <v>400</v>
      </c>
      <c r="H97" s="51"/>
      <c r="I97" s="170">
        <f t="shared" si="1"/>
        <v>400</v>
      </c>
      <c r="J97" s="34"/>
      <c r="K97" s="28"/>
    </row>
    <row r="98" spans="1:11">
      <c r="A98" s="4">
        <v>54403</v>
      </c>
      <c r="B98" s="2" t="s">
        <v>102</v>
      </c>
      <c r="C98" s="2"/>
      <c r="D98" s="3" t="s">
        <v>97</v>
      </c>
      <c r="E98" s="3" t="s">
        <v>29</v>
      </c>
      <c r="F98" s="3" t="s">
        <v>43</v>
      </c>
      <c r="G98" s="17">
        <f>'JUNIO-18 '!I98</f>
        <v>632.98</v>
      </c>
      <c r="H98" s="51"/>
      <c r="I98" s="170">
        <f t="shared" si="1"/>
        <v>632.98</v>
      </c>
      <c r="J98" s="34"/>
      <c r="K98" s="28"/>
    </row>
    <row r="99" spans="1:11" ht="21.75" customHeight="1">
      <c r="A99" s="4">
        <v>54507</v>
      </c>
      <c r="B99" s="5" t="s">
        <v>103</v>
      </c>
      <c r="C99" s="5"/>
      <c r="D99" s="3" t="s">
        <v>97</v>
      </c>
      <c r="E99" s="3" t="s">
        <v>29</v>
      </c>
      <c r="F99" s="3" t="s">
        <v>43</v>
      </c>
      <c r="G99" s="17">
        <f>'JUNIO-18 '!I99</f>
        <v>500</v>
      </c>
      <c r="H99" s="51"/>
      <c r="I99" s="170">
        <f t="shared" si="1"/>
        <v>500</v>
      </c>
      <c r="J99" s="35"/>
      <c r="K99" s="28"/>
    </row>
    <row r="100" spans="1:11">
      <c r="A100" s="4">
        <v>54699</v>
      </c>
      <c r="B100" s="5" t="s">
        <v>104</v>
      </c>
      <c r="C100" s="2"/>
      <c r="D100" s="3" t="s">
        <v>97</v>
      </c>
      <c r="E100" s="3" t="s">
        <v>29</v>
      </c>
      <c r="F100" s="3" t="s">
        <v>43</v>
      </c>
      <c r="G100" s="17">
        <f>'JUNIO-18 '!I100</f>
        <v>1</v>
      </c>
      <c r="H100" s="51"/>
      <c r="I100" s="170">
        <f t="shared" si="1"/>
        <v>1</v>
      </c>
      <c r="J100" s="27"/>
      <c r="K100" s="28"/>
    </row>
    <row r="101" spans="1:11" ht="21">
      <c r="A101" s="38" t="s">
        <v>8</v>
      </c>
      <c r="B101" s="39" t="s">
        <v>105</v>
      </c>
      <c r="C101" s="39"/>
      <c r="D101" s="39" t="s">
        <v>97</v>
      </c>
      <c r="E101" s="39" t="s">
        <v>29</v>
      </c>
      <c r="F101" s="39" t="s">
        <v>43</v>
      </c>
      <c r="G101" s="17">
        <f>'JUNIO-18 '!I101</f>
        <v>56907.789999999994</v>
      </c>
      <c r="H101" s="95">
        <f>SUM(H75:H100)</f>
        <v>8827.52</v>
      </c>
      <c r="I101" s="40">
        <f>G101-H101+J101-K101</f>
        <v>48080.26999999999</v>
      </c>
      <c r="J101" s="107">
        <f>SUM(J82:J100)</f>
        <v>300</v>
      </c>
      <c r="K101" s="107">
        <f>SUM(K82:K100)</f>
        <v>300</v>
      </c>
    </row>
    <row r="102" spans="1:11">
      <c r="A102" s="4">
        <v>51101</v>
      </c>
      <c r="B102" s="2" t="s">
        <v>175</v>
      </c>
      <c r="C102" s="2"/>
      <c r="D102" s="3" t="s">
        <v>42</v>
      </c>
      <c r="E102" s="3" t="s">
        <v>29</v>
      </c>
      <c r="F102" s="3" t="s">
        <v>106</v>
      </c>
      <c r="G102" s="17">
        <f>'JUNIO-18 '!I102</f>
        <v>45222.299999999981</v>
      </c>
      <c r="H102" s="51">
        <v>7537.05</v>
      </c>
      <c r="I102" s="17">
        <f t="shared" ref="I102:I149" si="2">G102-H102+J102-K102</f>
        <v>37685.249999999978</v>
      </c>
      <c r="J102" s="28"/>
      <c r="K102" s="30"/>
    </row>
    <row r="103" spans="1:11">
      <c r="A103" s="4">
        <v>51103</v>
      </c>
      <c r="B103" s="2" t="s">
        <v>107</v>
      </c>
      <c r="C103" s="2"/>
      <c r="D103" s="3" t="s">
        <v>42</v>
      </c>
      <c r="E103" s="3" t="s">
        <v>29</v>
      </c>
      <c r="F103" s="3" t="s">
        <v>106</v>
      </c>
      <c r="G103" s="17">
        <f>'JUNIO-18 '!I103</f>
        <v>7687.05</v>
      </c>
      <c r="H103" s="51"/>
      <c r="I103" s="17">
        <f t="shared" si="2"/>
        <v>7687.05</v>
      </c>
      <c r="J103" s="30"/>
      <c r="K103" s="29"/>
    </row>
    <row r="104" spans="1:11">
      <c r="A104" s="4">
        <v>51105</v>
      </c>
      <c r="B104" s="2" t="s">
        <v>176</v>
      </c>
      <c r="C104" s="2"/>
      <c r="D104" s="3" t="s">
        <v>42</v>
      </c>
      <c r="E104" s="3" t="s">
        <v>29</v>
      </c>
      <c r="F104" s="3" t="s">
        <v>106</v>
      </c>
      <c r="G104" s="17">
        <f>'JUNIO-18 '!I104</f>
        <v>18961.979999999996</v>
      </c>
      <c r="H104" s="51">
        <v>7111.2</v>
      </c>
      <c r="I104" s="17">
        <f t="shared" si="2"/>
        <v>11850.779999999995</v>
      </c>
      <c r="J104" s="30"/>
      <c r="K104" s="29"/>
    </row>
    <row r="105" spans="1:11" ht="29.25">
      <c r="A105" s="4">
        <v>51107</v>
      </c>
      <c r="B105" s="7" t="s">
        <v>1168</v>
      </c>
      <c r="C105" s="2"/>
      <c r="D105" s="3" t="s">
        <v>42</v>
      </c>
      <c r="E105" s="3" t="s">
        <v>29</v>
      </c>
      <c r="F105" s="3" t="s">
        <v>106</v>
      </c>
      <c r="G105" s="17">
        <f>'JUNIO-18 '!I105</f>
        <v>2000</v>
      </c>
      <c r="H105" s="51">
        <v>100</v>
      </c>
      <c r="I105" s="17">
        <f t="shared" si="2"/>
        <v>1900</v>
      </c>
      <c r="J105" s="30"/>
      <c r="K105" s="29"/>
    </row>
    <row r="106" spans="1:11" ht="18.75" customHeight="1">
      <c r="A106" s="4">
        <v>51201</v>
      </c>
      <c r="B106" s="2" t="s">
        <v>1173</v>
      </c>
      <c r="C106" s="2"/>
      <c r="D106" s="3" t="s">
        <v>42</v>
      </c>
      <c r="E106" s="3" t="s">
        <v>29</v>
      </c>
      <c r="F106" s="3" t="s">
        <v>30</v>
      </c>
      <c r="G106" s="17">
        <f>'JUNIO-18 '!I106</f>
        <v>10581</v>
      </c>
      <c r="H106" s="51">
        <f>1334+1334+950</f>
        <v>3618</v>
      </c>
      <c r="I106" s="17">
        <f t="shared" si="2"/>
        <v>6963</v>
      </c>
      <c r="J106" s="30"/>
      <c r="K106" s="29"/>
    </row>
    <row r="107" spans="1:11">
      <c r="A107" s="4">
        <v>51301</v>
      </c>
      <c r="B107" s="2" t="s">
        <v>177</v>
      </c>
      <c r="C107" s="2"/>
      <c r="D107" s="3" t="s">
        <v>42</v>
      </c>
      <c r="E107" s="3" t="s">
        <v>29</v>
      </c>
      <c r="F107" s="3" t="s">
        <v>30</v>
      </c>
      <c r="G107" s="17">
        <f>'JUNIO-18 '!I107</f>
        <v>719.02</v>
      </c>
      <c r="H107" s="51"/>
      <c r="I107" s="17">
        <f t="shared" si="2"/>
        <v>719.02</v>
      </c>
      <c r="J107" s="30"/>
      <c r="K107" s="29"/>
    </row>
    <row r="108" spans="1:11" ht="33.75" customHeight="1">
      <c r="A108" s="4">
        <v>51401</v>
      </c>
      <c r="B108" s="5" t="s">
        <v>128</v>
      </c>
      <c r="C108" s="5"/>
      <c r="D108" s="3" t="s">
        <v>42</v>
      </c>
      <c r="E108" s="3" t="s">
        <v>29</v>
      </c>
      <c r="F108" s="3" t="s">
        <v>106</v>
      </c>
      <c r="G108" s="17">
        <f>'JUNIO-18 '!I108</f>
        <v>2032.8199999999997</v>
      </c>
      <c r="H108" s="51">
        <f>163.9+211.66+379.5</f>
        <v>755.06</v>
      </c>
      <c r="I108" s="17">
        <f t="shared" si="2"/>
        <v>1277.7599999999998</v>
      </c>
      <c r="J108" s="33"/>
      <c r="K108" s="29"/>
    </row>
    <row r="109" spans="1:11" ht="36">
      <c r="A109" s="4">
        <v>51501</v>
      </c>
      <c r="B109" s="5" t="s">
        <v>168</v>
      </c>
      <c r="C109" s="5"/>
      <c r="D109" s="3" t="s">
        <v>42</v>
      </c>
      <c r="E109" s="3" t="s">
        <v>29</v>
      </c>
      <c r="F109" s="3" t="s">
        <v>106</v>
      </c>
      <c r="G109" s="17">
        <f>'JUNIO-18 '!I109</f>
        <v>3820.65</v>
      </c>
      <c r="H109" s="51">
        <f>201.04+63.01</f>
        <v>264.05</v>
      </c>
      <c r="I109" s="17">
        <f t="shared" si="2"/>
        <v>3556.6</v>
      </c>
      <c r="J109" s="33"/>
      <c r="K109" s="29"/>
    </row>
    <row r="110" spans="1:11" ht="34.5" customHeight="1">
      <c r="A110" s="4">
        <v>51601</v>
      </c>
      <c r="B110" s="311" t="s">
        <v>1087</v>
      </c>
      <c r="C110" s="312"/>
      <c r="D110" s="3" t="s">
        <v>42</v>
      </c>
      <c r="E110" s="3" t="s">
        <v>29</v>
      </c>
      <c r="F110" s="3" t="s">
        <v>106</v>
      </c>
      <c r="G110" s="17">
        <f>'JUNIO-18 '!I110</f>
        <v>0</v>
      </c>
      <c r="H110" s="51"/>
      <c r="I110" s="17">
        <f t="shared" si="2"/>
        <v>0</v>
      </c>
      <c r="J110" s="33"/>
      <c r="K110" s="29"/>
    </row>
    <row r="111" spans="1:11" ht="27.75" customHeight="1">
      <c r="A111" s="4">
        <v>51999</v>
      </c>
      <c r="B111" s="5" t="s">
        <v>178</v>
      </c>
      <c r="C111" s="5"/>
      <c r="D111" s="3" t="s">
        <v>42</v>
      </c>
      <c r="E111" s="3" t="s">
        <v>29</v>
      </c>
      <c r="F111" s="3" t="s">
        <v>30</v>
      </c>
      <c r="G111" s="17">
        <f>'JUNIO-18 '!I111</f>
        <v>777.37</v>
      </c>
      <c r="H111" s="51"/>
      <c r="I111" s="17">
        <f t="shared" si="2"/>
        <v>777.37</v>
      </c>
      <c r="J111" s="33"/>
      <c r="K111" s="29"/>
    </row>
    <row r="112" spans="1:11">
      <c r="A112" s="4">
        <v>54110</v>
      </c>
      <c r="B112" s="2" t="s">
        <v>108</v>
      </c>
      <c r="C112" s="2"/>
      <c r="D112" s="3" t="s">
        <v>42</v>
      </c>
      <c r="E112" s="3" t="s">
        <v>29</v>
      </c>
      <c r="F112" s="3" t="s">
        <v>30</v>
      </c>
      <c r="G112" s="17">
        <f>'JUNIO-18 '!I112</f>
        <v>300</v>
      </c>
      <c r="H112" s="51"/>
      <c r="I112" s="17">
        <f t="shared" si="2"/>
        <v>300</v>
      </c>
      <c r="J112" s="33"/>
      <c r="K112" s="29"/>
    </row>
    <row r="113" spans="1:11">
      <c r="A113" s="4">
        <v>54199</v>
      </c>
      <c r="B113" s="2" t="s">
        <v>61</v>
      </c>
      <c r="C113" s="2"/>
      <c r="D113" s="3" t="s">
        <v>42</v>
      </c>
      <c r="E113" s="3" t="s">
        <v>29</v>
      </c>
      <c r="F113" s="3" t="s">
        <v>106</v>
      </c>
      <c r="G113" s="17">
        <f>'JUNIO-18 '!I113</f>
        <v>1000</v>
      </c>
      <c r="H113" s="51"/>
      <c r="I113" s="17">
        <f t="shared" si="2"/>
        <v>1000</v>
      </c>
      <c r="J113" s="35"/>
      <c r="K113" s="29"/>
    </row>
    <row r="114" spans="1:11">
      <c r="A114" s="4">
        <v>54201</v>
      </c>
      <c r="B114" s="2" t="s">
        <v>62</v>
      </c>
      <c r="C114" s="2"/>
      <c r="D114" s="3" t="s">
        <v>42</v>
      </c>
      <c r="E114" s="3" t="s">
        <v>29</v>
      </c>
      <c r="F114" s="3" t="s">
        <v>106</v>
      </c>
      <c r="G114" s="17">
        <f>'JUNIO-18 '!I114</f>
        <v>5294.5799999999981</v>
      </c>
      <c r="H114" s="51"/>
      <c r="I114" s="17">
        <f t="shared" si="2"/>
        <v>5294.5799999999981</v>
      </c>
      <c r="J114" s="18"/>
      <c r="K114" s="29"/>
    </row>
    <row r="115" spans="1:11">
      <c r="A115" s="4">
        <v>54202</v>
      </c>
      <c r="B115" s="2" t="s">
        <v>109</v>
      </c>
      <c r="C115" s="2"/>
      <c r="D115" s="3" t="s">
        <v>42</v>
      </c>
      <c r="E115" s="3" t="s">
        <v>29</v>
      </c>
      <c r="F115" s="3" t="s">
        <v>106</v>
      </c>
      <c r="G115" s="17">
        <f>'JUNIO-18 '!I115</f>
        <v>1564.76</v>
      </c>
      <c r="H115" s="51"/>
      <c r="I115" s="17">
        <f t="shared" si="2"/>
        <v>1564.76</v>
      </c>
      <c r="J115" s="18"/>
      <c r="K115" s="29"/>
    </row>
    <row r="116" spans="1:11">
      <c r="A116" s="4">
        <v>54203</v>
      </c>
      <c r="B116" s="2" t="s">
        <v>64</v>
      </c>
      <c r="C116" s="2"/>
      <c r="D116" s="3" t="s">
        <v>42</v>
      </c>
      <c r="E116" s="3" t="s">
        <v>29</v>
      </c>
      <c r="F116" s="3" t="s">
        <v>106</v>
      </c>
      <c r="G116" s="17">
        <f>'JUNIO-18 '!I116</f>
        <v>1112.92</v>
      </c>
      <c r="H116" s="51"/>
      <c r="I116" s="17">
        <f t="shared" si="2"/>
        <v>1112.92</v>
      </c>
      <c r="J116" s="18"/>
      <c r="K116" s="29"/>
    </row>
    <row r="117" spans="1:11">
      <c r="A117" s="4">
        <v>54302</v>
      </c>
      <c r="B117" s="5" t="s">
        <v>136</v>
      </c>
      <c r="C117" s="2"/>
      <c r="D117" s="3" t="s">
        <v>42</v>
      </c>
      <c r="E117" s="3" t="s">
        <v>29</v>
      </c>
      <c r="F117" s="3" t="s">
        <v>106</v>
      </c>
      <c r="G117" s="17">
        <f>'JUNIO-18 '!I117</f>
        <v>1</v>
      </c>
      <c r="H117" s="51"/>
      <c r="I117" s="17">
        <f t="shared" si="2"/>
        <v>1</v>
      </c>
      <c r="J117" s="35"/>
      <c r="K117" s="29"/>
    </row>
    <row r="118" spans="1:11" ht="30">
      <c r="A118" s="4">
        <v>54313</v>
      </c>
      <c r="B118" s="5" t="s">
        <v>1054</v>
      </c>
      <c r="C118" s="2"/>
      <c r="D118" s="3" t="s">
        <v>42</v>
      </c>
      <c r="E118" s="3" t="s">
        <v>29</v>
      </c>
      <c r="F118" s="3" t="s">
        <v>106</v>
      </c>
      <c r="G118" s="17">
        <f>'JUNIO-18 '!I118</f>
        <v>52</v>
      </c>
      <c r="H118" s="51"/>
      <c r="I118" s="17">
        <f t="shared" si="2"/>
        <v>52</v>
      </c>
      <c r="J118" s="35"/>
      <c r="K118" s="29"/>
    </row>
    <row r="119" spans="1:11" ht="21.75" customHeight="1">
      <c r="A119" s="4">
        <v>54503</v>
      </c>
      <c r="B119" s="314" t="s">
        <v>1088</v>
      </c>
      <c r="C119" s="313"/>
      <c r="D119" s="3" t="s">
        <v>42</v>
      </c>
      <c r="E119" s="3" t="s">
        <v>29</v>
      </c>
      <c r="F119" s="3" t="s">
        <v>106</v>
      </c>
      <c r="G119" s="17">
        <f>'JUNIO-18 '!I119</f>
        <v>0</v>
      </c>
      <c r="H119" s="51"/>
      <c r="I119" s="17">
        <f t="shared" si="2"/>
        <v>0</v>
      </c>
      <c r="J119" s="35"/>
      <c r="K119" s="29"/>
    </row>
    <row r="120" spans="1:11" ht="22.5" customHeight="1">
      <c r="A120" s="4">
        <v>55603</v>
      </c>
      <c r="B120" s="2" t="s">
        <v>6</v>
      </c>
      <c r="C120" s="2"/>
      <c r="D120" s="3" t="s">
        <v>42</v>
      </c>
      <c r="E120" s="3" t="s">
        <v>29</v>
      </c>
      <c r="F120" s="3" t="s">
        <v>106</v>
      </c>
      <c r="G120" s="17">
        <f>'JUNIO-18 '!I120</f>
        <v>482.88</v>
      </c>
      <c r="H120" s="51"/>
      <c r="I120" s="17">
        <f t="shared" si="2"/>
        <v>482.88</v>
      </c>
      <c r="J120" s="35"/>
      <c r="K120" s="29"/>
    </row>
    <row r="121" spans="1:11" ht="24.75" customHeight="1">
      <c r="A121" s="4">
        <v>55799</v>
      </c>
      <c r="B121" s="5" t="s">
        <v>137</v>
      </c>
      <c r="C121" s="2"/>
      <c r="D121" s="3" t="s">
        <v>42</v>
      </c>
      <c r="E121" s="3" t="s">
        <v>29</v>
      </c>
      <c r="F121" s="3" t="s">
        <v>106</v>
      </c>
      <c r="G121" s="17">
        <f>'JUNIO-18 '!I121</f>
        <v>1045.07</v>
      </c>
      <c r="H121" s="51">
        <f>21.86+75.17+49.88+301.45</f>
        <v>448.36</v>
      </c>
      <c r="I121" s="134">
        <f t="shared" si="2"/>
        <v>596.70999999999992</v>
      </c>
      <c r="J121" s="35"/>
      <c r="K121" s="29"/>
    </row>
    <row r="122" spans="1:11" ht="16.5" customHeight="1">
      <c r="A122" s="4" t="s">
        <v>110</v>
      </c>
      <c r="B122" s="5" t="s">
        <v>111</v>
      </c>
      <c r="C122" s="2"/>
      <c r="D122" s="3" t="s">
        <v>42</v>
      </c>
      <c r="E122" s="3" t="s">
        <v>29</v>
      </c>
      <c r="F122" s="3" t="s">
        <v>106</v>
      </c>
      <c r="G122" s="17">
        <f>'JUNIO-18 '!I122</f>
        <v>4800</v>
      </c>
      <c r="H122" s="276">
        <v>600</v>
      </c>
      <c r="I122" s="17">
        <f t="shared" si="2"/>
        <v>4200</v>
      </c>
      <c r="J122" s="35"/>
      <c r="K122" s="35"/>
    </row>
    <row r="123" spans="1:11" ht="15.75" customHeight="1">
      <c r="A123" s="4" t="s">
        <v>112</v>
      </c>
      <c r="B123" s="5" t="s">
        <v>113</v>
      </c>
      <c r="C123" s="2"/>
      <c r="D123" s="3" t="s">
        <v>42</v>
      </c>
      <c r="E123" s="3" t="s">
        <v>29</v>
      </c>
      <c r="F123" s="3" t="s">
        <v>106</v>
      </c>
      <c r="G123" s="17">
        <f>'JUNIO-18 '!I123</f>
        <v>1000</v>
      </c>
      <c r="H123" s="51"/>
      <c r="I123" s="17">
        <f t="shared" si="2"/>
        <v>1000</v>
      </c>
      <c r="J123" s="35"/>
      <c r="K123" s="35"/>
    </row>
    <row r="124" spans="1:11" ht="27">
      <c r="A124" s="4">
        <v>56301</v>
      </c>
      <c r="B124" s="5" t="s">
        <v>114</v>
      </c>
      <c r="C124" s="2"/>
      <c r="D124" s="3" t="s">
        <v>42</v>
      </c>
      <c r="E124" s="3" t="s">
        <v>29</v>
      </c>
      <c r="F124" s="3" t="s">
        <v>106</v>
      </c>
      <c r="G124" s="17">
        <f>'JUNIO-18 '!I124</f>
        <v>0</v>
      </c>
      <c r="H124" s="51"/>
      <c r="I124" s="17">
        <f t="shared" si="2"/>
        <v>0</v>
      </c>
      <c r="J124" s="35"/>
      <c r="K124" s="35"/>
    </row>
    <row r="125" spans="1:11" ht="39.75" customHeight="1">
      <c r="A125" s="4"/>
      <c r="B125" s="5" t="s">
        <v>179</v>
      </c>
      <c r="C125" s="2"/>
      <c r="D125" s="3" t="s">
        <v>42</v>
      </c>
      <c r="E125" s="3" t="s">
        <v>29</v>
      </c>
      <c r="F125" s="3" t="s">
        <v>30</v>
      </c>
      <c r="G125" s="17">
        <f>'JUNIO-18 '!I125</f>
        <v>0</v>
      </c>
      <c r="H125" s="51"/>
      <c r="I125" s="17">
        <f t="shared" si="2"/>
        <v>0</v>
      </c>
      <c r="J125" s="29"/>
      <c r="K125" s="30"/>
    </row>
    <row r="126" spans="1:11" ht="21">
      <c r="A126" s="38" t="s">
        <v>8</v>
      </c>
      <c r="B126" s="39" t="s">
        <v>115</v>
      </c>
      <c r="C126" s="39"/>
      <c r="D126" s="39" t="s">
        <v>42</v>
      </c>
      <c r="E126" s="39" t="s">
        <v>29</v>
      </c>
      <c r="F126" s="39" t="s">
        <v>30</v>
      </c>
      <c r="G126" s="17">
        <f>'JUNIO-18 '!I126</f>
        <v>108455.40000000001</v>
      </c>
      <c r="H126" s="95">
        <f>SUM(H102:H125)</f>
        <v>20433.72</v>
      </c>
      <c r="I126" s="40">
        <f>G126-H126+J126-K126</f>
        <v>88021.680000000008</v>
      </c>
      <c r="J126" s="107">
        <f>SUM(J102:J125)</f>
        <v>0</v>
      </c>
      <c r="K126" s="107">
        <f>SUM(K102:K125)</f>
        <v>0</v>
      </c>
    </row>
    <row r="127" spans="1:11">
      <c r="A127" s="4">
        <v>51101</v>
      </c>
      <c r="B127" s="2" t="s">
        <v>180</v>
      </c>
      <c r="C127" s="2"/>
      <c r="D127" s="3" t="s">
        <v>94</v>
      </c>
      <c r="E127" s="3" t="s">
        <v>29</v>
      </c>
      <c r="F127" s="3" t="s">
        <v>106</v>
      </c>
      <c r="G127" s="17">
        <f>'JUNIO-18 '!I127</f>
        <v>42173.660000000018</v>
      </c>
      <c r="H127" s="51">
        <v>4939.5200000000004</v>
      </c>
      <c r="I127" s="17">
        <f t="shared" si="2"/>
        <v>36234.140000000014</v>
      </c>
      <c r="J127" s="30"/>
      <c r="K127" s="35">
        <v>1000</v>
      </c>
    </row>
    <row r="128" spans="1:11">
      <c r="A128" s="4">
        <v>51103</v>
      </c>
      <c r="B128" s="2" t="s">
        <v>181</v>
      </c>
      <c r="C128" s="2"/>
      <c r="D128" s="3" t="s">
        <v>94</v>
      </c>
      <c r="E128" s="3" t="s">
        <v>29</v>
      </c>
      <c r="F128" s="3" t="s">
        <v>106</v>
      </c>
      <c r="G128" s="17">
        <f>'JUNIO-18 '!I128</f>
        <v>5128.9799999999996</v>
      </c>
      <c r="H128" s="51"/>
      <c r="I128" s="17">
        <f t="shared" si="2"/>
        <v>5128.9799999999996</v>
      </c>
      <c r="J128" s="30"/>
      <c r="K128" s="29"/>
    </row>
    <row r="129" spans="1:11" ht="30">
      <c r="A129" s="4">
        <v>51107</v>
      </c>
      <c r="B129" s="382" t="s">
        <v>1172</v>
      </c>
      <c r="C129" s="2"/>
      <c r="D129" s="3" t="s">
        <v>94</v>
      </c>
      <c r="E129" s="3" t="s">
        <v>29</v>
      </c>
      <c r="F129" s="3" t="s">
        <v>106</v>
      </c>
      <c r="G129" s="17">
        <v>0</v>
      </c>
      <c r="H129" s="51">
        <v>50</v>
      </c>
      <c r="I129" s="17">
        <f t="shared" si="2"/>
        <v>950</v>
      </c>
      <c r="J129" s="30">
        <v>1000</v>
      </c>
      <c r="K129" s="29"/>
    </row>
    <row r="130" spans="1:11">
      <c r="A130" s="4">
        <v>51201</v>
      </c>
      <c r="B130" s="2" t="s">
        <v>44</v>
      </c>
      <c r="C130" s="2"/>
      <c r="D130" s="3" t="s">
        <v>94</v>
      </c>
      <c r="E130" s="3" t="s">
        <v>29</v>
      </c>
      <c r="F130" s="3" t="s">
        <v>30</v>
      </c>
      <c r="G130" s="17">
        <f>'JUNIO-18 '!I129</f>
        <v>2000</v>
      </c>
      <c r="H130" s="51">
        <f>296.7+255.3</f>
        <v>552</v>
      </c>
      <c r="I130" s="17">
        <f t="shared" si="2"/>
        <v>1448</v>
      </c>
      <c r="J130" s="30"/>
      <c r="K130" s="29"/>
    </row>
    <row r="131" spans="1:11">
      <c r="A131" s="4">
        <v>51301</v>
      </c>
      <c r="B131" s="2" t="s">
        <v>45</v>
      </c>
      <c r="C131" s="2"/>
      <c r="D131" s="3" t="s">
        <v>94</v>
      </c>
      <c r="E131" s="3" t="s">
        <v>29</v>
      </c>
      <c r="F131" s="3" t="s">
        <v>30</v>
      </c>
      <c r="G131" s="17">
        <f>'JUNIO-18 '!I130</f>
        <v>1031.4300000000003</v>
      </c>
      <c r="H131" s="51"/>
      <c r="I131" s="17">
        <f t="shared" si="2"/>
        <v>1031.4300000000003</v>
      </c>
      <c r="J131" s="30"/>
      <c r="K131" s="29"/>
    </row>
    <row r="132" spans="1:11">
      <c r="A132" s="4">
        <v>51999</v>
      </c>
      <c r="B132" s="2" t="s">
        <v>47</v>
      </c>
      <c r="C132" s="2"/>
      <c r="D132" s="3" t="s">
        <v>94</v>
      </c>
      <c r="E132" s="3" t="s">
        <v>29</v>
      </c>
      <c r="F132" s="3" t="s">
        <v>30</v>
      </c>
      <c r="G132" s="17">
        <f>'JUNIO-18 '!I131</f>
        <v>450</v>
      </c>
      <c r="H132" s="51"/>
      <c r="I132" s="17">
        <f t="shared" si="2"/>
        <v>450</v>
      </c>
      <c r="J132" s="30"/>
      <c r="K132" s="29"/>
    </row>
    <row r="133" spans="1:11" ht="25.5">
      <c r="A133" s="4">
        <v>51401</v>
      </c>
      <c r="B133" s="5" t="s">
        <v>138</v>
      </c>
      <c r="C133" s="2"/>
      <c r="D133" s="3" t="s">
        <v>94</v>
      </c>
      <c r="E133" s="3" t="s">
        <v>29</v>
      </c>
      <c r="F133" s="3" t="s">
        <v>106</v>
      </c>
      <c r="G133" s="17">
        <f>'JUNIO-18 '!I132</f>
        <v>1631.8099999999995</v>
      </c>
      <c r="H133" s="51">
        <f>411</f>
        <v>411</v>
      </c>
      <c r="I133" s="17">
        <f t="shared" si="2"/>
        <v>1220.8099999999995</v>
      </c>
      <c r="J133" s="35"/>
      <c r="K133" s="34"/>
    </row>
    <row r="134" spans="1:11" ht="33" customHeight="1">
      <c r="A134" s="4">
        <v>51501</v>
      </c>
      <c r="B134" s="5" t="s">
        <v>182</v>
      </c>
      <c r="C134" s="2"/>
      <c r="D134" s="3" t="s">
        <v>94</v>
      </c>
      <c r="E134" s="3" t="s">
        <v>29</v>
      </c>
      <c r="F134" s="3" t="s">
        <v>30</v>
      </c>
      <c r="G134" s="17">
        <f>'JUNIO-18 '!I133</f>
        <v>2168.96</v>
      </c>
      <c r="H134" s="51">
        <f>117.72+332</f>
        <v>449.72</v>
      </c>
      <c r="I134" s="17">
        <f t="shared" si="2"/>
        <v>1719.24</v>
      </c>
      <c r="J134" s="35"/>
      <c r="K134" s="27"/>
    </row>
    <row r="135" spans="1:11">
      <c r="A135" s="4">
        <v>54105</v>
      </c>
      <c r="B135" s="2" t="s">
        <v>116</v>
      </c>
      <c r="C135" s="2"/>
      <c r="D135" s="3" t="s">
        <v>94</v>
      </c>
      <c r="E135" s="3" t="s">
        <v>29</v>
      </c>
      <c r="F135" s="3" t="s">
        <v>30</v>
      </c>
      <c r="G135" s="17">
        <f>'JUNIO-18 '!I134</f>
        <v>4000</v>
      </c>
      <c r="H135" s="51"/>
      <c r="I135" s="17">
        <f t="shared" si="2"/>
        <v>4000</v>
      </c>
      <c r="J135" s="30"/>
      <c r="K135" s="29"/>
    </row>
    <row r="136" spans="1:11">
      <c r="A136" s="4">
        <v>54114</v>
      </c>
      <c r="B136" s="2" t="s">
        <v>56</v>
      </c>
      <c r="C136" s="2"/>
      <c r="D136" s="3" t="s">
        <v>94</v>
      </c>
      <c r="E136" s="3" t="s">
        <v>29</v>
      </c>
      <c r="F136" s="3" t="s">
        <v>30</v>
      </c>
      <c r="G136" s="17">
        <f>'JUNIO-18 '!I135</f>
        <v>3504.2</v>
      </c>
      <c r="H136" s="51"/>
      <c r="I136" s="17">
        <f t="shared" si="2"/>
        <v>3504.2</v>
      </c>
      <c r="J136" s="35"/>
      <c r="K136" s="35"/>
    </row>
    <row r="137" spans="1:11">
      <c r="A137" s="4">
        <v>54115</v>
      </c>
      <c r="B137" s="2" t="s">
        <v>57</v>
      </c>
      <c r="C137" s="2"/>
      <c r="D137" s="3" t="s">
        <v>94</v>
      </c>
      <c r="E137" s="3" t="s">
        <v>29</v>
      </c>
      <c r="F137" s="3" t="s">
        <v>30</v>
      </c>
      <c r="G137" s="17">
        <f>'JUNIO-18 '!I136</f>
        <v>4360</v>
      </c>
      <c r="H137" s="51"/>
      <c r="I137" s="17">
        <f t="shared" si="2"/>
        <v>4360</v>
      </c>
      <c r="J137" s="29"/>
      <c r="K137" s="28"/>
    </row>
    <row r="138" spans="1:11" ht="21">
      <c r="A138" s="38" t="s">
        <v>8</v>
      </c>
      <c r="B138" s="39" t="s">
        <v>117</v>
      </c>
      <c r="C138" s="39"/>
      <c r="D138" s="39" t="s">
        <v>94</v>
      </c>
      <c r="E138" s="39" t="s">
        <v>29</v>
      </c>
      <c r="F138" s="39" t="s">
        <v>30</v>
      </c>
      <c r="G138" s="17">
        <f>'JUNIO-18 '!I137</f>
        <v>66449.040000000023</v>
      </c>
      <c r="H138" s="95">
        <f>SUM(H127:H137)</f>
        <v>6402.2400000000007</v>
      </c>
      <c r="I138" s="40">
        <f>G138-H138+J138-K138</f>
        <v>60046.800000000025</v>
      </c>
      <c r="J138" s="107">
        <f>SUM(J127:J137)</f>
        <v>1000</v>
      </c>
      <c r="K138" s="107">
        <f>SUM(K127:K137)</f>
        <v>1000</v>
      </c>
    </row>
    <row r="139" spans="1:11">
      <c r="A139" s="4">
        <v>51101</v>
      </c>
      <c r="B139" s="2" t="s">
        <v>183</v>
      </c>
      <c r="C139" s="2"/>
      <c r="D139" s="3" t="s">
        <v>97</v>
      </c>
      <c r="E139" s="3" t="s">
        <v>29</v>
      </c>
      <c r="F139" s="3" t="s">
        <v>106</v>
      </c>
      <c r="G139" s="17">
        <f>'JUNIO-18 '!I138</f>
        <v>117138.69000000003</v>
      </c>
      <c r="H139" s="51">
        <v>16288.17</v>
      </c>
      <c r="I139" s="17">
        <f t="shared" si="2"/>
        <v>97850.520000000033</v>
      </c>
      <c r="J139" s="30"/>
      <c r="K139" s="35">
        <v>3000</v>
      </c>
    </row>
    <row r="140" spans="1:11">
      <c r="A140" s="4">
        <v>51103</v>
      </c>
      <c r="B140" s="2" t="s">
        <v>118</v>
      </c>
      <c r="C140" s="2"/>
      <c r="D140" s="3" t="s">
        <v>97</v>
      </c>
      <c r="E140" s="3" t="s">
        <v>29</v>
      </c>
      <c r="F140" s="3" t="s">
        <v>106</v>
      </c>
      <c r="G140" s="17">
        <f>'JUNIO-18 '!I139</f>
        <v>19385.310000000001</v>
      </c>
      <c r="H140" s="51"/>
      <c r="I140" s="248">
        <f>G140-H140+J140-K140</f>
        <v>19385.310000000001</v>
      </c>
      <c r="J140" s="30"/>
      <c r="K140" s="30"/>
    </row>
    <row r="141" spans="1:11">
      <c r="A141" s="4">
        <v>51107</v>
      </c>
      <c r="B141" s="2" t="s">
        <v>1169</v>
      </c>
      <c r="C141" s="2"/>
      <c r="D141" s="3" t="s">
        <v>97</v>
      </c>
      <c r="E141" s="3" t="s">
        <v>29</v>
      </c>
      <c r="F141" s="3" t="s">
        <v>30</v>
      </c>
      <c r="G141" s="17">
        <f>'JUNIO-18 '!I140</f>
        <v>1785.5</v>
      </c>
      <c r="H141" s="51">
        <f>50+50+50+50+50+50+700</f>
        <v>1000</v>
      </c>
      <c r="I141" s="17">
        <f t="shared" si="2"/>
        <v>3785.5</v>
      </c>
      <c r="J141" s="30">
        <v>3000</v>
      </c>
      <c r="K141" s="27"/>
    </row>
    <row r="142" spans="1:11">
      <c r="A142" s="4">
        <v>51201</v>
      </c>
      <c r="B142" s="2" t="s">
        <v>119</v>
      </c>
      <c r="C142" s="2"/>
      <c r="D142" s="3" t="s">
        <v>97</v>
      </c>
      <c r="E142" s="3" t="s">
        <v>29</v>
      </c>
      <c r="F142" s="3" t="s">
        <v>30</v>
      </c>
      <c r="G142" s="17">
        <f>'JUNIO-18 '!I141</f>
        <v>2179.17</v>
      </c>
      <c r="H142" s="51">
        <f>357.5+330+330+330+330</f>
        <v>1677.5</v>
      </c>
      <c r="I142" s="17">
        <f t="shared" si="2"/>
        <v>501.67000000000007</v>
      </c>
      <c r="J142" s="30"/>
      <c r="K142" s="277"/>
    </row>
    <row r="143" spans="1:11">
      <c r="A143" s="4">
        <v>51301</v>
      </c>
      <c r="B143" s="2" t="s">
        <v>45</v>
      </c>
      <c r="C143" s="2"/>
      <c r="D143" s="3" t="s">
        <v>97</v>
      </c>
      <c r="E143" s="3" t="s">
        <v>29</v>
      </c>
      <c r="F143" s="3" t="s">
        <v>106</v>
      </c>
      <c r="G143" s="17">
        <f>'JUNIO-18 '!I142</f>
        <v>595.92999999999893</v>
      </c>
      <c r="H143" s="51"/>
      <c r="I143" s="17">
        <f t="shared" si="2"/>
        <v>595.92999999999893</v>
      </c>
      <c r="J143" s="20"/>
      <c r="K143" s="35"/>
    </row>
    <row r="144" spans="1:11" ht="34.5" customHeight="1">
      <c r="A144" s="4">
        <v>51401</v>
      </c>
      <c r="B144" s="5" t="s">
        <v>139</v>
      </c>
      <c r="C144" s="2"/>
      <c r="D144" s="3" t="s">
        <v>97</v>
      </c>
      <c r="E144" s="3" t="s">
        <v>29</v>
      </c>
      <c r="F144" s="3" t="s">
        <v>106</v>
      </c>
      <c r="G144" s="17">
        <f>'JUNIO-18 '!I143</f>
        <v>5557.2600000000011</v>
      </c>
      <c r="H144" s="51">
        <f>69.3+1259.25</f>
        <v>1328.55</v>
      </c>
      <c r="I144" s="17">
        <f t="shared" si="2"/>
        <v>4228.7100000000009</v>
      </c>
      <c r="J144" s="35"/>
      <c r="K144" s="35"/>
    </row>
    <row r="145" spans="1:11" ht="45" customHeight="1">
      <c r="A145" s="4">
        <v>51501</v>
      </c>
      <c r="B145" s="5" t="s">
        <v>185</v>
      </c>
      <c r="C145" s="2"/>
      <c r="D145" s="3" t="s">
        <v>97</v>
      </c>
      <c r="E145" s="3" t="s">
        <v>29</v>
      </c>
      <c r="F145" s="3" t="s">
        <v>106</v>
      </c>
      <c r="G145" s="17">
        <f>'JUNIO-18 '!I144</f>
        <v>6779.5</v>
      </c>
      <c r="H145" s="51">
        <f>751.07+385.08</f>
        <v>1136.1500000000001</v>
      </c>
      <c r="I145" s="17">
        <f t="shared" si="2"/>
        <v>5643.35</v>
      </c>
      <c r="J145" s="35"/>
      <c r="K145" s="35"/>
    </row>
    <row r="146" spans="1:11" ht="20.25" customHeight="1">
      <c r="A146" s="4">
        <v>54110</v>
      </c>
      <c r="B146" s="5" t="s">
        <v>108</v>
      </c>
      <c r="C146" s="2"/>
      <c r="D146" s="3" t="s">
        <v>97</v>
      </c>
      <c r="E146" s="3" t="s">
        <v>29</v>
      </c>
      <c r="F146" s="3" t="s">
        <v>106</v>
      </c>
      <c r="G146" s="17">
        <f>'JUNIO-18 '!I145</f>
        <v>1</v>
      </c>
      <c r="H146" s="51"/>
      <c r="I146" s="17">
        <f t="shared" si="2"/>
        <v>1</v>
      </c>
      <c r="J146" s="35"/>
      <c r="K146" s="35"/>
    </row>
    <row r="147" spans="1:11">
      <c r="A147" s="4">
        <v>54121</v>
      </c>
      <c r="B147" s="2" t="s">
        <v>120</v>
      </c>
      <c r="C147" s="2"/>
      <c r="D147" s="3" t="s">
        <v>97</v>
      </c>
      <c r="E147" s="3" t="s">
        <v>29</v>
      </c>
      <c r="F147" s="3" t="s">
        <v>106</v>
      </c>
      <c r="G147" s="17">
        <f>'JUNIO-18 '!I146</f>
        <v>857</v>
      </c>
      <c r="H147" s="51">
        <v>200</v>
      </c>
      <c r="I147" s="18">
        <f t="shared" si="2"/>
        <v>657</v>
      </c>
      <c r="J147" s="35"/>
      <c r="K147" s="29"/>
    </row>
    <row r="148" spans="1:11">
      <c r="A148" s="4">
        <v>54301</v>
      </c>
      <c r="B148" s="2" t="s">
        <v>140</v>
      </c>
      <c r="C148" s="2"/>
      <c r="D148" s="3" t="s">
        <v>97</v>
      </c>
      <c r="E148" s="3" t="s">
        <v>29</v>
      </c>
      <c r="F148" s="3" t="s">
        <v>106</v>
      </c>
      <c r="G148" s="17">
        <f>'JUNIO-18 '!I147</f>
        <v>1</v>
      </c>
      <c r="H148" s="51"/>
      <c r="I148" s="17">
        <f t="shared" si="2"/>
        <v>1</v>
      </c>
      <c r="J148" s="35"/>
      <c r="K148" s="29"/>
    </row>
    <row r="149" spans="1:11">
      <c r="A149" s="4">
        <v>54302</v>
      </c>
      <c r="B149" s="2" t="s">
        <v>121</v>
      </c>
      <c r="C149" s="2"/>
      <c r="D149" s="3" t="s">
        <v>122</v>
      </c>
      <c r="E149" s="3" t="s">
        <v>29</v>
      </c>
      <c r="F149" s="3" t="s">
        <v>30</v>
      </c>
      <c r="G149" s="17">
        <f>'JUNIO-18 '!I148</f>
        <v>1</v>
      </c>
      <c r="H149" s="51"/>
      <c r="I149" s="17">
        <f t="shared" si="2"/>
        <v>1</v>
      </c>
      <c r="J149" s="35"/>
      <c r="K149" s="29"/>
    </row>
    <row r="150" spans="1:11" ht="45">
      <c r="A150" s="4">
        <v>54501</v>
      </c>
      <c r="B150" s="7" t="s">
        <v>1055</v>
      </c>
      <c r="C150" s="2"/>
      <c r="D150" s="3" t="s">
        <v>122</v>
      </c>
      <c r="E150" s="3" t="s">
        <v>29</v>
      </c>
      <c r="F150" s="3" t="s">
        <v>30</v>
      </c>
      <c r="G150" s="17">
        <f>'JUNIO-18 '!I149</f>
        <v>25</v>
      </c>
      <c r="H150" s="51"/>
      <c r="I150" s="17">
        <f>G150-H150+J150-K150</f>
        <v>25</v>
      </c>
      <c r="J150" s="22"/>
      <c r="K150" s="29"/>
    </row>
    <row r="151" spans="1:11" ht="21">
      <c r="A151" s="38" t="s">
        <v>8</v>
      </c>
      <c r="B151" s="39" t="s">
        <v>123</v>
      </c>
      <c r="C151" s="39"/>
      <c r="D151" s="39" t="s">
        <v>97</v>
      </c>
      <c r="E151" s="39" t="s">
        <v>29</v>
      </c>
      <c r="F151" s="39" t="s">
        <v>30</v>
      </c>
      <c r="G151" s="17">
        <f>'JUNIO-18 '!I150</f>
        <v>154306.36000000004</v>
      </c>
      <c r="H151" s="95">
        <f>SUM(H139:H150)</f>
        <v>21630.37</v>
      </c>
      <c r="I151" s="40">
        <f>G151-H151+J151-K151</f>
        <v>132675.99000000005</v>
      </c>
      <c r="J151" s="107">
        <f>SUM(J141:J150)</f>
        <v>3000</v>
      </c>
      <c r="K151" s="107">
        <f>SUM(K139:K150)</f>
        <v>3000</v>
      </c>
    </row>
    <row r="152" spans="1:11">
      <c r="A152" s="1">
        <v>54305</v>
      </c>
      <c r="B152" s="2" t="s">
        <v>0</v>
      </c>
      <c r="C152" s="2"/>
      <c r="D152" s="3" t="s">
        <v>1</v>
      </c>
      <c r="E152" s="3" t="s">
        <v>25</v>
      </c>
      <c r="F152" s="3" t="s">
        <v>26</v>
      </c>
      <c r="G152" s="17">
        <f>'JUNIO-18 '!I151</f>
        <v>1500</v>
      </c>
      <c r="H152" s="51"/>
      <c r="I152" s="17">
        <f t="shared" ref="I152:I278" si="3">G152-H152+J152-K152</f>
        <v>1500</v>
      </c>
      <c r="J152" s="37"/>
      <c r="K152" s="36"/>
    </row>
    <row r="153" spans="1:11" ht="30.75" customHeight="1">
      <c r="A153" s="4">
        <v>54313</v>
      </c>
      <c r="B153" s="5" t="s">
        <v>2</v>
      </c>
      <c r="C153" s="5"/>
      <c r="D153" s="3" t="s">
        <v>1</v>
      </c>
      <c r="E153" s="3" t="s">
        <v>25</v>
      </c>
      <c r="F153" s="3" t="s">
        <v>26</v>
      </c>
      <c r="G153" s="17">
        <f>'JUNIO-18 '!I152</f>
        <v>1246.32</v>
      </c>
      <c r="H153" s="51"/>
      <c r="I153" s="17">
        <f t="shared" si="3"/>
        <v>1246.32</v>
      </c>
      <c r="J153" s="37"/>
      <c r="K153" s="36"/>
    </row>
    <row r="154" spans="1:11">
      <c r="A154" s="4">
        <v>54503</v>
      </c>
      <c r="B154" s="5" t="s">
        <v>3</v>
      </c>
      <c r="C154" s="2"/>
      <c r="D154" s="3" t="s">
        <v>1</v>
      </c>
      <c r="E154" s="3" t="s">
        <v>25</v>
      </c>
      <c r="F154" s="3" t="s">
        <v>26</v>
      </c>
      <c r="G154" s="17">
        <f>'JUNIO-18 '!I153</f>
        <v>2000</v>
      </c>
      <c r="H154" s="51"/>
      <c r="I154" s="17">
        <f t="shared" si="3"/>
        <v>2000</v>
      </c>
      <c r="J154" s="37"/>
      <c r="K154" s="36"/>
    </row>
    <row r="155" spans="1:11">
      <c r="A155" s="4">
        <v>54505</v>
      </c>
      <c r="B155" s="2" t="s">
        <v>4</v>
      </c>
      <c r="C155" s="2"/>
      <c r="D155" s="3" t="s">
        <v>1</v>
      </c>
      <c r="E155" s="3" t="s">
        <v>25</v>
      </c>
      <c r="F155" s="3" t="s">
        <v>27</v>
      </c>
      <c r="G155" s="17">
        <f>'JUNIO-18 '!I154</f>
        <v>2000</v>
      </c>
      <c r="H155" s="51"/>
      <c r="I155" s="17">
        <f t="shared" si="3"/>
        <v>2000</v>
      </c>
      <c r="J155" s="37"/>
      <c r="K155" s="36"/>
    </row>
    <row r="156" spans="1:11" ht="30">
      <c r="A156" s="11">
        <v>54599</v>
      </c>
      <c r="B156" s="54" t="s">
        <v>5</v>
      </c>
      <c r="C156" s="68"/>
      <c r="D156" s="14" t="s">
        <v>1</v>
      </c>
      <c r="E156" s="14" t="s">
        <v>25</v>
      </c>
      <c r="F156" s="14" t="s">
        <v>27</v>
      </c>
      <c r="G156" s="17">
        <f>'JUNIO-18 '!I155</f>
        <v>367.60999999999967</v>
      </c>
      <c r="H156" s="51"/>
      <c r="I156" s="17">
        <f t="shared" si="3"/>
        <v>367.60999999999967</v>
      </c>
      <c r="J156" s="62"/>
      <c r="K156" s="63"/>
    </row>
    <row r="157" spans="1:11">
      <c r="A157" s="11">
        <v>55603</v>
      </c>
      <c r="B157" s="54" t="s">
        <v>6</v>
      </c>
      <c r="C157" s="55"/>
      <c r="D157" s="14" t="s">
        <v>1</v>
      </c>
      <c r="E157" s="14" t="s">
        <v>25</v>
      </c>
      <c r="F157" s="14" t="s">
        <v>26</v>
      </c>
      <c r="G157" s="17">
        <f>'JUNIO-18 '!I156</f>
        <v>98.7</v>
      </c>
      <c r="H157" s="51">
        <v>1.3</v>
      </c>
      <c r="I157" s="17">
        <f t="shared" si="3"/>
        <v>97.4</v>
      </c>
      <c r="J157" s="64"/>
      <c r="K157" s="65"/>
    </row>
    <row r="158" spans="1:11" ht="26.25">
      <c r="A158" s="4">
        <v>61599</v>
      </c>
      <c r="B158" s="5" t="s">
        <v>7</v>
      </c>
      <c r="C158" s="5"/>
      <c r="D158" s="3" t="s">
        <v>1</v>
      </c>
      <c r="E158" s="3" t="s">
        <v>25</v>
      </c>
      <c r="F158" s="3" t="s">
        <v>26</v>
      </c>
      <c r="G158" s="17">
        <f>'JUNIO-18 '!I157</f>
        <v>1333.34</v>
      </c>
      <c r="H158" s="51"/>
      <c r="I158" s="17">
        <f t="shared" si="3"/>
        <v>1333.34</v>
      </c>
      <c r="J158" s="37"/>
      <c r="K158" s="36"/>
    </row>
    <row r="159" spans="1:11" ht="21">
      <c r="A159" s="38" t="s">
        <v>8</v>
      </c>
      <c r="B159" s="39" t="s">
        <v>9</v>
      </c>
      <c r="C159" s="39"/>
      <c r="D159" s="39" t="s">
        <v>1</v>
      </c>
      <c r="E159" s="39" t="s">
        <v>25</v>
      </c>
      <c r="F159" s="39" t="s">
        <v>27</v>
      </c>
      <c r="G159" s="17">
        <f>'JUNIO-18 '!I158</f>
        <v>8545.9699999999993</v>
      </c>
      <c r="H159" s="95">
        <f>SUM(H152:H158)</f>
        <v>1.3</v>
      </c>
      <c r="I159" s="40">
        <f>G159-H159+J159-K159</f>
        <v>8544.67</v>
      </c>
      <c r="J159" s="40"/>
      <c r="K159" s="40"/>
    </row>
    <row r="160" spans="1:11" ht="28.5" customHeight="1">
      <c r="A160" s="367">
        <v>54104</v>
      </c>
      <c r="B160" s="7" t="s">
        <v>186</v>
      </c>
      <c r="C160" s="6"/>
      <c r="D160" s="3" t="s">
        <v>11</v>
      </c>
      <c r="E160" s="3" t="s">
        <v>25</v>
      </c>
      <c r="F160" s="3" t="s">
        <v>26</v>
      </c>
      <c r="G160" s="17">
        <f>'JUNIO-18 '!I159</f>
        <v>3000</v>
      </c>
      <c r="H160" s="51"/>
      <c r="I160" s="17">
        <f t="shared" si="3"/>
        <v>3000</v>
      </c>
      <c r="J160" s="37"/>
      <c r="K160" s="36"/>
    </row>
    <row r="161" spans="1:11" ht="44.25" customHeight="1">
      <c r="A161" s="4">
        <v>54117</v>
      </c>
      <c r="B161" s="7" t="s">
        <v>187</v>
      </c>
      <c r="C161" s="6"/>
      <c r="D161" s="3" t="s">
        <v>11</v>
      </c>
      <c r="E161" s="3" t="s">
        <v>25</v>
      </c>
      <c r="F161" s="3" t="s">
        <v>26</v>
      </c>
      <c r="G161" s="17">
        <f>'JUNIO-18 '!I160</f>
        <v>1500</v>
      </c>
      <c r="H161" s="51"/>
      <c r="I161" s="17">
        <f t="shared" si="3"/>
        <v>1500</v>
      </c>
      <c r="J161" s="37"/>
      <c r="K161" s="36"/>
    </row>
    <row r="162" spans="1:11" ht="30.75" customHeight="1">
      <c r="A162" s="4">
        <v>55603</v>
      </c>
      <c r="B162" s="5" t="s">
        <v>13</v>
      </c>
      <c r="C162" s="6"/>
      <c r="D162" s="3" t="s">
        <v>11</v>
      </c>
      <c r="E162" s="3" t="s">
        <v>25</v>
      </c>
      <c r="F162" s="3" t="s">
        <v>26</v>
      </c>
      <c r="G162" s="17">
        <f>'JUNIO-18 '!I161</f>
        <v>918.78000000000009</v>
      </c>
      <c r="H162" s="51"/>
      <c r="I162" s="17">
        <f t="shared" si="3"/>
        <v>918.78000000000009</v>
      </c>
      <c r="J162" s="37"/>
      <c r="K162" s="36"/>
    </row>
    <row r="163" spans="1:11" ht="30.75" customHeight="1">
      <c r="A163" s="66" t="s">
        <v>14</v>
      </c>
      <c r="B163" s="67" t="s">
        <v>188</v>
      </c>
      <c r="C163" s="55"/>
      <c r="D163" s="14" t="s">
        <v>11</v>
      </c>
      <c r="E163" s="14" t="s">
        <v>25</v>
      </c>
      <c r="F163" s="50" t="s">
        <v>26</v>
      </c>
      <c r="G163" s="17">
        <f>'JUNIO-18 '!I162</f>
        <v>7841.01</v>
      </c>
      <c r="H163" s="51">
        <f>1800+3458</f>
        <v>5258</v>
      </c>
      <c r="I163" s="50">
        <f t="shared" si="3"/>
        <v>2583.0100000000002</v>
      </c>
      <c r="J163" s="65"/>
      <c r="K163" s="54"/>
    </row>
    <row r="164" spans="1:11" ht="36.75" customHeight="1">
      <c r="A164" s="11">
        <v>61104</v>
      </c>
      <c r="B164" s="54" t="s">
        <v>189</v>
      </c>
      <c r="C164" s="55"/>
      <c r="D164" s="14" t="s">
        <v>11</v>
      </c>
      <c r="E164" s="14" t="s">
        <v>25</v>
      </c>
      <c r="F164" s="14" t="s">
        <v>27</v>
      </c>
      <c r="G164" s="17">
        <f>'JUNIO-18 '!I163</f>
        <v>1915.8500000000004</v>
      </c>
      <c r="H164" s="51">
        <f>689.99+336</f>
        <v>1025.99</v>
      </c>
      <c r="I164" s="17">
        <f t="shared" si="3"/>
        <v>889.86000000000035</v>
      </c>
      <c r="J164" s="62"/>
      <c r="K164" s="320"/>
    </row>
    <row r="165" spans="1:11" ht="31.5" customHeight="1">
      <c r="A165" s="11">
        <v>61109</v>
      </c>
      <c r="B165" s="54" t="s">
        <v>190</v>
      </c>
      <c r="C165" s="55"/>
      <c r="D165" s="14" t="s">
        <v>11</v>
      </c>
      <c r="E165" s="14" t="s">
        <v>25</v>
      </c>
      <c r="F165" s="14" t="s">
        <v>26</v>
      </c>
      <c r="G165" s="17">
        <f>'JUNIO-18 '!I164</f>
        <v>2000</v>
      </c>
      <c r="H165" s="51"/>
      <c r="I165" s="17">
        <f t="shared" si="3"/>
        <v>2000</v>
      </c>
      <c r="J165" s="62"/>
      <c r="K165" s="320"/>
    </row>
    <row r="166" spans="1:11" ht="30.75" customHeight="1">
      <c r="A166" s="11" t="s">
        <v>160</v>
      </c>
      <c r="B166" s="54" t="s">
        <v>194</v>
      </c>
      <c r="C166" s="55"/>
      <c r="D166" s="14" t="s">
        <v>11</v>
      </c>
      <c r="E166" s="14" t="s">
        <v>25</v>
      </c>
      <c r="F166" s="14" t="s">
        <v>26</v>
      </c>
      <c r="G166" s="17">
        <f>'JUNIO-18 '!I165</f>
        <v>0</v>
      </c>
      <c r="H166" s="51"/>
      <c r="I166" s="17">
        <f t="shared" si="3"/>
        <v>0</v>
      </c>
      <c r="J166" s="62"/>
      <c r="K166" s="63"/>
    </row>
    <row r="167" spans="1:11" ht="27.75" customHeight="1">
      <c r="A167" s="11" t="s">
        <v>191</v>
      </c>
      <c r="B167" s="54" t="s">
        <v>195</v>
      </c>
      <c r="C167" s="55"/>
      <c r="D167" s="14" t="s">
        <v>11</v>
      </c>
      <c r="E167" s="14" t="s">
        <v>25</v>
      </c>
      <c r="F167" s="14" t="s">
        <v>26</v>
      </c>
      <c r="G167" s="17">
        <f>'JUNIO-18 '!I166</f>
        <v>15000</v>
      </c>
      <c r="H167" s="51"/>
      <c r="I167" s="17">
        <f t="shared" si="3"/>
        <v>15000</v>
      </c>
      <c r="J167" s="64"/>
      <c r="K167" s="65"/>
    </row>
    <row r="168" spans="1:11" ht="31.5" customHeight="1">
      <c r="A168" s="11" t="s">
        <v>192</v>
      </c>
      <c r="B168" s="53" t="s">
        <v>196</v>
      </c>
      <c r="C168" s="8"/>
      <c r="D168" s="3" t="s">
        <v>11</v>
      </c>
      <c r="E168" s="3" t="s">
        <v>25</v>
      </c>
      <c r="F168" s="3" t="s">
        <v>26</v>
      </c>
      <c r="G168" s="17">
        <f>'JUNIO-18 '!I167</f>
        <v>10000</v>
      </c>
      <c r="H168" s="51"/>
      <c r="I168" s="17">
        <f t="shared" si="3"/>
        <v>10000</v>
      </c>
      <c r="J168" s="45"/>
      <c r="K168" s="46"/>
    </row>
    <row r="169" spans="1:11" ht="45" customHeight="1">
      <c r="A169" s="11" t="s">
        <v>193</v>
      </c>
      <c r="B169" s="53" t="s">
        <v>197</v>
      </c>
      <c r="C169" s="8"/>
      <c r="D169" s="3" t="s">
        <v>11</v>
      </c>
      <c r="E169" s="3" t="s">
        <v>25</v>
      </c>
      <c r="F169" s="3" t="s">
        <v>26</v>
      </c>
      <c r="G169" s="17">
        <f>'JUNIO-18 '!I168</f>
        <v>10000</v>
      </c>
      <c r="H169" s="51"/>
      <c r="I169" s="17">
        <f t="shared" si="3"/>
        <v>10000</v>
      </c>
      <c r="J169" s="45"/>
      <c r="K169" s="46"/>
    </row>
    <row r="170" spans="1:11" ht="42.75" customHeight="1">
      <c r="A170" s="11" t="s">
        <v>198</v>
      </c>
      <c r="B170" s="53" t="s">
        <v>1029</v>
      </c>
      <c r="C170" s="6"/>
      <c r="D170" s="3" t="s">
        <v>11</v>
      </c>
      <c r="E170" s="3" t="s">
        <v>25</v>
      </c>
      <c r="F170" s="3" t="s">
        <v>26</v>
      </c>
      <c r="G170" s="17">
        <f>'JUNIO-18 '!I169</f>
        <v>14000</v>
      </c>
      <c r="H170" s="51"/>
      <c r="I170" s="17">
        <f t="shared" si="3"/>
        <v>14000</v>
      </c>
      <c r="J170" s="45"/>
      <c r="K170" s="46"/>
    </row>
    <row r="171" spans="1:11" ht="85.5">
      <c r="A171" s="144" t="s">
        <v>200</v>
      </c>
      <c r="B171" s="54" t="s">
        <v>202</v>
      </c>
      <c r="C171" s="343" t="s">
        <v>1096</v>
      </c>
      <c r="D171" s="14" t="s">
        <v>11</v>
      </c>
      <c r="E171" s="14" t="s">
        <v>25</v>
      </c>
      <c r="F171" s="14" t="s">
        <v>26</v>
      </c>
      <c r="G171" s="17">
        <f>'JUNIO-18 '!I170</f>
        <v>0</v>
      </c>
      <c r="H171" s="51"/>
      <c r="I171" s="17">
        <f t="shared" si="3"/>
        <v>0</v>
      </c>
      <c r="J171" s="64"/>
      <c r="K171" s="261"/>
    </row>
    <row r="172" spans="1:11" ht="36.75" customHeight="1">
      <c r="A172" s="11" t="s">
        <v>556</v>
      </c>
      <c r="B172" s="145" t="s">
        <v>1030</v>
      </c>
      <c r="C172" s="55" t="s">
        <v>1097</v>
      </c>
      <c r="D172" s="14" t="s">
        <v>11</v>
      </c>
      <c r="E172" s="14" t="s">
        <v>25</v>
      </c>
      <c r="F172" s="14" t="s">
        <v>26</v>
      </c>
      <c r="G172" s="17">
        <f>'JUNIO-18 '!I171</f>
        <v>1780.8999999999996</v>
      </c>
      <c r="H172" s="51">
        <f>233.33+233.38+233.38</f>
        <v>700.09</v>
      </c>
      <c r="I172" s="17">
        <f t="shared" si="3"/>
        <v>1080.8099999999995</v>
      </c>
      <c r="J172" s="108"/>
      <c r="K172" s="65"/>
    </row>
    <row r="173" spans="1:11" ht="36.75" customHeight="1">
      <c r="A173" s="144" t="s">
        <v>1038</v>
      </c>
      <c r="B173" s="250" t="s">
        <v>1007</v>
      </c>
      <c r="C173" s="55" t="s">
        <v>1097</v>
      </c>
      <c r="D173" s="14" t="s">
        <v>11</v>
      </c>
      <c r="E173" s="14" t="s">
        <v>25</v>
      </c>
      <c r="F173" s="14" t="s">
        <v>26</v>
      </c>
      <c r="G173" s="17">
        <f>'JUNIO-18 '!I172</f>
        <v>7995</v>
      </c>
      <c r="H173" s="51">
        <f>350+315</f>
        <v>665</v>
      </c>
      <c r="I173" s="17">
        <f t="shared" si="3"/>
        <v>6982.5</v>
      </c>
      <c r="J173" s="108"/>
      <c r="K173" s="269">
        <v>347.5</v>
      </c>
    </row>
    <row r="174" spans="1:11" ht="36" customHeight="1">
      <c r="A174" s="144" t="s">
        <v>1138</v>
      </c>
      <c r="B174" s="250" t="s">
        <v>1139</v>
      </c>
      <c r="C174" s="55" t="s">
        <v>1097</v>
      </c>
      <c r="D174" s="14" t="s">
        <v>11</v>
      </c>
      <c r="E174" s="14" t="s">
        <v>25</v>
      </c>
      <c r="F174" s="14" t="s">
        <v>26</v>
      </c>
      <c r="G174" s="17"/>
      <c r="H174" s="51">
        <v>44</v>
      </c>
      <c r="I174" s="17">
        <f t="shared" si="3"/>
        <v>256</v>
      </c>
      <c r="J174" s="108">
        <v>300</v>
      </c>
      <c r="K174" s="269"/>
    </row>
    <row r="175" spans="1:11" ht="38.25" customHeight="1">
      <c r="A175" s="144" t="s">
        <v>571</v>
      </c>
      <c r="B175" s="250" t="s">
        <v>1067</v>
      </c>
      <c r="C175" s="55" t="s">
        <v>1097</v>
      </c>
      <c r="D175" s="14" t="s">
        <v>11</v>
      </c>
      <c r="E175" s="14" t="s">
        <v>25</v>
      </c>
      <c r="F175" s="14" t="s">
        <v>26</v>
      </c>
      <c r="G175" s="17">
        <f>'JUNIO-18 '!I173</f>
        <v>152.5</v>
      </c>
      <c r="H175" s="51">
        <v>198.21</v>
      </c>
      <c r="I175" s="17">
        <f t="shared" si="3"/>
        <v>1.789999999999992</v>
      </c>
      <c r="J175" s="108">
        <v>47.5</v>
      </c>
      <c r="K175" s="269"/>
    </row>
    <row r="176" spans="1:11" ht="40.5" customHeight="1">
      <c r="A176" s="144" t="s">
        <v>969</v>
      </c>
      <c r="B176" s="145" t="s">
        <v>1039</v>
      </c>
      <c r="C176" s="55" t="s">
        <v>1097</v>
      </c>
      <c r="D176" s="14" t="s">
        <v>11</v>
      </c>
      <c r="E176" s="14" t="s">
        <v>25</v>
      </c>
      <c r="F176" s="14" t="s">
        <v>26</v>
      </c>
      <c r="G176" s="17">
        <f>'JUNIO-18 '!I174</f>
        <v>-3.6500000000000004</v>
      </c>
      <c r="H176" s="51"/>
      <c r="I176" s="17">
        <f t="shared" si="3"/>
        <v>-3.6500000000000004</v>
      </c>
      <c r="J176" s="108"/>
      <c r="K176" s="65"/>
    </row>
    <row r="177" spans="1:11" ht="106.5">
      <c r="A177" s="144" t="s">
        <v>201</v>
      </c>
      <c r="B177" s="54" t="s">
        <v>204</v>
      </c>
      <c r="C177" s="343" t="s">
        <v>1098</v>
      </c>
      <c r="D177" s="14" t="s">
        <v>11</v>
      </c>
      <c r="E177" s="14" t="s">
        <v>25</v>
      </c>
      <c r="F177" s="14" t="s">
        <v>26</v>
      </c>
      <c r="G177" s="17">
        <f>'JUNIO-18 '!I175</f>
        <v>0</v>
      </c>
      <c r="H177" s="51"/>
      <c r="I177" s="17">
        <f t="shared" si="3"/>
        <v>0</v>
      </c>
      <c r="J177" s="62"/>
      <c r="K177" s="63"/>
    </row>
    <row r="178" spans="1:11" ht="19.5" customHeight="1">
      <c r="A178" s="11" t="s">
        <v>203</v>
      </c>
      <c r="B178" s="145" t="s">
        <v>206</v>
      </c>
      <c r="C178" s="55" t="s">
        <v>1099</v>
      </c>
      <c r="D178" s="14" t="s">
        <v>11</v>
      </c>
      <c r="E178" s="14" t="s">
        <v>25</v>
      </c>
      <c r="F178" s="14" t="s">
        <v>26</v>
      </c>
      <c r="G178" s="17">
        <f>'JUNIO-18 '!I176</f>
        <v>3425.5299999999993</v>
      </c>
      <c r="H178" s="51">
        <f>233.33+233.38+233.38</f>
        <v>700.09</v>
      </c>
      <c r="I178" s="17">
        <f t="shared" si="3"/>
        <v>2725.4399999999991</v>
      </c>
      <c r="J178" s="64"/>
      <c r="K178" s="65"/>
    </row>
    <row r="179" spans="1:11" ht="36">
      <c r="A179" s="11" t="s">
        <v>1041</v>
      </c>
      <c r="B179" s="145" t="s">
        <v>1042</v>
      </c>
      <c r="C179" s="55" t="s">
        <v>1099</v>
      </c>
      <c r="D179" s="14" t="s">
        <v>11</v>
      </c>
      <c r="E179" s="14" t="s">
        <v>25</v>
      </c>
      <c r="F179" s="14" t="s">
        <v>26</v>
      </c>
      <c r="G179" s="17">
        <f>'JUNIO-18 '!I177</f>
        <v>0</v>
      </c>
      <c r="H179" s="51"/>
      <c r="I179" s="17">
        <f t="shared" si="3"/>
        <v>0</v>
      </c>
      <c r="J179" s="108"/>
      <c r="K179" s="65"/>
    </row>
    <row r="180" spans="1:11" ht="20.25" customHeight="1">
      <c r="A180" s="11" t="s">
        <v>205</v>
      </c>
      <c r="B180" s="145" t="s">
        <v>207</v>
      </c>
      <c r="C180" s="55" t="s">
        <v>1099</v>
      </c>
      <c r="D180" s="14" t="s">
        <v>11</v>
      </c>
      <c r="E180" s="14" t="s">
        <v>25</v>
      </c>
      <c r="F180" s="14" t="s">
        <v>26</v>
      </c>
      <c r="G180" s="17">
        <f>'JUNIO-18 '!I178</f>
        <v>200</v>
      </c>
      <c r="H180" s="51"/>
      <c r="I180" s="17">
        <f t="shared" si="3"/>
        <v>200</v>
      </c>
      <c r="J180" s="64"/>
      <c r="K180" s="65"/>
    </row>
    <row r="181" spans="1:11" ht="36">
      <c r="A181" s="11" t="s">
        <v>208</v>
      </c>
      <c r="B181" s="145" t="s">
        <v>209</v>
      </c>
      <c r="C181" s="55" t="s">
        <v>1099</v>
      </c>
      <c r="D181" s="14" t="s">
        <v>11</v>
      </c>
      <c r="E181" s="14" t="s">
        <v>25</v>
      </c>
      <c r="F181" s="14" t="s">
        <v>26</v>
      </c>
      <c r="G181" s="17">
        <f>'JUNIO-18 '!I179</f>
        <v>22552.799999999999</v>
      </c>
      <c r="H181" s="51">
        <f>5045.39+1873.5</f>
        <v>6918.89</v>
      </c>
      <c r="I181" s="17">
        <f t="shared" si="3"/>
        <v>14633.91</v>
      </c>
      <c r="J181" s="64"/>
      <c r="K181" s="269">
        <v>1000</v>
      </c>
    </row>
    <row r="182" spans="1:11" ht="24">
      <c r="A182" s="11" t="s">
        <v>210</v>
      </c>
      <c r="B182" s="145" t="s">
        <v>211</v>
      </c>
      <c r="C182" s="55" t="s">
        <v>1099</v>
      </c>
      <c r="D182" s="14" t="s">
        <v>11</v>
      </c>
      <c r="E182" s="14" t="s">
        <v>25</v>
      </c>
      <c r="F182" s="14" t="s">
        <v>26</v>
      </c>
      <c r="G182" s="17">
        <f>'JUNIO-18 '!I180</f>
        <v>3301</v>
      </c>
      <c r="H182" s="276">
        <f>2931+941.75</f>
        <v>3872.75</v>
      </c>
      <c r="I182" s="18">
        <f t="shared" si="3"/>
        <v>1428.25</v>
      </c>
      <c r="J182" s="108">
        <v>2000</v>
      </c>
      <c r="K182" s="65"/>
    </row>
    <row r="183" spans="1:11" ht="34.5" customHeight="1">
      <c r="A183" s="11" t="s">
        <v>212</v>
      </c>
      <c r="B183" s="145" t="s">
        <v>213</v>
      </c>
      <c r="C183" s="55" t="s">
        <v>1099</v>
      </c>
      <c r="D183" s="3" t="s">
        <v>11</v>
      </c>
      <c r="E183" s="3" t="s">
        <v>25</v>
      </c>
      <c r="F183" s="3" t="s">
        <v>26</v>
      </c>
      <c r="G183" s="17">
        <f>'JUNIO-18 '!I181</f>
        <v>338.20000000000005</v>
      </c>
      <c r="H183" s="51">
        <f>201+52.11</f>
        <v>253.11</v>
      </c>
      <c r="I183" s="17">
        <f t="shared" si="3"/>
        <v>85.090000000000032</v>
      </c>
      <c r="J183" s="45"/>
      <c r="K183" s="46"/>
    </row>
    <row r="184" spans="1:11" ht="34.5" customHeight="1">
      <c r="A184" s="11" t="s">
        <v>1143</v>
      </c>
      <c r="B184" s="145" t="s">
        <v>1140</v>
      </c>
      <c r="C184" s="55" t="s">
        <v>1099</v>
      </c>
      <c r="D184" s="3" t="s">
        <v>11</v>
      </c>
      <c r="E184" s="3" t="s">
        <v>25</v>
      </c>
      <c r="F184" s="3" t="s">
        <v>26</v>
      </c>
      <c r="G184" s="17">
        <v>0</v>
      </c>
      <c r="H184" s="51">
        <v>230</v>
      </c>
      <c r="I184" s="17">
        <f t="shared" si="3"/>
        <v>270</v>
      </c>
      <c r="J184" s="126">
        <v>500</v>
      </c>
      <c r="K184" s="46"/>
    </row>
    <row r="185" spans="1:11" ht="37.5" customHeight="1">
      <c r="A185" s="11" t="s">
        <v>1043</v>
      </c>
      <c r="B185" s="145" t="s">
        <v>1044</v>
      </c>
      <c r="C185" s="55" t="s">
        <v>1099</v>
      </c>
      <c r="D185" s="3" t="s">
        <v>11</v>
      </c>
      <c r="E185" s="3" t="s">
        <v>25</v>
      </c>
      <c r="F185" s="3" t="s">
        <v>26</v>
      </c>
      <c r="G185" s="17">
        <f>'JUNIO-18 '!I182</f>
        <v>1.8099999999999454</v>
      </c>
      <c r="H185" s="51"/>
      <c r="I185" s="17">
        <f t="shared" si="3"/>
        <v>1.8099999999999454</v>
      </c>
      <c r="J185" s="126"/>
      <c r="K185" s="46"/>
    </row>
    <row r="186" spans="1:11" ht="28.5" customHeight="1">
      <c r="A186" s="11" t="s">
        <v>215</v>
      </c>
      <c r="B186" s="145" t="s">
        <v>214</v>
      </c>
      <c r="C186" s="55" t="s">
        <v>1099</v>
      </c>
      <c r="D186" s="3" t="s">
        <v>11</v>
      </c>
      <c r="E186" s="3" t="s">
        <v>25</v>
      </c>
      <c r="F186" s="3" t="s">
        <v>26</v>
      </c>
      <c r="G186" s="17">
        <f>'JUNIO-18 '!I183</f>
        <v>5000</v>
      </c>
      <c r="H186" s="51">
        <v>85</v>
      </c>
      <c r="I186" s="17">
        <f t="shared" si="3"/>
        <v>4915</v>
      </c>
      <c r="J186" s="45"/>
      <c r="K186" s="46"/>
    </row>
    <row r="187" spans="1:11" ht="27.75" customHeight="1">
      <c r="A187" s="11" t="s">
        <v>216</v>
      </c>
      <c r="B187" s="145" t="s">
        <v>217</v>
      </c>
      <c r="C187" s="55" t="s">
        <v>1099</v>
      </c>
      <c r="D187" s="3" t="s">
        <v>11</v>
      </c>
      <c r="E187" s="3" t="s">
        <v>25</v>
      </c>
      <c r="F187" s="3" t="s">
        <v>26</v>
      </c>
      <c r="G187" s="17">
        <f>'JUNIO-18 '!I184</f>
        <v>9400</v>
      </c>
      <c r="H187" s="51">
        <f>135.1</f>
        <v>135.1</v>
      </c>
      <c r="I187" s="17">
        <f t="shared" si="3"/>
        <v>7764.9</v>
      </c>
      <c r="J187" s="126"/>
      <c r="K187" s="270">
        <v>1500</v>
      </c>
    </row>
    <row r="188" spans="1:11" ht="36" customHeight="1">
      <c r="A188" s="11" t="s">
        <v>218</v>
      </c>
      <c r="B188" s="145" t="s">
        <v>219</v>
      </c>
      <c r="C188" s="55" t="s">
        <v>1099</v>
      </c>
      <c r="D188" s="3" t="s">
        <v>11</v>
      </c>
      <c r="E188" s="3" t="s">
        <v>25</v>
      </c>
      <c r="F188" s="3" t="s">
        <v>26</v>
      </c>
      <c r="G188" s="17">
        <f>'JUNIO-18 '!I185</f>
        <v>42.65</v>
      </c>
      <c r="H188" s="51"/>
      <c r="I188" s="17">
        <f t="shared" si="3"/>
        <v>42.65</v>
      </c>
      <c r="J188" s="45"/>
      <c r="K188" s="46"/>
    </row>
    <row r="189" spans="1:11" ht="111.75" customHeight="1">
      <c r="A189" s="144" t="s">
        <v>220</v>
      </c>
      <c r="B189" s="54" t="s">
        <v>221</v>
      </c>
      <c r="C189" s="343" t="s">
        <v>1100</v>
      </c>
      <c r="D189" s="3"/>
      <c r="E189" s="3"/>
      <c r="F189" s="3"/>
      <c r="G189" s="17">
        <f>'JUNIO-18 '!I186</f>
        <v>0</v>
      </c>
      <c r="H189" s="51"/>
      <c r="I189" s="17"/>
      <c r="J189" s="45"/>
      <c r="K189" s="46"/>
    </row>
    <row r="190" spans="1:11" ht="18" customHeight="1">
      <c r="A190" s="11" t="s">
        <v>222</v>
      </c>
      <c r="B190" s="145" t="s">
        <v>223</v>
      </c>
      <c r="C190" s="55" t="s">
        <v>1101</v>
      </c>
      <c r="D190" s="3" t="s">
        <v>11</v>
      </c>
      <c r="E190" s="3" t="s">
        <v>25</v>
      </c>
      <c r="F190" s="3" t="s">
        <v>26</v>
      </c>
      <c r="G190" s="17">
        <f>'JUNIO-18 '!I187</f>
        <v>8302.15</v>
      </c>
      <c r="H190" s="51">
        <f>233.33+233.38+233.38</f>
        <v>700.09</v>
      </c>
      <c r="I190" s="17">
        <f t="shared" si="3"/>
        <v>7602.0599999999995</v>
      </c>
      <c r="J190" s="126"/>
      <c r="K190" s="46"/>
    </row>
    <row r="191" spans="1:11" ht="15.75" customHeight="1">
      <c r="A191" s="11" t="s">
        <v>225</v>
      </c>
      <c r="B191" s="145" t="s">
        <v>224</v>
      </c>
      <c r="C191" s="55"/>
      <c r="D191" s="3" t="s">
        <v>11</v>
      </c>
      <c r="E191" s="3" t="s">
        <v>25</v>
      </c>
      <c r="F191" s="3" t="s">
        <v>26</v>
      </c>
      <c r="G191" s="17">
        <f>'JUNIO-18 '!I188</f>
        <v>100</v>
      </c>
      <c r="H191" s="51"/>
      <c r="I191" s="17">
        <f t="shared" si="3"/>
        <v>100</v>
      </c>
      <c r="J191" s="126"/>
      <c r="K191" s="46"/>
    </row>
    <row r="192" spans="1:11" ht="33.75" customHeight="1">
      <c r="A192" s="11" t="s">
        <v>226</v>
      </c>
      <c r="B192" s="145" t="s">
        <v>227</v>
      </c>
      <c r="C192" s="55" t="s">
        <v>1101</v>
      </c>
      <c r="D192" s="3" t="s">
        <v>11</v>
      </c>
      <c r="E192" s="3" t="s">
        <v>25</v>
      </c>
      <c r="F192" s="3" t="s">
        <v>26</v>
      </c>
      <c r="G192" s="17">
        <f>'JUNIO-18 '!I189</f>
        <v>26000</v>
      </c>
      <c r="H192" s="51"/>
      <c r="I192" s="17">
        <f t="shared" si="3"/>
        <v>26000</v>
      </c>
      <c r="J192" s="126"/>
      <c r="K192" s="46"/>
    </row>
    <row r="193" spans="1:11" ht="28.5" customHeight="1">
      <c r="A193" s="11" t="s">
        <v>228</v>
      </c>
      <c r="B193" s="145" t="s">
        <v>229</v>
      </c>
      <c r="C193" s="55"/>
      <c r="D193" s="3" t="s">
        <v>11</v>
      </c>
      <c r="E193" s="3" t="s">
        <v>25</v>
      </c>
      <c r="F193" s="3" t="s">
        <v>26</v>
      </c>
      <c r="G193" s="17">
        <f>'JUNIO-18 '!I190</f>
        <v>20150</v>
      </c>
      <c r="H193" s="51"/>
      <c r="I193" s="17">
        <f t="shared" si="3"/>
        <v>20150</v>
      </c>
      <c r="J193" s="126"/>
      <c r="K193" s="46"/>
    </row>
    <row r="194" spans="1:11" ht="26.25" customHeight="1">
      <c r="A194" s="11" t="s">
        <v>230</v>
      </c>
      <c r="B194" s="145" t="s">
        <v>231</v>
      </c>
      <c r="C194" s="55"/>
      <c r="D194" s="3" t="s">
        <v>11</v>
      </c>
      <c r="E194" s="3" t="s">
        <v>25</v>
      </c>
      <c r="F194" s="3" t="s">
        <v>26</v>
      </c>
      <c r="G194" s="17">
        <f>'JUNIO-18 '!I191</f>
        <v>100</v>
      </c>
      <c r="H194" s="51"/>
      <c r="I194" s="17">
        <f t="shared" si="3"/>
        <v>100</v>
      </c>
      <c r="J194" s="126"/>
      <c r="K194" s="46"/>
    </row>
    <row r="195" spans="1:11" ht="23.25" customHeight="1">
      <c r="A195" s="11" t="s">
        <v>232</v>
      </c>
      <c r="B195" s="145" t="s">
        <v>233</v>
      </c>
      <c r="C195" s="55"/>
      <c r="D195" s="3" t="s">
        <v>11</v>
      </c>
      <c r="E195" s="3" t="s">
        <v>25</v>
      </c>
      <c r="F195" s="3" t="s">
        <v>26</v>
      </c>
      <c r="G195" s="17">
        <f>'JUNIO-18 '!I192</f>
        <v>20200</v>
      </c>
      <c r="H195" s="51"/>
      <c r="I195" s="17">
        <f t="shared" si="3"/>
        <v>20200</v>
      </c>
      <c r="J195" s="126"/>
      <c r="K195" s="46"/>
    </row>
    <row r="196" spans="1:11" ht="28.5" customHeight="1">
      <c r="A196" s="11" t="s">
        <v>234</v>
      </c>
      <c r="B196" s="145" t="s">
        <v>237</v>
      </c>
      <c r="C196" s="55"/>
      <c r="D196" s="3" t="s">
        <v>11</v>
      </c>
      <c r="E196" s="3" t="s">
        <v>25</v>
      </c>
      <c r="F196" s="3" t="s">
        <v>26</v>
      </c>
      <c r="G196" s="17">
        <f>'JUNIO-18 '!I193</f>
        <v>20500</v>
      </c>
      <c r="H196" s="51"/>
      <c r="I196" s="17">
        <f t="shared" si="3"/>
        <v>20500</v>
      </c>
      <c r="J196" s="126"/>
      <c r="K196" s="46"/>
    </row>
    <row r="197" spans="1:11" ht="24" customHeight="1">
      <c r="A197" s="11" t="s">
        <v>235</v>
      </c>
      <c r="B197" s="145" t="s">
        <v>236</v>
      </c>
      <c r="C197" s="55" t="s">
        <v>1101</v>
      </c>
      <c r="D197" s="3" t="s">
        <v>11</v>
      </c>
      <c r="E197" s="3" t="s">
        <v>25</v>
      </c>
      <c r="F197" s="3" t="s">
        <v>26</v>
      </c>
      <c r="G197" s="17">
        <f>'JUNIO-18 '!I194</f>
        <v>40.050000000000004</v>
      </c>
      <c r="H197" s="51"/>
      <c r="I197" s="17">
        <f t="shared" si="3"/>
        <v>40.050000000000004</v>
      </c>
      <c r="J197" s="45"/>
      <c r="K197" s="46"/>
    </row>
    <row r="198" spans="1:11" ht="87" customHeight="1">
      <c r="A198" s="144" t="s">
        <v>238</v>
      </c>
      <c r="B198" s="54" t="s">
        <v>239</v>
      </c>
      <c r="C198" s="55"/>
      <c r="D198" s="3"/>
      <c r="E198" s="3"/>
      <c r="F198" s="3"/>
      <c r="G198" s="17">
        <f>'JUNIO-18 '!I195</f>
        <v>0</v>
      </c>
      <c r="H198" s="51"/>
      <c r="I198" s="17"/>
      <c r="J198" s="45"/>
      <c r="K198" s="46"/>
    </row>
    <row r="199" spans="1:11" ht="24" customHeight="1">
      <c r="A199" s="11" t="s">
        <v>240</v>
      </c>
      <c r="B199" s="145" t="s">
        <v>243</v>
      </c>
      <c r="C199" s="55"/>
      <c r="D199" s="3" t="s">
        <v>11</v>
      </c>
      <c r="E199" s="3" t="s">
        <v>25</v>
      </c>
      <c r="F199" s="3" t="s">
        <v>26</v>
      </c>
      <c r="G199" s="17">
        <f>'JUNIO-18 '!I196</f>
        <v>0</v>
      </c>
      <c r="H199" s="51"/>
      <c r="I199" s="17">
        <f t="shared" si="3"/>
        <v>0</v>
      </c>
      <c r="J199" s="45"/>
      <c r="K199" s="280"/>
    </row>
    <row r="200" spans="1:11" ht="24" customHeight="1">
      <c r="A200" s="11" t="s">
        <v>241</v>
      </c>
      <c r="B200" s="145" t="s">
        <v>242</v>
      </c>
      <c r="C200" s="55"/>
      <c r="D200" s="3" t="s">
        <v>11</v>
      </c>
      <c r="E200" s="3" t="s">
        <v>25</v>
      </c>
      <c r="F200" s="3" t="s">
        <v>26</v>
      </c>
      <c r="G200" s="17">
        <f>'JUNIO-18 '!I197</f>
        <v>0</v>
      </c>
      <c r="H200" s="51"/>
      <c r="I200" s="17">
        <f t="shared" si="3"/>
        <v>0</v>
      </c>
      <c r="J200" s="45"/>
      <c r="K200" s="280"/>
    </row>
    <row r="201" spans="1:11" ht="40.5" customHeight="1">
      <c r="A201" s="11" t="s">
        <v>245</v>
      </c>
      <c r="B201" s="145" t="s">
        <v>244</v>
      </c>
      <c r="C201" s="55"/>
      <c r="D201" s="3" t="s">
        <v>11</v>
      </c>
      <c r="E201" s="3" t="s">
        <v>25</v>
      </c>
      <c r="F201" s="3" t="s">
        <v>26</v>
      </c>
      <c r="G201" s="17">
        <f>'JUNIO-18 '!I198</f>
        <v>0</v>
      </c>
      <c r="H201" s="51"/>
      <c r="I201" s="17">
        <f t="shared" si="3"/>
        <v>0</v>
      </c>
      <c r="J201" s="45"/>
      <c r="K201" s="280"/>
    </row>
    <row r="202" spans="1:11" ht="24" customHeight="1">
      <c r="A202" s="11" t="s">
        <v>246</v>
      </c>
      <c r="B202" s="145" t="s">
        <v>247</v>
      </c>
      <c r="C202" s="55"/>
      <c r="D202" s="3" t="s">
        <v>11</v>
      </c>
      <c r="E202" s="3" t="s">
        <v>25</v>
      </c>
      <c r="F202" s="3" t="s">
        <v>26</v>
      </c>
      <c r="G202" s="17">
        <f>'JUNIO-18 '!I199</f>
        <v>0</v>
      </c>
      <c r="H202" s="51"/>
      <c r="I202" s="17">
        <f t="shared" si="3"/>
        <v>0</v>
      </c>
      <c r="J202" s="45"/>
      <c r="K202" s="280"/>
    </row>
    <row r="203" spans="1:11" ht="24" customHeight="1">
      <c r="A203" s="11" t="s">
        <v>249</v>
      </c>
      <c r="B203" s="145" t="s">
        <v>248</v>
      </c>
      <c r="C203" s="55"/>
      <c r="D203" s="3" t="s">
        <v>11</v>
      </c>
      <c r="E203" s="3" t="s">
        <v>25</v>
      </c>
      <c r="F203" s="3" t="s">
        <v>26</v>
      </c>
      <c r="G203" s="17">
        <f>'JUNIO-18 '!I200</f>
        <v>0</v>
      </c>
      <c r="H203" s="51"/>
      <c r="I203" s="17">
        <f t="shared" si="3"/>
        <v>0</v>
      </c>
      <c r="J203" s="45"/>
      <c r="K203" s="280"/>
    </row>
    <row r="204" spans="1:11" ht="24" customHeight="1">
      <c r="A204" s="11" t="s">
        <v>251</v>
      </c>
      <c r="B204" s="145" t="s">
        <v>252</v>
      </c>
      <c r="C204" s="55"/>
      <c r="D204" s="3" t="s">
        <v>11</v>
      </c>
      <c r="E204" s="3" t="s">
        <v>25</v>
      </c>
      <c r="F204" s="3" t="s">
        <v>26</v>
      </c>
      <c r="G204" s="17">
        <f>'JUNIO-18 '!I201</f>
        <v>0</v>
      </c>
      <c r="H204" s="51"/>
      <c r="I204" s="17">
        <f t="shared" si="3"/>
        <v>0</v>
      </c>
      <c r="J204" s="45"/>
      <c r="K204" s="280"/>
    </row>
    <row r="205" spans="1:11" ht="24" customHeight="1">
      <c r="A205" s="11" t="s">
        <v>250</v>
      </c>
      <c r="B205" s="145" t="s">
        <v>253</v>
      </c>
      <c r="C205" s="55"/>
      <c r="D205" s="3" t="s">
        <v>11</v>
      </c>
      <c r="E205" s="3" t="s">
        <v>25</v>
      </c>
      <c r="F205" s="3" t="s">
        <v>26</v>
      </c>
      <c r="G205" s="17">
        <f>'JUNIO-18 '!I202</f>
        <v>0</v>
      </c>
      <c r="H205" s="51"/>
      <c r="I205" s="17">
        <f t="shared" si="3"/>
        <v>0</v>
      </c>
      <c r="J205" s="45"/>
      <c r="K205" s="280"/>
    </row>
    <row r="206" spans="1:11" ht="24" customHeight="1">
      <c r="A206" s="11" t="s">
        <v>255</v>
      </c>
      <c r="B206" s="145" t="s">
        <v>254</v>
      </c>
      <c r="C206" s="55"/>
      <c r="D206" s="3" t="s">
        <v>11</v>
      </c>
      <c r="E206" s="3" t="s">
        <v>25</v>
      </c>
      <c r="F206" s="3" t="s">
        <v>26</v>
      </c>
      <c r="G206" s="17">
        <f>'JUNIO-18 '!I203</f>
        <v>0</v>
      </c>
      <c r="H206" s="51"/>
      <c r="I206" s="17">
        <f t="shared" si="3"/>
        <v>0</v>
      </c>
      <c r="J206" s="45"/>
      <c r="K206" s="280"/>
    </row>
    <row r="207" spans="1:11" ht="87" customHeight="1">
      <c r="A207" s="144" t="s">
        <v>256</v>
      </c>
      <c r="B207" s="54" t="s">
        <v>257</v>
      </c>
      <c r="C207" s="55"/>
      <c r="D207" s="3"/>
      <c r="E207" s="3"/>
      <c r="F207" s="3"/>
      <c r="G207" s="17">
        <f>'JUNIO-18 '!I204</f>
        <v>0</v>
      </c>
      <c r="H207" s="51"/>
      <c r="I207" s="17"/>
      <c r="J207" s="45"/>
      <c r="K207" s="46"/>
    </row>
    <row r="208" spans="1:11" ht="24" customHeight="1">
      <c r="A208" s="11" t="s">
        <v>258</v>
      </c>
      <c r="B208" s="145" t="s">
        <v>263</v>
      </c>
      <c r="C208" s="55"/>
      <c r="D208" s="3" t="s">
        <v>11</v>
      </c>
      <c r="E208" s="3" t="s">
        <v>25</v>
      </c>
      <c r="F208" s="3" t="s">
        <v>26</v>
      </c>
      <c r="G208" s="17">
        <f>'JUNIO-18 '!I205</f>
        <v>0</v>
      </c>
      <c r="H208" s="51"/>
      <c r="I208" s="17">
        <f t="shared" si="3"/>
        <v>0</v>
      </c>
      <c r="J208" s="45"/>
      <c r="K208" s="280"/>
    </row>
    <row r="209" spans="1:11" ht="24" customHeight="1">
      <c r="A209" s="11" t="s">
        <v>259</v>
      </c>
      <c r="B209" s="145" t="s">
        <v>262</v>
      </c>
      <c r="C209" s="55"/>
      <c r="D209" s="3" t="s">
        <v>11</v>
      </c>
      <c r="E209" s="3" t="s">
        <v>25</v>
      </c>
      <c r="F209" s="3" t="s">
        <v>26</v>
      </c>
      <c r="G209" s="17">
        <f>'JUNIO-18 '!I206</f>
        <v>0</v>
      </c>
      <c r="H209" s="51"/>
      <c r="I209" s="17">
        <f t="shared" si="3"/>
        <v>0</v>
      </c>
      <c r="J209" s="45"/>
      <c r="K209" s="280"/>
    </row>
    <row r="210" spans="1:11" ht="24" customHeight="1">
      <c r="A210" s="11" t="s">
        <v>260</v>
      </c>
      <c r="B210" s="145" t="s">
        <v>261</v>
      </c>
      <c r="C210" s="55"/>
      <c r="D210" s="3" t="s">
        <v>11</v>
      </c>
      <c r="E210" s="3" t="s">
        <v>25</v>
      </c>
      <c r="F210" s="3" t="s">
        <v>26</v>
      </c>
      <c r="G210" s="17">
        <f>'JUNIO-18 '!I207</f>
        <v>0</v>
      </c>
      <c r="H210" s="51"/>
      <c r="I210" s="17">
        <f t="shared" si="3"/>
        <v>0</v>
      </c>
      <c r="J210" s="45"/>
      <c r="K210" s="280"/>
    </row>
    <row r="211" spans="1:11" ht="60" customHeight="1">
      <c r="A211" s="144" t="s">
        <v>264</v>
      </c>
      <c r="B211" s="54" t="s">
        <v>287</v>
      </c>
      <c r="C211" s="55"/>
      <c r="D211" s="3"/>
      <c r="E211" s="3"/>
      <c r="F211" s="3"/>
      <c r="G211" s="17">
        <f>'JUNIO-18 '!I208</f>
        <v>0</v>
      </c>
      <c r="H211" s="51"/>
      <c r="I211" s="17"/>
      <c r="J211" s="45"/>
      <c r="K211" s="46"/>
    </row>
    <row r="212" spans="1:11" ht="24" customHeight="1">
      <c r="A212" s="11" t="s">
        <v>265</v>
      </c>
      <c r="B212" s="145" t="s">
        <v>1046</v>
      </c>
      <c r="C212" s="55"/>
      <c r="D212" s="3" t="s">
        <v>11</v>
      </c>
      <c r="E212" s="3" t="s">
        <v>25</v>
      </c>
      <c r="F212" s="3" t="s">
        <v>26</v>
      </c>
      <c r="G212" s="17">
        <f>'JUNIO-18 '!I209</f>
        <v>2000</v>
      </c>
      <c r="H212" s="51"/>
      <c r="I212" s="17">
        <f t="shared" si="3"/>
        <v>2000</v>
      </c>
      <c r="J212" s="45"/>
      <c r="K212" s="46"/>
    </row>
    <row r="213" spans="1:11" ht="24" customHeight="1">
      <c r="A213" s="11" t="s">
        <v>266</v>
      </c>
      <c r="B213" s="145" t="s">
        <v>268</v>
      </c>
      <c r="C213" s="55"/>
      <c r="D213" s="3" t="s">
        <v>11</v>
      </c>
      <c r="E213" s="3" t="s">
        <v>25</v>
      </c>
      <c r="F213" s="3" t="s">
        <v>26</v>
      </c>
      <c r="G213" s="17">
        <f>'JUNIO-18 '!I210</f>
        <v>3000</v>
      </c>
      <c r="H213" s="51"/>
      <c r="I213" s="17">
        <f t="shared" si="3"/>
        <v>3000</v>
      </c>
      <c r="J213" s="45"/>
      <c r="K213" s="46"/>
    </row>
    <row r="214" spans="1:11" ht="71.25" customHeight="1">
      <c r="A214" s="144" t="s">
        <v>269</v>
      </c>
      <c r="B214" s="54" t="s">
        <v>286</v>
      </c>
      <c r="C214" s="343" t="s">
        <v>1111</v>
      </c>
      <c r="D214" s="3"/>
      <c r="E214" s="3"/>
      <c r="F214" s="3"/>
      <c r="G214" s="17">
        <f>'JUNIO-18 '!I211</f>
        <v>0</v>
      </c>
      <c r="H214" s="51"/>
      <c r="I214" s="17"/>
      <c r="J214" s="45"/>
      <c r="K214" s="46"/>
    </row>
    <row r="215" spans="1:11" ht="27.75" customHeight="1">
      <c r="A215" s="11" t="s">
        <v>273</v>
      </c>
      <c r="B215" s="145" t="s">
        <v>270</v>
      </c>
      <c r="C215" s="55"/>
      <c r="D215" s="3" t="s">
        <v>11</v>
      </c>
      <c r="E215" s="3" t="s">
        <v>25</v>
      </c>
      <c r="F215" s="3" t="s">
        <v>26</v>
      </c>
      <c r="G215" s="17">
        <f>'JUNIO-18 '!I212</f>
        <v>2635</v>
      </c>
      <c r="H215" s="51">
        <f>200</f>
        <v>200</v>
      </c>
      <c r="I215" s="17">
        <f t="shared" si="3"/>
        <v>2435</v>
      </c>
      <c r="J215" s="45"/>
      <c r="K215" s="46"/>
    </row>
    <row r="216" spans="1:11" ht="24" customHeight="1">
      <c r="A216" s="11" t="s">
        <v>272</v>
      </c>
      <c r="B216" s="145" t="s">
        <v>271</v>
      </c>
      <c r="C216" s="55"/>
      <c r="D216" s="3" t="s">
        <v>11</v>
      </c>
      <c r="E216" s="3" t="s">
        <v>25</v>
      </c>
      <c r="F216" s="3" t="s">
        <v>26</v>
      </c>
      <c r="G216" s="17">
        <f>'JUNIO-18 '!I213</f>
        <v>12776.5</v>
      </c>
      <c r="H216" s="51">
        <v>678</v>
      </c>
      <c r="I216" s="17">
        <f t="shared" si="3"/>
        <v>12098.5</v>
      </c>
      <c r="J216" s="45"/>
      <c r="K216" s="126"/>
    </row>
    <row r="217" spans="1:11" ht="24" customHeight="1">
      <c r="A217" s="11" t="s">
        <v>274</v>
      </c>
      <c r="B217" s="145" t="s">
        <v>275</v>
      </c>
      <c r="C217" s="55"/>
      <c r="D217" s="3" t="s">
        <v>11</v>
      </c>
      <c r="E217" s="3" t="s">
        <v>25</v>
      </c>
      <c r="F217" s="3" t="s">
        <v>26</v>
      </c>
      <c r="G217" s="17">
        <f>'JUNIO-18 '!I214</f>
        <v>1965.25</v>
      </c>
      <c r="H217" s="51"/>
      <c r="I217" s="17">
        <f t="shared" si="3"/>
        <v>1965.25</v>
      </c>
      <c r="J217" s="45"/>
      <c r="K217" s="46"/>
    </row>
    <row r="218" spans="1:11" ht="24" customHeight="1">
      <c r="A218" s="11" t="s">
        <v>276</v>
      </c>
      <c r="B218" s="145" t="s">
        <v>277</v>
      </c>
      <c r="C218" s="55"/>
      <c r="D218" s="3" t="s">
        <v>11</v>
      </c>
      <c r="E218" s="3" t="s">
        <v>25</v>
      </c>
      <c r="F218" s="3" t="s">
        <v>26</v>
      </c>
      <c r="G218" s="17">
        <f>'JUNIO-18 '!I215</f>
        <v>12752.609999999999</v>
      </c>
      <c r="H218" s="51">
        <f>574.49+555.2+108</f>
        <v>1237.69</v>
      </c>
      <c r="I218" s="17">
        <f t="shared" si="3"/>
        <v>11514.919999999998</v>
      </c>
      <c r="J218" s="45"/>
      <c r="K218" s="279"/>
    </row>
    <row r="219" spans="1:11" ht="24" customHeight="1">
      <c r="A219" s="11" t="s">
        <v>278</v>
      </c>
      <c r="B219" s="145" t="s">
        <v>279</v>
      </c>
      <c r="C219" s="55"/>
      <c r="D219" s="3" t="s">
        <v>11</v>
      </c>
      <c r="E219" s="3" t="s">
        <v>25</v>
      </c>
      <c r="F219" s="3" t="s">
        <v>26</v>
      </c>
      <c r="G219" s="17">
        <f>'JUNIO-18 '!I216</f>
        <v>980</v>
      </c>
      <c r="H219" s="51"/>
      <c r="I219" s="17">
        <f t="shared" si="3"/>
        <v>980</v>
      </c>
      <c r="J219" s="45"/>
      <c r="K219" s="46"/>
    </row>
    <row r="220" spans="1:11" ht="24" customHeight="1">
      <c r="A220" s="11" t="s">
        <v>280</v>
      </c>
      <c r="B220" s="145" t="s">
        <v>281</v>
      </c>
      <c r="C220" s="55"/>
      <c r="D220" s="3" t="s">
        <v>11</v>
      </c>
      <c r="E220" s="3" t="s">
        <v>25</v>
      </c>
      <c r="F220" s="3" t="s">
        <v>26</v>
      </c>
      <c r="G220" s="17">
        <f>'JUNIO-18 '!I217</f>
        <v>1290</v>
      </c>
      <c r="H220" s="51"/>
      <c r="I220" s="17">
        <f t="shared" si="3"/>
        <v>1290</v>
      </c>
      <c r="J220" s="126"/>
      <c r="K220" s="46"/>
    </row>
    <row r="221" spans="1:11" ht="24" customHeight="1">
      <c r="A221" s="11" t="s">
        <v>282</v>
      </c>
      <c r="B221" s="145" t="s">
        <v>283</v>
      </c>
      <c r="C221" s="55"/>
      <c r="D221" s="3" t="s">
        <v>11</v>
      </c>
      <c r="E221" s="3" t="s">
        <v>25</v>
      </c>
      <c r="F221" s="3" t="s">
        <v>26</v>
      </c>
      <c r="G221" s="17">
        <f>'JUNIO-18 '!I218</f>
        <v>927.06000000000029</v>
      </c>
      <c r="H221" s="51"/>
      <c r="I221" s="17">
        <f t="shared" si="3"/>
        <v>927.06000000000029</v>
      </c>
      <c r="J221" s="126"/>
      <c r="K221" s="46"/>
    </row>
    <row r="222" spans="1:11" ht="24" customHeight="1">
      <c r="A222" s="11" t="s">
        <v>284</v>
      </c>
      <c r="B222" s="145" t="s">
        <v>285</v>
      </c>
      <c r="C222" s="55"/>
      <c r="D222" s="3" t="s">
        <v>11</v>
      </c>
      <c r="E222" s="3" t="s">
        <v>25</v>
      </c>
      <c r="F222" s="3" t="s">
        <v>26</v>
      </c>
      <c r="G222" s="17">
        <f>'JUNIO-18 '!I219</f>
        <v>14.17</v>
      </c>
      <c r="H222" s="51"/>
      <c r="I222" s="17">
        <f t="shared" si="3"/>
        <v>14.17</v>
      </c>
      <c r="J222" s="45"/>
      <c r="K222" s="46"/>
    </row>
    <row r="223" spans="1:11" ht="102" customHeight="1">
      <c r="A223" s="144" t="s">
        <v>289</v>
      </c>
      <c r="B223" s="54" t="s">
        <v>288</v>
      </c>
      <c r="C223" s="55" t="s">
        <v>1057</v>
      </c>
      <c r="D223" s="3"/>
      <c r="E223" s="3"/>
      <c r="F223" s="3"/>
      <c r="G223" s="17">
        <f>'JUNIO-18 '!I220</f>
        <v>0</v>
      </c>
      <c r="H223" s="275"/>
      <c r="I223" s="17"/>
      <c r="J223" s="45"/>
      <c r="K223" s="46"/>
    </row>
    <row r="224" spans="1:11" ht="24" customHeight="1">
      <c r="A224" s="11" t="s">
        <v>290</v>
      </c>
      <c r="B224" s="145" t="s">
        <v>291</v>
      </c>
      <c r="C224" s="55"/>
      <c r="D224" s="3" t="s">
        <v>11</v>
      </c>
      <c r="E224" s="3" t="s">
        <v>25</v>
      </c>
      <c r="F224" s="3" t="s">
        <v>26</v>
      </c>
      <c r="G224" s="17">
        <f>'JUNIO-18 '!I221</f>
        <v>500</v>
      </c>
      <c r="H224" s="51"/>
      <c r="I224" s="17">
        <f t="shared" si="3"/>
        <v>500</v>
      </c>
      <c r="J224" s="45"/>
      <c r="K224" s="46"/>
    </row>
    <row r="225" spans="1:11" ht="24" customHeight="1">
      <c r="A225" s="11" t="s">
        <v>292</v>
      </c>
      <c r="B225" s="145" t="s">
        <v>293</v>
      </c>
      <c r="C225" s="55"/>
      <c r="D225" s="3" t="s">
        <v>11</v>
      </c>
      <c r="E225" s="3" t="s">
        <v>25</v>
      </c>
      <c r="F225" s="3" t="s">
        <v>26</v>
      </c>
      <c r="G225" s="17">
        <f>'JUNIO-18 '!I222</f>
        <v>0</v>
      </c>
      <c r="H225" s="51"/>
      <c r="I225" s="17">
        <f t="shared" si="3"/>
        <v>0</v>
      </c>
      <c r="J225" s="45"/>
      <c r="K225" s="280"/>
    </row>
    <row r="226" spans="1:11" ht="18" customHeight="1">
      <c r="A226" s="11" t="s">
        <v>294</v>
      </c>
      <c r="B226" s="145" t="s">
        <v>295</v>
      </c>
      <c r="C226" s="55"/>
      <c r="D226" s="3" t="s">
        <v>11</v>
      </c>
      <c r="E226" s="3" t="s">
        <v>25</v>
      </c>
      <c r="F226" s="3" t="s">
        <v>26</v>
      </c>
      <c r="G226" s="17">
        <f>'JUNIO-18 '!I223</f>
        <v>97.4</v>
      </c>
      <c r="H226" s="51"/>
      <c r="I226" s="17">
        <f t="shared" si="3"/>
        <v>97.4</v>
      </c>
      <c r="J226" s="45"/>
      <c r="K226" s="46"/>
    </row>
    <row r="227" spans="1:11" ht="19.5" customHeight="1">
      <c r="A227" s="11" t="s">
        <v>296</v>
      </c>
      <c r="B227" s="145" t="s">
        <v>297</v>
      </c>
      <c r="C227" s="55"/>
      <c r="D227" s="3" t="s">
        <v>11</v>
      </c>
      <c r="E227" s="3" t="s">
        <v>25</v>
      </c>
      <c r="F227" s="3" t="s">
        <v>26</v>
      </c>
      <c r="G227" s="17">
        <f>'JUNIO-18 '!I224</f>
        <v>30880</v>
      </c>
      <c r="H227" s="51">
        <v>4720</v>
      </c>
      <c r="I227" s="17">
        <f t="shared" si="3"/>
        <v>26160</v>
      </c>
      <c r="J227" s="45"/>
      <c r="K227" s="46"/>
    </row>
    <row r="228" spans="1:11" ht="21" customHeight="1">
      <c r="A228" s="11" t="s">
        <v>298</v>
      </c>
      <c r="B228" s="145" t="s">
        <v>299</v>
      </c>
      <c r="C228" s="55"/>
      <c r="D228" s="3" t="s">
        <v>11</v>
      </c>
      <c r="E228" s="3" t="s">
        <v>25</v>
      </c>
      <c r="F228" s="3" t="s">
        <v>26</v>
      </c>
      <c r="G228" s="17">
        <f>'JUNIO-18 '!I225</f>
        <v>2000</v>
      </c>
      <c r="H228" s="51"/>
      <c r="I228" s="17">
        <f t="shared" si="3"/>
        <v>2000</v>
      </c>
      <c r="J228" s="45"/>
      <c r="K228" s="46"/>
    </row>
    <row r="229" spans="1:11" ht="75" customHeight="1">
      <c r="A229" s="144" t="s">
        <v>300</v>
      </c>
      <c r="B229" s="54" t="s">
        <v>301</v>
      </c>
      <c r="C229" s="343" t="s">
        <v>1112</v>
      </c>
      <c r="D229" s="3"/>
      <c r="E229" s="3"/>
      <c r="F229" s="3"/>
      <c r="G229" s="17">
        <f>'JUNIO-18 '!I226</f>
        <v>0</v>
      </c>
      <c r="H229" s="51"/>
      <c r="I229" s="17"/>
      <c r="J229" s="45"/>
      <c r="K229" s="46"/>
    </row>
    <row r="230" spans="1:11" ht="18.75" customHeight="1">
      <c r="A230" s="11" t="s">
        <v>302</v>
      </c>
      <c r="B230" s="145" t="s">
        <v>309</v>
      </c>
      <c r="C230" s="55"/>
      <c r="D230" s="3" t="s">
        <v>11</v>
      </c>
      <c r="E230" s="3" t="s">
        <v>25</v>
      </c>
      <c r="F230" s="3" t="s">
        <v>26</v>
      </c>
      <c r="G230" s="17">
        <f>'JUNIO-18 '!I227</f>
        <v>1666.7</v>
      </c>
      <c r="H230" s="51">
        <f>166.67+166.67+166.67+166.67+166.67+166.67</f>
        <v>1000.0199999999999</v>
      </c>
      <c r="I230" s="17">
        <f t="shared" si="3"/>
        <v>666.68000000000018</v>
      </c>
      <c r="J230" s="45"/>
      <c r="K230" s="321"/>
    </row>
    <row r="231" spans="1:11" ht="18.75" customHeight="1">
      <c r="A231" s="11" t="s">
        <v>303</v>
      </c>
      <c r="B231" s="145" t="s">
        <v>310</v>
      </c>
      <c r="C231" s="55"/>
      <c r="D231" s="3" t="s">
        <v>11</v>
      </c>
      <c r="E231" s="3" t="s">
        <v>25</v>
      </c>
      <c r="F231" s="3" t="s">
        <v>26</v>
      </c>
      <c r="G231" s="17">
        <f>'JUNIO-18 '!I228</f>
        <v>5000</v>
      </c>
      <c r="H231" s="51"/>
      <c r="I231" s="17">
        <f t="shared" si="3"/>
        <v>5000</v>
      </c>
      <c r="J231" s="45"/>
      <c r="K231" s="321"/>
    </row>
    <row r="232" spans="1:11" ht="24.75" customHeight="1">
      <c r="A232" s="11" t="s">
        <v>304</v>
      </c>
      <c r="B232" s="145" t="s">
        <v>311</v>
      </c>
      <c r="C232" s="55"/>
      <c r="D232" s="3" t="s">
        <v>11</v>
      </c>
      <c r="E232" s="3" t="s">
        <v>25</v>
      </c>
      <c r="F232" s="3" t="s">
        <v>26</v>
      </c>
      <c r="G232" s="17">
        <f>'JUNIO-18 '!I229</f>
        <v>1000</v>
      </c>
      <c r="H232" s="51"/>
      <c r="I232" s="17">
        <f t="shared" si="3"/>
        <v>1000</v>
      </c>
      <c r="J232" s="45"/>
      <c r="K232" s="322"/>
    </row>
    <row r="233" spans="1:11" ht="16.5" customHeight="1">
      <c r="A233" s="11" t="s">
        <v>305</v>
      </c>
      <c r="B233" s="145" t="s">
        <v>312</v>
      </c>
      <c r="C233" s="55"/>
      <c r="D233" s="3" t="s">
        <v>11</v>
      </c>
      <c r="E233" s="3" t="s">
        <v>25</v>
      </c>
      <c r="F233" s="3" t="s">
        <v>26</v>
      </c>
      <c r="G233" s="17">
        <f>'JUNIO-18 '!I230</f>
        <v>1427</v>
      </c>
      <c r="H233" s="51">
        <v>222.22</v>
      </c>
      <c r="I233" s="17">
        <f t="shared" si="3"/>
        <v>1204.78</v>
      </c>
      <c r="J233" s="45"/>
      <c r="K233" s="323"/>
    </row>
    <row r="234" spans="1:11" ht="22.5" customHeight="1">
      <c r="A234" s="11" t="s">
        <v>306</v>
      </c>
      <c r="B234" s="145" t="s">
        <v>313</v>
      </c>
      <c r="C234" s="55"/>
      <c r="D234" s="3" t="s">
        <v>11</v>
      </c>
      <c r="E234" s="3" t="s">
        <v>25</v>
      </c>
      <c r="F234" s="3" t="s">
        <v>26</v>
      </c>
      <c r="G234" s="17">
        <f>'JUNIO-18 '!I231</f>
        <v>1918.3400000000001</v>
      </c>
      <c r="H234" s="51"/>
      <c r="I234" s="17">
        <f t="shared" si="3"/>
        <v>1918.3400000000001</v>
      </c>
      <c r="J234" s="45"/>
      <c r="K234" s="324"/>
    </row>
    <row r="235" spans="1:11" ht="19.5" customHeight="1">
      <c r="A235" s="11" t="s">
        <v>307</v>
      </c>
      <c r="B235" s="145" t="s">
        <v>314</v>
      </c>
      <c r="C235" s="55"/>
      <c r="D235" s="3" t="s">
        <v>11</v>
      </c>
      <c r="E235" s="3" t="s">
        <v>25</v>
      </c>
      <c r="F235" s="3" t="s">
        <v>26</v>
      </c>
      <c r="G235" s="17">
        <f>'JUNIO-18 '!I232</f>
        <v>9.17</v>
      </c>
      <c r="H235" s="51"/>
      <c r="I235" s="17">
        <f t="shared" si="3"/>
        <v>9.17</v>
      </c>
      <c r="J235" s="45"/>
      <c r="K235" s="324"/>
    </row>
    <row r="236" spans="1:11" ht="24" customHeight="1">
      <c r="A236" s="11" t="s">
        <v>308</v>
      </c>
      <c r="B236" s="145" t="s">
        <v>315</v>
      </c>
      <c r="C236" s="55"/>
      <c r="D236" s="3" t="s">
        <v>11</v>
      </c>
      <c r="E236" s="3" t="s">
        <v>25</v>
      </c>
      <c r="F236" s="3" t="s">
        <v>26</v>
      </c>
      <c r="G236" s="17">
        <f>'JUNIO-18 '!I233</f>
        <v>0</v>
      </c>
      <c r="H236" s="51"/>
      <c r="I236" s="17">
        <f t="shared" si="3"/>
        <v>0</v>
      </c>
      <c r="J236" s="45"/>
      <c r="K236" s="324"/>
    </row>
    <row r="237" spans="1:11" ht="72.75" customHeight="1">
      <c r="A237" s="144" t="s">
        <v>316</v>
      </c>
      <c r="B237" s="54" t="s">
        <v>317</v>
      </c>
      <c r="C237" s="343" t="s">
        <v>1113</v>
      </c>
      <c r="D237" s="3"/>
      <c r="E237" s="3"/>
      <c r="F237" s="3"/>
      <c r="G237" s="17">
        <f>'JUNIO-18 '!I234</f>
        <v>0</v>
      </c>
      <c r="H237" s="51"/>
      <c r="I237" s="17"/>
      <c r="J237" s="45"/>
      <c r="K237" s="46"/>
    </row>
    <row r="238" spans="1:11" ht="20.25" customHeight="1">
      <c r="A238" s="11" t="s">
        <v>318</v>
      </c>
      <c r="B238" s="145" t="s">
        <v>322</v>
      </c>
      <c r="C238" s="55"/>
      <c r="D238" s="3" t="s">
        <v>11</v>
      </c>
      <c r="E238" s="3" t="s">
        <v>25</v>
      </c>
      <c r="F238" s="3" t="s">
        <v>26</v>
      </c>
      <c r="G238" s="17">
        <f>'JUNIO-18 '!I235</f>
        <v>1333.3400000000001</v>
      </c>
      <c r="H238" s="51">
        <v>333.34</v>
      </c>
      <c r="I238" s="17">
        <f t="shared" ref="I238:I272" si="4">G238-H238+J238-K238</f>
        <v>1000.0000000000002</v>
      </c>
      <c r="J238" s="45"/>
      <c r="K238" s="46"/>
    </row>
    <row r="239" spans="1:11" ht="36.75" customHeight="1">
      <c r="A239" s="11" t="s">
        <v>1009</v>
      </c>
      <c r="B239" s="145" t="s">
        <v>1011</v>
      </c>
      <c r="C239" s="55"/>
      <c r="D239" s="3" t="s">
        <v>11</v>
      </c>
      <c r="E239" s="3" t="s">
        <v>25</v>
      </c>
      <c r="F239" s="3" t="s">
        <v>26</v>
      </c>
      <c r="G239" s="17">
        <f>'JUNIO-18 '!I236</f>
        <v>400</v>
      </c>
      <c r="H239" s="51"/>
      <c r="I239" s="17">
        <f t="shared" si="4"/>
        <v>400</v>
      </c>
      <c r="J239" s="126"/>
      <c r="K239" s="46"/>
    </row>
    <row r="240" spans="1:11" ht="31.5" customHeight="1">
      <c r="A240" s="11" t="s">
        <v>319</v>
      </c>
      <c r="B240" s="145" t="s">
        <v>1010</v>
      </c>
      <c r="C240" s="55"/>
      <c r="D240" s="3" t="s">
        <v>11</v>
      </c>
      <c r="E240" s="3" t="s">
        <v>25</v>
      </c>
      <c r="F240" s="3" t="s">
        <v>26</v>
      </c>
      <c r="G240" s="17">
        <f>'JUNIO-18 '!I237</f>
        <v>1728</v>
      </c>
      <c r="H240" s="51"/>
      <c r="I240" s="17">
        <f t="shared" si="4"/>
        <v>1728</v>
      </c>
      <c r="J240" s="45"/>
      <c r="K240" s="260"/>
    </row>
    <row r="241" spans="1:11" ht="20.25" customHeight="1">
      <c r="A241" s="11" t="s">
        <v>320</v>
      </c>
      <c r="B241" s="145" t="s">
        <v>324</v>
      </c>
      <c r="C241" s="55"/>
      <c r="D241" s="3" t="s">
        <v>11</v>
      </c>
      <c r="E241" s="3" t="s">
        <v>25</v>
      </c>
      <c r="F241" s="3" t="s">
        <v>26</v>
      </c>
      <c r="G241" s="17">
        <f>'JUNIO-18 '!I238</f>
        <v>15.87</v>
      </c>
      <c r="H241" s="51"/>
      <c r="I241" s="17">
        <f t="shared" si="4"/>
        <v>15.87</v>
      </c>
      <c r="J241" s="45"/>
      <c r="K241" s="46"/>
    </row>
    <row r="242" spans="1:11" ht="29.25" customHeight="1">
      <c r="A242" s="11" t="s">
        <v>321</v>
      </c>
      <c r="B242" s="145" t="s">
        <v>325</v>
      </c>
      <c r="C242" s="55"/>
      <c r="D242" s="3" t="s">
        <v>11</v>
      </c>
      <c r="E242" s="3" t="s">
        <v>25</v>
      </c>
      <c r="F242" s="3" t="s">
        <v>26</v>
      </c>
      <c r="G242" s="17">
        <f>'JUNIO-18 '!I239</f>
        <v>1980</v>
      </c>
      <c r="H242" s="51"/>
      <c r="I242" s="17">
        <f t="shared" si="4"/>
        <v>1980</v>
      </c>
      <c r="J242" s="45"/>
      <c r="K242" s="46"/>
    </row>
    <row r="243" spans="1:11" ht="66" customHeight="1">
      <c r="A243" s="271" t="s">
        <v>326</v>
      </c>
      <c r="B243" s="54" t="s">
        <v>327</v>
      </c>
      <c r="C243" s="55"/>
      <c r="D243" s="3"/>
      <c r="E243" s="3"/>
      <c r="F243" s="3"/>
      <c r="G243" s="17">
        <f>'JUNIO-18 '!I240</f>
        <v>0</v>
      </c>
      <c r="H243" s="51"/>
      <c r="I243" s="17"/>
      <c r="J243" s="45"/>
      <c r="K243" s="46"/>
    </row>
    <row r="244" spans="1:11" ht="23.25" customHeight="1">
      <c r="A244" s="11" t="s">
        <v>328</v>
      </c>
      <c r="B244" s="145" t="s">
        <v>329</v>
      </c>
      <c r="C244" s="55"/>
      <c r="D244" s="3" t="s">
        <v>11</v>
      </c>
      <c r="E244" s="3" t="s">
        <v>25</v>
      </c>
      <c r="F244" s="3" t="s">
        <v>26</v>
      </c>
      <c r="G244" s="17">
        <f>'JUNIO-18 '!I241</f>
        <v>0</v>
      </c>
      <c r="H244" s="51"/>
      <c r="I244" s="17">
        <f t="shared" si="4"/>
        <v>0</v>
      </c>
      <c r="J244" s="45"/>
      <c r="K244" s="324"/>
    </row>
    <row r="245" spans="1:11" ht="26.25" customHeight="1">
      <c r="A245" s="11" t="s">
        <v>330</v>
      </c>
      <c r="B245" s="145" t="s">
        <v>331</v>
      </c>
      <c r="C245" s="55"/>
      <c r="D245" s="3" t="s">
        <v>11</v>
      </c>
      <c r="E245" s="3" t="s">
        <v>25</v>
      </c>
      <c r="F245" s="3" t="s">
        <v>26</v>
      </c>
      <c r="G245" s="17">
        <f>'JUNIO-18 '!I242</f>
        <v>0</v>
      </c>
      <c r="H245" s="51"/>
      <c r="I245" s="17">
        <f t="shared" si="4"/>
        <v>0</v>
      </c>
      <c r="J245" s="45"/>
      <c r="K245" s="324"/>
    </row>
    <row r="246" spans="1:11" ht="18.75" customHeight="1">
      <c r="A246" s="11" t="s">
        <v>332</v>
      </c>
      <c r="B246" s="145" t="s">
        <v>333</v>
      </c>
      <c r="C246" s="55"/>
      <c r="D246" s="3" t="s">
        <v>11</v>
      </c>
      <c r="E246" s="3" t="s">
        <v>25</v>
      </c>
      <c r="F246" s="3" t="s">
        <v>26</v>
      </c>
      <c r="G246" s="17">
        <f>'JUNIO-18 '!I243</f>
        <v>0</v>
      </c>
      <c r="H246" s="51"/>
      <c r="I246" s="17">
        <f t="shared" si="4"/>
        <v>0</v>
      </c>
      <c r="J246" s="45"/>
      <c r="K246" s="324"/>
    </row>
    <row r="247" spans="1:11" ht="18" customHeight="1">
      <c r="A247" s="11" t="s">
        <v>334</v>
      </c>
      <c r="B247" s="145" t="s">
        <v>335</v>
      </c>
      <c r="C247" s="55"/>
      <c r="D247" s="3" t="s">
        <v>11</v>
      </c>
      <c r="E247" s="3" t="s">
        <v>25</v>
      </c>
      <c r="F247" s="3" t="s">
        <v>26</v>
      </c>
      <c r="G247" s="17">
        <f>'JUNIO-18 '!I244</f>
        <v>0</v>
      </c>
      <c r="H247" s="51"/>
      <c r="I247" s="17">
        <f t="shared" si="4"/>
        <v>0</v>
      </c>
      <c r="J247" s="45"/>
      <c r="K247" s="324"/>
    </row>
    <row r="248" spans="1:11" ht="24.75" customHeight="1">
      <c r="A248" s="11" t="s">
        <v>336</v>
      </c>
      <c r="B248" s="145" t="s">
        <v>337</v>
      </c>
      <c r="C248" s="55"/>
      <c r="D248" s="3" t="s">
        <v>11</v>
      </c>
      <c r="E248" s="3" t="s">
        <v>25</v>
      </c>
      <c r="F248" s="3" t="s">
        <v>26</v>
      </c>
      <c r="G248" s="17">
        <f>'JUNIO-18 '!I245</f>
        <v>0</v>
      </c>
      <c r="H248" s="51"/>
      <c r="I248" s="17">
        <f t="shared" si="4"/>
        <v>0</v>
      </c>
      <c r="J248" s="45"/>
      <c r="K248" s="324"/>
    </row>
    <row r="249" spans="1:11" ht="60.75" customHeight="1">
      <c r="A249" s="144" t="s">
        <v>338</v>
      </c>
      <c r="B249" s="54" t="s">
        <v>339</v>
      </c>
      <c r="C249" s="55" t="s">
        <v>1059</v>
      </c>
      <c r="D249" s="3"/>
      <c r="E249" s="3"/>
      <c r="F249" s="3"/>
      <c r="G249" s="17">
        <f>'JUNIO-18 '!I246</f>
        <v>0</v>
      </c>
      <c r="H249" s="51"/>
      <c r="I249" s="17"/>
      <c r="J249" s="45"/>
      <c r="K249" s="46"/>
    </row>
    <row r="250" spans="1:11" ht="18.75" customHeight="1">
      <c r="A250" s="11" t="s">
        <v>340</v>
      </c>
      <c r="B250" s="145" t="s">
        <v>344</v>
      </c>
      <c r="C250" s="55"/>
      <c r="D250" s="3" t="s">
        <v>11</v>
      </c>
      <c r="E250" s="3" t="s">
        <v>25</v>
      </c>
      <c r="F250" s="3" t="s">
        <v>26</v>
      </c>
      <c r="G250" s="17">
        <f>'JUNIO-18 '!I247</f>
        <v>0</v>
      </c>
      <c r="H250" s="51"/>
      <c r="I250" s="17">
        <f t="shared" si="4"/>
        <v>0</v>
      </c>
      <c r="J250" s="45"/>
      <c r="K250" s="280"/>
    </row>
    <row r="251" spans="1:11" ht="31.5" customHeight="1">
      <c r="A251" s="11" t="s">
        <v>341</v>
      </c>
      <c r="B251" s="145" t="s">
        <v>345</v>
      </c>
      <c r="C251" s="55" t="s">
        <v>1059</v>
      </c>
      <c r="D251" s="3" t="s">
        <v>11</v>
      </c>
      <c r="E251" s="3" t="s">
        <v>25</v>
      </c>
      <c r="F251" s="3" t="s">
        <v>26</v>
      </c>
      <c r="G251" s="17">
        <f>'JUNIO-18 '!I248</f>
        <v>0</v>
      </c>
      <c r="H251" s="51"/>
      <c r="I251" s="17">
        <f t="shared" si="4"/>
        <v>0</v>
      </c>
      <c r="J251" s="45"/>
      <c r="K251" s="280"/>
    </row>
    <row r="252" spans="1:11" ht="20.25" customHeight="1">
      <c r="A252" s="11" t="s">
        <v>342</v>
      </c>
      <c r="B252" s="145" t="s">
        <v>346</v>
      </c>
      <c r="C252" s="55"/>
      <c r="D252" s="3" t="s">
        <v>11</v>
      </c>
      <c r="E252" s="3" t="s">
        <v>25</v>
      </c>
      <c r="F252" s="3" t="s">
        <v>26</v>
      </c>
      <c r="G252" s="17">
        <f>'JUNIO-18 '!I249</f>
        <v>0</v>
      </c>
      <c r="H252" s="51"/>
      <c r="I252" s="17">
        <f t="shared" si="4"/>
        <v>0</v>
      </c>
      <c r="J252" s="45"/>
      <c r="K252" s="280"/>
    </row>
    <row r="253" spans="1:11" ht="24" customHeight="1">
      <c r="A253" s="11" t="s">
        <v>343</v>
      </c>
      <c r="B253" s="145" t="s">
        <v>347</v>
      </c>
      <c r="C253" s="55"/>
      <c r="D253" s="3" t="s">
        <v>11</v>
      </c>
      <c r="E253" s="3" t="s">
        <v>25</v>
      </c>
      <c r="F253" s="3" t="s">
        <v>26</v>
      </c>
      <c r="G253" s="17">
        <f>'JUNIO-18 '!I250</f>
        <v>0</v>
      </c>
      <c r="H253" s="51"/>
      <c r="I253" s="17">
        <f t="shared" si="4"/>
        <v>0</v>
      </c>
      <c r="J253" s="45"/>
      <c r="K253" s="280"/>
    </row>
    <row r="254" spans="1:11" ht="70.5" customHeight="1">
      <c r="A254" s="144" t="s">
        <v>348</v>
      </c>
      <c r="B254" s="54" t="s">
        <v>349</v>
      </c>
      <c r="C254" s="55"/>
      <c r="D254" s="3"/>
      <c r="E254" s="3"/>
      <c r="F254" s="3"/>
      <c r="G254" s="17">
        <f>'JUNIO-18 '!I251</f>
        <v>0</v>
      </c>
      <c r="H254" s="51"/>
      <c r="I254" s="17"/>
      <c r="J254" s="45"/>
      <c r="K254" s="46"/>
    </row>
    <row r="255" spans="1:11" ht="23.25" customHeight="1">
      <c r="A255" s="11" t="s">
        <v>350</v>
      </c>
      <c r="B255" s="145" t="s">
        <v>355</v>
      </c>
      <c r="C255" s="55"/>
      <c r="D255" s="3" t="s">
        <v>11</v>
      </c>
      <c r="E255" s="3" t="s">
        <v>25</v>
      </c>
      <c r="F255" s="3" t="s">
        <v>26</v>
      </c>
      <c r="G255" s="17">
        <f>'JUNIO-18 '!I252</f>
        <v>3000</v>
      </c>
      <c r="H255" s="51"/>
      <c r="I255" s="17">
        <f t="shared" si="4"/>
        <v>3000</v>
      </c>
      <c r="J255" s="45"/>
      <c r="K255" s="324"/>
    </row>
    <row r="256" spans="1:11" ht="22.5" customHeight="1">
      <c r="A256" s="11" t="s">
        <v>351</v>
      </c>
      <c r="B256" s="145" t="s">
        <v>354</v>
      </c>
      <c r="C256" s="55"/>
      <c r="D256" s="3" t="s">
        <v>11</v>
      </c>
      <c r="E256" s="3" t="s">
        <v>25</v>
      </c>
      <c r="F256" s="3" t="s">
        <v>26</v>
      </c>
      <c r="G256" s="17">
        <f>'JUNIO-18 '!I253</f>
        <v>1000</v>
      </c>
      <c r="H256" s="51"/>
      <c r="I256" s="17">
        <f t="shared" si="4"/>
        <v>1000</v>
      </c>
      <c r="J256" s="45"/>
      <c r="K256" s="324"/>
    </row>
    <row r="257" spans="1:11" ht="24.75" customHeight="1">
      <c r="A257" s="11" t="s">
        <v>352</v>
      </c>
      <c r="B257" s="145" t="s">
        <v>356</v>
      </c>
      <c r="C257" s="55"/>
      <c r="D257" s="3" t="s">
        <v>11</v>
      </c>
      <c r="E257" s="3" t="s">
        <v>25</v>
      </c>
      <c r="F257" s="3" t="s">
        <v>26</v>
      </c>
      <c r="G257" s="17">
        <f>'JUNIO-18 '!I254</f>
        <v>18.7</v>
      </c>
      <c r="H257" s="51"/>
      <c r="I257" s="17">
        <f t="shared" si="4"/>
        <v>18.7</v>
      </c>
      <c r="J257" s="45"/>
      <c r="K257" s="46"/>
    </row>
    <row r="258" spans="1:11" ht="24.75" customHeight="1">
      <c r="A258" s="11" t="s">
        <v>353</v>
      </c>
      <c r="B258" s="145" t="s">
        <v>357</v>
      </c>
      <c r="C258" s="55"/>
      <c r="D258" s="3" t="s">
        <v>11</v>
      </c>
      <c r="E258" s="3" t="s">
        <v>25</v>
      </c>
      <c r="F258" s="3" t="s">
        <v>26</v>
      </c>
      <c r="G258" s="17">
        <f>'JUNIO-18 '!I255</f>
        <v>980</v>
      </c>
      <c r="H258" s="51"/>
      <c r="I258" s="17">
        <f t="shared" si="4"/>
        <v>980</v>
      </c>
      <c r="J258" s="45"/>
      <c r="K258" s="46"/>
    </row>
    <row r="259" spans="1:11" ht="59.25" customHeight="1">
      <c r="A259" s="144" t="s">
        <v>358</v>
      </c>
      <c r="B259" s="54" t="s">
        <v>359</v>
      </c>
      <c r="C259" s="55"/>
      <c r="D259" s="3"/>
      <c r="E259" s="3"/>
      <c r="F259" s="3"/>
      <c r="G259" s="17">
        <f>'JUNIO-18 '!I256</f>
        <v>0</v>
      </c>
      <c r="H259" s="51"/>
      <c r="I259" s="17"/>
      <c r="J259" s="45"/>
      <c r="K259" s="46"/>
    </row>
    <row r="260" spans="1:11" ht="18.75" customHeight="1">
      <c r="A260" s="11" t="s">
        <v>361</v>
      </c>
      <c r="B260" s="146" t="s">
        <v>360</v>
      </c>
      <c r="C260" s="55"/>
      <c r="D260" s="3" t="s">
        <v>11</v>
      </c>
      <c r="E260" s="3" t="s">
        <v>25</v>
      </c>
      <c r="F260" s="3" t="s">
        <v>26</v>
      </c>
      <c r="G260" s="17">
        <f>'JUNIO-18 '!I257</f>
        <v>3000</v>
      </c>
      <c r="H260" s="51"/>
      <c r="I260" s="17">
        <f t="shared" si="4"/>
        <v>3000</v>
      </c>
      <c r="J260" s="45"/>
      <c r="K260" s="46"/>
    </row>
    <row r="261" spans="1:11" ht="18.75" customHeight="1">
      <c r="A261" s="11" t="s">
        <v>362</v>
      </c>
      <c r="B261" s="145" t="s">
        <v>365</v>
      </c>
      <c r="C261" s="55"/>
      <c r="D261" s="3" t="s">
        <v>11</v>
      </c>
      <c r="E261" s="3" t="s">
        <v>25</v>
      </c>
      <c r="F261" s="3" t="s">
        <v>26</v>
      </c>
      <c r="G261" s="17">
        <f>'JUNIO-18 '!I258</f>
        <v>500</v>
      </c>
      <c r="H261" s="51"/>
      <c r="I261" s="17">
        <f t="shared" si="4"/>
        <v>500</v>
      </c>
      <c r="J261" s="45"/>
      <c r="K261" s="46"/>
    </row>
    <row r="262" spans="1:11" ht="24.75" customHeight="1">
      <c r="A262" s="11" t="s">
        <v>363</v>
      </c>
      <c r="B262" s="145" t="s">
        <v>366</v>
      </c>
      <c r="C262" s="55"/>
      <c r="D262" s="3" t="s">
        <v>11</v>
      </c>
      <c r="E262" s="3" t="s">
        <v>25</v>
      </c>
      <c r="F262" s="3" t="s">
        <v>26</v>
      </c>
      <c r="G262" s="17">
        <f>'JUNIO-18 '!I259</f>
        <v>200</v>
      </c>
      <c r="H262" s="51"/>
      <c r="I262" s="17">
        <f t="shared" si="4"/>
        <v>200</v>
      </c>
      <c r="J262" s="45"/>
      <c r="K262" s="46"/>
    </row>
    <row r="263" spans="1:11" ht="28.5" customHeight="1">
      <c r="A263" s="11" t="s">
        <v>364</v>
      </c>
      <c r="B263" s="146" t="s">
        <v>367</v>
      </c>
      <c r="C263" s="55"/>
      <c r="D263" s="3" t="s">
        <v>11</v>
      </c>
      <c r="E263" s="3" t="s">
        <v>25</v>
      </c>
      <c r="F263" s="3" t="s">
        <v>26</v>
      </c>
      <c r="G263" s="17">
        <f>'JUNIO-18 '!I260</f>
        <v>7280</v>
      </c>
      <c r="H263" s="51"/>
      <c r="I263" s="17">
        <f t="shared" si="4"/>
        <v>7280</v>
      </c>
      <c r="J263" s="45"/>
      <c r="K263" s="46"/>
    </row>
    <row r="264" spans="1:11" ht="27.75" customHeight="1">
      <c r="A264" s="11" t="s">
        <v>368</v>
      </c>
      <c r="B264" s="145" t="s">
        <v>369</v>
      </c>
      <c r="C264" s="55"/>
      <c r="D264" s="3" t="s">
        <v>11</v>
      </c>
      <c r="E264" s="3" t="s">
        <v>25</v>
      </c>
      <c r="F264" s="3" t="s">
        <v>26</v>
      </c>
      <c r="G264" s="17">
        <f>'JUNIO-18 '!I261</f>
        <v>3000</v>
      </c>
      <c r="H264" s="51"/>
      <c r="I264" s="17">
        <f t="shared" si="4"/>
        <v>3000</v>
      </c>
      <c r="J264" s="45"/>
      <c r="K264" s="46"/>
    </row>
    <row r="265" spans="1:11" ht="23.25" customHeight="1">
      <c r="A265" s="11" t="s">
        <v>370</v>
      </c>
      <c r="B265" s="145" t="s">
        <v>371</v>
      </c>
      <c r="C265" s="55"/>
      <c r="D265" s="3" t="s">
        <v>11</v>
      </c>
      <c r="E265" s="3" t="s">
        <v>25</v>
      </c>
      <c r="F265" s="3" t="s">
        <v>26</v>
      </c>
      <c r="G265" s="17">
        <f>'JUNIO-18 '!I262</f>
        <v>1000</v>
      </c>
      <c r="H265" s="51"/>
      <c r="I265" s="17">
        <f t="shared" si="4"/>
        <v>1000</v>
      </c>
      <c r="J265" s="45"/>
      <c r="K265" s="46"/>
    </row>
    <row r="266" spans="1:11" ht="24" customHeight="1">
      <c r="A266" s="11" t="s">
        <v>372</v>
      </c>
      <c r="B266" s="145" t="s">
        <v>373</v>
      </c>
      <c r="C266" s="55"/>
      <c r="D266" s="3" t="s">
        <v>11</v>
      </c>
      <c r="E266" s="3" t="s">
        <v>25</v>
      </c>
      <c r="F266" s="3" t="s">
        <v>26</v>
      </c>
      <c r="G266" s="17">
        <f>'JUNIO-18 '!I263</f>
        <v>18.7</v>
      </c>
      <c r="H266" s="51"/>
      <c r="I266" s="17">
        <f t="shared" si="4"/>
        <v>18.7</v>
      </c>
      <c r="J266" s="45"/>
      <c r="K266" s="46"/>
    </row>
    <row r="267" spans="1:11" ht="69" customHeight="1">
      <c r="A267" s="144" t="s">
        <v>374</v>
      </c>
      <c r="B267" s="54" t="s">
        <v>375</v>
      </c>
      <c r="C267" s="55"/>
      <c r="D267" s="3"/>
      <c r="E267" s="3"/>
      <c r="F267" s="3"/>
      <c r="G267" s="17">
        <f>'JUNIO-18 '!I264</f>
        <v>0</v>
      </c>
      <c r="H267" s="51"/>
      <c r="I267" s="17"/>
      <c r="J267" s="45"/>
      <c r="K267" s="46"/>
    </row>
    <row r="268" spans="1:11" ht="24" customHeight="1">
      <c r="A268" s="11" t="s">
        <v>376</v>
      </c>
      <c r="B268" s="146" t="s">
        <v>377</v>
      </c>
      <c r="C268" s="55"/>
      <c r="D268" s="3" t="s">
        <v>11</v>
      </c>
      <c r="E268" s="3" t="s">
        <v>25</v>
      </c>
      <c r="F268" s="3" t="s">
        <v>26</v>
      </c>
      <c r="G268" s="17">
        <f>'JUNIO-18 '!I265</f>
        <v>4000</v>
      </c>
      <c r="H268" s="51"/>
      <c r="I268" s="17">
        <f t="shared" si="4"/>
        <v>4000</v>
      </c>
      <c r="J268" s="45"/>
      <c r="K268" s="324"/>
    </row>
    <row r="269" spans="1:11" ht="28.5" customHeight="1">
      <c r="A269" s="11" t="s">
        <v>383</v>
      </c>
      <c r="B269" s="145" t="s">
        <v>378</v>
      </c>
      <c r="C269" s="55"/>
      <c r="D269" s="3" t="s">
        <v>11</v>
      </c>
      <c r="E269" s="3" t="s">
        <v>25</v>
      </c>
      <c r="F269" s="3" t="s">
        <v>26</v>
      </c>
      <c r="G269" s="17">
        <f>'JUNIO-18 '!I266</f>
        <v>200</v>
      </c>
      <c r="H269" s="51"/>
      <c r="I269" s="17">
        <f t="shared" si="4"/>
        <v>200</v>
      </c>
      <c r="J269" s="45"/>
      <c r="K269" s="324"/>
    </row>
    <row r="270" spans="1:11" ht="33" customHeight="1">
      <c r="A270" s="11" t="s">
        <v>384</v>
      </c>
      <c r="B270" s="146" t="s">
        <v>379</v>
      </c>
      <c r="C270" s="55"/>
      <c r="D270" s="3" t="s">
        <v>11</v>
      </c>
      <c r="E270" s="3" t="s">
        <v>25</v>
      </c>
      <c r="F270" s="3" t="s">
        <v>26</v>
      </c>
      <c r="G270" s="17">
        <f>'JUNIO-18 '!I267</f>
        <v>3000</v>
      </c>
      <c r="H270" s="51"/>
      <c r="I270" s="17">
        <f t="shared" si="4"/>
        <v>3000</v>
      </c>
      <c r="J270" s="45"/>
      <c r="K270" s="324"/>
    </row>
    <row r="271" spans="1:11" ht="41.25" customHeight="1">
      <c r="A271" s="11" t="s">
        <v>385</v>
      </c>
      <c r="B271" s="145" t="s">
        <v>380</v>
      </c>
      <c r="C271" s="55"/>
      <c r="D271" s="3" t="s">
        <v>11</v>
      </c>
      <c r="E271" s="3" t="s">
        <v>25</v>
      </c>
      <c r="F271" s="3" t="s">
        <v>26</v>
      </c>
      <c r="G271" s="17">
        <f>'JUNIO-18 '!I268</f>
        <v>1000</v>
      </c>
      <c r="H271" s="51"/>
      <c r="I271" s="17">
        <f t="shared" si="4"/>
        <v>1000</v>
      </c>
      <c r="J271" s="45"/>
      <c r="K271" s="324"/>
    </row>
    <row r="272" spans="1:11" ht="30" customHeight="1">
      <c r="A272" s="11" t="s">
        <v>386</v>
      </c>
      <c r="B272" s="145" t="s">
        <v>381</v>
      </c>
      <c r="C272" s="55"/>
      <c r="D272" s="3" t="s">
        <v>11</v>
      </c>
      <c r="E272" s="3" t="s">
        <v>25</v>
      </c>
      <c r="F272" s="3" t="s">
        <v>26</v>
      </c>
      <c r="G272" s="17">
        <f>'JUNIO-18 '!I269</f>
        <v>1780</v>
      </c>
      <c r="H272" s="51"/>
      <c r="I272" s="17">
        <f t="shared" si="4"/>
        <v>1780</v>
      </c>
      <c r="J272" s="45"/>
      <c r="K272" s="46"/>
    </row>
    <row r="273" spans="1:11" ht="27" customHeight="1">
      <c r="A273" s="11" t="s">
        <v>387</v>
      </c>
      <c r="B273" s="145" t="s">
        <v>382</v>
      </c>
      <c r="C273" s="6"/>
      <c r="D273" s="3" t="s">
        <v>11</v>
      </c>
      <c r="E273" s="3" t="s">
        <v>25</v>
      </c>
      <c r="F273" s="3" t="s">
        <v>26</v>
      </c>
      <c r="G273" s="17">
        <f>'JUNIO-18 '!I270</f>
        <v>20</v>
      </c>
      <c r="H273" s="51"/>
      <c r="I273" s="17">
        <f t="shared" si="3"/>
        <v>20</v>
      </c>
      <c r="J273" s="45"/>
      <c r="K273" s="46"/>
    </row>
    <row r="274" spans="1:11" ht="143.25" customHeight="1">
      <c r="A274" s="144" t="s">
        <v>388</v>
      </c>
      <c r="B274" s="54" t="s">
        <v>391</v>
      </c>
      <c r="C274" s="55"/>
      <c r="D274" s="14"/>
      <c r="E274" s="14"/>
      <c r="F274" s="14"/>
      <c r="G274" s="17">
        <f>'JUNIO-18 '!I271</f>
        <v>0</v>
      </c>
      <c r="H274" s="51"/>
      <c r="I274" s="17"/>
      <c r="J274" s="62"/>
      <c r="K274" s="63"/>
    </row>
    <row r="275" spans="1:11" ht="29.25">
      <c r="A275" s="11" t="s">
        <v>389</v>
      </c>
      <c r="B275" s="54" t="s">
        <v>390</v>
      </c>
      <c r="C275" s="55"/>
      <c r="D275" s="14" t="s">
        <v>11</v>
      </c>
      <c r="E275" s="14" t="s">
        <v>25</v>
      </c>
      <c r="F275" s="14" t="s">
        <v>26</v>
      </c>
      <c r="G275" s="17">
        <f>'JUNIO-18 '!I272</f>
        <v>5000</v>
      </c>
      <c r="H275" s="51"/>
      <c r="I275" s="17">
        <f t="shared" si="3"/>
        <v>5000</v>
      </c>
      <c r="J275" s="62"/>
      <c r="K275" s="324"/>
    </row>
    <row r="276" spans="1:11" ht="68.25" customHeight="1">
      <c r="A276" s="144" t="s">
        <v>392</v>
      </c>
      <c r="B276" s="54" t="s">
        <v>393</v>
      </c>
      <c r="C276" s="343" t="s">
        <v>1114</v>
      </c>
      <c r="D276" s="14"/>
      <c r="E276" s="14"/>
      <c r="F276" s="14"/>
      <c r="G276" s="17">
        <f>'JUNIO-18 '!I273</f>
        <v>0</v>
      </c>
      <c r="H276" s="51"/>
      <c r="I276" s="17"/>
      <c r="J276" s="62"/>
      <c r="K276" s="63"/>
    </row>
    <row r="277" spans="1:11">
      <c r="A277" s="11">
        <v>51999</v>
      </c>
      <c r="B277" s="54" t="s">
        <v>394</v>
      </c>
      <c r="C277" s="55"/>
      <c r="D277" s="14" t="s">
        <v>11</v>
      </c>
      <c r="E277" s="14" t="s">
        <v>25</v>
      </c>
      <c r="F277" s="14" t="s">
        <v>26</v>
      </c>
      <c r="G277" s="17">
        <f>'JUNIO-18 '!I274</f>
        <v>725</v>
      </c>
      <c r="H277" s="51"/>
      <c r="I277" s="17">
        <f t="shared" si="3"/>
        <v>725</v>
      </c>
      <c r="J277" s="108"/>
      <c r="K277" s="63"/>
    </row>
    <row r="278" spans="1:11" ht="29.25">
      <c r="A278" s="11">
        <v>54112</v>
      </c>
      <c r="B278" s="54" t="s">
        <v>395</v>
      </c>
      <c r="C278" s="55"/>
      <c r="D278" s="14" t="s">
        <v>11</v>
      </c>
      <c r="E278" s="14" t="s">
        <v>25</v>
      </c>
      <c r="F278" s="14" t="s">
        <v>26</v>
      </c>
      <c r="G278" s="17">
        <f>'JUNIO-18 '!I275</f>
        <v>2000</v>
      </c>
      <c r="H278" s="51"/>
      <c r="I278" s="17">
        <f t="shared" si="3"/>
        <v>2000</v>
      </c>
      <c r="J278" s="62"/>
      <c r="K278" s="63"/>
    </row>
    <row r="279" spans="1:11" ht="29.25">
      <c r="A279" s="11">
        <v>54199</v>
      </c>
      <c r="B279" s="54" t="s">
        <v>396</v>
      </c>
      <c r="C279" s="55"/>
      <c r="D279" s="14" t="s">
        <v>11</v>
      </c>
      <c r="E279" s="14" t="s">
        <v>25</v>
      </c>
      <c r="F279" s="14" t="s">
        <v>26</v>
      </c>
      <c r="G279" s="17">
        <f>'JUNIO-18 '!I276</f>
        <v>1000</v>
      </c>
      <c r="H279" s="51"/>
      <c r="I279" s="17">
        <f t="shared" ref="I279:I335" si="5">G279-H279+J279-K279</f>
        <v>1000</v>
      </c>
      <c r="J279" s="62"/>
      <c r="K279" s="63"/>
    </row>
    <row r="280" spans="1:11">
      <c r="A280" s="11">
        <v>54305</v>
      </c>
      <c r="B280" s="54" t="s">
        <v>397</v>
      </c>
      <c r="C280" s="55"/>
      <c r="D280" s="14" t="s">
        <v>11</v>
      </c>
      <c r="E280" s="14" t="s">
        <v>25</v>
      </c>
      <c r="F280" s="14" t="s">
        <v>26</v>
      </c>
      <c r="G280" s="17">
        <f>'JUNIO-18 '!I277</f>
        <v>5091.2</v>
      </c>
      <c r="H280" s="51"/>
      <c r="I280" s="17">
        <f t="shared" si="5"/>
        <v>5091.2</v>
      </c>
      <c r="J280" s="62"/>
      <c r="K280" s="108"/>
    </row>
    <row r="281" spans="1:11" ht="30">
      <c r="A281" s="11">
        <v>54313</v>
      </c>
      <c r="B281" s="54" t="s">
        <v>398</v>
      </c>
      <c r="C281" s="55" t="s">
        <v>1064</v>
      </c>
      <c r="D281" s="14" t="s">
        <v>11</v>
      </c>
      <c r="E281" s="14" t="s">
        <v>25</v>
      </c>
      <c r="F281" s="14" t="s">
        <v>26</v>
      </c>
      <c r="G281" s="17">
        <f>'JUNIO-18 '!I278</f>
        <v>267</v>
      </c>
      <c r="H281" s="51"/>
      <c r="I281" s="17">
        <f t="shared" si="5"/>
        <v>267</v>
      </c>
      <c r="J281" s="62"/>
      <c r="K281" s="63"/>
    </row>
    <row r="282" spans="1:11" ht="30">
      <c r="A282" s="11">
        <v>54399</v>
      </c>
      <c r="B282" s="54" t="s">
        <v>399</v>
      </c>
      <c r="C282" s="55"/>
      <c r="D282" s="14" t="s">
        <v>11</v>
      </c>
      <c r="E282" s="14" t="s">
        <v>25</v>
      </c>
      <c r="F282" s="14" t="s">
        <v>26</v>
      </c>
      <c r="G282" s="17">
        <f>'JUNIO-18 '!I279</f>
        <v>2000</v>
      </c>
      <c r="H282" s="51"/>
      <c r="I282" s="17">
        <f t="shared" si="5"/>
        <v>2000</v>
      </c>
      <c r="J282" s="62"/>
      <c r="K282" s="63"/>
    </row>
    <row r="283" spans="1:11" ht="30">
      <c r="A283" s="11">
        <v>55603</v>
      </c>
      <c r="B283" s="54" t="s">
        <v>400</v>
      </c>
      <c r="C283" s="55"/>
      <c r="D283" s="14" t="s">
        <v>11</v>
      </c>
      <c r="E283" s="14" t="s">
        <v>25</v>
      </c>
      <c r="F283" s="14" t="s">
        <v>26</v>
      </c>
      <c r="G283" s="17">
        <f>'JUNIO-18 '!I280</f>
        <v>14.17</v>
      </c>
      <c r="H283" s="51"/>
      <c r="I283" s="17">
        <f t="shared" si="5"/>
        <v>14.17</v>
      </c>
      <c r="J283" s="62"/>
      <c r="K283" s="63"/>
    </row>
    <row r="284" spans="1:11" ht="75.75" customHeight="1">
      <c r="A284" s="144" t="s">
        <v>401</v>
      </c>
      <c r="B284" s="54" t="s">
        <v>402</v>
      </c>
      <c r="C284" s="55" t="s">
        <v>1063</v>
      </c>
      <c r="D284" s="14"/>
      <c r="E284" s="14"/>
      <c r="F284" s="14"/>
      <c r="G284" s="17">
        <f>'JUNIO-18 '!I281</f>
        <v>0</v>
      </c>
      <c r="H284" s="51"/>
      <c r="I284" s="17"/>
      <c r="J284" s="62"/>
      <c r="K284" s="63"/>
    </row>
    <row r="285" spans="1:11" ht="20.25" customHeight="1">
      <c r="A285" s="147">
        <v>54119</v>
      </c>
      <c r="B285" s="145" t="s">
        <v>403</v>
      </c>
      <c r="C285" s="55" t="s">
        <v>1063</v>
      </c>
      <c r="D285" s="14" t="s">
        <v>11</v>
      </c>
      <c r="E285" s="14" t="s">
        <v>25</v>
      </c>
      <c r="F285" s="14" t="s">
        <v>26</v>
      </c>
      <c r="G285" s="17">
        <f>'JUNIO-18 '!I282</f>
        <v>416.02999999999884</v>
      </c>
      <c r="H285" s="51">
        <v>665</v>
      </c>
      <c r="I285" s="18">
        <f t="shared" si="5"/>
        <v>751.02999999999884</v>
      </c>
      <c r="J285" s="108">
        <v>1000</v>
      </c>
      <c r="K285" s="63"/>
    </row>
    <row r="286" spans="1:11" ht="39.75" customHeight="1">
      <c r="A286" s="147">
        <v>51999</v>
      </c>
      <c r="B286" s="145" t="s">
        <v>1051</v>
      </c>
      <c r="C286" s="55" t="s">
        <v>1063</v>
      </c>
      <c r="D286" s="14" t="s">
        <v>11</v>
      </c>
      <c r="E286" s="14" t="s">
        <v>25</v>
      </c>
      <c r="F286" s="14" t="s">
        <v>26</v>
      </c>
      <c r="G286" s="17">
        <f>'JUNIO-18 '!I283</f>
        <v>1003.6700000000001</v>
      </c>
      <c r="H286" s="51"/>
      <c r="I286" s="17">
        <f t="shared" si="5"/>
        <v>3.6700000000000728</v>
      </c>
      <c r="J286" s="108"/>
      <c r="K286" s="320">
        <v>1000</v>
      </c>
    </row>
    <row r="287" spans="1:11" ht="24">
      <c r="A287" s="147">
        <v>54112</v>
      </c>
      <c r="B287" s="145" t="s">
        <v>404</v>
      </c>
      <c r="C287" s="55"/>
      <c r="D287" s="14" t="s">
        <v>11</v>
      </c>
      <c r="E287" s="14" t="s">
        <v>25</v>
      </c>
      <c r="F287" s="14" t="s">
        <v>26</v>
      </c>
      <c r="G287" s="17">
        <f>'JUNIO-18 '!I284</f>
        <v>0</v>
      </c>
      <c r="H287" s="51"/>
      <c r="I287" s="17">
        <f t="shared" si="5"/>
        <v>0</v>
      </c>
      <c r="J287" s="62"/>
      <c r="K287" s="302"/>
    </row>
    <row r="288" spans="1:11" ht="22.5" customHeight="1">
      <c r="A288" s="147">
        <v>54199</v>
      </c>
      <c r="B288" s="145" t="s">
        <v>405</v>
      </c>
      <c r="C288" s="55"/>
      <c r="D288" s="14" t="s">
        <v>11</v>
      </c>
      <c r="E288" s="14" t="s">
        <v>25</v>
      </c>
      <c r="F288" s="14" t="s">
        <v>26</v>
      </c>
      <c r="G288" s="17">
        <f>'JUNIO-18 '!I285</f>
        <v>0</v>
      </c>
      <c r="H288" s="51"/>
      <c r="I288" s="17">
        <f t="shared" si="5"/>
        <v>0</v>
      </c>
      <c r="J288" s="62"/>
      <c r="K288" s="302"/>
    </row>
    <row r="289" spans="1:11" ht="24">
      <c r="A289" s="147">
        <v>54399</v>
      </c>
      <c r="B289" s="145" t="s">
        <v>406</v>
      </c>
      <c r="C289" s="55"/>
      <c r="D289" s="14" t="s">
        <v>11</v>
      </c>
      <c r="E289" s="14" t="s">
        <v>25</v>
      </c>
      <c r="F289" s="14" t="s">
        <v>26</v>
      </c>
      <c r="G289" s="17">
        <f>'JUNIO-18 '!I286</f>
        <v>180</v>
      </c>
      <c r="H289" s="51"/>
      <c r="I289" s="17">
        <f t="shared" si="5"/>
        <v>180</v>
      </c>
      <c r="J289" s="62"/>
      <c r="K289" s="302"/>
    </row>
    <row r="290" spans="1:11" ht="23.25" customHeight="1">
      <c r="A290" s="147">
        <v>55603</v>
      </c>
      <c r="B290" s="145" t="s">
        <v>407</v>
      </c>
      <c r="C290" s="55"/>
      <c r="D290" s="14" t="s">
        <v>11</v>
      </c>
      <c r="E290" s="14" t="s">
        <v>25</v>
      </c>
      <c r="F290" s="14" t="s">
        <v>26</v>
      </c>
      <c r="G290" s="17">
        <f>'JUNIO-18 '!I287</f>
        <v>6.9999999999999991</v>
      </c>
      <c r="H290" s="309"/>
      <c r="I290" s="17">
        <f t="shared" si="5"/>
        <v>6.9999999999999991</v>
      </c>
      <c r="J290" s="62"/>
      <c r="K290" s="63"/>
    </row>
    <row r="291" spans="1:11" s="213" customFormat="1" ht="58.5" customHeight="1">
      <c r="A291" s="144" t="s">
        <v>408</v>
      </c>
      <c r="B291" s="54" t="s">
        <v>409</v>
      </c>
      <c r="C291" s="378" t="s">
        <v>1141</v>
      </c>
      <c r="D291" s="14"/>
      <c r="E291" s="14"/>
      <c r="F291" s="14"/>
      <c r="G291" s="17">
        <f>'JUNIO-18 '!I288</f>
        <v>0</v>
      </c>
      <c r="H291" s="51"/>
      <c r="I291" s="17"/>
      <c r="J291" s="62"/>
      <c r="K291" s="63"/>
    </row>
    <row r="292" spans="1:11" ht="29.25">
      <c r="A292" s="11">
        <v>51999</v>
      </c>
      <c r="B292" s="54" t="s">
        <v>410</v>
      </c>
      <c r="C292" s="55"/>
      <c r="D292" s="14" t="s">
        <v>11</v>
      </c>
      <c r="E292" s="14" t="s">
        <v>25</v>
      </c>
      <c r="F292" s="14" t="s">
        <v>26</v>
      </c>
      <c r="G292" s="17">
        <f>'JUNIO-18 '!I289</f>
        <v>2685.33</v>
      </c>
      <c r="H292" s="51">
        <f>240+192+168+112</f>
        <v>712</v>
      </c>
      <c r="I292" s="17">
        <f t="shared" si="5"/>
        <v>1973.33</v>
      </c>
      <c r="J292" s="62"/>
      <c r="K292" s="63"/>
    </row>
    <row r="293" spans="1:11" ht="29.25">
      <c r="A293" s="11">
        <v>54111</v>
      </c>
      <c r="B293" s="54" t="s">
        <v>411</v>
      </c>
      <c r="C293" s="55" t="s">
        <v>1142</v>
      </c>
      <c r="D293" s="14" t="s">
        <v>11</v>
      </c>
      <c r="E293" s="14" t="s">
        <v>25</v>
      </c>
      <c r="F293" s="14" t="s">
        <v>26</v>
      </c>
      <c r="G293" s="17">
        <f>'JUNIO-18 '!I290</f>
        <v>2933.08</v>
      </c>
      <c r="H293" s="51">
        <f>138.75</f>
        <v>138.75</v>
      </c>
      <c r="I293" s="17">
        <f t="shared" si="5"/>
        <v>2294.33</v>
      </c>
      <c r="J293" s="62"/>
      <c r="K293" s="320">
        <v>500</v>
      </c>
    </row>
    <row r="294" spans="1:11" ht="29.25">
      <c r="A294" s="11">
        <v>54112</v>
      </c>
      <c r="B294" s="54" t="s">
        <v>412</v>
      </c>
      <c r="C294" s="55"/>
      <c r="D294" s="14" t="s">
        <v>11</v>
      </c>
      <c r="E294" s="14" t="s">
        <v>25</v>
      </c>
      <c r="F294" s="14" t="s">
        <v>26</v>
      </c>
      <c r="G294" s="17">
        <f>'JUNIO-18 '!I291</f>
        <v>1969.55</v>
      </c>
      <c r="H294" s="51"/>
      <c r="I294" s="17">
        <f t="shared" si="5"/>
        <v>1969.55</v>
      </c>
      <c r="J294" s="62"/>
      <c r="K294" s="320"/>
    </row>
    <row r="295" spans="1:11" ht="30">
      <c r="A295" s="11">
        <v>54118</v>
      </c>
      <c r="B295" s="54" t="s">
        <v>413</v>
      </c>
      <c r="C295" s="55" t="s">
        <v>1142</v>
      </c>
      <c r="D295" s="14" t="s">
        <v>11</v>
      </c>
      <c r="E295" s="14" t="s">
        <v>25</v>
      </c>
      <c r="F295" s="14" t="s">
        <v>26</v>
      </c>
      <c r="G295" s="17">
        <f>'JUNIO-18 '!I292</f>
        <v>3522.6099999999997</v>
      </c>
      <c r="H295" s="51">
        <f>261.98+151.25+58+145.43+308</f>
        <v>924.66000000000008</v>
      </c>
      <c r="I295" s="17">
        <f t="shared" si="5"/>
        <v>2097.9499999999998</v>
      </c>
      <c r="J295" s="62"/>
      <c r="K295" s="320">
        <v>500</v>
      </c>
    </row>
    <row r="296" spans="1:11" ht="29.25">
      <c r="A296" s="11">
        <v>54199</v>
      </c>
      <c r="B296" s="54" t="s">
        <v>414</v>
      </c>
      <c r="C296" s="55"/>
      <c r="D296" s="14" t="s">
        <v>11</v>
      </c>
      <c r="E296" s="14" t="s">
        <v>25</v>
      </c>
      <c r="F296" s="14" t="s">
        <v>26</v>
      </c>
      <c r="G296" s="17">
        <f>'JUNIO-18 '!I293</f>
        <v>987</v>
      </c>
      <c r="H296" s="51"/>
      <c r="I296" s="17">
        <f t="shared" si="5"/>
        <v>987</v>
      </c>
      <c r="J296" s="62"/>
      <c r="K296" s="320"/>
    </row>
    <row r="297" spans="1:11" ht="30">
      <c r="A297" s="11">
        <v>54301</v>
      </c>
      <c r="B297" s="54" t="s">
        <v>415</v>
      </c>
      <c r="C297" s="55" t="s">
        <v>1142</v>
      </c>
      <c r="D297" s="14" t="s">
        <v>11</v>
      </c>
      <c r="E297" s="14" t="s">
        <v>25</v>
      </c>
      <c r="F297" s="14" t="s">
        <v>26</v>
      </c>
      <c r="G297" s="17">
        <f>'JUNIO-18 '!I294</f>
        <v>2728.8</v>
      </c>
      <c r="H297" s="51">
        <f>140+355.55+40+1200</f>
        <v>1735.55</v>
      </c>
      <c r="I297" s="17">
        <f t="shared" si="5"/>
        <v>493.25000000000023</v>
      </c>
      <c r="J297" s="62"/>
      <c r="K297" s="320">
        <v>500</v>
      </c>
    </row>
    <row r="298" spans="1:11" ht="29.25">
      <c r="A298" s="11">
        <v>54316</v>
      </c>
      <c r="B298" s="54" t="s">
        <v>1146</v>
      </c>
      <c r="C298" s="55" t="s">
        <v>1142</v>
      </c>
      <c r="D298" s="14" t="s">
        <v>11</v>
      </c>
      <c r="E298" s="14" t="s">
        <v>25</v>
      </c>
      <c r="F298" s="14" t="s">
        <v>26</v>
      </c>
      <c r="G298" s="17">
        <v>0</v>
      </c>
      <c r="H298" s="51">
        <v>2590</v>
      </c>
      <c r="I298" s="17">
        <f t="shared" si="5"/>
        <v>410</v>
      </c>
      <c r="J298" s="108">
        <v>3000</v>
      </c>
      <c r="K298" s="320"/>
    </row>
    <row r="299" spans="1:11" ht="30">
      <c r="A299" s="11">
        <v>54399</v>
      </c>
      <c r="B299" s="54" t="s">
        <v>416</v>
      </c>
      <c r="C299" s="55"/>
      <c r="D299" s="14" t="s">
        <v>11</v>
      </c>
      <c r="E299" s="14" t="s">
        <v>25</v>
      </c>
      <c r="F299" s="14" t="s">
        <v>26</v>
      </c>
      <c r="G299" s="17">
        <f>'JUNIO-18 '!I295</f>
        <v>1813.5</v>
      </c>
      <c r="H299" s="51">
        <f>72</f>
        <v>72</v>
      </c>
      <c r="I299" s="17">
        <f t="shared" si="5"/>
        <v>241.5</v>
      </c>
      <c r="J299" s="62"/>
      <c r="K299" s="320">
        <v>1500</v>
      </c>
    </row>
    <row r="300" spans="1:11" ht="29.25">
      <c r="A300" s="11">
        <v>55603</v>
      </c>
      <c r="B300" s="54" t="s">
        <v>417</v>
      </c>
      <c r="C300" s="55"/>
      <c r="D300" s="14" t="s">
        <v>11</v>
      </c>
      <c r="E300" s="14" t="s">
        <v>25</v>
      </c>
      <c r="F300" s="14" t="s">
        <v>26</v>
      </c>
      <c r="G300" s="17">
        <f>'JUNIO-18 '!I296</f>
        <v>1.7499999999999991</v>
      </c>
      <c r="H300" s="51"/>
      <c r="I300" s="17">
        <f t="shared" si="5"/>
        <v>1.7499999999999991</v>
      </c>
      <c r="J300" s="62"/>
      <c r="K300" s="63"/>
    </row>
    <row r="301" spans="1:11" ht="64.5" customHeight="1">
      <c r="A301" s="144" t="s">
        <v>418</v>
      </c>
      <c r="B301" s="54" t="s">
        <v>419</v>
      </c>
      <c r="C301" s="344" t="s">
        <v>1144</v>
      </c>
      <c r="D301" s="14"/>
      <c r="E301" s="14"/>
      <c r="F301" s="14"/>
      <c r="G301" s="17">
        <f>'JUNIO-18 '!I297</f>
        <v>0</v>
      </c>
      <c r="H301" s="51"/>
      <c r="I301" s="17"/>
      <c r="J301" s="62"/>
      <c r="K301" s="63"/>
    </row>
    <row r="302" spans="1:11" ht="20.25" customHeight="1">
      <c r="A302" s="11">
        <v>51202</v>
      </c>
      <c r="B302" s="54" t="s">
        <v>420</v>
      </c>
      <c r="C302" s="55"/>
      <c r="D302" s="14" t="s">
        <v>11</v>
      </c>
      <c r="E302" s="14" t="s">
        <v>25</v>
      </c>
      <c r="F302" s="14" t="s">
        <v>26</v>
      </c>
      <c r="G302" s="17">
        <f>'JUNIO-18 '!I298</f>
        <v>2500</v>
      </c>
      <c r="H302" s="51"/>
      <c r="I302" s="17">
        <f t="shared" si="5"/>
        <v>2500</v>
      </c>
      <c r="J302" s="62"/>
      <c r="K302" s="320"/>
    </row>
    <row r="303" spans="1:11" ht="25.5" customHeight="1">
      <c r="A303" s="11">
        <v>54110</v>
      </c>
      <c r="B303" s="54" t="s">
        <v>421</v>
      </c>
      <c r="C303" s="55"/>
      <c r="D303" s="14" t="s">
        <v>11</v>
      </c>
      <c r="E303" s="14" t="s">
        <v>25</v>
      </c>
      <c r="F303" s="14" t="s">
        <v>26</v>
      </c>
      <c r="G303" s="17">
        <f>'JUNIO-18 '!I299</f>
        <v>5000</v>
      </c>
      <c r="H303" s="51">
        <v>27.6</v>
      </c>
      <c r="I303" s="17">
        <f t="shared" si="5"/>
        <v>4972.3999999999996</v>
      </c>
      <c r="J303" s="62"/>
      <c r="K303" s="320"/>
    </row>
    <row r="304" spans="1:11" ht="29.25">
      <c r="A304" s="11">
        <v>54111</v>
      </c>
      <c r="B304" s="54" t="s">
        <v>422</v>
      </c>
      <c r="C304" s="55" t="s">
        <v>1145</v>
      </c>
      <c r="D304" s="14" t="s">
        <v>11</v>
      </c>
      <c r="E304" s="14" t="s">
        <v>25</v>
      </c>
      <c r="F304" s="14" t="s">
        <v>26</v>
      </c>
      <c r="G304" s="17">
        <f>'JUNIO-18 '!I300</f>
        <v>5057</v>
      </c>
      <c r="H304" s="51">
        <f>130.22+442+1474</f>
        <v>2046.22</v>
      </c>
      <c r="I304" s="17">
        <f t="shared" si="5"/>
        <v>3010.7799999999997</v>
      </c>
      <c r="J304" s="108"/>
      <c r="K304" s="320"/>
    </row>
    <row r="305" spans="1:11" ht="29.25">
      <c r="A305" s="11">
        <v>54112</v>
      </c>
      <c r="B305" s="54" t="s">
        <v>423</v>
      </c>
      <c r="C305" s="55" t="s">
        <v>1145</v>
      </c>
      <c r="D305" s="14" t="s">
        <v>11</v>
      </c>
      <c r="E305" s="14" t="s">
        <v>25</v>
      </c>
      <c r="F305" s="14" t="s">
        <v>26</v>
      </c>
      <c r="G305" s="17">
        <f>'JUNIO-18 '!I301</f>
        <v>2481.25</v>
      </c>
      <c r="H305" s="51">
        <f>570+50</f>
        <v>620</v>
      </c>
      <c r="I305" s="17">
        <f t="shared" si="5"/>
        <v>1861.25</v>
      </c>
      <c r="J305" s="62"/>
      <c r="K305" s="320"/>
    </row>
    <row r="306" spans="1:11" ht="29.25">
      <c r="A306" s="11">
        <v>54313</v>
      </c>
      <c r="B306" s="54" t="s">
        <v>424</v>
      </c>
      <c r="C306" s="55"/>
      <c r="D306" s="14" t="s">
        <v>11</v>
      </c>
      <c r="E306" s="14" t="s">
        <v>25</v>
      </c>
      <c r="F306" s="14" t="s">
        <v>26</v>
      </c>
      <c r="G306" s="17">
        <f>'JUNIO-18 '!I302</f>
        <v>490</v>
      </c>
      <c r="H306" s="51"/>
      <c r="I306" s="17">
        <f t="shared" si="5"/>
        <v>490</v>
      </c>
      <c r="J306" s="62"/>
      <c r="K306" s="63"/>
    </row>
    <row r="307" spans="1:11" ht="29.25">
      <c r="A307" s="11">
        <v>54316</v>
      </c>
      <c r="B307" s="54" t="s">
        <v>425</v>
      </c>
      <c r="C307" s="55"/>
      <c r="D307" s="14" t="s">
        <v>11</v>
      </c>
      <c r="E307" s="14" t="s">
        <v>25</v>
      </c>
      <c r="F307" s="14" t="s">
        <v>26</v>
      </c>
      <c r="G307" s="17">
        <f>'JUNIO-18 '!I303</f>
        <v>270</v>
      </c>
      <c r="H307" s="51"/>
      <c r="I307" s="17">
        <f t="shared" si="5"/>
        <v>270</v>
      </c>
      <c r="J307" s="108"/>
      <c r="K307" s="63"/>
    </row>
    <row r="308" spans="1:11" ht="30">
      <c r="A308" s="11">
        <v>54399</v>
      </c>
      <c r="B308" s="54" t="s">
        <v>426</v>
      </c>
      <c r="C308" s="55"/>
      <c r="D308" s="14" t="s">
        <v>11</v>
      </c>
      <c r="E308" s="14" t="s">
        <v>25</v>
      </c>
      <c r="F308" s="14" t="s">
        <v>26</v>
      </c>
      <c r="G308" s="17">
        <f>'JUNIO-18 '!I304</f>
        <v>5000</v>
      </c>
      <c r="H308" s="51"/>
      <c r="I308" s="17">
        <f t="shared" si="5"/>
        <v>5000</v>
      </c>
      <c r="J308" s="62"/>
      <c r="K308" s="63"/>
    </row>
    <row r="309" spans="1:11">
      <c r="A309" s="11">
        <v>55603</v>
      </c>
      <c r="B309" s="54" t="s">
        <v>427</v>
      </c>
      <c r="C309" s="55"/>
      <c r="D309" s="14" t="s">
        <v>11</v>
      </c>
      <c r="E309" s="14" t="s">
        <v>25</v>
      </c>
      <c r="F309" s="14" t="s">
        <v>26</v>
      </c>
      <c r="G309" s="17">
        <f>'JUNIO-18 '!I305</f>
        <v>8.6999999999999993</v>
      </c>
      <c r="H309" s="51">
        <v>1.3</v>
      </c>
      <c r="I309" s="17">
        <f t="shared" si="5"/>
        <v>7.3999999999999995</v>
      </c>
      <c r="J309" s="62"/>
      <c r="K309" s="63"/>
    </row>
    <row r="310" spans="1:11" ht="20.25" customHeight="1">
      <c r="A310" s="11">
        <v>55799</v>
      </c>
      <c r="B310" s="54" t="s">
        <v>428</v>
      </c>
      <c r="C310" s="55"/>
      <c r="D310" s="14" t="s">
        <v>11</v>
      </c>
      <c r="E310" s="14" t="s">
        <v>25</v>
      </c>
      <c r="F310" s="14" t="s">
        <v>26</v>
      </c>
      <c r="G310" s="17">
        <f>'JUNIO-18 '!I306</f>
        <v>10000</v>
      </c>
      <c r="H310" s="51"/>
      <c r="I310" s="17">
        <f t="shared" si="5"/>
        <v>10000</v>
      </c>
      <c r="J310" s="62"/>
      <c r="K310" s="63"/>
    </row>
    <row r="311" spans="1:11" ht="77.25" customHeight="1">
      <c r="A311" s="144" t="s">
        <v>429</v>
      </c>
      <c r="B311" s="54" t="s">
        <v>430</v>
      </c>
      <c r="C311" s="343" t="s">
        <v>1102</v>
      </c>
      <c r="D311" s="14"/>
      <c r="E311" s="14"/>
      <c r="F311" s="14"/>
      <c r="G311" s="17">
        <f>'JUNIO-18 '!I307</f>
        <v>0</v>
      </c>
      <c r="H311" s="51"/>
      <c r="I311" s="17"/>
      <c r="J311" s="62"/>
      <c r="K311" s="63"/>
    </row>
    <row r="312" spans="1:11" ht="33.75" customHeight="1">
      <c r="A312" s="148">
        <v>54199</v>
      </c>
      <c r="B312" s="54" t="s">
        <v>431</v>
      </c>
      <c r="C312" s="55" t="s">
        <v>1103</v>
      </c>
      <c r="D312" s="14" t="s">
        <v>11</v>
      </c>
      <c r="E312" s="14" t="s">
        <v>25</v>
      </c>
      <c r="F312" s="14" t="s">
        <v>26</v>
      </c>
      <c r="G312" s="17">
        <f>'JUNIO-18 '!I308</f>
        <v>3675</v>
      </c>
      <c r="H312" s="51">
        <v>1000</v>
      </c>
      <c r="I312" s="17">
        <f t="shared" si="5"/>
        <v>2675</v>
      </c>
      <c r="J312" s="62"/>
      <c r="K312" s="63"/>
    </row>
    <row r="313" spans="1:11" ht="30" customHeight="1">
      <c r="A313" s="148">
        <v>54314</v>
      </c>
      <c r="B313" s="54" t="s">
        <v>432</v>
      </c>
      <c r="C313" s="55" t="s">
        <v>1103</v>
      </c>
      <c r="D313" s="14" t="s">
        <v>11</v>
      </c>
      <c r="E313" s="14" t="s">
        <v>25</v>
      </c>
      <c r="F313" s="14" t="s">
        <v>26</v>
      </c>
      <c r="G313" s="17">
        <f>'JUNIO-18 '!I309</f>
        <v>8118.5599999999995</v>
      </c>
      <c r="H313" s="51">
        <f>150</f>
        <v>150</v>
      </c>
      <c r="I313" s="17">
        <f t="shared" si="5"/>
        <v>7968.5599999999995</v>
      </c>
      <c r="J313" s="62"/>
      <c r="K313" s="63"/>
    </row>
    <row r="314" spans="1:11" ht="30.75" customHeight="1">
      <c r="A314" s="148">
        <v>54399</v>
      </c>
      <c r="B314" s="54" t="s">
        <v>433</v>
      </c>
      <c r="C314" s="55"/>
      <c r="D314" s="14" t="s">
        <v>11</v>
      </c>
      <c r="E314" s="14" t="s">
        <v>25</v>
      </c>
      <c r="F314" s="14" t="s">
        <v>26</v>
      </c>
      <c r="G314" s="17">
        <f>'JUNIO-18 '!I310</f>
        <v>5000</v>
      </c>
      <c r="H314" s="51"/>
      <c r="I314" s="17">
        <f t="shared" si="5"/>
        <v>5000</v>
      </c>
      <c r="J314" s="62"/>
      <c r="K314" s="63"/>
    </row>
    <row r="315" spans="1:11" ht="33" customHeight="1">
      <c r="A315" s="148">
        <v>55603</v>
      </c>
      <c r="B315" s="54" t="s">
        <v>434</v>
      </c>
      <c r="C315" s="55"/>
      <c r="D315" s="14" t="s">
        <v>11</v>
      </c>
      <c r="E315" s="14" t="s">
        <v>25</v>
      </c>
      <c r="F315" s="14" t="s">
        <v>26</v>
      </c>
      <c r="G315" s="17">
        <f>'JUNIO-18 '!I311</f>
        <v>4.169999999999999</v>
      </c>
      <c r="H315" s="51"/>
      <c r="I315" s="17">
        <f t="shared" si="5"/>
        <v>4.169999999999999</v>
      </c>
      <c r="J315" s="62"/>
      <c r="K315" s="63"/>
    </row>
    <row r="316" spans="1:11" ht="31.5" customHeight="1">
      <c r="A316" s="148">
        <v>56303</v>
      </c>
      <c r="B316" s="54" t="s">
        <v>986</v>
      </c>
      <c r="C316" s="55"/>
      <c r="D316" s="14" t="s">
        <v>11</v>
      </c>
      <c r="E316" s="14" t="s">
        <v>25</v>
      </c>
      <c r="F316" s="14" t="s">
        <v>26</v>
      </c>
      <c r="G316" s="17">
        <f>'JUNIO-18 '!I312</f>
        <v>9990</v>
      </c>
      <c r="H316" s="51"/>
      <c r="I316" s="17">
        <f t="shared" si="5"/>
        <v>9990</v>
      </c>
      <c r="J316" s="62"/>
      <c r="K316" s="63"/>
    </row>
    <row r="317" spans="1:11" ht="77.25" customHeight="1">
      <c r="A317" s="144" t="s">
        <v>437</v>
      </c>
      <c r="B317" s="54" t="s">
        <v>436</v>
      </c>
      <c r="C317" s="55"/>
      <c r="D317" s="14" t="s">
        <v>11</v>
      </c>
      <c r="E317" s="14" t="s">
        <v>25</v>
      </c>
      <c r="F317" s="14" t="s">
        <v>26</v>
      </c>
      <c r="G317" s="17">
        <f>'JUNIO-18 '!I313</f>
        <v>0</v>
      </c>
      <c r="H317" s="51"/>
      <c r="I317" s="17"/>
      <c r="J317" s="62"/>
      <c r="K317" s="63"/>
    </row>
    <row r="318" spans="1:11" ht="28.5" customHeight="1">
      <c r="A318" s="148">
        <v>54199</v>
      </c>
      <c r="B318" s="54" t="s">
        <v>438</v>
      </c>
      <c r="C318" s="55"/>
      <c r="D318" s="14" t="s">
        <v>11</v>
      </c>
      <c r="E318" s="14" t="s">
        <v>25</v>
      </c>
      <c r="F318" s="14" t="s">
        <v>26</v>
      </c>
      <c r="G318" s="17">
        <f>'JUNIO-18 '!I314</f>
        <v>0</v>
      </c>
      <c r="H318" s="51"/>
      <c r="I318" s="17">
        <f t="shared" si="5"/>
        <v>0</v>
      </c>
      <c r="J318" s="62"/>
      <c r="K318" s="281"/>
    </row>
    <row r="319" spans="1:11" ht="15" customHeight="1">
      <c r="A319" s="148">
        <v>54314</v>
      </c>
      <c r="B319" s="54" t="s">
        <v>439</v>
      </c>
      <c r="C319" s="55"/>
      <c r="D319" s="14" t="s">
        <v>11</v>
      </c>
      <c r="E319" s="14" t="s">
        <v>25</v>
      </c>
      <c r="F319" s="14" t="s">
        <v>26</v>
      </c>
      <c r="G319" s="17">
        <f>'JUNIO-18 '!I315</f>
        <v>0</v>
      </c>
      <c r="H319" s="51"/>
      <c r="I319" s="17">
        <f t="shared" si="5"/>
        <v>0</v>
      </c>
      <c r="J319" s="62"/>
      <c r="K319" s="281"/>
    </row>
    <row r="320" spans="1:11" ht="27.75" customHeight="1">
      <c r="A320" s="148">
        <v>54399</v>
      </c>
      <c r="B320" s="54" t="s">
        <v>440</v>
      </c>
      <c r="C320" s="55"/>
      <c r="D320" s="14" t="s">
        <v>11</v>
      </c>
      <c r="E320" s="14" t="s">
        <v>25</v>
      </c>
      <c r="F320" s="14" t="s">
        <v>26</v>
      </c>
      <c r="G320" s="17">
        <f>'JUNIO-18 '!I316</f>
        <v>0</v>
      </c>
      <c r="H320" s="51"/>
      <c r="I320" s="17">
        <f t="shared" si="5"/>
        <v>0</v>
      </c>
      <c r="J320" s="62"/>
      <c r="K320" s="281"/>
    </row>
    <row r="321" spans="1:12" ht="29.25" customHeight="1">
      <c r="A321" s="148">
        <v>55603</v>
      </c>
      <c r="B321" s="54" t="s">
        <v>441</v>
      </c>
      <c r="C321" s="55"/>
      <c r="D321" s="14" t="s">
        <v>11</v>
      </c>
      <c r="E321" s="14" t="s">
        <v>25</v>
      </c>
      <c r="F321" s="14" t="s">
        <v>26</v>
      </c>
      <c r="G321" s="17">
        <f>'JUNIO-18 '!I317</f>
        <v>0</v>
      </c>
      <c r="H321" s="51"/>
      <c r="I321" s="17">
        <f t="shared" si="5"/>
        <v>0</v>
      </c>
      <c r="J321" s="62"/>
      <c r="K321" s="281"/>
    </row>
    <row r="322" spans="1:12" ht="18" customHeight="1">
      <c r="A322" s="148">
        <v>55799</v>
      </c>
      <c r="B322" s="54" t="s">
        <v>442</v>
      </c>
      <c r="C322" s="55"/>
      <c r="D322" s="14" t="s">
        <v>11</v>
      </c>
      <c r="E322" s="14" t="s">
        <v>25</v>
      </c>
      <c r="F322" s="14" t="s">
        <v>26</v>
      </c>
      <c r="G322" s="17">
        <f>'JUNIO-18 '!I318</f>
        <v>0</v>
      </c>
      <c r="H322" s="51"/>
      <c r="I322" s="17">
        <f t="shared" si="5"/>
        <v>0</v>
      </c>
      <c r="J322" s="62"/>
      <c r="K322" s="281"/>
    </row>
    <row r="323" spans="1:12" ht="68.25" customHeight="1">
      <c r="A323" s="144" t="s">
        <v>443</v>
      </c>
      <c r="B323" s="339" t="s">
        <v>1136</v>
      </c>
      <c r="C323" s="343" t="s">
        <v>1122</v>
      </c>
      <c r="D323" s="14"/>
      <c r="E323" s="14"/>
      <c r="F323" s="14"/>
      <c r="G323" s="17">
        <f>'JUNIO-18 '!I319</f>
        <v>0</v>
      </c>
      <c r="H323" s="51"/>
      <c r="I323" s="17"/>
      <c r="J323" s="62"/>
      <c r="K323" s="63"/>
    </row>
    <row r="324" spans="1:12" ht="27.75" customHeight="1">
      <c r="A324" s="148">
        <v>54199</v>
      </c>
      <c r="B324" s="54" t="s">
        <v>445</v>
      </c>
      <c r="C324" s="55"/>
      <c r="D324" s="14" t="s">
        <v>11</v>
      </c>
      <c r="E324" s="14" t="s">
        <v>25</v>
      </c>
      <c r="F324" s="14" t="s">
        <v>26</v>
      </c>
      <c r="G324" s="17">
        <f>'JUNIO-18 '!I320</f>
        <v>310</v>
      </c>
      <c r="H324" s="51"/>
      <c r="I324" s="17">
        <f t="shared" si="5"/>
        <v>0</v>
      </c>
      <c r="J324" s="62"/>
      <c r="K324" s="320">
        <v>310</v>
      </c>
    </row>
    <row r="325" spans="1:12" ht="24.75" customHeight="1">
      <c r="A325" s="148">
        <v>54314</v>
      </c>
      <c r="B325" s="54" t="s">
        <v>446</v>
      </c>
      <c r="C325" s="55"/>
      <c r="D325" s="14" t="s">
        <v>11</v>
      </c>
      <c r="E325" s="14" t="s">
        <v>25</v>
      </c>
      <c r="F325" s="14" t="s">
        <v>26</v>
      </c>
      <c r="G325" s="17">
        <f>'JUNIO-18 '!I321</f>
        <v>6041.8000000000029</v>
      </c>
      <c r="H325" s="51">
        <f>1695+195+330+300+80+200+375+300+4520+300+70+60+143+150+45</f>
        <v>8763</v>
      </c>
      <c r="I325" s="18">
        <f t="shared" si="5"/>
        <v>2.7284841053187847E-12</v>
      </c>
      <c r="J325" s="108">
        <v>2721.2</v>
      </c>
      <c r="K325" s="320"/>
    </row>
    <row r="326" spans="1:12" ht="33.75" customHeight="1">
      <c r="A326" s="148">
        <v>54313</v>
      </c>
      <c r="B326" s="54" t="s">
        <v>447</v>
      </c>
      <c r="C326" s="55"/>
      <c r="D326" s="14" t="s">
        <v>11</v>
      </c>
      <c r="E326" s="14" t="s">
        <v>25</v>
      </c>
      <c r="F326" s="14" t="s">
        <v>26</v>
      </c>
      <c r="G326" s="17">
        <f>'JUNIO-18 '!I322</f>
        <v>990</v>
      </c>
      <c r="H326" s="51"/>
      <c r="I326" s="17">
        <f t="shared" si="5"/>
        <v>0</v>
      </c>
      <c r="J326" s="62"/>
      <c r="K326" s="320">
        <v>990</v>
      </c>
    </row>
    <row r="327" spans="1:12" ht="28.5" customHeight="1">
      <c r="A327" s="148">
        <v>55399</v>
      </c>
      <c r="B327" s="149" t="s">
        <v>450</v>
      </c>
      <c r="C327" s="55"/>
      <c r="D327" s="14" t="s">
        <v>11</v>
      </c>
      <c r="E327" s="14" t="s">
        <v>25</v>
      </c>
      <c r="F327" s="14" t="s">
        <v>26</v>
      </c>
      <c r="G327" s="17">
        <f>'JUNIO-18 '!I323</f>
        <v>0</v>
      </c>
      <c r="H327" s="51">
        <f>35+65+303</f>
        <v>403</v>
      </c>
      <c r="I327" s="18">
        <f t="shared" si="5"/>
        <v>0</v>
      </c>
      <c r="J327" s="108">
        <v>403</v>
      </c>
      <c r="K327" s="320"/>
      <c r="L327" t="s">
        <v>1147</v>
      </c>
    </row>
    <row r="328" spans="1:12" ht="30.75" customHeight="1">
      <c r="A328" s="148">
        <v>55603</v>
      </c>
      <c r="B328" s="54" t="s">
        <v>448</v>
      </c>
      <c r="C328" s="55"/>
      <c r="D328" s="14" t="s">
        <v>11</v>
      </c>
      <c r="E328" s="14" t="s">
        <v>25</v>
      </c>
      <c r="F328" s="14" t="s">
        <v>26</v>
      </c>
      <c r="G328" s="17">
        <f>'JUNIO-18 '!I324</f>
        <v>10</v>
      </c>
      <c r="H328" s="51"/>
      <c r="I328" s="17">
        <f t="shared" si="5"/>
        <v>0</v>
      </c>
      <c r="J328" s="62"/>
      <c r="K328" s="320">
        <v>10</v>
      </c>
    </row>
    <row r="329" spans="1:12" ht="31.5" customHeight="1">
      <c r="A329" s="148">
        <v>56303</v>
      </c>
      <c r="B329" s="54" t="s">
        <v>449</v>
      </c>
      <c r="C329" s="55"/>
      <c r="D329" s="14" t="s">
        <v>11</v>
      </c>
      <c r="E329" s="14" t="s">
        <v>25</v>
      </c>
      <c r="F329" s="14" t="s">
        <v>26</v>
      </c>
      <c r="G329" s="17">
        <f>'JUNIO-18 '!I325</f>
        <v>0</v>
      </c>
      <c r="H329" s="51"/>
      <c r="I329" s="17">
        <f t="shared" si="5"/>
        <v>0</v>
      </c>
      <c r="J329" s="62"/>
      <c r="K329" s="320"/>
    </row>
    <row r="330" spans="1:12" ht="74.25" customHeight="1">
      <c r="A330" s="144" t="s">
        <v>451</v>
      </c>
      <c r="B330" s="54" t="s">
        <v>452</v>
      </c>
      <c r="C330" s="55"/>
      <c r="D330" s="14"/>
      <c r="E330" s="14"/>
      <c r="F330" s="14"/>
      <c r="G330" s="17">
        <f>'JUNIO-18 '!I326</f>
        <v>0</v>
      </c>
      <c r="H330" s="51"/>
      <c r="I330" s="17"/>
      <c r="J330" s="52"/>
      <c r="K330" s="52"/>
    </row>
    <row r="331" spans="1:12" ht="30.75" customHeight="1">
      <c r="A331" s="4">
        <v>54199</v>
      </c>
      <c r="B331" s="5" t="s">
        <v>453</v>
      </c>
      <c r="C331" s="10"/>
      <c r="D331" s="14" t="s">
        <v>11</v>
      </c>
      <c r="E331" s="14" t="s">
        <v>25</v>
      </c>
      <c r="F331" s="14" t="s">
        <v>26</v>
      </c>
      <c r="G331" s="17">
        <f>'JUNIO-18 '!I327</f>
        <v>3000</v>
      </c>
      <c r="H331" s="51"/>
      <c r="I331" s="17">
        <f t="shared" si="5"/>
        <v>3000</v>
      </c>
      <c r="J331" s="44"/>
      <c r="K331" s="44"/>
    </row>
    <row r="332" spans="1:12" ht="40.5" customHeight="1">
      <c r="A332" s="11">
        <v>54314</v>
      </c>
      <c r="B332" s="150" t="s">
        <v>454</v>
      </c>
      <c r="C332" s="55"/>
      <c r="D332" s="14" t="s">
        <v>11</v>
      </c>
      <c r="E332" s="14" t="s">
        <v>25</v>
      </c>
      <c r="F332" s="14" t="s">
        <v>26</v>
      </c>
      <c r="G332" s="17">
        <f>'JUNIO-18 '!I328</f>
        <v>6000</v>
      </c>
      <c r="H332" s="51"/>
      <c r="I332" s="17">
        <f t="shared" si="5"/>
        <v>6000</v>
      </c>
      <c r="J332" s="62"/>
      <c r="K332" s="63"/>
    </row>
    <row r="333" spans="1:12" ht="43.5" customHeight="1">
      <c r="A333" s="11">
        <v>54399</v>
      </c>
      <c r="B333" s="150" t="s">
        <v>455</v>
      </c>
      <c r="C333" s="13"/>
      <c r="D333" s="14" t="s">
        <v>11</v>
      </c>
      <c r="E333" s="14" t="s">
        <v>25</v>
      </c>
      <c r="F333" s="14" t="s">
        <v>26</v>
      </c>
      <c r="G333" s="17">
        <f>'JUNIO-18 '!I329</f>
        <v>0</v>
      </c>
      <c r="H333" s="51"/>
      <c r="I333" s="17">
        <f t="shared" si="5"/>
        <v>0</v>
      </c>
      <c r="J333" s="52"/>
      <c r="K333" s="52"/>
    </row>
    <row r="334" spans="1:12" ht="29.25">
      <c r="A334" s="4">
        <v>55603</v>
      </c>
      <c r="B334" s="150" t="s">
        <v>456</v>
      </c>
      <c r="C334" s="9"/>
      <c r="D334" s="14" t="s">
        <v>11</v>
      </c>
      <c r="E334" s="14" t="s">
        <v>25</v>
      </c>
      <c r="F334" s="14" t="s">
        <v>26</v>
      </c>
      <c r="G334" s="17">
        <f>'JUNIO-18 '!I330</f>
        <v>10</v>
      </c>
      <c r="H334" s="51"/>
      <c r="I334" s="17">
        <f t="shared" si="5"/>
        <v>10</v>
      </c>
      <c r="J334" s="44"/>
      <c r="K334" s="44"/>
    </row>
    <row r="335" spans="1:12" ht="37.5" customHeight="1">
      <c r="A335" s="4">
        <v>55799</v>
      </c>
      <c r="B335" s="150" t="s">
        <v>457</v>
      </c>
      <c r="C335" s="9"/>
      <c r="D335" s="14" t="s">
        <v>11</v>
      </c>
      <c r="E335" s="14" t="s">
        <v>25</v>
      </c>
      <c r="F335" s="14" t="s">
        <v>26</v>
      </c>
      <c r="G335" s="17">
        <f>'JUNIO-18 '!I331</f>
        <v>1269.74</v>
      </c>
      <c r="H335" s="51"/>
      <c r="I335" s="17">
        <f t="shared" si="5"/>
        <v>1269.74</v>
      </c>
      <c r="J335" s="44"/>
      <c r="K335" s="44"/>
    </row>
    <row r="336" spans="1:12" ht="68.25" customHeight="1">
      <c r="A336" s="144" t="s">
        <v>459</v>
      </c>
      <c r="B336" s="54" t="s">
        <v>458</v>
      </c>
      <c r="C336" s="9"/>
      <c r="D336" s="3"/>
      <c r="E336" s="3"/>
      <c r="F336" s="3"/>
      <c r="G336" s="17">
        <f>'JUNIO-18 '!I332</f>
        <v>0</v>
      </c>
      <c r="H336" s="51"/>
      <c r="I336" s="17"/>
      <c r="J336" s="44"/>
      <c r="K336" s="44"/>
    </row>
    <row r="337" spans="1:11" ht="25.5" customHeight="1">
      <c r="A337" s="4">
        <v>54314</v>
      </c>
      <c r="B337" s="70" t="s">
        <v>460</v>
      </c>
      <c r="C337" s="5"/>
      <c r="D337" s="14" t="s">
        <v>11</v>
      </c>
      <c r="E337" s="14" t="s">
        <v>25</v>
      </c>
      <c r="F337" s="14" t="s">
        <v>26</v>
      </c>
      <c r="G337" s="17">
        <f>'JUNIO-18 '!I333</f>
        <v>1370.1399999999999</v>
      </c>
      <c r="H337" s="51"/>
      <c r="I337" s="17">
        <f>G337-H337+J337-K337</f>
        <v>1370.1399999999999</v>
      </c>
      <c r="J337" s="44"/>
      <c r="K337" s="285"/>
    </row>
    <row r="338" spans="1:11" ht="63.75" customHeight="1">
      <c r="A338" s="144" t="s">
        <v>461</v>
      </c>
      <c r="B338" s="54" t="s">
        <v>470</v>
      </c>
      <c r="C338" s="55"/>
      <c r="D338" s="14"/>
      <c r="E338" s="14"/>
      <c r="F338" s="14"/>
      <c r="G338" s="17">
        <f>'JUNIO-18 '!I334</f>
        <v>0</v>
      </c>
      <c r="H338" s="51"/>
      <c r="I338" s="17"/>
      <c r="J338" s="62"/>
      <c r="K338" s="63"/>
    </row>
    <row r="339" spans="1:11" ht="33" customHeight="1">
      <c r="A339" s="11">
        <v>54199</v>
      </c>
      <c r="B339" s="70" t="s">
        <v>462</v>
      </c>
      <c r="C339" s="55"/>
      <c r="D339" s="14" t="s">
        <v>11</v>
      </c>
      <c r="E339" s="14" t="s">
        <v>25</v>
      </c>
      <c r="F339" s="14" t="s">
        <v>26</v>
      </c>
      <c r="G339" s="17">
        <f>'JUNIO-18 '!I335</f>
        <v>2000</v>
      </c>
      <c r="H339" s="51"/>
      <c r="I339" s="17">
        <f>G339-H339+J339-K339</f>
        <v>2000</v>
      </c>
      <c r="J339" s="62"/>
      <c r="K339" s="63"/>
    </row>
    <row r="340" spans="1:11" ht="36.75" customHeight="1">
      <c r="A340" s="11">
        <v>54314</v>
      </c>
      <c r="B340" s="151" t="s">
        <v>463</v>
      </c>
      <c r="C340" s="55"/>
      <c r="D340" s="14" t="s">
        <v>11</v>
      </c>
      <c r="E340" s="14" t="s">
        <v>25</v>
      </c>
      <c r="F340" s="14" t="s">
        <v>26</v>
      </c>
      <c r="G340" s="17">
        <f>'JUNIO-18 '!I336</f>
        <v>22000</v>
      </c>
      <c r="H340" s="51"/>
      <c r="I340" s="17">
        <f t="shared" ref="I340:I406" si="6">G340-H340+J340-K340</f>
        <v>22000</v>
      </c>
      <c r="J340" s="62"/>
      <c r="K340" s="63"/>
    </row>
    <row r="341" spans="1:11" ht="39" customHeight="1">
      <c r="A341" s="11">
        <v>54313</v>
      </c>
      <c r="B341" s="151" t="s">
        <v>464</v>
      </c>
      <c r="C341" s="55"/>
      <c r="D341" s="14" t="s">
        <v>11</v>
      </c>
      <c r="E341" s="14" t="s">
        <v>25</v>
      </c>
      <c r="F341" s="14" t="s">
        <v>26</v>
      </c>
      <c r="G341" s="17">
        <f>'JUNIO-18 '!I337</f>
        <v>5000</v>
      </c>
      <c r="H341" s="51"/>
      <c r="I341" s="17">
        <f t="shared" si="6"/>
        <v>5000</v>
      </c>
      <c r="J341" s="62"/>
      <c r="K341" s="63"/>
    </row>
    <row r="342" spans="1:11" ht="33.75" customHeight="1">
      <c r="A342" s="11">
        <v>54399</v>
      </c>
      <c r="B342" s="151" t="s">
        <v>465</v>
      </c>
      <c r="C342" s="13"/>
      <c r="D342" s="14" t="s">
        <v>11</v>
      </c>
      <c r="E342" s="14" t="s">
        <v>25</v>
      </c>
      <c r="F342" s="14" t="s">
        <v>26</v>
      </c>
      <c r="G342" s="17">
        <f>'JUNIO-18 '!I338</f>
        <v>990</v>
      </c>
      <c r="H342" s="51"/>
      <c r="I342" s="17">
        <f t="shared" si="6"/>
        <v>990</v>
      </c>
      <c r="J342" s="52"/>
      <c r="K342" s="52"/>
    </row>
    <row r="343" spans="1:11" ht="35.25" customHeight="1">
      <c r="A343" s="11">
        <v>55603</v>
      </c>
      <c r="B343" s="151" t="s">
        <v>466</v>
      </c>
      <c r="C343" s="13"/>
      <c r="D343" s="14" t="s">
        <v>11</v>
      </c>
      <c r="E343" s="14" t="s">
        <v>25</v>
      </c>
      <c r="F343" s="14" t="s">
        <v>26</v>
      </c>
      <c r="G343" s="17">
        <f>'JUNIO-18 '!I339</f>
        <v>10</v>
      </c>
      <c r="H343" s="51"/>
      <c r="I343" s="17">
        <f t="shared" si="6"/>
        <v>10</v>
      </c>
      <c r="J343" s="52"/>
      <c r="K343" s="52"/>
    </row>
    <row r="344" spans="1:11" ht="34.5" customHeight="1">
      <c r="A344" s="11">
        <v>56603</v>
      </c>
      <c r="B344" s="151" t="s">
        <v>467</v>
      </c>
      <c r="C344" s="61"/>
      <c r="D344" s="14" t="s">
        <v>11</v>
      </c>
      <c r="E344" s="14" t="s">
        <v>25</v>
      </c>
      <c r="F344" s="14" t="s">
        <v>26</v>
      </c>
      <c r="G344" s="17">
        <f>'JUNIO-18 '!I340</f>
        <v>5000</v>
      </c>
      <c r="H344" s="51"/>
      <c r="I344" s="17">
        <f t="shared" si="6"/>
        <v>5000</v>
      </c>
      <c r="J344" s="11"/>
      <c r="K344" s="54"/>
    </row>
    <row r="345" spans="1:11" ht="68.25" customHeight="1">
      <c r="A345" s="144" t="s">
        <v>468</v>
      </c>
      <c r="B345" s="54" t="s">
        <v>987</v>
      </c>
      <c r="C345" s="344" t="s">
        <v>1115</v>
      </c>
      <c r="D345" s="14"/>
      <c r="E345" s="14"/>
      <c r="F345" s="14"/>
      <c r="G345" s="17">
        <f>'JUNIO-18 '!I341</f>
        <v>0</v>
      </c>
      <c r="H345" s="51"/>
      <c r="I345" s="17"/>
      <c r="J345" s="52"/>
      <c r="K345" s="52"/>
    </row>
    <row r="346" spans="1:11" ht="33" customHeight="1">
      <c r="A346" s="11">
        <v>51202</v>
      </c>
      <c r="B346" s="70" t="s">
        <v>471</v>
      </c>
      <c r="C346" s="61"/>
      <c r="D346" s="14" t="s">
        <v>11</v>
      </c>
      <c r="E346" s="14" t="s">
        <v>25</v>
      </c>
      <c r="F346" s="14" t="s">
        <v>26</v>
      </c>
      <c r="G346" s="17">
        <f>'JUNIO-18 '!I342</f>
        <v>745.58999999999946</v>
      </c>
      <c r="H346" s="51"/>
      <c r="I346" s="17">
        <f t="shared" si="6"/>
        <v>170.58999999999946</v>
      </c>
      <c r="J346" s="237"/>
      <c r="K346" s="142">
        <v>575</v>
      </c>
    </row>
    <row r="347" spans="1:11" ht="34.5" customHeight="1">
      <c r="A347" s="11">
        <v>54111</v>
      </c>
      <c r="B347" s="70" t="s">
        <v>472</v>
      </c>
      <c r="C347" s="61"/>
      <c r="D347" s="14" t="s">
        <v>11</v>
      </c>
      <c r="E347" s="14" t="s">
        <v>25</v>
      </c>
      <c r="F347" s="14" t="s">
        <v>26</v>
      </c>
      <c r="G347" s="17">
        <f>'JUNIO-18 '!I343</f>
        <v>463.75000000000011</v>
      </c>
      <c r="H347" s="51"/>
      <c r="I347" s="17">
        <f t="shared" si="6"/>
        <v>0</v>
      </c>
      <c r="J347" s="44"/>
      <c r="K347" s="316">
        <v>463.75</v>
      </c>
    </row>
    <row r="348" spans="1:11" ht="41.25" customHeight="1">
      <c r="A348" s="11">
        <v>54112</v>
      </c>
      <c r="B348" s="70" t="s">
        <v>473</v>
      </c>
      <c r="C348" s="12"/>
      <c r="D348" s="14" t="s">
        <v>11</v>
      </c>
      <c r="E348" s="14" t="s">
        <v>25</v>
      </c>
      <c r="F348" s="14" t="s">
        <v>26</v>
      </c>
      <c r="G348" s="17">
        <f>'JUNIO-18 '!I344</f>
        <v>399.15</v>
      </c>
      <c r="H348" s="51"/>
      <c r="I348" s="17">
        <f t="shared" si="6"/>
        <v>0</v>
      </c>
      <c r="J348" s="44"/>
      <c r="K348" s="316">
        <v>399.15</v>
      </c>
    </row>
    <row r="349" spans="1:11" ht="29.25">
      <c r="A349" s="11">
        <v>54118</v>
      </c>
      <c r="B349" s="151" t="s">
        <v>474</v>
      </c>
      <c r="C349" s="61"/>
      <c r="D349" s="14" t="s">
        <v>11</v>
      </c>
      <c r="E349" s="14" t="s">
        <v>25</v>
      </c>
      <c r="F349" s="14" t="s">
        <v>26</v>
      </c>
      <c r="G349" s="17">
        <f>'JUNIO-18 '!I345</f>
        <v>119.30000000000007</v>
      </c>
      <c r="H349" s="51"/>
      <c r="I349" s="17">
        <f t="shared" si="6"/>
        <v>0</v>
      </c>
      <c r="J349" s="44"/>
      <c r="K349" s="316">
        <v>119.3</v>
      </c>
    </row>
    <row r="350" spans="1:11" ht="29.25">
      <c r="A350" s="11">
        <v>54313</v>
      </c>
      <c r="B350" s="151" t="s">
        <v>475</v>
      </c>
      <c r="C350" s="12"/>
      <c r="D350" s="14" t="s">
        <v>11</v>
      </c>
      <c r="E350" s="14" t="s">
        <v>25</v>
      </c>
      <c r="F350" s="14" t="s">
        <v>26</v>
      </c>
      <c r="G350" s="17">
        <f>'JUNIO-18 '!I346</f>
        <v>250</v>
      </c>
      <c r="H350" s="51"/>
      <c r="I350" s="17">
        <f t="shared" si="6"/>
        <v>0</v>
      </c>
      <c r="J350" s="44"/>
      <c r="K350" s="316">
        <v>250</v>
      </c>
    </row>
    <row r="351" spans="1:11" ht="29.25">
      <c r="A351" s="152">
        <v>55603</v>
      </c>
      <c r="B351" s="151" t="s">
        <v>476</v>
      </c>
      <c r="C351" s="154"/>
      <c r="D351" s="14" t="s">
        <v>11</v>
      </c>
      <c r="E351" s="14" t="s">
        <v>25</v>
      </c>
      <c r="F351" s="14" t="s">
        <v>26</v>
      </c>
      <c r="G351" s="17">
        <f>'JUNIO-18 '!I347</f>
        <v>7</v>
      </c>
      <c r="H351" s="157"/>
      <c r="I351" s="17">
        <f t="shared" si="6"/>
        <v>0</v>
      </c>
      <c r="J351" s="159"/>
      <c r="K351" s="381">
        <v>7</v>
      </c>
    </row>
    <row r="352" spans="1:11" ht="85.5">
      <c r="A352" s="144" t="s">
        <v>477</v>
      </c>
      <c r="B352" s="54" t="s">
        <v>1085</v>
      </c>
      <c r="C352" s="154"/>
      <c r="D352" s="155"/>
      <c r="E352" s="155"/>
      <c r="F352" s="155"/>
      <c r="G352" s="17">
        <f>'JUNIO-18 '!I348</f>
        <v>0</v>
      </c>
      <c r="H352" s="157"/>
      <c r="I352" s="158"/>
      <c r="J352" s="159"/>
      <c r="K352" s="159"/>
    </row>
    <row r="353" spans="1:11" ht="29.25">
      <c r="A353" s="152">
        <v>51202</v>
      </c>
      <c r="B353" s="164" t="s">
        <v>479</v>
      </c>
      <c r="C353" s="154"/>
      <c r="D353" s="14" t="s">
        <v>11</v>
      </c>
      <c r="E353" s="14" t="s">
        <v>25</v>
      </c>
      <c r="F353" s="14" t="s">
        <v>26</v>
      </c>
      <c r="G353" s="17">
        <f>'JUNIO-18 '!I349</f>
        <v>0</v>
      </c>
      <c r="H353" s="157"/>
      <c r="I353" s="17">
        <f t="shared" si="6"/>
        <v>0</v>
      </c>
      <c r="J353" s="159"/>
      <c r="K353" s="325"/>
    </row>
    <row r="354" spans="1:11" ht="44.25">
      <c r="A354" s="152">
        <v>54111</v>
      </c>
      <c r="B354" s="164" t="s">
        <v>480</v>
      </c>
      <c r="C354" s="154"/>
      <c r="D354" s="14" t="s">
        <v>11</v>
      </c>
      <c r="E354" s="14" t="s">
        <v>25</v>
      </c>
      <c r="F354" s="14" t="s">
        <v>26</v>
      </c>
      <c r="G354" s="17">
        <f>'JUNIO-18 '!I350</f>
        <v>0</v>
      </c>
      <c r="H354" s="157"/>
      <c r="I354" s="17">
        <f t="shared" si="6"/>
        <v>0</v>
      </c>
      <c r="J354" s="159"/>
      <c r="K354" s="325"/>
    </row>
    <row r="355" spans="1:11" ht="30">
      <c r="A355" s="152">
        <v>54112</v>
      </c>
      <c r="B355" s="164" t="s">
        <v>481</v>
      </c>
      <c r="C355" s="154"/>
      <c r="D355" s="14" t="s">
        <v>11</v>
      </c>
      <c r="E355" s="14" t="s">
        <v>25</v>
      </c>
      <c r="F355" s="14" t="s">
        <v>26</v>
      </c>
      <c r="G355" s="17">
        <f>'JUNIO-18 '!I351</f>
        <v>0</v>
      </c>
      <c r="H355" s="157"/>
      <c r="I355" s="17">
        <f t="shared" si="6"/>
        <v>0</v>
      </c>
      <c r="J355" s="159"/>
      <c r="K355" s="325"/>
    </row>
    <row r="356" spans="1:11" ht="29.25">
      <c r="A356" s="152">
        <v>54118</v>
      </c>
      <c r="B356" s="164" t="s">
        <v>482</v>
      </c>
      <c r="C356" s="154"/>
      <c r="D356" s="14" t="s">
        <v>11</v>
      </c>
      <c r="E356" s="14" t="s">
        <v>25</v>
      </c>
      <c r="F356" s="14" t="s">
        <v>26</v>
      </c>
      <c r="G356" s="17">
        <f>'JUNIO-18 '!I352</f>
        <v>0</v>
      </c>
      <c r="H356" s="157"/>
      <c r="I356" s="17">
        <f t="shared" si="6"/>
        <v>0</v>
      </c>
      <c r="J356" s="159"/>
      <c r="K356" s="325"/>
    </row>
    <row r="357" spans="1:11" ht="30">
      <c r="A357" s="152">
        <v>54313</v>
      </c>
      <c r="B357" s="164" t="s">
        <v>483</v>
      </c>
      <c r="C357" s="154"/>
      <c r="D357" s="14" t="s">
        <v>11</v>
      </c>
      <c r="E357" s="14" t="s">
        <v>25</v>
      </c>
      <c r="F357" s="14" t="s">
        <v>26</v>
      </c>
      <c r="G357" s="17">
        <f>'JUNIO-18 '!I353</f>
        <v>0</v>
      </c>
      <c r="H357" s="157"/>
      <c r="I357" s="17">
        <f t="shared" si="6"/>
        <v>0</v>
      </c>
      <c r="J357" s="159"/>
      <c r="K357" s="325"/>
    </row>
    <row r="358" spans="1:11" ht="30">
      <c r="A358" s="152">
        <v>54399</v>
      </c>
      <c r="B358" s="164" t="s">
        <v>484</v>
      </c>
      <c r="C358" s="154"/>
      <c r="D358" s="14" t="s">
        <v>11</v>
      </c>
      <c r="E358" s="14" t="s">
        <v>25</v>
      </c>
      <c r="F358" s="14" t="s">
        <v>26</v>
      </c>
      <c r="G358" s="17">
        <f>'JUNIO-18 '!I354</f>
        <v>0</v>
      </c>
      <c r="H358" s="157"/>
      <c r="I358" s="17">
        <f t="shared" si="6"/>
        <v>0</v>
      </c>
      <c r="J358" s="159"/>
      <c r="K358" s="325"/>
    </row>
    <row r="359" spans="1:11" ht="29.25">
      <c r="A359" s="152">
        <v>55603</v>
      </c>
      <c r="B359" s="164" t="s">
        <v>485</v>
      </c>
      <c r="C359" s="154"/>
      <c r="D359" s="14" t="s">
        <v>11</v>
      </c>
      <c r="E359" s="14" t="s">
        <v>25</v>
      </c>
      <c r="F359" s="14" t="s">
        <v>26</v>
      </c>
      <c r="G359" s="17">
        <f>'JUNIO-18 '!I355</f>
        <v>0</v>
      </c>
      <c r="H359" s="157"/>
      <c r="I359" s="17">
        <f t="shared" si="6"/>
        <v>0</v>
      </c>
      <c r="J359" s="159"/>
      <c r="K359" s="325"/>
    </row>
    <row r="360" spans="1:11" ht="80.25" customHeight="1">
      <c r="A360" s="144" t="s">
        <v>486</v>
      </c>
      <c r="B360" s="54" t="s">
        <v>487</v>
      </c>
      <c r="C360" s="154"/>
      <c r="D360" s="155"/>
      <c r="E360" s="155"/>
      <c r="F360" s="155"/>
      <c r="G360" s="17">
        <f>'JUNIO-18 '!I356</f>
        <v>0</v>
      </c>
      <c r="H360" s="157"/>
      <c r="I360" s="158"/>
      <c r="J360" s="159"/>
      <c r="K360" s="159"/>
    </row>
    <row r="361" spans="1:11" ht="29.25">
      <c r="A361" s="152">
        <v>51202</v>
      </c>
      <c r="B361" s="164" t="s">
        <v>488</v>
      </c>
      <c r="C361" s="154"/>
      <c r="D361" s="14" t="s">
        <v>11</v>
      </c>
      <c r="E361" s="14" t="s">
        <v>25</v>
      </c>
      <c r="F361" s="14" t="s">
        <v>26</v>
      </c>
      <c r="G361" s="17">
        <f>'JUNIO-18 '!I357</f>
        <v>0</v>
      </c>
      <c r="H361" s="157"/>
      <c r="I361" s="17">
        <f t="shared" si="6"/>
        <v>0</v>
      </c>
      <c r="J361" s="159"/>
      <c r="K361" s="326"/>
    </row>
    <row r="362" spans="1:11" ht="29.25">
      <c r="A362" s="152">
        <v>51999</v>
      </c>
      <c r="B362" s="164" t="s">
        <v>489</v>
      </c>
      <c r="C362" s="154"/>
      <c r="D362" s="14" t="s">
        <v>11</v>
      </c>
      <c r="E362" s="14" t="s">
        <v>25</v>
      </c>
      <c r="F362" s="14" t="s">
        <v>26</v>
      </c>
      <c r="G362" s="17">
        <f>'JUNIO-18 '!I358</f>
        <v>0</v>
      </c>
      <c r="H362" s="157"/>
      <c r="I362" s="17">
        <f t="shared" si="6"/>
        <v>0</v>
      </c>
      <c r="J362" s="159"/>
      <c r="K362" s="326"/>
    </row>
    <row r="363" spans="1:11" ht="29.25">
      <c r="A363" s="152">
        <v>54111</v>
      </c>
      <c r="B363" s="164" t="s">
        <v>490</v>
      </c>
      <c r="C363" s="154"/>
      <c r="D363" s="14" t="s">
        <v>11</v>
      </c>
      <c r="E363" s="14" t="s">
        <v>25</v>
      </c>
      <c r="F363" s="14" t="s">
        <v>26</v>
      </c>
      <c r="G363" s="17">
        <f>'JUNIO-18 '!I359</f>
        <v>0</v>
      </c>
      <c r="H363" s="157"/>
      <c r="I363" s="17">
        <f t="shared" si="6"/>
        <v>0</v>
      </c>
      <c r="J363" s="159"/>
      <c r="K363" s="326"/>
    </row>
    <row r="364" spans="1:11" ht="29.25">
      <c r="A364" s="152">
        <v>54112</v>
      </c>
      <c r="B364" s="164" t="s">
        <v>491</v>
      </c>
      <c r="C364" s="154"/>
      <c r="D364" s="14" t="s">
        <v>11</v>
      </c>
      <c r="E364" s="14" t="s">
        <v>25</v>
      </c>
      <c r="F364" s="14" t="s">
        <v>26</v>
      </c>
      <c r="G364" s="17">
        <f>'JUNIO-18 '!I360</f>
        <v>0</v>
      </c>
      <c r="H364" s="157"/>
      <c r="I364" s="17">
        <f t="shared" si="6"/>
        <v>0</v>
      </c>
      <c r="J364" s="159"/>
      <c r="K364" s="326"/>
    </row>
    <row r="365" spans="1:11" ht="29.25">
      <c r="A365" s="152">
        <v>54118</v>
      </c>
      <c r="B365" s="164" t="s">
        <v>492</v>
      </c>
      <c r="C365" s="154"/>
      <c r="D365" s="14" t="s">
        <v>11</v>
      </c>
      <c r="E365" s="14" t="s">
        <v>25</v>
      </c>
      <c r="F365" s="14" t="s">
        <v>26</v>
      </c>
      <c r="G365" s="17">
        <f>'JUNIO-18 '!I361</f>
        <v>0</v>
      </c>
      <c r="H365" s="157"/>
      <c r="I365" s="17">
        <f t="shared" si="6"/>
        <v>0</v>
      </c>
      <c r="J365" s="159"/>
      <c r="K365" s="326"/>
    </row>
    <row r="366" spans="1:11" ht="29.25">
      <c r="A366" s="152">
        <v>54199</v>
      </c>
      <c r="B366" s="164" t="s">
        <v>493</v>
      </c>
      <c r="C366" s="154"/>
      <c r="D366" s="14" t="s">
        <v>11</v>
      </c>
      <c r="E366" s="14" t="s">
        <v>25</v>
      </c>
      <c r="F366" s="14" t="s">
        <v>26</v>
      </c>
      <c r="G366" s="17">
        <f>'JUNIO-18 '!I362</f>
        <v>0</v>
      </c>
      <c r="H366" s="157"/>
      <c r="I366" s="17">
        <f t="shared" si="6"/>
        <v>0</v>
      </c>
      <c r="J366" s="159"/>
      <c r="K366" s="326"/>
    </row>
    <row r="367" spans="1:11" ht="29.25">
      <c r="A367" s="152">
        <v>54399</v>
      </c>
      <c r="B367" s="164" t="s">
        <v>494</v>
      </c>
      <c r="C367" s="154"/>
      <c r="D367" s="14" t="s">
        <v>11</v>
      </c>
      <c r="E367" s="14" t="s">
        <v>25</v>
      </c>
      <c r="F367" s="14" t="s">
        <v>26</v>
      </c>
      <c r="G367" s="17">
        <f>'JUNIO-18 '!I363</f>
        <v>0</v>
      </c>
      <c r="H367" s="157"/>
      <c r="I367" s="17">
        <f t="shared" si="6"/>
        <v>0</v>
      </c>
      <c r="J367" s="159"/>
      <c r="K367" s="326"/>
    </row>
    <row r="368" spans="1:11" ht="29.25">
      <c r="A368" s="152">
        <v>55603</v>
      </c>
      <c r="B368" s="164" t="s">
        <v>495</v>
      </c>
      <c r="C368" s="154"/>
      <c r="D368" s="14" t="s">
        <v>11</v>
      </c>
      <c r="E368" s="14" t="s">
        <v>25</v>
      </c>
      <c r="F368" s="14" t="s">
        <v>26</v>
      </c>
      <c r="G368" s="17">
        <f>'JUNIO-18 '!I364</f>
        <v>0</v>
      </c>
      <c r="H368" s="157"/>
      <c r="I368" s="17">
        <f t="shared" si="6"/>
        <v>0</v>
      </c>
      <c r="J368" s="159"/>
      <c r="K368" s="326"/>
    </row>
    <row r="369" spans="1:11" ht="55.5">
      <c r="A369" s="144" t="s">
        <v>504</v>
      </c>
      <c r="B369" s="54" t="s">
        <v>496</v>
      </c>
      <c r="C369" s="154" t="s">
        <v>1066</v>
      </c>
      <c r="D369" s="155"/>
      <c r="E369" s="155"/>
      <c r="F369" s="155"/>
      <c r="G369" s="17">
        <f>'JUNIO-18 '!I365</f>
        <v>0</v>
      </c>
      <c r="H369" s="157"/>
      <c r="I369" s="158"/>
      <c r="J369" s="159"/>
      <c r="K369" s="159"/>
    </row>
    <row r="370" spans="1:11" ht="29.25">
      <c r="A370" s="152">
        <v>51202</v>
      </c>
      <c r="B370" s="164" t="s">
        <v>500</v>
      </c>
      <c r="C370" s="154"/>
      <c r="D370" s="14" t="s">
        <v>11</v>
      </c>
      <c r="E370" s="14" t="s">
        <v>25</v>
      </c>
      <c r="F370" s="14" t="s">
        <v>26</v>
      </c>
      <c r="G370" s="17">
        <f>'JUNIO-18 '!I366</f>
        <v>2000</v>
      </c>
      <c r="H370" s="157"/>
      <c r="I370" s="17">
        <f t="shared" si="6"/>
        <v>2000</v>
      </c>
      <c r="J370" s="159"/>
      <c r="K370" s="326"/>
    </row>
    <row r="371" spans="1:11" ht="29.25">
      <c r="A371" s="152">
        <v>54111</v>
      </c>
      <c r="B371" s="164" t="s">
        <v>499</v>
      </c>
      <c r="C371" s="154" t="s">
        <v>1066</v>
      </c>
      <c r="D371" s="14" t="s">
        <v>11</v>
      </c>
      <c r="E371" s="14" t="s">
        <v>25</v>
      </c>
      <c r="F371" s="14" t="s">
        <v>26</v>
      </c>
      <c r="G371" s="17">
        <f>'JUNIO-18 '!I367</f>
        <v>3250</v>
      </c>
      <c r="H371" s="157">
        <f>126</f>
        <v>126</v>
      </c>
      <c r="I371" s="17">
        <f t="shared" si="6"/>
        <v>3124</v>
      </c>
      <c r="J371" s="159"/>
      <c r="K371" s="326"/>
    </row>
    <row r="372" spans="1:11" ht="29.25">
      <c r="A372" s="152">
        <v>54112</v>
      </c>
      <c r="B372" s="164" t="s">
        <v>497</v>
      </c>
      <c r="C372" s="154" t="s">
        <v>1066</v>
      </c>
      <c r="D372" s="14" t="s">
        <v>11</v>
      </c>
      <c r="E372" s="14" t="s">
        <v>25</v>
      </c>
      <c r="F372" s="14" t="s">
        <v>26</v>
      </c>
      <c r="G372" s="17">
        <f>'JUNIO-18 '!I368</f>
        <v>3545.2999999999993</v>
      </c>
      <c r="H372" s="157"/>
      <c r="I372" s="17">
        <f t="shared" si="6"/>
        <v>3545.2999999999993</v>
      </c>
      <c r="J372" s="159"/>
      <c r="K372" s="327"/>
    </row>
    <row r="373" spans="1:11" ht="29.25">
      <c r="A373" s="152">
        <v>54118</v>
      </c>
      <c r="B373" s="164" t="s">
        <v>498</v>
      </c>
      <c r="C373" s="154"/>
      <c r="D373" s="14" t="s">
        <v>11</v>
      </c>
      <c r="E373" s="14" t="s">
        <v>25</v>
      </c>
      <c r="F373" s="14" t="s">
        <v>26</v>
      </c>
      <c r="G373" s="17">
        <f>'JUNIO-18 '!I369</f>
        <v>1700</v>
      </c>
      <c r="H373" s="157"/>
      <c r="I373" s="17">
        <f t="shared" si="6"/>
        <v>1700</v>
      </c>
      <c r="J373" s="159"/>
      <c r="K373" s="327"/>
    </row>
    <row r="374" spans="1:11" ht="29.25">
      <c r="A374" s="152">
        <v>54313</v>
      </c>
      <c r="B374" s="164" t="s">
        <v>501</v>
      </c>
      <c r="C374" s="154"/>
      <c r="D374" s="14" t="s">
        <v>11</v>
      </c>
      <c r="E374" s="14" t="s">
        <v>25</v>
      </c>
      <c r="F374" s="14" t="s">
        <v>26</v>
      </c>
      <c r="G374" s="17">
        <f>'JUNIO-18 '!I370</f>
        <v>0</v>
      </c>
      <c r="H374" s="157"/>
      <c r="I374" s="17">
        <f t="shared" si="6"/>
        <v>0</v>
      </c>
      <c r="J374" s="159"/>
      <c r="K374" s="326"/>
    </row>
    <row r="375" spans="1:11" ht="29.25">
      <c r="A375" s="152">
        <v>54399</v>
      </c>
      <c r="B375" s="164" t="s">
        <v>502</v>
      </c>
      <c r="C375" s="154"/>
      <c r="D375" s="14" t="s">
        <v>11</v>
      </c>
      <c r="E375" s="14" t="s">
        <v>25</v>
      </c>
      <c r="F375" s="14" t="s">
        <v>26</v>
      </c>
      <c r="G375" s="17">
        <f>'JUNIO-18 '!I371</f>
        <v>0</v>
      </c>
      <c r="H375" s="157"/>
      <c r="I375" s="17">
        <f t="shared" si="6"/>
        <v>0</v>
      </c>
      <c r="J375" s="159"/>
      <c r="K375" s="326"/>
    </row>
    <row r="376" spans="1:11" ht="29.25">
      <c r="A376" s="152">
        <v>55603</v>
      </c>
      <c r="B376" s="164" t="s">
        <v>503</v>
      </c>
      <c r="C376" s="154"/>
      <c r="D376" s="14" t="s">
        <v>11</v>
      </c>
      <c r="E376" s="14" t="s">
        <v>25</v>
      </c>
      <c r="F376" s="14" t="s">
        <v>26</v>
      </c>
      <c r="G376" s="17">
        <f>'JUNIO-18 '!I372</f>
        <v>5.6999999999999993</v>
      </c>
      <c r="H376" s="157"/>
      <c r="I376" s="17">
        <f t="shared" si="6"/>
        <v>5.6999999999999993</v>
      </c>
      <c r="J376" s="159"/>
      <c r="K376" s="159"/>
    </row>
    <row r="377" spans="1:11" ht="84.75">
      <c r="A377" s="144" t="s">
        <v>505</v>
      </c>
      <c r="B377" s="53" t="s">
        <v>510</v>
      </c>
      <c r="C377" s="154"/>
      <c r="D377" s="155"/>
      <c r="E377" s="155"/>
      <c r="F377" s="155"/>
      <c r="G377" s="17">
        <f>'JUNIO-18 '!I373</f>
        <v>0</v>
      </c>
      <c r="H377" s="157"/>
      <c r="I377" s="158"/>
      <c r="J377" s="159"/>
      <c r="K377" s="159"/>
    </row>
    <row r="378" spans="1:11" ht="29.25">
      <c r="A378" s="152">
        <v>51999</v>
      </c>
      <c r="B378" s="153" t="s">
        <v>506</v>
      </c>
      <c r="C378" s="154"/>
      <c r="D378" s="14" t="s">
        <v>11</v>
      </c>
      <c r="E378" s="14" t="s">
        <v>25</v>
      </c>
      <c r="F378" s="14" t="s">
        <v>26</v>
      </c>
      <c r="G378" s="17">
        <f>'JUNIO-18 '!I374</f>
        <v>0</v>
      </c>
      <c r="H378" s="157"/>
      <c r="I378" s="17">
        <f t="shared" si="6"/>
        <v>0</v>
      </c>
      <c r="J378" s="159"/>
      <c r="K378" s="326"/>
    </row>
    <row r="379" spans="1:11" ht="29.25">
      <c r="A379" s="152">
        <v>54199</v>
      </c>
      <c r="B379" s="153" t="s">
        <v>507</v>
      </c>
      <c r="C379" s="154"/>
      <c r="D379" s="14" t="s">
        <v>11</v>
      </c>
      <c r="E379" s="14" t="s">
        <v>25</v>
      </c>
      <c r="F379" s="14" t="s">
        <v>26</v>
      </c>
      <c r="G379" s="17">
        <f>'JUNIO-18 '!I375</f>
        <v>0</v>
      </c>
      <c r="H379" s="157"/>
      <c r="I379" s="17">
        <f t="shared" si="6"/>
        <v>0</v>
      </c>
      <c r="J379" s="159"/>
      <c r="K379" s="326"/>
    </row>
    <row r="380" spans="1:11" ht="43.5">
      <c r="A380" s="152">
        <v>54399</v>
      </c>
      <c r="B380" s="153" t="s">
        <v>508</v>
      </c>
      <c r="C380" s="154"/>
      <c r="D380" s="14" t="s">
        <v>11</v>
      </c>
      <c r="E380" s="14" t="s">
        <v>25</v>
      </c>
      <c r="F380" s="14" t="s">
        <v>26</v>
      </c>
      <c r="G380" s="17">
        <f>'JUNIO-18 '!I376</f>
        <v>0</v>
      </c>
      <c r="H380" s="157"/>
      <c r="I380" s="17">
        <f t="shared" si="6"/>
        <v>0</v>
      </c>
      <c r="J380" s="159"/>
      <c r="K380" s="326"/>
    </row>
    <row r="381" spans="1:11" ht="29.25">
      <c r="A381" s="152">
        <v>55603</v>
      </c>
      <c r="B381" s="153" t="s">
        <v>509</v>
      </c>
      <c r="C381" s="154"/>
      <c r="D381" s="14" t="s">
        <v>11</v>
      </c>
      <c r="E381" s="14" t="s">
        <v>25</v>
      </c>
      <c r="F381" s="14" t="s">
        <v>26</v>
      </c>
      <c r="G381" s="17">
        <f>'JUNIO-18 '!I377</f>
        <v>0</v>
      </c>
      <c r="H381" s="157"/>
      <c r="I381" s="17">
        <f t="shared" si="6"/>
        <v>0</v>
      </c>
      <c r="J381" s="159"/>
      <c r="K381" s="326"/>
    </row>
    <row r="382" spans="1:11" ht="94.5" customHeight="1">
      <c r="A382" s="144" t="s">
        <v>511</v>
      </c>
      <c r="B382" s="53" t="s">
        <v>512</v>
      </c>
      <c r="C382" s="154"/>
      <c r="D382" s="155"/>
      <c r="E382" s="155"/>
      <c r="F382" s="155"/>
      <c r="G382" s="17">
        <f>'JUNIO-18 '!I378</f>
        <v>0</v>
      </c>
      <c r="H382" s="157"/>
      <c r="I382" s="158"/>
      <c r="J382" s="159"/>
      <c r="K382" s="159"/>
    </row>
    <row r="383" spans="1:11" ht="29.25">
      <c r="A383" s="152">
        <v>51999</v>
      </c>
      <c r="B383" s="164" t="s">
        <v>513</v>
      </c>
      <c r="C383" s="154"/>
      <c r="D383" s="14" t="s">
        <v>11</v>
      </c>
      <c r="E383" s="14" t="s">
        <v>25</v>
      </c>
      <c r="F383" s="14" t="s">
        <v>26</v>
      </c>
      <c r="G383" s="17">
        <f>'JUNIO-18 '!I379</f>
        <v>1000</v>
      </c>
      <c r="H383" s="157"/>
      <c r="I383" s="17">
        <f t="shared" si="6"/>
        <v>1000</v>
      </c>
      <c r="J383" s="159"/>
      <c r="K383" s="159"/>
    </row>
    <row r="384" spans="1:11" ht="29.25">
      <c r="A384" s="152">
        <v>54115</v>
      </c>
      <c r="B384" s="164" t="s">
        <v>514</v>
      </c>
      <c r="C384" s="154"/>
      <c r="D384" s="14" t="s">
        <v>11</v>
      </c>
      <c r="E384" s="14" t="s">
        <v>25</v>
      </c>
      <c r="F384" s="14" t="s">
        <v>26</v>
      </c>
      <c r="G384" s="17">
        <f>'JUNIO-18 '!I380</f>
        <v>1990</v>
      </c>
      <c r="H384" s="157"/>
      <c r="I384" s="17">
        <f t="shared" si="6"/>
        <v>1990</v>
      </c>
      <c r="J384" s="159"/>
      <c r="K384" s="159"/>
    </row>
    <row r="385" spans="1:11" ht="29.25">
      <c r="A385" s="152">
        <v>61104</v>
      </c>
      <c r="B385" s="164" t="s">
        <v>515</v>
      </c>
      <c r="C385" s="154"/>
      <c r="D385" s="14" t="s">
        <v>11</v>
      </c>
      <c r="E385" s="14" t="s">
        <v>25</v>
      </c>
      <c r="F385" s="14" t="s">
        <v>26</v>
      </c>
      <c r="G385" s="17">
        <f>'JUNIO-18 '!I381</f>
        <v>2000</v>
      </c>
      <c r="H385" s="157"/>
      <c r="I385" s="17">
        <f t="shared" si="6"/>
        <v>2000</v>
      </c>
      <c r="J385" s="159"/>
      <c r="K385" s="159"/>
    </row>
    <row r="386" spans="1:11" ht="29.25">
      <c r="A386" s="152">
        <v>55603</v>
      </c>
      <c r="B386" s="164" t="s">
        <v>516</v>
      </c>
      <c r="C386" s="154"/>
      <c r="D386" s="14" t="s">
        <v>11</v>
      </c>
      <c r="E386" s="14" t="s">
        <v>25</v>
      </c>
      <c r="F386" s="14" t="s">
        <v>26</v>
      </c>
      <c r="G386" s="17">
        <f>'JUNIO-18 '!I382</f>
        <v>10</v>
      </c>
      <c r="H386" s="157"/>
      <c r="I386" s="17">
        <f t="shared" si="6"/>
        <v>10</v>
      </c>
      <c r="J386" s="159"/>
      <c r="K386" s="159"/>
    </row>
    <row r="387" spans="1:11" ht="63" customHeight="1">
      <c r="A387" s="144" t="s">
        <v>517</v>
      </c>
      <c r="B387" s="53" t="s">
        <v>518</v>
      </c>
      <c r="C387" s="154"/>
      <c r="D387" s="155"/>
      <c r="E387" s="155"/>
      <c r="F387" s="155"/>
      <c r="G387" s="17">
        <f>'JUNIO-18 '!I383</f>
        <v>0</v>
      </c>
      <c r="H387" s="157"/>
      <c r="I387" s="158"/>
      <c r="J387" s="159"/>
      <c r="K387" s="159"/>
    </row>
    <row r="388" spans="1:11" ht="29.25">
      <c r="A388" s="152">
        <v>51999</v>
      </c>
      <c r="B388" s="164" t="s">
        <v>519</v>
      </c>
      <c r="C388" s="154"/>
      <c r="D388" s="14" t="s">
        <v>11</v>
      </c>
      <c r="E388" s="14" t="s">
        <v>25</v>
      </c>
      <c r="F388" s="14" t="s">
        <v>26</v>
      </c>
      <c r="G388" s="17">
        <f>'JUNIO-18 '!I384</f>
        <v>10000</v>
      </c>
      <c r="H388" s="157"/>
      <c r="I388" s="17">
        <f t="shared" si="6"/>
        <v>10000</v>
      </c>
      <c r="J388" s="159"/>
      <c r="K388" s="159"/>
    </row>
    <row r="389" spans="1:11" ht="30">
      <c r="A389" s="152">
        <v>54313</v>
      </c>
      <c r="B389" s="164" t="s">
        <v>520</v>
      </c>
      <c r="C389" s="154"/>
      <c r="D389" s="14" t="s">
        <v>11</v>
      </c>
      <c r="E389" s="14" t="s">
        <v>25</v>
      </c>
      <c r="F389" s="14" t="s">
        <v>26</v>
      </c>
      <c r="G389" s="17">
        <f>'JUNIO-18 '!I385</f>
        <v>500</v>
      </c>
      <c r="H389" s="157"/>
      <c r="I389" s="17">
        <f t="shared" si="6"/>
        <v>500</v>
      </c>
      <c r="J389" s="159"/>
      <c r="K389" s="159"/>
    </row>
    <row r="390" spans="1:11" ht="30">
      <c r="A390" s="152">
        <v>54399</v>
      </c>
      <c r="B390" s="164" t="s">
        <v>521</v>
      </c>
      <c r="C390" s="154"/>
      <c r="D390" s="14" t="s">
        <v>11</v>
      </c>
      <c r="E390" s="14" t="s">
        <v>25</v>
      </c>
      <c r="F390" s="14" t="s">
        <v>26</v>
      </c>
      <c r="G390" s="17">
        <f>'JUNIO-18 '!I386</f>
        <v>990</v>
      </c>
      <c r="H390" s="157"/>
      <c r="I390" s="17">
        <f t="shared" si="6"/>
        <v>990</v>
      </c>
      <c r="J390" s="159"/>
      <c r="K390" s="159"/>
    </row>
    <row r="391" spans="1:11" ht="29.25">
      <c r="A391" s="152">
        <v>54599</v>
      </c>
      <c r="B391" s="164" t="s">
        <v>522</v>
      </c>
      <c r="C391" s="154"/>
      <c r="D391" s="14" t="s">
        <v>11</v>
      </c>
      <c r="E391" s="14" t="s">
        <v>25</v>
      </c>
      <c r="F391" s="14" t="s">
        <v>26</v>
      </c>
      <c r="G391" s="17">
        <f>'JUNIO-18 '!I387</f>
        <v>13500</v>
      </c>
      <c r="H391" s="157"/>
      <c r="I391" s="17">
        <f t="shared" si="6"/>
        <v>13500</v>
      </c>
      <c r="J391" s="159"/>
      <c r="K391" s="159"/>
    </row>
    <row r="392" spans="1:11" ht="29.25">
      <c r="A392" s="152">
        <v>55603</v>
      </c>
      <c r="B392" s="164" t="s">
        <v>523</v>
      </c>
      <c r="C392" s="154"/>
      <c r="D392" s="14" t="s">
        <v>11</v>
      </c>
      <c r="E392" s="14" t="s">
        <v>25</v>
      </c>
      <c r="F392" s="14" t="s">
        <v>26</v>
      </c>
      <c r="G392" s="17">
        <f>'JUNIO-18 '!I388</f>
        <v>10</v>
      </c>
      <c r="H392" s="157"/>
      <c r="I392" s="17">
        <f t="shared" si="6"/>
        <v>10</v>
      </c>
      <c r="J392" s="159"/>
      <c r="K392" s="159"/>
    </row>
    <row r="393" spans="1:11" ht="69.75">
      <c r="A393" s="144" t="s">
        <v>524</v>
      </c>
      <c r="B393" s="53" t="s">
        <v>525</v>
      </c>
      <c r="C393" s="154"/>
      <c r="D393" s="14" t="s">
        <v>11</v>
      </c>
      <c r="E393" s="14" t="s">
        <v>25</v>
      </c>
      <c r="F393" s="14" t="s">
        <v>26</v>
      </c>
      <c r="G393" s="17">
        <f>'JUNIO-18 '!I389</f>
        <v>0</v>
      </c>
      <c r="H393" s="157"/>
      <c r="I393" s="158">
        <f t="shared" si="6"/>
        <v>0</v>
      </c>
      <c r="J393" s="159"/>
      <c r="K393" s="328"/>
    </row>
    <row r="394" spans="1:11" ht="44.25">
      <c r="A394" s="144" t="s">
        <v>526</v>
      </c>
      <c r="B394" s="53" t="s">
        <v>527</v>
      </c>
      <c r="C394" s="154"/>
      <c r="D394" s="14" t="s">
        <v>11</v>
      </c>
      <c r="E394" s="14" t="s">
        <v>25</v>
      </c>
      <c r="F394" s="14" t="s">
        <v>26</v>
      </c>
      <c r="G394" s="17">
        <f>'JUNIO-18 '!I390</f>
        <v>0</v>
      </c>
      <c r="H394" s="157"/>
      <c r="I394" s="158">
        <f t="shared" si="6"/>
        <v>0</v>
      </c>
      <c r="J394" s="159"/>
      <c r="K394" s="329"/>
    </row>
    <row r="395" spans="1:11" ht="39.75">
      <c r="A395" s="144" t="s">
        <v>528</v>
      </c>
      <c r="B395" s="53" t="s">
        <v>529</v>
      </c>
      <c r="C395" s="154"/>
      <c r="D395" s="14" t="s">
        <v>11</v>
      </c>
      <c r="E395" s="14" t="s">
        <v>25</v>
      </c>
      <c r="F395" s="14" t="s">
        <v>26</v>
      </c>
      <c r="G395" s="17">
        <f>'JUNIO-18 '!I391</f>
        <v>0</v>
      </c>
      <c r="H395" s="157"/>
      <c r="I395" s="158">
        <f t="shared" si="6"/>
        <v>0</v>
      </c>
      <c r="J395" s="159"/>
      <c r="K395" s="329"/>
    </row>
    <row r="396" spans="1:11" ht="39.75">
      <c r="A396" s="144" t="s">
        <v>530</v>
      </c>
      <c r="B396" s="53" t="s">
        <v>531</v>
      </c>
      <c r="C396" s="154"/>
      <c r="D396" s="14" t="s">
        <v>11</v>
      </c>
      <c r="E396" s="14" t="s">
        <v>25</v>
      </c>
      <c r="F396" s="14" t="s">
        <v>26</v>
      </c>
      <c r="G396" s="17">
        <f>'JUNIO-18 '!I392</f>
        <v>0</v>
      </c>
      <c r="H396" s="157"/>
      <c r="I396" s="158">
        <f t="shared" si="6"/>
        <v>0</v>
      </c>
      <c r="J396" s="159"/>
      <c r="K396" s="329"/>
    </row>
    <row r="397" spans="1:11" ht="55.5">
      <c r="A397" s="144" t="s">
        <v>532</v>
      </c>
      <c r="B397" s="53" t="s">
        <v>533</v>
      </c>
      <c r="C397" s="154"/>
      <c r="D397" s="155"/>
      <c r="E397" s="155"/>
      <c r="F397" s="155"/>
      <c r="G397" s="17">
        <f>'JUNIO-18 '!I393</f>
        <v>0</v>
      </c>
      <c r="H397" s="157"/>
      <c r="I397" s="158"/>
      <c r="J397" s="159"/>
      <c r="K397" s="159"/>
    </row>
    <row r="398" spans="1:11" ht="29.25">
      <c r="A398" s="152">
        <v>51202</v>
      </c>
      <c r="B398" s="153" t="s">
        <v>534</v>
      </c>
      <c r="C398" s="154"/>
      <c r="D398" s="14" t="s">
        <v>11</v>
      </c>
      <c r="E398" s="14" t="s">
        <v>25</v>
      </c>
      <c r="F398" s="14" t="s">
        <v>26</v>
      </c>
      <c r="G398" s="17">
        <f>'JUNIO-18 '!I394</f>
        <v>8000</v>
      </c>
      <c r="H398" s="157"/>
      <c r="I398" s="158">
        <f t="shared" si="6"/>
        <v>8000</v>
      </c>
      <c r="J398" s="159"/>
      <c r="K398" s="159"/>
    </row>
    <row r="399" spans="1:11" ht="29.25">
      <c r="A399" s="152">
        <v>54111</v>
      </c>
      <c r="B399" s="153" t="s">
        <v>535</v>
      </c>
      <c r="C399" s="154"/>
      <c r="D399" s="14" t="s">
        <v>11</v>
      </c>
      <c r="E399" s="14" t="s">
        <v>25</v>
      </c>
      <c r="F399" s="14" t="s">
        <v>26</v>
      </c>
      <c r="G399" s="17">
        <f>'JUNIO-18 '!I395</f>
        <v>5500</v>
      </c>
      <c r="H399" s="157"/>
      <c r="I399" s="158">
        <f t="shared" si="6"/>
        <v>5500</v>
      </c>
      <c r="J399" s="159"/>
      <c r="K399" s="159"/>
    </row>
    <row r="400" spans="1:11" ht="29.25">
      <c r="A400" s="152">
        <v>54112</v>
      </c>
      <c r="B400" s="153" t="s">
        <v>536</v>
      </c>
      <c r="C400" s="154"/>
      <c r="D400" s="14" t="s">
        <v>11</v>
      </c>
      <c r="E400" s="14" t="s">
        <v>25</v>
      </c>
      <c r="F400" s="14" t="s">
        <v>26</v>
      </c>
      <c r="G400" s="17">
        <f>'JUNIO-18 '!I396</f>
        <v>5000</v>
      </c>
      <c r="H400" s="157"/>
      <c r="I400" s="158">
        <f t="shared" si="6"/>
        <v>5000</v>
      </c>
      <c r="J400" s="159"/>
      <c r="K400" s="159"/>
    </row>
    <row r="401" spans="1:27" ht="30">
      <c r="A401" s="152">
        <v>54313</v>
      </c>
      <c r="B401" s="153" t="s">
        <v>537</v>
      </c>
      <c r="C401" s="154"/>
      <c r="D401" s="14" t="s">
        <v>11</v>
      </c>
      <c r="E401" s="14" t="s">
        <v>25</v>
      </c>
      <c r="F401" s="14" t="s">
        <v>26</v>
      </c>
      <c r="G401" s="17">
        <f>'JUNIO-18 '!I397</f>
        <v>500</v>
      </c>
      <c r="H401" s="157"/>
      <c r="I401" s="158">
        <f t="shared" si="6"/>
        <v>500</v>
      </c>
      <c r="J401" s="159"/>
      <c r="K401" s="159"/>
    </row>
    <row r="402" spans="1:27" ht="30">
      <c r="A402" s="152">
        <v>54399</v>
      </c>
      <c r="B402" s="153" t="s">
        <v>538</v>
      </c>
      <c r="C402" s="154"/>
      <c r="D402" s="14" t="s">
        <v>11</v>
      </c>
      <c r="E402" s="14" t="s">
        <v>25</v>
      </c>
      <c r="F402" s="14" t="s">
        <v>26</v>
      </c>
      <c r="G402" s="17">
        <f>'JUNIO-18 '!I398</f>
        <v>990</v>
      </c>
      <c r="H402" s="157"/>
      <c r="I402" s="158">
        <f t="shared" si="6"/>
        <v>990</v>
      </c>
      <c r="J402" s="159"/>
      <c r="K402" s="159"/>
    </row>
    <row r="403" spans="1:27" ht="29.25">
      <c r="A403" s="152">
        <v>55603</v>
      </c>
      <c r="B403" s="153" t="s">
        <v>539</v>
      </c>
      <c r="C403" s="154"/>
      <c r="D403" s="14" t="s">
        <v>11</v>
      </c>
      <c r="E403" s="14" t="s">
        <v>25</v>
      </c>
      <c r="F403" s="14" t="s">
        <v>26</v>
      </c>
      <c r="G403" s="17">
        <f>'JUNIO-18 '!I399</f>
        <v>10</v>
      </c>
      <c r="H403" s="157"/>
      <c r="I403" s="158">
        <f t="shared" si="6"/>
        <v>10</v>
      </c>
      <c r="J403" s="159"/>
      <c r="K403" s="159"/>
    </row>
    <row r="404" spans="1:27" ht="55.5">
      <c r="A404" s="144" t="s">
        <v>540</v>
      </c>
      <c r="B404" s="53" t="s">
        <v>541</v>
      </c>
      <c r="C404" s="154"/>
      <c r="D404" s="155"/>
      <c r="E404" s="155"/>
      <c r="F404" s="155"/>
      <c r="G404" s="17">
        <f>'JUNIO-18 '!I400</f>
        <v>0</v>
      </c>
      <c r="H404" s="157"/>
      <c r="I404" s="158"/>
      <c r="J404" s="159"/>
      <c r="K404" s="159"/>
    </row>
    <row r="405" spans="1:27" ht="29.25">
      <c r="A405" s="152">
        <v>51202</v>
      </c>
      <c r="B405" s="153" t="s">
        <v>542</v>
      </c>
      <c r="C405" s="154"/>
      <c r="D405" s="14" t="s">
        <v>11</v>
      </c>
      <c r="E405" s="14" t="s">
        <v>25</v>
      </c>
      <c r="F405" s="14" t="s">
        <v>26</v>
      </c>
      <c r="G405" s="17">
        <f>'JUNIO-18 '!I401</f>
        <v>0</v>
      </c>
      <c r="H405" s="157"/>
      <c r="I405" s="158">
        <f t="shared" si="6"/>
        <v>0</v>
      </c>
      <c r="J405" s="159"/>
      <c r="K405" s="326"/>
    </row>
    <row r="406" spans="1:27" ht="39.75" customHeight="1">
      <c r="A406" s="152">
        <v>54111</v>
      </c>
      <c r="B406" s="153" t="s">
        <v>543</v>
      </c>
      <c r="C406" s="154"/>
      <c r="D406" s="14" t="s">
        <v>11</v>
      </c>
      <c r="E406" s="14" t="s">
        <v>25</v>
      </c>
      <c r="F406" s="14" t="s">
        <v>26</v>
      </c>
      <c r="G406" s="17">
        <f>'JUNIO-18 '!I402</f>
        <v>0</v>
      </c>
      <c r="H406" s="157"/>
      <c r="I406" s="158">
        <f t="shared" si="6"/>
        <v>0</v>
      </c>
      <c r="J406" s="159"/>
      <c r="K406" s="326"/>
    </row>
    <row r="407" spans="1:27" ht="35.25" customHeight="1">
      <c r="A407" s="152">
        <v>54112</v>
      </c>
      <c r="B407" s="153" t="s">
        <v>544</v>
      </c>
      <c r="C407" s="154"/>
      <c r="D407" s="14" t="s">
        <v>11</v>
      </c>
      <c r="E407" s="14" t="s">
        <v>25</v>
      </c>
      <c r="F407" s="14" t="s">
        <v>26</v>
      </c>
      <c r="G407" s="17">
        <f>'JUNIO-18 '!I403</f>
        <v>0</v>
      </c>
      <c r="H407" s="157"/>
      <c r="I407" s="158">
        <f t="shared" ref="I407:I422" si="7">G407-H407+J407-K407</f>
        <v>0</v>
      </c>
      <c r="J407" s="159"/>
      <c r="K407" s="326"/>
    </row>
    <row r="408" spans="1:27" ht="36.75" customHeight="1">
      <c r="A408" s="152">
        <v>54313</v>
      </c>
      <c r="B408" s="153" t="s">
        <v>545</v>
      </c>
      <c r="C408" s="154"/>
      <c r="D408" s="14" t="s">
        <v>11</v>
      </c>
      <c r="E408" s="14" t="s">
        <v>25</v>
      </c>
      <c r="F408" s="14" t="s">
        <v>26</v>
      </c>
      <c r="G408" s="17">
        <f>'JUNIO-18 '!I404</f>
        <v>0</v>
      </c>
      <c r="H408" s="157"/>
      <c r="I408" s="158">
        <f t="shared" si="7"/>
        <v>0</v>
      </c>
      <c r="J408" s="159"/>
      <c r="K408" s="326"/>
      <c r="M408" s="167"/>
      <c r="N408" s="167"/>
      <c r="O408" s="167"/>
      <c r="P408" s="167"/>
      <c r="Q408" s="167"/>
    </row>
    <row r="409" spans="1:27" ht="34.5" customHeight="1">
      <c r="A409" s="152">
        <v>54399</v>
      </c>
      <c r="B409" s="153" t="s">
        <v>546</v>
      </c>
      <c r="C409" s="154"/>
      <c r="D409" s="14" t="s">
        <v>11</v>
      </c>
      <c r="E409" s="14" t="s">
        <v>25</v>
      </c>
      <c r="F409" s="14" t="s">
        <v>26</v>
      </c>
      <c r="G409" s="17">
        <f>'JUNIO-18 '!I405</f>
        <v>0</v>
      </c>
      <c r="H409" s="157"/>
      <c r="I409" s="158">
        <f t="shared" si="7"/>
        <v>0</v>
      </c>
      <c r="J409" s="159"/>
      <c r="K409" s="326"/>
      <c r="M409" s="167"/>
      <c r="N409" s="167"/>
      <c r="O409" s="167"/>
      <c r="P409" s="167"/>
      <c r="Q409" s="167"/>
    </row>
    <row r="410" spans="1:27" s="47" customFormat="1" ht="29.25">
      <c r="A410" s="11">
        <v>55603</v>
      </c>
      <c r="B410" s="153" t="s">
        <v>547</v>
      </c>
      <c r="C410" s="12"/>
      <c r="D410" s="14" t="s">
        <v>11</v>
      </c>
      <c r="E410" s="14" t="s">
        <v>25</v>
      </c>
      <c r="F410" s="14" t="s">
        <v>26</v>
      </c>
      <c r="G410" s="17">
        <f>'JUNIO-18 '!I406</f>
        <v>0</v>
      </c>
      <c r="H410" s="51"/>
      <c r="I410" s="158">
        <f t="shared" si="7"/>
        <v>0</v>
      </c>
      <c r="J410" s="44"/>
      <c r="K410" s="330"/>
      <c r="L410" s="167"/>
      <c r="M410" s="167"/>
      <c r="N410" s="167"/>
      <c r="O410" s="167"/>
      <c r="P410" s="167"/>
      <c r="Q410" s="167"/>
      <c r="R410" s="167"/>
      <c r="S410" s="167"/>
      <c r="T410" s="167"/>
      <c r="U410" s="167"/>
      <c r="V410" s="167"/>
      <c r="W410" s="167"/>
      <c r="X410" s="167"/>
      <c r="Y410" s="167"/>
      <c r="Z410" s="167"/>
      <c r="AA410" s="166"/>
    </row>
    <row r="411" spans="1:27" s="47" customFormat="1" ht="28.5">
      <c r="A411" s="144" t="s">
        <v>548</v>
      </c>
      <c r="B411" s="53" t="s">
        <v>549</v>
      </c>
      <c r="C411" s="12"/>
      <c r="D411" s="14" t="s">
        <v>11</v>
      </c>
      <c r="E411" s="14" t="s">
        <v>25</v>
      </c>
      <c r="F411" s="14" t="s">
        <v>26</v>
      </c>
      <c r="G411" s="17">
        <f>'JUNIO-18 '!I407</f>
        <v>5000</v>
      </c>
      <c r="H411" s="51"/>
      <c r="I411" s="17">
        <f t="shared" si="7"/>
        <v>5000</v>
      </c>
      <c r="J411" s="44"/>
      <c r="K411" s="44"/>
      <c r="L411" s="167"/>
      <c r="M411" s="167"/>
      <c r="N411" s="167"/>
      <c r="O411" s="167"/>
      <c r="P411" s="167"/>
      <c r="Q411" s="167"/>
      <c r="R411" s="167"/>
      <c r="S411" s="167"/>
      <c r="T411" s="167"/>
      <c r="U411" s="167"/>
      <c r="V411" s="167"/>
      <c r="W411" s="167"/>
      <c r="X411" s="167"/>
      <c r="Y411" s="167"/>
      <c r="Z411" s="167"/>
      <c r="AA411" s="166"/>
    </row>
    <row r="412" spans="1:27" s="47" customFormat="1" ht="40.5">
      <c r="A412" s="144" t="s">
        <v>550</v>
      </c>
      <c r="B412" s="53" t="s">
        <v>1026</v>
      </c>
      <c r="C412" s="12"/>
      <c r="D412" s="3"/>
      <c r="E412" s="3"/>
      <c r="F412" s="3"/>
      <c r="G412" s="17">
        <f>'JUNIO-18 '!I408</f>
        <v>0</v>
      </c>
      <c r="H412" s="51"/>
      <c r="I412" s="17"/>
      <c r="J412" s="44"/>
      <c r="K412" s="52"/>
      <c r="L412" s="167"/>
      <c r="M412" s="167"/>
      <c r="N412" s="167"/>
      <c r="O412" s="167"/>
      <c r="P412" s="167"/>
      <c r="Q412" s="167"/>
      <c r="R412" s="167"/>
      <c r="S412" s="167"/>
      <c r="T412" s="167"/>
      <c r="U412" s="167"/>
      <c r="V412" s="167"/>
      <c r="W412" s="167"/>
      <c r="X412" s="167"/>
      <c r="Y412" s="167"/>
      <c r="Z412" s="167"/>
      <c r="AA412" s="166"/>
    </row>
    <row r="413" spans="1:27" s="47" customFormat="1" ht="20.25" customHeight="1">
      <c r="A413" s="11">
        <v>51999</v>
      </c>
      <c r="B413" s="70" t="s">
        <v>552</v>
      </c>
      <c r="C413" s="12"/>
      <c r="D413" s="14" t="s">
        <v>11</v>
      </c>
      <c r="E413" s="14" t="s">
        <v>25</v>
      </c>
      <c r="F413" s="14" t="s">
        <v>26</v>
      </c>
      <c r="G413" s="17">
        <f>'JUNIO-18 '!I409</f>
        <v>0</v>
      </c>
      <c r="H413" s="51"/>
      <c r="I413" s="17">
        <f t="shared" si="7"/>
        <v>0</v>
      </c>
      <c r="J413" s="44"/>
      <c r="K413" s="266"/>
      <c r="L413" s="167"/>
      <c r="M413" s="167"/>
      <c r="N413" s="167"/>
      <c r="O413" s="167"/>
      <c r="P413" s="167"/>
      <c r="Q413" s="167"/>
      <c r="R413" s="167"/>
      <c r="S413" s="167"/>
      <c r="T413" s="167"/>
      <c r="U413" s="167"/>
      <c r="V413" s="167"/>
      <c r="W413" s="167"/>
      <c r="X413" s="167"/>
      <c r="Y413" s="167"/>
      <c r="Z413" s="167"/>
    </row>
    <row r="414" spans="1:27" s="47" customFormat="1" ht="23.25" customHeight="1">
      <c r="A414" s="11">
        <v>54399</v>
      </c>
      <c r="B414" s="70" t="s">
        <v>553</v>
      </c>
      <c r="C414" s="12"/>
      <c r="D414" s="14" t="s">
        <v>11</v>
      </c>
      <c r="E414" s="14" t="s">
        <v>25</v>
      </c>
      <c r="F414" s="14" t="s">
        <v>26</v>
      </c>
      <c r="G414" s="17">
        <f>'JUNIO-18 '!I410</f>
        <v>0</v>
      </c>
      <c r="H414" s="51"/>
      <c r="I414" s="17">
        <f t="shared" si="7"/>
        <v>0</v>
      </c>
      <c r="J414" s="44"/>
      <c r="K414" s="266"/>
      <c r="L414" s="167"/>
      <c r="M414" s="167"/>
      <c r="N414" s="167"/>
      <c r="O414" s="167"/>
      <c r="P414" s="167"/>
      <c r="Q414" s="167"/>
      <c r="R414" s="167"/>
      <c r="S414" s="167"/>
      <c r="T414" s="167"/>
      <c r="U414" s="167"/>
      <c r="V414" s="167"/>
      <c r="W414" s="167"/>
      <c r="X414" s="167"/>
      <c r="Y414" s="167"/>
      <c r="Z414" s="167"/>
    </row>
    <row r="415" spans="1:27" s="47" customFormat="1" ht="20.25" customHeight="1">
      <c r="A415" s="11">
        <v>54599</v>
      </c>
      <c r="B415" s="70" t="s">
        <v>554</v>
      </c>
      <c r="C415" s="12"/>
      <c r="D415" s="14" t="s">
        <v>11</v>
      </c>
      <c r="E415" s="14" t="s">
        <v>25</v>
      </c>
      <c r="F415" s="14" t="s">
        <v>26</v>
      </c>
      <c r="G415" s="17">
        <f>'JUNIO-18 '!I411</f>
        <v>0</v>
      </c>
      <c r="H415" s="51"/>
      <c r="I415" s="17">
        <f t="shared" si="7"/>
        <v>0</v>
      </c>
      <c r="J415" s="44"/>
      <c r="K415" s="266"/>
      <c r="L415" s="167"/>
      <c r="M415" s="167"/>
      <c r="N415" s="167"/>
      <c r="O415" s="167"/>
      <c r="P415" s="167"/>
      <c r="Q415" s="167"/>
      <c r="R415" s="167"/>
      <c r="S415" s="167"/>
      <c r="T415" s="167"/>
      <c r="U415" s="167"/>
      <c r="V415" s="167"/>
      <c r="W415" s="167"/>
      <c r="X415" s="167"/>
      <c r="Y415" s="167"/>
      <c r="Z415" s="167"/>
    </row>
    <row r="416" spans="1:27" s="47" customFormat="1" ht="44.25" customHeight="1">
      <c r="A416" s="144" t="s">
        <v>909</v>
      </c>
      <c r="B416" s="349" t="s">
        <v>1089</v>
      </c>
      <c r="C416" s="12"/>
      <c r="D416" s="14"/>
      <c r="E416" s="14"/>
      <c r="F416" s="14"/>
      <c r="G416" s="17">
        <f>'JUNIO-18 '!I412</f>
        <v>0</v>
      </c>
      <c r="H416" s="51"/>
      <c r="I416" s="17"/>
      <c r="J416" s="44"/>
      <c r="K416" s="266"/>
      <c r="L416" s="167"/>
      <c r="M416" s="167"/>
      <c r="N416" s="167"/>
      <c r="O416" s="167"/>
      <c r="P416" s="167"/>
      <c r="Q416" s="167"/>
      <c r="R416" s="167"/>
      <c r="S416" s="167"/>
      <c r="T416" s="167"/>
      <c r="U416" s="167"/>
      <c r="V416" s="167"/>
      <c r="W416" s="167"/>
      <c r="X416" s="167"/>
      <c r="Y416" s="167"/>
      <c r="Z416" s="167"/>
    </row>
    <row r="417" spans="1:26" s="47" customFormat="1" ht="45" customHeight="1">
      <c r="A417" s="11">
        <v>54314</v>
      </c>
      <c r="B417" s="70" t="s">
        <v>1125</v>
      </c>
      <c r="C417" s="12"/>
      <c r="D417" s="14" t="s">
        <v>11</v>
      </c>
      <c r="E417" s="14" t="s">
        <v>25</v>
      </c>
      <c r="F417" s="14" t="s">
        <v>26</v>
      </c>
      <c r="G417" s="17">
        <f>'JUNIO-18 '!I413</f>
        <v>600</v>
      </c>
      <c r="H417" s="51"/>
      <c r="I417" s="17">
        <f t="shared" si="7"/>
        <v>600</v>
      </c>
      <c r="J417" s="347"/>
      <c r="K417" s="266"/>
      <c r="L417" s="167"/>
      <c r="M417" s="167"/>
      <c r="N417" s="167"/>
      <c r="O417" s="167"/>
      <c r="P417" s="167"/>
      <c r="Q417" s="167"/>
      <c r="R417" s="167"/>
      <c r="S417" s="167"/>
      <c r="T417" s="167"/>
      <c r="U417" s="167"/>
      <c r="V417" s="167"/>
      <c r="W417" s="167"/>
      <c r="X417" s="167"/>
      <c r="Y417" s="167"/>
      <c r="Z417" s="167"/>
    </row>
    <row r="418" spans="1:26" s="47" customFormat="1" ht="30">
      <c r="A418" s="47">
        <v>55603</v>
      </c>
      <c r="B418" s="5" t="s">
        <v>1091</v>
      </c>
      <c r="C418" s="12"/>
      <c r="D418" s="14" t="s">
        <v>11</v>
      </c>
      <c r="E418" s="14" t="s">
        <v>25</v>
      </c>
      <c r="F418" s="14" t="s">
        <v>26</v>
      </c>
      <c r="G418" s="17">
        <f>'JUNIO-18 '!I414</f>
        <v>0</v>
      </c>
      <c r="H418" s="375"/>
      <c r="I418" s="17">
        <f t="shared" si="7"/>
        <v>0</v>
      </c>
      <c r="J418" s="316"/>
      <c r="K418" s="44"/>
      <c r="L418" s="167"/>
      <c r="M418" s="167"/>
      <c r="N418" s="167"/>
      <c r="O418" s="167"/>
      <c r="P418" s="167"/>
      <c r="Q418" s="167"/>
      <c r="R418" s="167"/>
      <c r="S418" s="167"/>
      <c r="T418" s="167"/>
      <c r="U418" s="167"/>
      <c r="V418" s="167"/>
      <c r="W418" s="167"/>
      <c r="X418" s="167"/>
      <c r="Y418" s="167"/>
      <c r="Z418" s="167"/>
    </row>
    <row r="419" spans="1:26" s="47" customFormat="1">
      <c r="B419" s="5"/>
      <c r="C419" s="12"/>
      <c r="D419" s="14"/>
      <c r="E419" s="14"/>
      <c r="F419" s="14"/>
      <c r="G419" s="17">
        <f>'JUNIO-18 '!I415</f>
        <v>0</v>
      </c>
      <c r="H419" s="51"/>
      <c r="I419" s="17"/>
      <c r="J419" s="316"/>
      <c r="K419" s="44"/>
      <c r="L419" s="167"/>
      <c r="M419" s="167"/>
      <c r="N419" s="167"/>
      <c r="O419" s="167"/>
      <c r="P419" s="167"/>
      <c r="Q419" s="167"/>
      <c r="R419" s="167"/>
      <c r="S419" s="167"/>
      <c r="T419" s="167"/>
      <c r="U419" s="167"/>
      <c r="V419" s="167"/>
      <c r="W419" s="167"/>
      <c r="X419" s="167"/>
      <c r="Y419" s="167"/>
      <c r="Z419" s="167"/>
    </row>
    <row r="420" spans="1:26" s="47" customFormat="1" ht="34.5" customHeight="1">
      <c r="A420" s="317" t="s">
        <v>1149</v>
      </c>
      <c r="B420" s="338" t="s">
        <v>1095</v>
      </c>
      <c r="C420" s="318"/>
      <c r="D420" s="14" t="s">
        <v>11</v>
      </c>
      <c r="E420" s="14" t="s">
        <v>25</v>
      </c>
      <c r="F420" s="14" t="s">
        <v>26</v>
      </c>
      <c r="G420" s="17">
        <f>'JUNIO-18 '!I416</f>
        <v>250000</v>
      </c>
      <c r="H420" s="51"/>
      <c r="I420" s="17">
        <f t="shared" si="7"/>
        <v>212262.09</v>
      </c>
      <c r="J420" s="316"/>
      <c r="K420" s="347">
        <v>37737.910000000003</v>
      </c>
      <c r="L420" s="167"/>
      <c r="M420" s="167"/>
      <c r="N420" s="167"/>
      <c r="O420" s="167"/>
      <c r="P420" s="167"/>
      <c r="Q420" s="167"/>
      <c r="R420" s="167"/>
      <c r="S420" s="167"/>
      <c r="T420" s="167"/>
      <c r="U420" s="167"/>
      <c r="V420" s="167"/>
      <c r="W420" s="167"/>
      <c r="X420" s="167"/>
      <c r="Y420" s="167"/>
      <c r="Z420" s="167"/>
    </row>
    <row r="421" spans="1:26" s="47" customFormat="1">
      <c r="B421" s="339"/>
      <c r="C421" s="12"/>
      <c r="D421" s="14"/>
      <c r="E421" s="14"/>
      <c r="F421" s="14"/>
      <c r="G421" s="17">
        <f>'JUNIO-18 '!I417</f>
        <v>0</v>
      </c>
      <c r="H421" s="51"/>
      <c r="I421" s="17"/>
      <c r="J421" s="316"/>
      <c r="K421" s="44"/>
      <c r="L421" s="167"/>
      <c r="M421" s="167"/>
      <c r="N421" s="167"/>
      <c r="O421" s="167"/>
      <c r="P421" s="167"/>
      <c r="Q421" s="167"/>
      <c r="R421" s="167"/>
      <c r="S421" s="167"/>
      <c r="T421" s="167"/>
      <c r="U421" s="167"/>
      <c r="V421" s="167"/>
      <c r="W421" s="167"/>
      <c r="X421" s="167"/>
      <c r="Y421" s="167"/>
      <c r="Z421" s="167"/>
    </row>
    <row r="422" spans="1:26" s="47" customFormat="1" ht="48" customHeight="1">
      <c r="A422" s="47" t="s">
        <v>1150</v>
      </c>
      <c r="B422" s="340" t="s">
        <v>1116</v>
      </c>
      <c r="C422" s="319"/>
      <c r="D422" s="14" t="s">
        <v>11</v>
      </c>
      <c r="E422" s="14" t="s">
        <v>25</v>
      </c>
      <c r="F422" s="14" t="s">
        <v>26</v>
      </c>
      <c r="G422" s="17">
        <f>'JUNIO-18 '!I418</f>
        <v>100000</v>
      </c>
      <c r="H422" s="51"/>
      <c r="I422" s="17">
        <f t="shared" si="7"/>
        <v>120000</v>
      </c>
      <c r="J422" s="347">
        <v>20000</v>
      </c>
      <c r="K422" s="44"/>
      <c r="L422" s="167"/>
      <c r="M422" s="167"/>
      <c r="N422" s="167"/>
      <c r="O422" s="167"/>
      <c r="P422" s="167"/>
      <c r="Q422" s="167"/>
      <c r="R422" s="167"/>
      <c r="S422" s="167"/>
      <c r="T422" s="167"/>
      <c r="U422" s="167"/>
      <c r="V422" s="167"/>
      <c r="W422" s="167"/>
      <c r="X422" s="167"/>
      <c r="Y422" s="167"/>
      <c r="Z422" s="167"/>
    </row>
    <row r="423" spans="1:26" s="47" customFormat="1" ht="45">
      <c r="A423" s="47">
        <v>54107</v>
      </c>
      <c r="B423" s="5" t="s">
        <v>1148</v>
      </c>
      <c r="C423" s="12"/>
      <c r="D423" s="14"/>
      <c r="E423" s="14"/>
      <c r="F423" s="14"/>
      <c r="G423" s="17">
        <f>'JUNIO-18 '!I419</f>
        <v>0</v>
      </c>
      <c r="H423" s="51"/>
      <c r="I423" s="17"/>
      <c r="J423" s="316"/>
      <c r="K423" s="44"/>
      <c r="L423" s="167"/>
      <c r="M423" s="167"/>
      <c r="N423" s="167"/>
      <c r="O423" s="167"/>
      <c r="P423" s="167"/>
      <c r="Q423" s="167"/>
      <c r="R423" s="167"/>
      <c r="S423" s="167"/>
      <c r="T423" s="167"/>
      <c r="U423" s="167"/>
      <c r="V423" s="167"/>
      <c r="W423" s="167"/>
      <c r="X423" s="167"/>
      <c r="Y423" s="167"/>
      <c r="Z423" s="167"/>
    </row>
    <row r="424" spans="1:26" s="47" customFormat="1" ht="81.75">
      <c r="A424" s="379" t="s">
        <v>1151</v>
      </c>
      <c r="B424" s="53" t="s">
        <v>1170</v>
      </c>
      <c r="C424" s="344" t="s">
        <v>1157</v>
      </c>
      <c r="D424" s="14"/>
      <c r="E424" s="14"/>
      <c r="F424" s="14"/>
      <c r="G424" s="17"/>
      <c r="H424" s="51"/>
      <c r="I424" s="17"/>
      <c r="J424" s="316"/>
      <c r="K424" s="44"/>
      <c r="L424" s="167"/>
      <c r="M424" s="167"/>
      <c r="N424" s="167"/>
      <c r="O424" s="167"/>
      <c r="P424" s="167"/>
      <c r="Q424" s="167"/>
      <c r="R424" s="167"/>
      <c r="S424" s="167"/>
      <c r="T424" s="167"/>
      <c r="U424" s="167"/>
      <c r="V424" s="167"/>
      <c r="W424" s="167"/>
      <c r="X424" s="167"/>
      <c r="Y424" s="167"/>
      <c r="Z424" s="167"/>
    </row>
    <row r="425" spans="1:26" s="47" customFormat="1" ht="29.25">
      <c r="A425" s="152">
        <v>51202</v>
      </c>
      <c r="B425" s="153" t="s">
        <v>1152</v>
      </c>
      <c r="C425" s="12" t="s">
        <v>1158</v>
      </c>
      <c r="D425" s="14" t="s">
        <v>11</v>
      </c>
      <c r="E425" s="14" t="s">
        <v>25</v>
      </c>
      <c r="F425" s="14" t="s">
        <v>26</v>
      </c>
      <c r="G425" s="17">
        <v>0</v>
      </c>
      <c r="H425" s="51">
        <f>168+112</f>
        <v>280</v>
      </c>
      <c r="I425" s="17">
        <f>G425-H425+J425-K425</f>
        <v>4720</v>
      </c>
      <c r="J425" s="347">
        <f>6000-1000</f>
        <v>5000</v>
      </c>
      <c r="K425" s="44"/>
      <c r="L425" s="167"/>
      <c r="M425" s="167"/>
      <c r="N425" s="167"/>
      <c r="O425" s="167"/>
      <c r="P425" s="167"/>
      <c r="Q425" s="167"/>
      <c r="R425" s="167"/>
      <c r="S425" s="167"/>
      <c r="T425" s="167"/>
      <c r="U425" s="167"/>
      <c r="V425" s="167"/>
      <c r="W425" s="167"/>
      <c r="X425" s="167"/>
      <c r="Y425" s="167"/>
      <c r="Z425" s="167"/>
    </row>
    <row r="426" spans="1:26" s="47" customFormat="1" ht="44.25">
      <c r="A426" s="152">
        <v>54111</v>
      </c>
      <c r="B426" s="153" t="s">
        <v>1154</v>
      </c>
      <c r="C426" s="12"/>
      <c r="D426" s="14" t="s">
        <v>11</v>
      </c>
      <c r="E426" s="14" t="s">
        <v>25</v>
      </c>
      <c r="F426" s="14" t="s">
        <v>26</v>
      </c>
      <c r="G426" s="17">
        <v>0</v>
      </c>
      <c r="H426" s="51"/>
      <c r="I426" s="17">
        <f>G426-H426+J426-K426</f>
        <v>6000</v>
      </c>
      <c r="J426" s="347">
        <f>7000-1000</f>
        <v>6000</v>
      </c>
      <c r="K426" s="44"/>
      <c r="L426" s="167"/>
      <c r="M426" s="167"/>
      <c r="N426" s="167"/>
      <c r="O426" s="167"/>
      <c r="P426" s="167"/>
      <c r="Q426" s="167"/>
      <c r="R426" s="167"/>
      <c r="S426" s="167"/>
      <c r="T426" s="167"/>
      <c r="U426" s="167"/>
      <c r="V426" s="167"/>
      <c r="W426" s="167"/>
      <c r="X426" s="167"/>
      <c r="Y426" s="167"/>
      <c r="Z426" s="167"/>
    </row>
    <row r="427" spans="1:26" s="47" customFormat="1" ht="44.25">
      <c r="A427" s="152">
        <v>54112</v>
      </c>
      <c r="B427" s="153" t="s">
        <v>1153</v>
      </c>
      <c r="C427" s="12"/>
      <c r="D427" s="14" t="s">
        <v>11</v>
      </c>
      <c r="E427" s="14" t="s">
        <v>25</v>
      </c>
      <c r="F427" s="14" t="s">
        <v>26</v>
      </c>
      <c r="G427" s="17">
        <v>0</v>
      </c>
      <c r="H427" s="51"/>
      <c r="I427" s="17">
        <f>G427-H427+J427-K427</f>
        <v>4000</v>
      </c>
      <c r="J427" s="347">
        <v>4000</v>
      </c>
      <c r="K427" s="44"/>
      <c r="L427" s="167"/>
      <c r="M427" s="167"/>
      <c r="N427" s="167"/>
      <c r="O427" s="167"/>
      <c r="P427" s="167"/>
      <c r="Q427" s="167"/>
      <c r="R427" s="167"/>
      <c r="S427" s="167"/>
      <c r="T427" s="167"/>
      <c r="U427" s="167"/>
      <c r="V427" s="167"/>
      <c r="W427" s="167"/>
      <c r="X427" s="167"/>
      <c r="Y427" s="167"/>
      <c r="Z427" s="167"/>
    </row>
    <row r="428" spans="1:26" s="47" customFormat="1" ht="43.5">
      <c r="A428" s="152">
        <v>54118</v>
      </c>
      <c r="B428" s="153" t="s">
        <v>1155</v>
      </c>
      <c r="C428" s="12"/>
      <c r="D428" s="14" t="s">
        <v>11</v>
      </c>
      <c r="E428" s="14" t="s">
        <v>25</v>
      </c>
      <c r="F428" s="14" t="s">
        <v>26</v>
      </c>
      <c r="G428" s="17">
        <v>0</v>
      </c>
      <c r="H428" s="51">
        <v>343.5</v>
      </c>
      <c r="I428" s="17">
        <f>G428-H428+J428-K428</f>
        <v>2384.41</v>
      </c>
      <c r="J428" s="347">
        <f>2990-262.09</f>
        <v>2727.91</v>
      </c>
      <c r="K428" s="44"/>
      <c r="L428" s="167"/>
      <c r="M428" s="167"/>
      <c r="N428" s="167"/>
      <c r="O428" s="167"/>
      <c r="P428" s="167"/>
      <c r="Q428" s="167"/>
      <c r="R428" s="167"/>
      <c r="S428" s="167"/>
      <c r="T428" s="167"/>
      <c r="U428" s="167"/>
      <c r="V428" s="167"/>
      <c r="W428" s="167"/>
      <c r="X428" s="167"/>
      <c r="Y428" s="167"/>
      <c r="Z428" s="167"/>
    </row>
    <row r="429" spans="1:26" s="47" customFormat="1" ht="43.5">
      <c r="A429" s="152">
        <v>55603</v>
      </c>
      <c r="B429" s="153" t="s">
        <v>1156</v>
      </c>
      <c r="C429" s="12"/>
      <c r="D429" s="14" t="s">
        <v>11</v>
      </c>
      <c r="E429" s="14" t="s">
        <v>25</v>
      </c>
      <c r="F429" s="14" t="s">
        <v>26</v>
      </c>
      <c r="G429" s="17">
        <v>0</v>
      </c>
      <c r="H429" s="51">
        <v>1.3</v>
      </c>
      <c r="I429" s="17">
        <f>G429-H429+J429-K429</f>
        <v>8.6999999999999993</v>
      </c>
      <c r="J429" s="347">
        <v>10</v>
      </c>
      <c r="K429" s="44"/>
      <c r="L429" s="167"/>
      <c r="M429" s="167"/>
      <c r="N429" s="167"/>
      <c r="O429" s="167"/>
      <c r="P429" s="167"/>
      <c r="Q429" s="167"/>
      <c r="R429" s="167"/>
      <c r="S429" s="167"/>
      <c r="T429" s="167"/>
      <c r="U429" s="167"/>
      <c r="V429" s="167"/>
      <c r="W429" s="167"/>
      <c r="X429" s="167"/>
      <c r="Y429" s="167"/>
      <c r="Z429" s="167"/>
    </row>
    <row r="430" spans="1:26" s="47" customFormat="1">
      <c r="B430" s="5"/>
      <c r="C430" s="12"/>
      <c r="D430" s="14"/>
      <c r="E430" s="14"/>
      <c r="F430" s="14"/>
      <c r="G430" s="17"/>
      <c r="H430" s="51"/>
      <c r="I430" s="17"/>
      <c r="J430" s="316"/>
      <c r="K430" s="44"/>
      <c r="L430" s="167"/>
      <c r="M430" s="167"/>
      <c r="N430" s="167"/>
      <c r="O430" s="167"/>
      <c r="P430" s="167"/>
      <c r="Q430" s="167"/>
      <c r="R430" s="167"/>
      <c r="S430" s="167"/>
      <c r="T430" s="167"/>
      <c r="U430" s="167"/>
      <c r="V430" s="167"/>
      <c r="W430" s="167"/>
      <c r="X430" s="167"/>
      <c r="Y430" s="167"/>
      <c r="Z430" s="167"/>
    </row>
    <row r="431" spans="1:26" s="47" customFormat="1">
      <c r="A431" s="11"/>
      <c r="B431" s="5"/>
      <c r="C431" s="12"/>
      <c r="D431" s="3"/>
      <c r="E431" s="3"/>
      <c r="F431" s="3"/>
      <c r="G431" s="17">
        <f>'JUNIO-18 '!I420</f>
        <v>0</v>
      </c>
      <c r="H431" s="51"/>
      <c r="I431" s="17"/>
      <c r="J431" s="44"/>
      <c r="K431" s="44"/>
      <c r="L431" s="167"/>
      <c r="M431" s="167"/>
      <c r="N431" s="167"/>
      <c r="O431" s="167"/>
      <c r="P431" s="167"/>
      <c r="Q431" s="167"/>
      <c r="R431" s="167"/>
      <c r="S431" s="167"/>
      <c r="T431" s="167"/>
      <c r="U431" s="167"/>
      <c r="V431" s="167"/>
      <c r="W431" s="167"/>
      <c r="X431" s="167"/>
      <c r="Y431" s="167"/>
      <c r="Z431" s="167"/>
    </row>
    <row r="432" spans="1:26">
      <c r="A432" s="160"/>
      <c r="B432" s="161" t="s">
        <v>17</v>
      </c>
      <c r="C432" s="161"/>
      <c r="D432" s="161"/>
      <c r="E432" s="161"/>
      <c r="F432" s="161"/>
      <c r="G432" s="17">
        <f>'JUNIO-18 '!I421</f>
        <v>898076.23</v>
      </c>
      <c r="H432" s="163">
        <f>SUM(H160:H431)</f>
        <v>49777.470000000008</v>
      </c>
      <c r="I432" s="162">
        <f>SUM(I160:I431)</f>
        <v>848298.76</v>
      </c>
      <c r="J432" s="162">
        <f>SUM(J160:J431)</f>
        <v>47709.61</v>
      </c>
      <c r="K432" s="162">
        <f>SUM(K160:K431)</f>
        <v>47709.61</v>
      </c>
      <c r="M432" s="167"/>
      <c r="N432" s="167"/>
      <c r="O432" s="167"/>
      <c r="P432" s="167"/>
      <c r="Q432" s="167"/>
      <c r="R432" s="167"/>
      <c r="S432" s="167"/>
      <c r="T432" s="167"/>
      <c r="U432" s="167"/>
      <c r="V432" s="167"/>
      <c r="W432" s="167"/>
      <c r="X432" s="167"/>
      <c r="Y432" s="167"/>
      <c r="Z432" s="167"/>
    </row>
    <row r="433" spans="1:26" ht="58.5">
      <c r="A433" s="11" t="s">
        <v>555</v>
      </c>
      <c r="B433" s="57" t="s">
        <v>557</v>
      </c>
      <c r="C433" s="344" t="s">
        <v>1159</v>
      </c>
      <c r="D433" s="14" t="s">
        <v>18</v>
      </c>
      <c r="E433" s="14" t="s">
        <v>28</v>
      </c>
      <c r="F433" s="14" t="s">
        <v>26</v>
      </c>
      <c r="G433" s="17">
        <f>'JUNIO-18 '!I422</f>
        <v>0</v>
      </c>
      <c r="H433" s="51"/>
      <c r="I433" s="17">
        <f t="shared" ref="I433:I504" si="8">G433-H433+J433-K433</f>
        <v>0</v>
      </c>
      <c r="J433" s="52"/>
      <c r="K433" s="143"/>
      <c r="M433" s="167"/>
      <c r="N433" s="167"/>
      <c r="O433" s="167"/>
      <c r="P433" s="167"/>
      <c r="Q433" s="167"/>
      <c r="R433" s="167"/>
      <c r="S433" s="167"/>
      <c r="T433" s="167"/>
      <c r="U433" s="167"/>
      <c r="V433" s="167"/>
      <c r="W433" s="167"/>
      <c r="X433" s="167"/>
      <c r="Y433" s="167"/>
      <c r="Z433" s="167"/>
    </row>
    <row r="434" spans="1:26" ht="58.5">
      <c r="A434" s="11" t="s">
        <v>556</v>
      </c>
      <c r="B434" s="57" t="s">
        <v>558</v>
      </c>
      <c r="C434" s="58"/>
      <c r="D434" s="14" t="s">
        <v>18</v>
      </c>
      <c r="E434" s="14" t="s">
        <v>28</v>
      </c>
      <c r="F434" s="14" t="s">
        <v>26</v>
      </c>
      <c r="G434" s="17">
        <f>'JUNIO-18 '!I423</f>
        <v>6985.1999999999989</v>
      </c>
      <c r="H434" s="51">
        <f>168+112+112+112+112+168+168+140+112+112+112+112+112+112+112+112+112+112+140+48+48+48+48+48+48+48+48+48</f>
        <v>2784</v>
      </c>
      <c r="I434" s="17">
        <f t="shared" si="8"/>
        <v>2833.0699999999988</v>
      </c>
      <c r="J434" s="137"/>
      <c r="K434" s="137">
        <v>1368.13</v>
      </c>
      <c r="M434" s="167"/>
      <c r="N434" s="167"/>
      <c r="O434" s="167"/>
      <c r="P434" s="167"/>
      <c r="Q434" s="167"/>
    </row>
    <row r="435" spans="1:26" ht="72.75">
      <c r="A435" s="11" t="s">
        <v>560</v>
      </c>
      <c r="B435" s="57" t="s">
        <v>559</v>
      </c>
      <c r="C435" s="59"/>
      <c r="D435" s="14" t="s">
        <v>18</v>
      </c>
      <c r="E435" s="14" t="s">
        <v>28</v>
      </c>
      <c r="F435" s="14" t="s">
        <v>26</v>
      </c>
      <c r="G435" s="17">
        <f>'JUNIO-18 '!I424</f>
        <v>631.86999999999989</v>
      </c>
      <c r="H435" s="51"/>
      <c r="I435" s="17">
        <f t="shared" si="8"/>
        <v>0</v>
      </c>
      <c r="J435" s="52"/>
      <c r="K435" s="143">
        <v>631.87</v>
      </c>
    </row>
    <row r="436" spans="1:26" ht="72.75">
      <c r="A436" s="11" t="s">
        <v>561</v>
      </c>
      <c r="B436" s="57" t="s">
        <v>562</v>
      </c>
      <c r="C436" s="59"/>
      <c r="D436" s="14" t="s">
        <v>18</v>
      </c>
      <c r="E436" s="14" t="s">
        <v>28</v>
      </c>
      <c r="F436" s="14" t="s">
        <v>26</v>
      </c>
      <c r="G436" s="17">
        <f>'JUNIO-18 '!I425</f>
        <v>1990</v>
      </c>
      <c r="H436" s="51"/>
      <c r="I436" s="17">
        <f t="shared" si="8"/>
        <v>990</v>
      </c>
      <c r="J436" s="56"/>
      <c r="K436" s="137">
        <v>1000</v>
      </c>
    </row>
    <row r="437" spans="1:26" ht="72.75">
      <c r="A437" s="11" t="s">
        <v>1160</v>
      </c>
      <c r="B437" s="57" t="s">
        <v>1161</v>
      </c>
      <c r="C437" s="59"/>
      <c r="D437" s="14" t="s">
        <v>18</v>
      </c>
      <c r="E437" s="14" t="s">
        <v>28</v>
      </c>
      <c r="F437" s="14" t="s">
        <v>26</v>
      </c>
      <c r="G437" s="17"/>
      <c r="H437" s="51">
        <v>240</v>
      </c>
      <c r="I437" s="17">
        <f t="shared" si="8"/>
        <v>260</v>
      </c>
      <c r="J437" s="137">
        <v>500</v>
      </c>
      <c r="K437" s="56"/>
    </row>
    <row r="438" spans="1:26" ht="72.75">
      <c r="A438" s="11" t="s">
        <v>564</v>
      </c>
      <c r="B438" s="57" t="s">
        <v>563</v>
      </c>
      <c r="C438" s="59"/>
      <c r="D438" s="14" t="s">
        <v>18</v>
      </c>
      <c r="E438" s="14" t="s">
        <v>28</v>
      </c>
      <c r="F438" s="14" t="s">
        <v>26</v>
      </c>
      <c r="G438" s="17">
        <f>'JUNIO-18 '!I426</f>
        <v>3000</v>
      </c>
      <c r="H438" s="51"/>
      <c r="I438" s="17">
        <f t="shared" si="8"/>
        <v>2000</v>
      </c>
      <c r="J438" s="52"/>
      <c r="K438" s="137">
        <v>1000</v>
      </c>
    </row>
    <row r="439" spans="1:26" ht="72.75">
      <c r="A439" s="11" t="s">
        <v>566</v>
      </c>
      <c r="B439" s="57" t="s">
        <v>567</v>
      </c>
      <c r="C439" s="380" t="s">
        <v>1162</v>
      </c>
      <c r="D439" s="14" t="s">
        <v>18</v>
      </c>
      <c r="E439" s="14" t="s">
        <v>28</v>
      </c>
      <c r="F439" s="14" t="s">
        <v>26</v>
      </c>
      <c r="G439" s="17">
        <f>'JUNIO-18 '!I427</f>
        <v>6629.5000000000036</v>
      </c>
      <c r="H439" s="51">
        <f>1867.75+1124.3+1118+3839+2494+1241+799</f>
        <v>12483.05</v>
      </c>
      <c r="I439" s="134">
        <f t="shared" si="8"/>
        <v>4146.4500000000044</v>
      </c>
      <c r="J439" s="143">
        <v>10000</v>
      </c>
      <c r="K439" s="52"/>
    </row>
    <row r="440" spans="1:26" ht="72.75">
      <c r="A440" s="11" t="s">
        <v>565</v>
      </c>
      <c r="B440" s="57" t="s">
        <v>568</v>
      </c>
      <c r="C440" s="59"/>
      <c r="D440" s="14" t="s">
        <v>18</v>
      </c>
      <c r="E440" s="14" t="s">
        <v>28</v>
      </c>
      <c r="F440" s="14" t="s">
        <v>26</v>
      </c>
      <c r="G440" s="17">
        <f>'JUNIO-18 '!I428</f>
        <v>1961.4199999999996</v>
      </c>
      <c r="H440" s="51">
        <f>1477.4</f>
        <v>1477.4</v>
      </c>
      <c r="I440" s="17">
        <f t="shared" si="8"/>
        <v>484.01999999999953</v>
      </c>
      <c r="J440" s="52"/>
      <c r="K440" s="143"/>
    </row>
    <row r="441" spans="1:26" ht="87">
      <c r="A441" s="11" t="s">
        <v>1117</v>
      </c>
      <c r="B441" s="57" t="s">
        <v>1118</v>
      </c>
      <c r="C441" s="59"/>
      <c r="D441" s="14" t="s">
        <v>18</v>
      </c>
      <c r="E441" s="14" t="s">
        <v>28</v>
      </c>
      <c r="F441" s="14" t="s">
        <v>26</v>
      </c>
      <c r="G441" s="17">
        <f>'JUNIO-18 '!I429</f>
        <v>6027.1</v>
      </c>
      <c r="H441" s="51"/>
      <c r="I441" s="134">
        <f>G441-H441+J441-K441</f>
        <v>4027.1000000000004</v>
      </c>
      <c r="J441" s="137"/>
      <c r="K441" s="143">
        <v>2000</v>
      </c>
    </row>
    <row r="442" spans="1:26" ht="87">
      <c r="A442" s="11" t="s">
        <v>1163</v>
      </c>
      <c r="B442" s="57" t="s">
        <v>1164</v>
      </c>
      <c r="C442" s="59"/>
      <c r="D442" s="14" t="s">
        <v>18</v>
      </c>
      <c r="E442" s="14" t="s">
        <v>28</v>
      </c>
      <c r="F442" s="14" t="s">
        <v>26</v>
      </c>
      <c r="G442" s="17"/>
      <c r="H442" s="51">
        <v>291.66000000000003</v>
      </c>
      <c r="I442" s="134">
        <f>G442-H442+J442-K442</f>
        <v>208.33999999999997</v>
      </c>
      <c r="J442" s="137">
        <v>500</v>
      </c>
      <c r="K442" s="143"/>
    </row>
    <row r="443" spans="1:26" ht="72.75">
      <c r="A443" s="11" t="s">
        <v>569</v>
      </c>
      <c r="B443" s="57" t="s">
        <v>570</v>
      </c>
      <c r="C443" s="286" t="s">
        <v>1072</v>
      </c>
      <c r="D443" s="14" t="s">
        <v>18</v>
      </c>
      <c r="E443" s="14" t="s">
        <v>28</v>
      </c>
      <c r="F443" s="14" t="s">
        <v>26</v>
      </c>
      <c r="G443" s="17">
        <f>'JUNIO-18 '!I430</f>
        <v>7000</v>
      </c>
      <c r="H443" s="51"/>
      <c r="I443" s="17">
        <f t="shared" si="8"/>
        <v>4000</v>
      </c>
      <c r="J443" s="52"/>
      <c r="K443" s="137">
        <v>3000</v>
      </c>
    </row>
    <row r="444" spans="1:26" ht="72.75">
      <c r="A444" s="11" t="s">
        <v>571</v>
      </c>
      <c r="B444" s="57" t="s">
        <v>572</v>
      </c>
      <c r="C444" s="286"/>
      <c r="D444" s="14" t="s">
        <v>18</v>
      </c>
      <c r="E444" s="14" t="s">
        <v>28</v>
      </c>
      <c r="F444" s="14" t="s">
        <v>26</v>
      </c>
      <c r="G444" s="17">
        <f>'JUNIO-18 '!I431</f>
        <v>5365</v>
      </c>
      <c r="H444" s="51"/>
      <c r="I444" s="17">
        <f t="shared" si="8"/>
        <v>3365</v>
      </c>
      <c r="J444" s="137"/>
      <c r="K444" s="137">
        <v>2000</v>
      </c>
    </row>
    <row r="445" spans="1:26" ht="72.75">
      <c r="A445" s="11" t="s">
        <v>969</v>
      </c>
      <c r="B445" s="57" t="s">
        <v>970</v>
      </c>
      <c r="C445" s="59"/>
      <c r="D445" s="14" t="s">
        <v>18</v>
      </c>
      <c r="E445" s="14" t="s">
        <v>28</v>
      </c>
      <c r="F445" s="14" t="s">
        <v>26</v>
      </c>
      <c r="G445" s="17">
        <f>'JUNIO-18 '!I432</f>
        <v>8.6999999999999993</v>
      </c>
      <c r="H445" s="51"/>
      <c r="I445" s="17">
        <f t="shared" si="8"/>
        <v>8.6999999999999993</v>
      </c>
      <c r="J445" s="137"/>
      <c r="K445" s="52"/>
    </row>
    <row r="446" spans="1:26" ht="39" customHeight="1">
      <c r="A446" s="11">
        <v>54109</v>
      </c>
      <c r="B446" s="54" t="s">
        <v>1166</v>
      </c>
      <c r="C446" s="13" t="s">
        <v>1165</v>
      </c>
      <c r="D446" s="14" t="s">
        <v>18</v>
      </c>
      <c r="E446" s="14" t="s">
        <v>28</v>
      </c>
      <c r="F446" s="14" t="s">
        <v>26</v>
      </c>
      <c r="G446" s="17">
        <f>'JUNIO-18 '!I433</f>
        <v>1719.9799999999996</v>
      </c>
      <c r="H446" s="51"/>
      <c r="I446" s="17">
        <f t="shared" si="8"/>
        <v>1719.9799999999996</v>
      </c>
      <c r="J446" s="52"/>
      <c r="K446" s="52"/>
    </row>
    <row r="447" spans="1:26" ht="60">
      <c r="A447" s="11" t="s">
        <v>574</v>
      </c>
      <c r="B447" s="54" t="s">
        <v>575</v>
      </c>
      <c r="C447" s="61" t="s">
        <v>1167</v>
      </c>
      <c r="D447" s="14" t="s">
        <v>18</v>
      </c>
      <c r="E447" s="14" t="s">
        <v>28</v>
      </c>
      <c r="F447" s="14" t="s">
        <v>26</v>
      </c>
      <c r="G447" s="17">
        <f>'JUNIO-18 '!I434</f>
        <v>2899.8500000000004</v>
      </c>
      <c r="H447" s="51">
        <f>241+142.5+22</f>
        <v>405.5</v>
      </c>
      <c r="I447" s="17">
        <f t="shared" si="8"/>
        <v>2494.3500000000004</v>
      </c>
      <c r="J447" s="52"/>
      <c r="K447" s="300"/>
    </row>
    <row r="448" spans="1:26" ht="75">
      <c r="A448" s="11" t="s">
        <v>212</v>
      </c>
      <c r="B448" s="54" t="s">
        <v>576</v>
      </c>
      <c r="C448" s="61" t="s">
        <v>1167</v>
      </c>
      <c r="D448" s="14" t="s">
        <v>18</v>
      </c>
      <c r="E448" s="14" t="s">
        <v>28</v>
      </c>
      <c r="F448" s="14" t="s">
        <v>26</v>
      </c>
      <c r="G448" s="17">
        <f>'JUNIO-18 '!I435</f>
        <v>7875.0000000000009</v>
      </c>
      <c r="H448" s="51">
        <f>231.5+194+593</f>
        <v>1018.5</v>
      </c>
      <c r="I448" s="17">
        <f t="shared" si="8"/>
        <v>6856.5000000000009</v>
      </c>
      <c r="J448" s="52"/>
      <c r="K448" s="300"/>
    </row>
    <row r="449" spans="1:11" ht="75">
      <c r="A449" s="11" t="s">
        <v>577</v>
      </c>
      <c r="B449" s="54" t="s">
        <v>1094</v>
      </c>
      <c r="C449" s="13"/>
      <c r="D449" s="14" t="s">
        <v>18</v>
      </c>
      <c r="E449" s="14" t="s">
        <v>28</v>
      </c>
      <c r="F449" s="14" t="s">
        <v>26</v>
      </c>
      <c r="G449" s="17">
        <f>'JUNIO-18 '!I436</f>
        <v>11348.38</v>
      </c>
      <c r="H449" s="51">
        <f>15+20+20+38</f>
        <v>93</v>
      </c>
      <c r="I449" s="17">
        <f t="shared" si="8"/>
        <v>11255.38</v>
      </c>
      <c r="J449" s="56"/>
      <c r="K449" s="300"/>
    </row>
    <row r="450" spans="1:11" s="220" customFormat="1" ht="30">
      <c r="A450" s="11" t="s">
        <v>218</v>
      </c>
      <c r="B450" s="54" t="s">
        <v>579</v>
      </c>
      <c r="C450" s="13"/>
      <c r="D450" s="14" t="s">
        <v>18</v>
      </c>
      <c r="E450" s="14" t="s">
        <v>28</v>
      </c>
      <c r="F450" s="14" t="s">
        <v>26</v>
      </c>
      <c r="G450" s="17">
        <f>'JUNIO-18 '!I437</f>
        <v>5.7</v>
      </c>
      <c r="H450" s="51"/>
      <c r="I450" s="17">
        <f t="shared" si="8"/>
        <v>5.7</v>
      </c>
      <c r="J450" s="56"/>
      <c r="K450" s="56"/>
    </row>
    <row r="451" spans="1:11" s="229" customFormat="1" ht="9.75" customHeight="1">
      <c r="A451" s="221"/>
      <c r="B451" s="222"/>
      <c r="C451" s="223"/>
      <c r="D451" s="224"/>
      <c r="E451" s="224"/>
      <c r="F451" s="224"/>
      <c r="G451" s="17">
        <f>'JUNIO-18 '!I438</f>
        <v>0</v>
      </c>
      <c r="H451" s="226"/>
      <c r="I451" s="227"/>
      <c r="J451" s="228"/>
      <c r="K451" s="228"/>
    </row>
    <row r="452" spans="1:11" ht="52.5">
      <c r="A452" s="214" t="s">
        <v>988</v>
      </c>
      <c r="B452" s="215" t="s">
        <v>581</v>
      </c>
      <c r="C452" s="344" t="s">
        <v>1104</v>
      </c>
      <c r="D452" s="187" t="s">
        <v>18</v>
      </c>
      <c r="E452" s="187" t="s">
        <v>28</v>
      </c>
      <c r="F452" s="187" t="s">
        <v>27</v>
      </c>
      <c r="G452" s="17">
        <f>'JUNIO-18 '!I439</f>
        <v>12431.02</v>
      </c>
      <c r="H452" s="348">
        <f>2255.35+1007.84</f>
        <v>3263.19</v>
      </c>
      <c r="I452" s="189">
        <f t="shared" si="8"/>
        <v>9167.83</v>
      </c>
      <c r="J452" s="219"/>
      <c r="K452" s="219"/>
    </row>
    <row r="453" spans="1:11" ht="30">
      <c r="A453" s="11" t="s">
        <v>235</v>
      </c>
      <c r="B453" s="54" t="s">
        <v>582</v>
      </c>
      <c r="C453" s="13"/>
      <c r="D453" s="14" t="s">
        <v>18</v>
      </c>
      <c r="E453" s="14" t="s">
        <v>28</v>
      </c>
      <c r="F453" s="14" t="s">
        <v>27</v>
      </c>
      <c r="G453" s="17">
        <f>'JUNIO-18 '!I440</f>
        <v>2.8699999999999992</v>
      </c>
      <c r="H453" s="276"/>
      <c r="I453" s="17">
        <f t="shared" si="8"/>
        <v>2.8699999999999992</v>
      </c>
      <c r="J453" s="56"/>
      <c r="K453" s="56"/>
    </row>
    <row r="454" spans="1:11" ht="96" customHeight="1">
      <c r="A454" s="11" t="s">
        <v>200</v>
      </c>
      <c r="B454" s="53" t="s">
        <v>584</v>
      </c>
      <c r="C454" s="61"/>
      <c r="D454" s="14"/>
      <c r="E454" s="14"/>
      <c r="F454" s="14"/>
      <c r="G454" s="17">
        <f>'JUNIO-18 '!I441</f>
        <v>0</v>
      </c>
      <c r="H454" s="51"/>
      <c r="I454" s="17"/>
      <c r="J454" s="56"/>
      <c r="K454" s="56"/>
    </row>
    <row r="455" spans="1:11" ht="30">
      <c r="A455" s="11">
        <v>54111</v>
      </c>
      <c r="B455" s="54" t="s">
        <v>583</v>
      </c>
      <c r="C455" s="13"/>
      <c r="D455" s="14" t="s">
        <v>18</v>
      </c>
      <c r="E455" s="14" t="s">
        <v>28</v>
      </c>
      <c r="F455" s="14" t="s">
        <v>27</v>
      </c>
      <c r="G455" s="17">
        <f>'JUNIO-18 '!I442</f>
        <v>0</v>
      </c>
      <c r="H455" s="51"/>
      <c r="I455" s="17">
        <f t="shared" si="8"/>
        <v>0</v>
      </c>
      <c r="J455" s="56"/>
      <c r="K455" s="300"/>
    </row>
    <row r="456" spans="1:11" ht="75">
      <c r="A456" s="141" t="s">
        <v>201</v>
      </c>
      <c r="B456" s="53" t="s">
        <v>585</v>
      </c>
      <c r="C456" s="13"/>
      <c r="D456" s="14"/>
      <c r="E456" s="14"/>
      <c r="F456" s="14"/>
      <c r="G456" s="17">
        <f>'JUNIO-18 '!I443</f>
        <v>0</v>
      </c>
      <c r="H456" s="51"/>
      <c r="I456" s="17"/>
      <c r="J456" s="56"/>
      <c r="K456" s="56"/>
    </row>
    <row r="457" spans="1:11" ht="29.25">
      <c r="A457" s="11">
        <v>54110</v>
      </c>
      <c r="B457" s="54" t="s">
        <v>586</v>
      </c>
      <c r="C457" s="13"/>
      <c r="D457" s="14" t="s">
        <v>18</v>
      </c>
      <c r="E457" s="14" t="s">
        <v>28</v>
      </c>
      <c r="F457" s="14" t="s">
        <v>27</v>
      </c>
      <c r="G457" s="17">
        <f>'JUNIO-18 '!I444</f>
        <v>0</v>
      </c>
      <c r="H457" s="51"/>
      <c r="I457" s="17">
        <f t="shared" si="8"/>
        <v>0</v>
      </c>
      <c r="J457" s="56"/>
      <c r="K457" s="300"/>
    </row>
    <row r="458" spans="1:11" ht="30">
      <c r="A458" s="11">
        <v>54111</v>
      </c>
      <c r="B458" s="54" t="s">
        <v>587</v>
      </c>
      <c r="C458" s="13"/>
      <c r="D458" s="14" t="s">
        <v>18</v>
      </c>
      <c r="E458" s="14" t="s">
        <v>28</v>
      </c>
      <c r="F458" s="14" t="s">
        <v>27</v>
      </c>
      <c r="G458" s="17">
        <f>'JUNIO-18 '!I445</f>
        <v>0</v>
      </c>
      <c r="H458" s="51"/>
      <c r="I458" s="17">
        <f t="shared" si="8"/>
        <v>0</v>
      </c>
      <c r="J458" s="56"/>
      <c r="K458" s="300"/>
    </row>
    <row r="459" spans="1:11" ht="29.25">
      <c r="A459" s="11">
        <v>54112</v>
      </c>
      <c r="B459" s="54" t="s">
        <v>588</v>
      </c>
      <c r="C459" s="59"/>
      <c r="D459" s="14" t="s">
        <v>18</v>
      </c>
      <c r="E459" s="14" t="s">
        <v>28</v>
      </c>
      <c r="F459" s="14" t="s">
        <v>27</v>
      </c>
      <c r="G459" s="17">
        <f>'JUNIO-18 '!I446</f>
        <v>0</v>
      </c>
      <c r="H459" s="51"/>
      <c r="I459" s="17">
        <f t="shared" si="8"/>
        <v>0</v>
      </c>
      <c r="J459" s="56"/>
      <c r="K459" s="300"/>
    </row>
    <row r="460" spans="1:11" ht="29.25">
      <c r="A460" s="11">
        <v>55603</v>
      </c>
      <c r="B460" s="54" t="s">
        <v>974</v>
      </c>
      <c r="C460" s="55"/>
      <c r="D460" s="14" t="s">
        <v>18</v>
      </c>
      <c r="E460" s="14" t="s">
        <v>28</v>
      </c>
      <c r="F460" s="14" t="s">
        <v>27</v>
      </c>
      <c r="G460" s="17">
        <f>'JUNIO-18 '!I447</f>
        <v>0</v>
      </c>
      <c r="H460" s="51"/>
      <c r="I460" s="17">
        <f t="shared" si="8"/>
        <v>0</v>
      </c>
      <c r="J460" s="11"/>
      <c r="K460" s="129"/>
    </row>
    <row r="461" spans="1:11" ht="90">
      <c r="A461" s="11" t="s">
        <v>220</v>
      </c>
      <c r="B461" s="53" t="s">
        <v>966</v>
      </c>
      <c r="C461" s="55"/>
      <c r="D461" s="14"/>
      <c r="E461" s="14"/>
      <c r="F461" s="14"/>
      <c r="G461" s="17">
        <f>'JUNIO-18 '!I448</f>
        <v>0</v>
      </c>
      <c r="H461" s="51"/>
      <c r="I461" s="17"/>
      <c r="J461" s="11"/>
      <c r="K461" s="54"/>
    </row>
    <row r="462" spans="1:11" ht="29.25">
      <c r="A462" s="11">
        <v>51202</v>
      </c>
      <c r="B462" s="54" t="s">
        <v>589</v>
      </c>
      <c r="C462" s="55"/>
      <c r="D462" s="14" t="s">
        <v>18</v>
      </c>
      <c r="E462" s="14" t="s">
        <v>28</v>
      </c>
      <c r="F462" s="14" t="s">
        <v>27</v>
      </c>
      <c r="G462" s="17">
        <f>'JUNIO-18 '!I449</f>
        <v>0</v>
      </c>
      <c r="H462" s="51"/>
      <c r="I462" s="17">
        <f t="shared" si="8"/>
        <v>0</v>
      </c>
      <c r="J462" s="11"/>
      <c r="K462" s="251"/>
    </row>
    <row r="463" spans="1:11" ht="29.25" customHeight="1">
      <c r="A463" s="11">
        <v>54110</v>
      </c>
      <c r="B463" s="54" t="s">
        <v>590</v>
      </c>
      <c r="C463" s="55"/>
      <c r="D463" s="14" t="s">
        <v>18</v>
      </c>
      <c r="E463" s="14" t="s">
        <v>28</v>
      </c>
      <c r="F463" s="14" t="s">
        <v>27</v>
      </c>
      <c r="G463" s="17">
        <f>'JUNIO-18 '!I450</f>
        <v>0</v>
      </c>
      <c r="H463" s="51"/>
      <c r="I463" s="17">
        <f t="shared" si="8"/>
        <v>0</v>
      </c>
      <c r="J463" s="11"/>
      <c r="K463" s="251"/>
    </row>
    <row r="464" spans="1:11" ht="30">
      <c r="A464" s="11">
        <v>54111</v>
      </c>
      <c r="B464" s="54" t="s">
        <v>591</v>
      </c>
      <c r="C464" s="55"/>
      <c r="D464" s="14" t="s">
        <v>18</v>
      </c>
      <c r="E464" s="14" t="s">
        <v>28</v>
      </c>
      <c r="F464" s="14" t="s">
        <v>27</v>
      </c>
      <c r="G464" s="17">
        <f>'JUNIO-18 '!I451</f>
        <v>-6.3726801613483985E-14</v>
      </c>
      <c r="H464" s="51"/>
      <c r="I464" s="17">
        <f t="shared" si="8"/>
        <v>-6.3726801613483985E-14</v>
      </c>
      <c r="J464" s="252"/>
      <c r="K464" s="251"/>
    </row>
    <row r="465" spans="1:11" ht="29.25">
      <c r="A465" s="11">
        <v>54112</v>
      </c>
      <c r="B465" s="54" t="s">
        <v>592</v>
      </c>
      <c r="C465" s="55"/>
      <c r="D465" s="14" t="s">
        <v>18</v>
      </c>
      <c r="E465" s="14" t="s">
        <v>28</v>
      </c>
      <c r="F465" s="14" t="s">
        <v>27</v>
      </c>
      <c r="G465" s="17">
        <f>'JUNIO-18 '!I452</f>
        <v>0</v>
      </c>
      <c r="H465" s="51"/>
      <c r="I465" s="17">
        <f t="shared" si="8"/>
        <v>0</v>
      </c>
      <c r="J465" s="11"/>
      <c r="K465" s="251"/>
    </row>
    <row r="466" spans="1:11" ht="29.25">
      <c r="A466" s="11">
        <v>54313</v>
      </c>
      <c r="B466" s="54" t="s">
        <v>593</v>
      </c>
      <c r="C466" s="55"/>
      <c r="D466" s="14" t="s">
        <v>18</v>
      </c>
      <c r="E466" s="14" t="s">
        <v>28</v>
      </c>
      <c r="F466" s="14" t="s">
        <v>27</v>
      </c>
      <c r="G466" s="17">
        <f>'JUNIO-18 '!I453</f>
        <v>0</v>
      </c>
      <c r="H466" s="51"/>
      <c r="I466" s="17">
        <f t="shared" si="8"/>
        <v>0</v>
      </c>
      <c r="J466" s="11"/>
      <c r="K466" s="251"/>
    </row>
    <row r="467" spans="1:11" ht="105" customHeight="1">
      <c r="A467" s="11" t="s">
        <v>238</v>
      </c>
      <c r="B467" s="53" t="s">
        <v>595</v>
      </c>
      <c r="C467" s="343" t="s">
        <v>1105</v>
      </c>
      <c r="D467" s="14"/>
      <c r="E467" s="14"/>
      <c r="F467" s="14"/>
      <c r="G467" s="17">
        <f>'JUNIO-18 '!I454</f>
        <v>0</v>
      </c>
      <c r="H467" s="51"/>
      <c r="I467" s="17"/>
      <c r="J467" s="11"/>
      <c r="K467" s="54"/>
    </row>
    <row r="468" spans="1:11" ht="29.25">
      <c r="A468" s="11">
        <v>51202</v>
      </c>
      <c r="B468" s="54" t="s">
        <v>594</v>
      </c>
      <c r="C468" s="55"/>
      <c r="D468" s="14" t="s">
        <v>18</v>
      </c>
      <c r="E468" s="14" t="s">
        <v>28</v>
      </c>
      <c r="F468" s="14" t="s">
        <v>27</v>
      </c>
      <c r="G468" s="17">
        <f>'JUNIO-18 '!I455</f>
        <v>1391.1099999999997</v>
      </c>
      <c r="H468" s="51"/>
      <c r="I468" s="17">
        <f t="shared" si="8"/>
        <v>1391.1099999999997</v>
      </c>
      <c r="J468" s="272"/>
      <c r="K468" s="129"/>
    </row>
    <row r="469" spans="1:11" ht="29.25">
      <c r="A469" s="11">
        <v>54110</v>
      </c>
      <c r="B469" s="54" t="s">
        <v>596</v>
      </c>
      <c r="C469" s="55"/>
      <c r="D469" s="14" t="s">
        <v>18</v>
      </c>
      <c r="E469" s="14" t="s">
        <v>28</v>
      </c>
      <c r="F469" s="14" t="s">
        <v>27</v>
      </c>
      <c r="G469" s="17">
        <f>'JUNIO-18 '!I456</f>
        <v>240.85000000000002</v>
      </c>
      <c r="H469" s="51"/>
      <c r="I469" s="17">
        <f t="shared" si="8"/>
        <v>240.85000000000002</v>
      </c>
      <c r="J469" s="272"/>
      <c r="K469" s="129"/>
    </row>
    <row r="470" spans="1:11" ht="29.25">
      <c r="A470" s="11">
        <v>54111</v>
      </c>
      <c r="B470" s="54" t="s">
        <v>597</v>
      </c>
      <c r="C470" s="55"/>
      <c r="D470" s="14" t="s">
        <v>18</v>
      </c>
      <c r="E470" s="14" t="s">
        <v>28</v>
      </c>
      <c r="F470" s="14" t="s">
        <v>27</v>
      </c>
      <c r="G470" s="17">
        <f>'JUNIO-18 '!I457</f>
        <v>65</v>
      </c>
      <c r="H470" s="51"/>
      <c r="I470" s="17">
        <f t="shared" si="8"/>
        <v>65</v>
      </c>
      <c r="J470" s="128"/>
      <c r="K470" s="129"/>
    </row>
    <row r="471" spans="1:11" ht="29.25">
      <c r="A471" s="11">
        <v>54112</v>
      </c>
      <c r="B471" s="54" t="s">
        <v>598</v>
      </c>
      <c r="C471" s="55"/>
      <c r="D471" s="14" t="s">
        <v>18</v>
      </c>
      <c r="E471" s="14" t="s">
        <v>28</v>
      </c>
      <c r="F471" s="14" t="s">
        <v>27</v>
      </c>
      <c r="G471" s="17">
        <f>'JUNIO-18 '!I458</f>
        <v>490.64000000000033</v>
      </c>
      <c r="H471" s="51"/>
      <c r="I471" s="17">
        <f t="shared" si="8"/>
        <v>490.64000000000033</v>
      </c>
      <c r="J471" s="128"/>
      <c r="K471" s="129"/>
    </row>
    <row r="472" spans="1:11" ht="29.25">
      <c r="A472" s="11">
        <v>54118</v>
      </c>
      <c r="B472" s="54" t="s">
        <v>599</v>
      </c>
      <c r="C472" s="55"/>
      <c r="D472" s="14" t="s">
        <v>18</v>
      </c>
      <c r="E472" s="14" t="s">
        <v>28</v>
      </c>
      <c r="F472" s="14" t="s">
        <v>27</v>
      </c>
      <c r="G472" s="17">
        <f>'JUNIO-18 '!I459</f>
        <v>0</v>
      </c>
      <c r="H472" s="51"/>
      <c r="I472" s="17">
        <f t="shared" si="8"/>
        <v>0</v>
      </c>
      <c r="J472" s="142"/>
      <c r="K472" s="142"/>
    </row>
    <row r="473" spans="1:11" ht="29.25">
      <c r="A473" s="11">
        <v>54304</v>
      </c>
      <c r="B473" s="54" t="s">
        <v>600</v>
      </c>
      <c r="C473" s="55"/>
      <c r="D473" s="14" t="s">
        <v>18</v>
      </c>
      <c r="E473" s="14" t="s">
        <v>28</v>
      </c>
      <c r="F473" s="14" t="s">
        <v>27</v>
      </c>
      <c r="G473" s="17">
        <f>'JUNIO-18 '!I460</f>
        <v>0</v>
      </c>
      <c r="H473" s="51"/>
      <c r="I473" s="17">
        <f t="shared" si="8"/>
        <v>0</v>
      </c>
      <c r="J473" s="56"/>
      <c r="K473" s="237"/>
    </row>
    <row r="474" spans="1:11" ht="29.25">
      <c r="A474" s="11">
        <v>54313</v>
      </c>
      <c r="B474" s="54" t="s">
        <v>601</v>
      </c>
      <c r="C474" s="55"/>
      <c r="D474" s="14" t="s">
        <v>18</v>
      </c>
      <c r="E474" s="14" t="s">
        <v>28</v>
      </c>
      <c r="F474" s="14" t="s">
        <v>27</v>
      </c>
      <c r="G474" s="17">
        <f>'JUNIO-18 '!I461</f>
        <v>0</v>
      </c>
      <c r="H474" s="51"/>
      <c r="I474" s="17">
        <f t="shared" si="8"/>
        <v>0</v>
      </c>
      <c r="J474" s="56"/>
      <c r="K474" s="237"/>
    </row>
    <row r="475" spans="1:11" ht="57.75">
      <c r="A475" s="11">
        <v>54316</v>
      </c>
      <c r="B475" s="54" t="s">
        <v>1047</v>
      </c>
      <c r="C475" s="55"/>
      <c r="D475" s="14" t="s">
        <v>18</v>
      </c>
      <c r="E475" s="14" t="s">
        <v>28</v>
      </c>
      <c r="F475" s="14" t="s">
        <v>27</v>
      </c>
      <c r="G475" s="17">
        <f>'JUNIO-18 '!I462</f>
        <v>0</v>
      </c>
      <c r="H475" s="51"/>
      <c r="I475" s="17">
        <f t="shared" si="8"/>
        <v>0</v>
      </c>
      <c r="J475" s="137"/>
      <c r="K475" s="237"/>
    </row>
    <row r="476" spans="1:11" ht="29.25">
      <c r="A476" s="11">
        <v>54399</v>
      </c>
      <c r="B476" s="54" t="s">
        <v>602</v>
      </c>
      <c r="C476" s="13"/>
      <c r="D476" s="14" t="s">
        <v>18</v>
      </c>
      <c r="E476" s="14" t="s">
        <v>28</v>
      </c>
      <c r="F476" s="14" t="s">
        <v>27</v>
      </c>
      <c r="G476" s="17">
        <f>'JUNIO-18 '!I463</f>
        <v>0</v>
      </c>
      <c r="H476" s="51"/>
      <c r="I476" s="17">
        <f t="shared" si="8"/>
        <v>0</v>
      </c>
      <c r="J476" s="56"/>
      <c r="K476" s="300"/>
    </row>
    <row r="477" spans="1:11" ht="29.25">
      <c r="A477" s="11">
        <v>55603</v>
      </c>
      <c r="B477" s="54" t="s">
        <v>603</v>
      </c>
      <c r="C477" s="55"/>
      <c r="D477" s="14" t="s">
        <v>18</v>
      </c>
      <c r="E477" s="14" t="s">
        <v>28</v>
      </c>
      <c r="F477" s="14" t="s">
        <v>27</v>
      </c>
      <c r="G477" s="17">
        <f>'JUNIO-18 '!I464</f>
        <v>0</v>
      </c>
      <c r="H477" s="51"/>
      <c r="I477" s="17">
        <f t="shared" si="8"/>
        <v>0</v>
      </c>
      <c r="J477" s="56"/>
      <c r="K477" s="300"/>
    </row>
    <row r="478" spans="1:11" ht="102.75" customHeight="1">
      <c r="A478" s="141" t="s">
        <v>256</v>
      </c>
      <c r="B478" s="53" t="s">
        <v>982</v>
      </c>
      <c r="C478" s="13"/>
      <c r="D478" s="14"/>
      <c r="E478" s="14"/>
      <c r="F478" s="14"/>
      <c r="G478" s="17">
        <f>'JUNIO-18 '!I465</f>
        <v>0</v>
      </c>
      <c r="H478" s="51"/>
      <c r="I478" s="17"/>
      <c r="J478" s="56"/>
      <c r="K478" s="56"/>
    </row>
    <row r="479" spans="1:11" ht="29.25">
      <c r="A479" s="11">
        <v>51202</v>
      </c>
      <c r="B479" s="53" t="s">
        <v>605</v>
      </c>
      <c r="C479" s="13"/>
      <c r="D479" s="14" t="s">
        <v>18</v>
      </c>
      <c r="E479" s="14" t="s">
        <v>28</v>
      </c>
      <c r="F479" s="14" t="s">
        <v>27</v>
      </c>
      <c r="G479" s="17">
        <f>'JUNIO-18 '!I466</f>
        <v>0</v>
      </c>
      <c r="H479" s="51"/>
      <c r="I479" s="17">
        <f t="shared" si="8"/>
        <v>0</v>
      </c>
      <c r="J479" s="237"/>
      <c r="K479" s="333"/>
    </row>
    <row r="480" spans="1:11" ht="29.25">
      <c r="A480" s="11">
        <v>54110</v>
      </c>
      <c r="B480" s="53" t="s">
        <v>606</v>
      </c>
      <c r="C480" s="13"/>
      <c r="D480" s="14" t="s">
        <v>18</v>
      </c>
      <c r="E480" s="14" t="s">
        <v>28</v>
      </c>
      <c r="F480" s="14" t="s">
        <v>27</v>
      </c>
      <c r="G480" s="17">
        <f>'JUNIO-18 '!I467</f>
        <v>0</v>
      </c>
      <c r="H480" s="51"/>
      <c r="I480" s="17">
        <f t="shared" si="8"/>
        <v>0</v>
      </c>
      <c r="J480" s="237"/>
      <c r="K480" s="333"/>
    </row>
    <row r="481" spans="1:11" ht="30">
      <c r="A481" s="11">
        <v>54111</v>
      </c>
      <c r="B481" s="53" t="s">
        <v>607</v>
      </c>
      <c r="C481" s="13"/>
      <c r="D481" s="14" t="s">
        <v>18</v>
      </c>
      <c r="E481" s="14" t="s">
        <v>28</v>
      </c>
      <c r="F481" s="14" t="s">
        <v>27</v>
      </c>
      <c r="G481" s="17">
        <f>'JUNIO-18 '!I468</f>
        <v>0</v>
      </c>
      <c r="H481" s="212"/>
      <c r="I481" s="17">
        <f t="shared" si="8"/>
        <v>0</v>
      </c>
      <c r="J481" s="253"/>
      <c r="K481" s="333"/>
    </row>
    <row r="482" spans="1:11" ht="29.25">
      <c r="A482" s="11">
        <v>54112</v>
      </c>
      <c r="B482" s="53" t="s">
        <v>608</v>
      </c>
      <c r="C482" s="13"/>
      <c r="D482" s="14" t="s">
        <v>18</v>
      </c>
      <c r="E482" s="14" t="s">
        <v>28</v>
      </c>
      <c r="F482" s="14" t="s">
        <v>27</v>
      </c>
      <c r="G482" s="17">
        <f>'JUNIO-18 '!I469</f>
        <v>0</v>
      </c>
      <c r="H482" s="51"/>
      <c r="I482" s="17">
        <f t="shared" si="8"/>
        <v>0</v>
      </c>
      <c r="J482" s="237"/>
      <c r="K482" s="334"/>
    </row>
    <row r="483" spans="1:11" ht="29.25">
      <c r="A483" s="11">
        <v>54118</v>
      </c>
      <c r="B483" s="53" t="s">
        <v>609</v>
      </c>
      <c r="C483" s="13"/>
      <c r="D483" s="14" t="s">
        <v>18</v>
      </c>
      <c r="E483" s="14" t="s">
        <v>28</v>
      </c>
      <c r="F483" s="14" t="s">
        <v>27</v>
      </c>
      <c r="G483" s="17">
        <f>'JUNIO-18 '!I470</f>
        <v>0</v>
      </c>
      <c r="H483" s="51"/>
      <c r="I483" s="17">
        <f t="shared" si="8"/>
        <v>0</v>
      </c>
      <c r="J483" s="237"/>
      <c r="K483" s="333"/>
    </row>
    <row r="484" spans="1:11" ht="29.25">
      <c r="A484" s="11">
        <v>54304</v>
      </c>
      <c r="B484" s="53" t="s">
        <v>610</v>
      </c>
      <c r="C484" s="13"/>
      <c r="D484" s="14" t="s">
        <v>18</v>
      </c>
      <c r="E484" s="14" t="s">
        <v>28</v>
      </c>
      <c r="F484" s="14" t="s">
        <v>27</v>
      </c>
      <c r="G484" s="17">
        <f>'JUNIO-18 '!I471</f>
        <v>0</v>
      </c>
      <c r="H484" s="51"/>
      <c r="I484" s="17">
        <f t="shared" si="8"/>
        <v>0</v>
      </c>
      <c r="J484" s="56"/>
      <c r="K484" s="300"/>
    </row>
    <row r="485" spans="1:11" ht="29.25">
      <c r="A485" s="11">
        <v>54313</v>
      </c>
      <c r="B485" s="53" t="s">
        <v>611</v>
      </c>
      <c r="C485" s="13"/>
      <c r="D485" s="14" t="s">
        <v>18</v>
      </c>
      <c r="E485" s="14" t="s">
        <v>28</v>
      </c>
      <c r="F485" s="14" t="s">
        <v>27</v>
      </c>
      <c r="G485" s="17">
        <f>'JUNIO-18 '!I472</f>
        <v>0</v>
      </c>
      <c r="H485" s="51"/>
      <c r="I485" s="17">
        <f t="shared" si="8"/>
        <v>0</v>
      </c>
      <c r="J485" s="56"/>
      <c r="K485" s="300"/>
    </row>
    <row r="486" spans="1:11" ht="105">
      <c r="A486" s="141" t="s">
        <v>264</v>
      </c>
      <c r="B486" s="53" t="s">
        <v>981</v>
      </c>
      <c r="C486" s="13"/>
      <c r="D486" s="14"/>
      <c r="E486" s="14"/>
      <c r="F486" s="14"/>
      <c r="G486" s="17">
        <f>'JUNIO-18 '!I473</f>
        <v>0</v>
      </c>
      <c r="H486" s="51"/>
      <c r="I486" s="17"/>
      <c r="J486" s="56"/>
      <c r="K486" s="331"/>
    </row>
    <row r="487" spans="1:11" ht="29.25">
      <c r="A487" s="11">
        <v>51202</v>
      </c>
      <c r="B487" s="53" t="s">
        <v>613</v>
      </c>
      <c r="C487" s="13"/>
      <c r="D487" s="14" t="s">
        <v>18</v>
      </c>
      <c r="E487" s="14" t="s">
        <v>28</v>
      </c>
      <c r="F487" s="14" t="s">
        <v>27</v>
      </c>
      <c r="G487" s="17">
        <f>'JUNIO-18 '!I474</f>
        <v>0</v>
      </c>
      <c r="H487" s="51"/>
      <c r="I487" s="17">
        <f t="shared" si="8"/>
        <v>0</v>
      </c>
      <c r="J487" s="56"/>
      <c r="K487" s="335"/>
    </row>
    <row r="488" spans="1:11" ht="29.25">
      <c r="A488" s="11">
        <v>54110</v>
      </c>
      <c r="B488" s="53" t="s">
        <v>614</v>
      </c>
      <c r="C488" s="13"/>
      <c r="D488" s="14" t="s">
        <v>18</v>
      </c>
      <c r="E488" s="14" t="s">
        <v>28</v>
      </c>
      <c r="F488" s="14" t="s">
        <v>27</v>
      </c>
      <c r="G488" s="17">
        <f>'JUNIO-18 '!I475</f>
        <v>0</v>
      </c>
      <c r="H488" s="51"/>
      <c r="I488" s="17">
        <f t="shared" si="8"/>
        <v>0</v>
      </c>
      <c r="J488" s="56"/>
      <c r="K488" s="336"/>
    </row>
    <row r="489" spans="1:11" ht="43.5">
      <c r="A489" s="11">
        <v>54111</v>
      </c>
      <c r="B489" s="53" t="s">
        <v>615</v>
      </c>
      <c r="C489" s="13"/>
      <c r="D489" s="14" t="s">
        <v>18</v>
      </c>
      <c r="E489" s="14" t="s">
        <v>28</v>
      </c>
      <c r="F489" s="14" t="s">
        <v>27</v>
      </c>
      <c r="G489" s="17">
        <f>'JUNIO-18 '!I476</f>
        <v>0</v>
      </c>
      <c r="H489" s="51"/>
      <c r="I489" s="17">
        <f t="shared" si="8"/>
        <v>0</v>
      </c>
      <c r="J489" s="239"/>
      <c r="K489" s="333"/>
    </row>
    <row r="490" spans="1:11" ht="43.5">
      <c r="A490" s="11">
        <v>54112</v>
      </c>
      <c r="B490" s="53" t="s">
        <v>616</v>
      </c>
      <c r="C490" s="13"/>
      <c r="D490" s="14" t="s">
        <v>18</v>
      </c>
      <c r="E490" s="14" t="s">
        <v>28</v>
      </c>
      <c r="F490" s="14" t="s">
        <v>27</v>
      </c>
      <c r="G490" s="17">
        <f>'JUNIO-18 '!I477</f>
        <v>0</v>
      </c>
      <c r="H490" s="51"/>
      <c r="I490" s="17">
        <f t="shared" si="8"/>
        <v>0</v>
      </c>
      <c r="J490" s="56"/>
      <c r="K490" s="336"/>
    </row>
    <row r="491" spans="1:11" ht="43.5">
      <c r="A491" s="11">
        <v>54118</v>
      </c>
      <c r="B491" s="53" t="s">
        <v>617</v>
      </c>
      <c r="C491" s="13"/>
      <c r="D491" s="14" t="s">
        <v>18</v>
      </c>
      <c r="E491" s="14" t="s">
        <v>28</v>
      </c>
      <c r="F491" s="14" t="s">
        <v>27</v>
      </c>
      <c r="G491" s="17">
        <f>'JUNIO-18 '!I478</f>
        <v>-9.9920072216264089E-16</v>
      </c>
      <c r="H491" s="51"/>
      <c r="I491" s="17">
        <f t="shared" si="8"/>
        <v>-9.9920072216264089E-16</v>
      </c>
      <c r="J491" s="56"/>
      <c r="K491" s="301"/>
    </row>
    <row r="492" spans="1:11" ht="43.5">
      <c r="A492" s="11">
        <v>54304</v>
      </c>
      <c r="B492" s="53" t="s">
        <v>618</v>
      </c>
      <c r="C492" s="13"/>
      <c r="D492" s="14" t="s">
        <v>18</v>
      </c>
      <c r="E492" s="14" t="s">
        <v>28</v>
      </c>
      <c r="F492" s="14" t="s">
        <v>27</v>
      </c>
      <c r="G492" s="17">
        <f>'JUNIO-18 '!I479</f>
        <v>0</v>
      </c>
      <c r="H492" s="51"/>
      <c r="I492" s="17">
        <f t="shared" si="8"/>
        <v>0</v>
      </c>
      <c r="J492" s="56"/>
      <c r="K492" s="142"/>
    </row>
    <row r="493" spans="1:11" ht="43.5">
      <c r="A493" s="11">
        <v>54313</v>
      </c>
      <c r="B493" s="53" t="s">
        <v>619</v>
      </c>
      <c r="C493" s="13"/>
      <c r="D493" s="14" t="s">
        <v>18</v>
      </c>
      <c r="E493" s="14" t="s">
        <v>28</v>
      </c>
      <c r="F493" s="14" t="s">
        <v>27</v>
      </c>
      <c r="G493" s="17">
        <f>'JUNIO-18 '!I480</f>
        <v>0</v>
      </c>
      <c r="H493" s="51"/>
      <c r="I493" s="17">
        <f t="shared" si="8"/>
        <v>0</v>
      </c>
      <c r="J493" s="237"/>
      <c r="K493" s="137"/>
    </row>
    <row r="494" spans="1:11" ht="105">
      <c r="A494" s="144" t="s">
        <v>269</v>
      </c>
      <c r="B494" s="53" t="s">
        <v>983</v>
      </c>
      <c r="C494" s="13"/>
      <c r="D494" s="14"/>
      <c r="E494" s="14"/>
      <c r="F494" s="14"/>
      <c r="G494" s="17">
        <f>'JUNIO-18 '!I481</f>
        <v>0</v>
      </c>
      <c r="H494" s="51"/>
      <c r="I494" s="17"/>
      <c r="J494" s="56"/>
      <c r="K494" s="56"/>
    </row>
    <row r="495" spans="1:11" ht="29.25">
      <c r="A495" s="11">
        <v>51202</v>
      </c>
      <c r="B495" s="54" t="s">
        <v>620</v>
      </c>
      <c r="C495" s="13"/>
      <c r="D495" s="14" t="s">
        <v>18</v>
      </c>
      <c r="E495" s="14" t="s">
        <v>28</v>
      </c>
      <c r="F495" s="14" t="s">
        <v>27</v>
      </c>
      <c r="G495" s="17">
        <f>'JUNIO-18 '!I482</f>
        <v>0</v>
      </c>
      <c r="H495" s="51"/>
      <c r="I495" s="17">
        <f t="shared" si="8"/>
        <v>0</v>
      </c>
      <c r="J495" s="56"/>
      <c r="K495" s="300"/>
    </row>
    <row r="496" spans="1:11" ht="35.25" customHeight="1">
      <c r="A496" s="11">
        <v>54110</v>
      </c>
      <c r="B496" s="54" t="s">
        <v>622</v>
      </c>
      <c r="C496" s="13"/>
      <c r="D496" s="14" t="s">
        <v>18</v>
      </c>
      <c r="E496" s="14" t="s">
        <v>28</v>
      </c>
      <c r="F496" s="14" t="s">
        <v>27</v>
      </c>
      <c r="G496" s="17">
        <f>'JUNIO-18 '!I483</f>
        <v>0</v>
      </c>
      <c r="H496" s="51"/>
      <c r="I496" s="17">
        <f t="shared" si="8"/>
        <v>0</v>
      </c>
      <c r="J496" s="56"/>
      <c r="K496" s="300"/>
    </row>
    <row r="497" spans="1:11" ht="43.5">
      <c r="A497" s="11">
        <v>54111</v>
      </c>
      <c r="B497" s="54" t="s">
        <v>621</v>
      </c>
      <c r="C497" s="13"/>
      <c r="D497" s="14" t="s">
        <v>18</v>
      </c>
      <c r="E497" s="14" t="s">
        <v>28</v>
      </c>
      <c r="F497" s="14" t="s">
        <v>27</v>
      </c>
      <c r="G497" s="17">
        <f>'JUNIO-18 '!I484</f>
        <v>0</v>
      </c>
      <c r="H497" s="51"/>
      <c r="I497" s="17">
        <f t="shared" si="8"/>
        <v>0</v>
      </c>
      <c r="J497" s="56"/>
      <c r="K497" s="300"/>
    </row>
    <row r="498" spans="1:11" ht="43.5">
      <c r="A498" s="11">
        <v>54112</v>
      </c>
      <c r="B498" s="54" t="s">
        <v>623</v>
      </c>
      <c r="C498" s="13"/>
      <c r="D498" s="14" t="s">
        <v>18</v>
      </c>
      <c r="E498" s="14" t="s">
        <v>28</v>
      </c>
      <c r="F498" s="14" t="s">
        <v>27</v>
      </c>
      <c r="G498" s="17">
        <f>'JUNIO-18 '!I485</f>
        <v>0</v>
      </c>
      <c r="H498" s="51"/>
      <c r="I498" s="17">
        <f t="shared" si="8"/>
        <v>0</v>
      </c>
      <c r="J498" s="56"/>
      <c r="K498" s="300"/>
    </row>
    <row r="499" spans="1:11" ht="43.5">
      <c r="A499" s="11">
        <v>54118</v>
      </c>
      <c r="B499" s="54" t="s">
        <v>624</v>
      </c>
      <c r="C499" s="13"/>
      <c r="D499" s="14" t="s">
        <v>18</v>
      </c>
      <c r="E499" s="14" t="s">
        <v>28</v>
      </c>
      <c r="F499" s="14" t="s">
        <v>27</v>
      </c>
      <c r="G499" s="17">
        <f>'JUNIO-18 '!I486</f>
        <v>0</v>
      </c>
      <c r="H499" s="51"/>
      <c r="I499" s="17">
        <f t="shared" si="8"/>
        <v>0</v>
      </c>
      <c r="J499" s="56"/>
      <c r="K499" s="300"/>
    </row>
    <row r="500" spans="1:11" ht="43.5">
      <c r="A500" s="11">
        <v>54304</v>
      </c>
      <c r="B500" s="54" t="s">
        <v>625</v>
      </c>
      <c r="C500" s="13"/>
      <c r="D500" s="14" t="s">
        <v>18</v>
      </c>
      <c r="E500" s="14" t="s">
        <v>28</v>
      </c>
      <c r="F500" s="14" t="s">
        <v>27</v>
      </c>
      <c r="G500" s="17">
        <f>'JUNIO-18 '!I487</f>
        <v>0</v>
      </c>
      <c r="H500" s="51"/>
      <c r="I500" s="17">
        <f t="shared" si="8"/>
        <v>0</v>
      </c>
      <c r="J500" s="56"/>
      <c r="K500" s="300"/>
    </row>
    <row r="501" spans="1:11" ht="43.5">
      <c r="A501" s="11">
        <v>54313</v>
      </c>
      <c r="B501" s="54" t="s">
        <v>626</v>
      </c>
      <c r="C501" s="13"/>
      <c r="D501" s="14" t="s">
        <v>18</v>
      </c>
      <c r="E501" s="14" t="s">
        <v>28</v>
      </c>
      <c r="F501" s="14" t="s">
        <v>27</v>
      </c>
      <c r="G501" s="17">
        <f>'JUNIO-18 '!I488</f>
        <v>0</v>
      </c>
      <c r="H501" s="51"/>
      <c r="I501" s="17">
        <f t="shared" si="8"/>
        <v>0</v>
      </c>
      <c r="J501" s="56"/>
      <c r="K501" s="300"/>
    </row>
    <row r="502" spans="1:11" ht="105">
      <c r="A502" s="144" t="s">
        <v>289</v>
      </c>
      <c r="B502" s="53" t="s">
        <v>984</v>
      </c>
      <c r="C502" s="13"/>
      <c r="D502" s="14"/>
      <c r="E502" s="14"/>
      <c r="F502" s="14"/>
      <c r="G502" s="17">
        <f>'JUNIO-18 '!I489</f>
        <v>0</v>
      </c>
      <c r="H502" s="51"/>
      <c r="I502" s="17"/>
      <c r="J502" s="56"/>
      <c r="K502" s="56"/>
    </row>
    <row r="503" spans="1:11" ht="29.25">
      <c r="A503" s="11">
        <v>51202</v>
      </c>
      <c r="B503" s="53" t="s">
        <v>628</v>
      </c>
      <c r="C503" s="13"/>
      <c r="D503" s="14" t="s">
        <v>18</v>
      </c>
      <c r="E503" s="14" t="s">
        <v>28</v>
      </c>
      <c r="F503" s="14" t="s">
        <v>27</v>
      </c>
      <c r="G503" s="17">
        <f>'JUNIO-18 '!I490</f>
        <v>0</v>
      </c>
      <c r="H503" s="108"/>
      <c r="I503" s="17">
        <f t="shared" si="8"/>
        <v>0</v>
      </c>
      <c r="J503" s="56"/>
      <c r="K503" s="142"/>
    </row>
    <row r="504" spans="1:11" ht="29.25">
      <c r="A504" s="11">
        <v>54110</v>
      </c>
      <c r="B504" s="53" t="s">
        <v>629</v>
      </c>
      <c r="C504" s="13"/>
      <c r="D504" s="14" t="s">
        <v>18</v>
      </c>
      <c r="E504" s="14" t="s">
        <v>28</v>
      </c>
      <c r="F504" s="14" t="s">
        <v>27</v>
      </c>
      <c r="G504" s="17">
        <f>'JUNIO-18 '!I491</f>
        <v>0</v>
      </c>
      <c r="H504" s="51"/>
      <c r="I504" s="17">
        <f t="shared" si="8"/>
        <v>0</v>
      </c>
      <c r="J504" s="56"/>
      <c r="K504" s="142"/>
    </row>
    <row r="505" spans="1:11" ht="29.25">
      <c r="A505" s="11">
        <v>54111</v>
      </c>
      <c r="B505" s="53" t="s">
        <v>630</v>
      </c>
      <c r="C505" s="13"/>
      <c r="D505" s="14" t="s">
        <v>18</v>
      </c>
      <c r="E505" s="14" t="s">
        <v>28</v>
      </c>
      <c r="F505" s="14" t="s">
        <v>27</v>
      </c>
      <c r="G505" s="17">
        <f>'JUNIO-18 '!I492</f>
        <v>0</v>
      </c>
      <c r="H505" s="51"/>
      <c r="I505" s="17">
        <f t="shared" ref="I505:I568" si="9">G505-H505+J505-K505</f>
        <v>0</v>
      </c>
      <c r="J505" s="142"/>
      <c r="K505" s="142"/>
    </row>
    <row r="506" spans="1:11" ht="29.25">
      <c r="A506" s="11">
        <v>54112</v>
      </c>
      <c r="B506" s="53" t="s">
        <v>631</v>
      </c>
      <c r="C506" s="13"/>
      <c r="D506" s="14" t="s">
        <v>18</v>
      </c>
      <c r="E506" s="14" t="s">
        <v>28</v>
      </c>
      <c r="F506" s="14" t="s">
        <v>27</v>
      </c>
      <c r="G506" s="17">
        <f>'JUNIO-18 '!I493</f>
        <v>0</v>
      </c>
      <c r="H506" s="51"/>
      <c r="I506" s="17">
        <f t="shared" si="9"/>
        <v>0</v>
      </c>
      <c r="J506" s="56"/>
      <c r="K506" s="142"/>
    </row>
    <row r="507" spans="1:11" ht="29.25">
      <c r="A507" s="11">
        <v>54118</v>
      </c>
      <c r="B507" s="53" t="s">
        <v>632</v>
      </c>
      <c r="C507" s="13"/>
      <c r="D507" s="14" t="s">
        <v>18</v>
      </c>
      <c r="E507" s="14" t="s">
        <v>28</v>
      </c>
      <c r="F507" s="14" t="s">
        <v>27</v>
      </c>
      <c r="G507" s="17">
        <f>'JUNIO-18 '!I494</f>
        <v>0</v>
      </c>
      <c r="H507" s="51"/>
      <c r="I507" s="17">
        <f t="shared" si="9"/>
        <v>0</v>
      </c>
      <c r="J507" s="56"/>
      <c r="K507" s="137"/>
    </row>
    <row r="508" spans="1:11" ht="29.25">
      <c r="A508" s="11">
        <v>54304</v>
      </c>
      <c r="B508" s="53" t="s">
        <v>633</v>
      </c>
      <c r="C508" s="13"/>
      <c r="D508" s="14" t="s">
        <v>18</v>
      </c>
      <c r="E508" s="14" t="s">
        <v>28</v>
      </c>
      <c r="F508" s="14" t="s">
        <v>27</v>
      </c>
      <c r="G508" s="17">
        <f>'JUNIO-18 '!I495</f>
        <v>0</v>
      </c>
      <c r="H508" s="51"/>
      <c r="I508" s="17">
        <f t="shared" si="9"/>
        <v>0</v>
      </c>
      <c r="J508" s="56"/>
      <c r="K508" s="137"/>
    </row>
    <row r="509" spans="1:11" ht="29.25">
      <c r="A509" s="11">
        <v>54313</v>
      </c>
      <c r="B509" s="53" t="s">
        <v>634</v>
      </c>
      <c r="C509" s="13"/>
      <c r="D509" s="14" t="s">
        <v>18</v>
      </c>
      <c r="E509" s="14" t="s">
        <v>28</v>
      </c>
      <c r="F509" s="14" t="s">
        <v>27</v>
      </c>
      <c r="G509" s="17">
        <f>'JUNIO-18 '!I496</f>
        <v>0</v>
      </c>
      <c r="H509" s="51"/>
      <c r="I509" s="17">
        <f t="shared" si="9"/>
        <v>0</v>
      </c>
      <c r="J509" s="56"/>
      <c r="K509" s="142"/>
    </row>
    <row r="510" spans="1:11" ht="90">
      <c r="A510" s="141" t="s">
        <v>300</v>
      </c>
      <c r="B510" s="53" t="s">
        <v>635</v>
      </c>
      <c r="C510" s="13"/>
      <c r="D510" s="14"/>
      <c r="E510" s="14"/>
      <c r="F510" s="14"/>
      <c r="G510" s="17">
        <f>'JUNIO-18 '!I497</f>
        <v>0</v>
      </c>
      <c r="H510" s="51"/>
      <c r="I510" s="17"/>
      <c r="J510" s="56"/>
      <c r="K510" s="56"/>
    </row>
    <row r="511" spans="1:11" ht="29.25">
      <c r="A511" s="11">
        <v>51202</v>
      </c>
      <c r="B511" s="53" t="s">
        <v>636</v>
      </c>
      <c r="C511" s="13"/>
      <c r="D511" s="14" t="s">
        <v>18</v>
      </c>
      <c r="E511" s="14" t="s">
        <v>28</v>
      </c>
      <c r="F511" s="14" t="s">
        <v>27</v>
      </c>
      <c r="G511" s="17">
        <f>'JUNIO-18 '!I498</f>
        <v>0</v>
      </c>
      <c r="H511" s="51"/>
      <c r="I511" s="17">
        <f t="shared" si="9"/>
        <v>0</v>
      </c>
      <c r="J511" s="56"/>
      <c r="K511" s="142"/>
    </row>
    <row r="512" spans="1:11" ht="29.25">
      <c r="A512" s="11">
        <v>54110</v>
      </c>
      <c r="B512" s="53" t="s">
        <v>637</v>
      </c>
      <c r="C512" s="13"/>
      <c r="D512" s="14" t="s">
        <v>18</v>
      </c>
      <c r="E512" s="14" t="s">
        <v>28</v>
      </c>
      <c r="F512" s="14" t="s">
        <v>27</v>
      </c>
      <c r="G512" s="17">
        <f>'JUNIO-18 '!I499</f>
        <v>0</v>
      </c>
      <c r="H512" s="51"/>
      <c r="I512" s="17">
        <f t="shared" si="9"/>
        <v>0</v>
      </c>
      <c r="J512" s="56"/>
      <c r="K512" s="142"/>
    </row>
    <row r="513" spans="1:11" ht="29.25">
      <c r="A513" s="11">
        <v>54111</v>
      </c>
      <c r="B513" s="53" t="s">
        <v>638</v>
      </c>
      <c r="C513" s="13"/>
      <c r="D513" s="14" t="s">
        <v>18</v>
      </c>
      <c r="E513" s="14" t="s">
        <v>28</v>
      </c>
      <c r="F513" s="14" t="s">
        <v>27</v>
      </c>
      <c r="G513" s="17">
        <f>'JUNIO-18 '!I500</f>
        <v>1.8207657603852567E-13</v>
      </c>
      <c r="H513" s="211"/>
      <c r="I513" s="17">
        <f t="shared" si="9"/>
        <v>1.8207657603852567E-13</v>
      </c>
      <c r="J513" s="142"/>
      <c r="K513" s="137"/>
    </row>
    <row r="514" spans="1:11" ht="29.25">
      <c r="A514" s="11">
        <v>54304</v>
      </c>
      <c r="B514" s="53" t="s">
        <v>639</v>
      </c>
      <c r="C514" s="55"/>
      <c r="D514" s="14" t="s">
        <v>18</v>
      </c>
      <c r="E514" s="14" t="s">
        <v>28</v>
      </c>
      <c r="F514" s="14" t="s">
        <v>27</v>
      </c>
      <c r="G514" s="17">
        <f>'JUNIO-18 '!I501</f>
        <v>0</v>
      </c>
      <c r="H514" s="51"/>
      <c r="I514" s="17">
        <f t="shared" si="9"/>
        <v>0</v>
      </c>
      <c r="J514" s="56"/>
      <c r="K514" s="142"/>
    </row>
    <row r="515" spans="1:11" ht="38.25" customHeight="1">
      <c r="A515" s="11">
        <v>54313</v>
      </c>
      <c r="B515" s="53" t="s">
        <v>640</v>
      </c>
      <c r="C515" s="60"/>
      <c r="D515" s="14" t="s">
        <v>18</v>
      </c>
      <c r="E515" s="14" t="s">
        <v>28</v>
      </c>
      <c r="F515" s="14" t="s">
        <v>27</v>
      </c>
      <c r="G515" s="17">
        <f>'JUNIO-18 '!I502</f>
        <v>0</v>
      </c>
      <c r="H515" s="51"/>
      <c r="I515" s="17">
        <f t="shared" si="9"/>
        <v>0</v>
      </c>
      <c r="J515" s="56"/>
      <c r="K515" s="142"/>
    </row>
    <row r="516" spans="1:11" ht="91.5" customHeight="1">
      <c r="A516" s="141" t="s">
        <v>316</v>
      </c>
      <c r="B516" s="53" t="s">
        <v>641</v>
      </c>
      <c r="C516" s="60" t="s">
        <v>1013</v>
      </c>
      <c r="D516" s="14"/>
      <c r="E516" s="14"/>
      <c r="F516" s="14"/>
      <c r="G516" s="17">
        <f>'JUNIO-18 '!I503</f>
        <v>0</v>
      </c>
      <c r="H516" s="51"/>
      <c r="I516" s="17"/>
      <c r="J516" s="56"/>
      <c r="K516" s="56"/>
    </row>
    <row r="517" spans="1:11" ht="38.25" customHeight="1">
      <c r="A517" s="11">
        <v>51202</v>
      </c>
      <c r="B517" s="53" t="s">
        <v>642</v>
      </c>
      <c r="C517" s="60"/>
      <c r="D517" s="14" t="s">
        <v>18</v>
      </c>
      <c r="E517" s="14" t="s">
        <v>28</v>
      </c>
      <c r="F517" s="14" t="s">
        <v>27</v>
      </c>
      <c r="G517" s="17">
        <f>'JUNIO-18 '!I504</f>
        <v>7.2830630415410269E-14</v>
      </c>
      <c r="H517" s="51"/>
      <c r="I517" s="17">
        <f t="shared" si="9"/>
        <v>7.2830630415410269E-14</v>
      </c>
      <c r="J517" s="56"/>
      <c r="K517" s="142"/>
    </row>
    <row r="518" spans="1:11" ht="38.25" customHeight="1">
      <c r="A518" s="11">
        <v>54110</v>
      </c>
      <c r="B518" s="53" t="s">
        <v>643</v>
      </c>
      <c r="C518" s="60"/>
      <c r="D518" s="14" t="s">
        <v>18</v>
      </c>
      <c r="E518" s="14" t="s">
        <v>28</v>
      </c>
      <c r="F518" s="14" t="s">
        <v>27</v>
      </c>
      <c r="G518" s="17">
        <f>'JUNIO-18 '!I505</f>
        <v>0</v>
      </c>
      <c r="H518" s="51"/>
      <c r="I518" s="17">
        <f t="shared" si="9"/>
        <v>0</v>
      </c>
      <c r="J518" s="56"/>
      <c r="K518" s="142"/>
    </row>
    <row r="519" spans="1:11" ht="38.25" customHeight="1">
      <c r="A519" s="11">
        <v>54111</v>
      </c>
      <c r="B519" s="53" t="s">
        <v>644</v>
      </c>
      <c r="C519" s="60"/>
      <c r="D519" s="14" t="s">
        <v>18</v>
      </c>
      <c r="E519" s="14" t="s">
        <v>28</v>
      </c>
      <c r="F519" s="14" t="s">
        <v>27</v>
      </c>
      <c r="G519" s="17">
        <f>'JUNIO-18 '!I506</f>
        <v>2.2737367544323206E-13</v>
      </c>
      <c r="H519" s="51"/>
      <c r="I519" s="17">
        <f t="shared" si="9"/>
        <v>2.2737367544323206E-13</v>
      </c>
      <c r="J519" s="137"/>
      <c r="K519" s="142"/>
    </row>
    <row r="520" spans="1:11" ht="38.25" customHeight="1">
      <c r="A520" s="11">
        <v>54304</v>
      </c>
      <c r="B520" s="53" t="s">
        <v>645</v>
      </c>
      <c r="C520" s="60"/>
      <c r="D520" s="14" t="s">
        <v>18</v>
      </c>
      <c r="E520" s="14" t="s">
        <v>28</v>
      </c>
      <c r="F520" s="14" t="s">
        <v>27</v>
      </c>
      <c r="G520" s="17">
        <f>'JUNIO-18 '!I507</f>
        <v>0</v>
      </c>
      <c r="H520" s="51"/>
      <c r="I520" s="17">
        <f t="shared" si="9"/>
        <v>0</v>
      </c>
      <c r="J520" s="56"/>
      <c r="K520" s="142"/>
    </row>
    <row r="521" spans="1:11" ht="38.25" customHeight="1">
      <c r="A521" s="11">
        <v>54313</v>
      </c>
      <c r="B521" s="53" t="s">
        <v>646</v>
      </c>
      <c r="C521" s="60"/>
      <c r="D521" s="14" t="s">
        <v>18</v>
      </c>
      <c r="E521" s="14" t="s">
        <v>28</v>
      </c>
      <c r="F521" s="14" t="s">
        <v>27</v>
      </c>
      <c r="G521" s="17">
        <f>'JUNIO-18 '!I508</f>
        <v>0</v>
      </c>
      <c r="H521" s="51"/>
      <c r="I521" s="17">
        <f t="shared" si="9"/>
        <v>0</v>
      </c>
      <c r="J521" s="56"/>
      <c r="K521" s="142"/>
    </row>
    <row r="522" spans="1:11" ht="99" customHeight="1">
      <c r="A522" s="240" t="s">
        <v>326</v>
      </c>
      <c r="B522" s="53" t="s">
        <v>647</v>
      </c>
      <c r="C522" s="345" t="s">
        <v>1106</v>
      </c>
      <c r="D522" s="14"/>
      <c r="E522" s="14"/>
      <c r="F522" s="14"/>
      <c r="G522" s="17">
        <f>'JUNIO-18 '!I509</f>
        <v>0</v>
      </c>
      <c r="H522" s="51"/>
      <c r="I522" s="17"/>
      <c r="J522" s="56"/>
      <c r="K522" s="56"/>
    </row>
    <row r="523" spans="1:11" ht="38.25" customHeight="1">
      <c r="A523" s="11">
        <v>51202</v>
      </c>
      <c r="B523" s="53" t="s">
        <v>648</v>
      </c>
      <c r="C523" s="60"/>
      <c r="D523" s="14" t="s">
        <v>18</v>
      </c>
      <c r="E523" s="14" t="s">
        <v>28</v>
      </c>
      <c r="F523" s="14" t="s">
        <v>27</v>
      </c>
      <c r="G523" s="17">
        <f>'JUNIO-18 '!I510</f>
        <v>0</v>
      </c>
      <c r="H523" s="51"/>
      <c r="I523" s="17">
        <f t="shared" si="9"/>
        <v>0</v>
      </c>
      <c r="J523" s="301"/>
      <c r="K523" s="237"/>
    </row>
    <row r="524" spans="1:11" ht="38.25" customHeight="1">
      <c r="A524" s="11">
        <v>54110</v>
      </c>
      <c r="B524" s="53" t="s">
        <v>649</v>
      </c>
      <c r="C524" s="60"/>
      <c r="D524" s="14" t="s">
        <v>18</v>
      </c>
      <c r="E524" s="14" t="s">
        <v>28</v>
      </c>
      <c r="F524" s="14" t="s">
        <v>27</v>
      </c>
      <c r="G524" s="17">
        <f>'JUNIO-18 '!I511</f>
        <v>0</v>
      </c>
      <c r="H524" s="51"/>
      <c r="I524" s="17">
        <f t="shared" si="9"/>
        <v>0</v>
      </c>
      <c r="J524" s="237"/>
      <c r="K524" s="237"/>
    </row>
    <row r="525" spans="1:11" ht="38.25" customHeight="1">
      <c r="A525" s="11">
        <v>54111</v>
      </c>
      <c r="B525" s="53" t="s">
        <v>650</v>
      </c>
      <c r="C525" s="60" t="s">
        <v>1107</v>
      </c>
      <c r="D525" s="14" t="s">
        <v>18</v>
      </c>
      <c r="E525" s="14" t="s">
        <v>28</v>
      </c>
      <c r="F525" s="14" t="s">
        <v>27</v>
      </c>
      <c r="G525" s="17">
        <f>'JUNIO-18 '!I512</f>
        <v>0</v>
      </c>
      <c r="H525" s="51"/>
      <c r="I525" s="134">
        <f t="shared" si="9"/>
        <v>0</v>
      </c>
      <c r="J525" s="346"/>
      <c r="K525" s="237"/>
    </row>
    <row r="526" spans="1:11" ht="29.25">
      <c r="A526" s="11">
        <v>54112</v>
      </c>
      <c r="B526" s="53" t="s">
        <v>651</v>
      </c>
      <c r="C526" s="13"/>
      <c r="D526" s="14" t="s">
        <v>18</v>
      </c>
      <c r="E526" s="14" t="s">
        <v>28</v>
      </c>
      <c r="F526" s="14" t="s">
        <v>27</v>
      </c>
      <c r="G526" s="17">
        <f>'JUNIO-18 '!I513</f>
        <v>0</v>
      </c>
      <c r="H526" s="51"/>
      <c r="I526" s="17">
        <f t="shared" si="9"/>
        <v>0</v>
      </c>
      <c r="J526" s="237"/>
      <c r="K526" s="237"/>
    </row>
    <row r="527" spans="1:11" ht="29.25">
      <c r="A527" s="11">
        <v>54118</v>
      </c>
      <c r="B527" s="53" t="s">
        <v>652</v>
      </c>
      <c r="C527" s="13"/>
      <c r="D527" s="14" t="s">
        <v>18</v>
      </c>
      <c r="E527" s="14" t="s">
        <v>28</v>
      </c>
      <c r="F527" s="14" t="s">
        <v>27</v>
      </c>
      <c r="G527" s="17">
        <f>'JUNIO-18 '!I514</f>
        <v>0</v>
      </c>
      <c r="H527" s="51"/>
      <c r="I527" s="17">
        <f t="shared" si="9"/>
        <v>0</v>
      </c>
      <c r="J527" s="237"/>
      <c r="K527" s="237"/>
    </row>
    <row r="528" spans="1:11" ht="29.25">
      <c r="A528" s="11">
        <v>54304</v>
      </c>
      <c r="B528" s="53" t="s">
        <v>653</v>
      </c>
      <c r="C528" s="13"/>
      <c r="D528" s="14" t="s">
        <v>18</v>
      </c>
      <c r="E528" s="14" t="s">
        <v>28</v>
      </c>
      <c r="F528" s="14" t="s">
        <v>27</v>
      </c>
      <c r="G528" s="17">
        <f>'JUNIO-18 '!I515</f>
        <v>0</v>
      </c>
      <c r="H528" s="51"/>
      <c r="I528" s="17">
        <f t="shared" si="9"/>
        <v>0</v>
      </c>
      <c r="J528" s="237"/>
      <c r="K528" s="237"/>
    </row>
    <row r="529" spans="1:11" ht="29.25">
      <c r="A529" s="11">
        <v>54313</v>
      </c>
      <c r="B529" s="53" t="s">
        <v>654</v>
      </c>
      <c r="C529" s="13"/>
      <c r="D529" s="14" t="s">
        <v>18</v>
      </c>
      <c r="E529" s="14" t="s">
        <v>28</v>
      </c>
      <c r="F529" s="14" t="s">
        <v>27</v>
      </c>
      <c r="G529" s="17">
        <f>'JUNIO-18 '!I516</f>
        <v>0</v>
      </c>
      <c r="H529" s="51"/>
      <c r="I529" s="17">
        <f t="shared" si="9"/>
        <v>0</v>
      </c>
      <c r="J529" s="237"/>
      <c r="K529" s="346"/>
    </row>
    <row r="530" spans="1:11" ht="29.25">
      <c r="A530" s="11">
        <v>54399</v>
      </c>
      <c r="B530" s="53" t="s">
        <v>655</v>
      </c>
      <c r="C530" s="13"/>
      <c r="D530" s="14" t="s">
        <v>18</v>
      </c>
      <c r="E530" s="14" t="s">
        <v>28</v>
      </c>
      <c r="F530" s="14" t="s">
        <v>27</v>
      </c>
      <c r="G530" s="17">
        <f>'JUNIO-18 '!I517</f>
        <v>0</v>
      </c>
      <c r="H530" s="51"/>
      <c r="I530" s="17">
        <f t="shared" si="9"/>
        <v>0</v>
      </c>
      <c r="J530" s="237"/>
      <c r="K530" s="237"/>
    </row>
    <row r="531" spans="1:11" ht="75">
      <c r="A531" s="141" t="s">
        <v>338</v>
      </c>
      <c r="B531" s="53" t="s">
        <v>656</v>
      </c>
      <c r="C531" s="13"/>
      <c r="D531" s="14"/>
      <c r="E531" s="14"/>
      <c r="F531" s="14"/>
      <c r="G531" s="17">
        <f>'JUNIO-18 '!I518</f>
        <v>0</v>
      </c>
      <c r="H531" s="51"/>
      <c r="I531" s="17"/>
      <c r="J531" s="56"/>
      <c r="K531" s="56"/>
    </row>
    <row r="532" spans="1:11" ht="29.25">
      <c r="A532" s="11">
        <v>51202</v>
      </c>
      <c r="B532" s="54" t="s">
        <v>657</v>
      </c>
      <c r="C532" s="13"/>
      <c r="D532" s="14" t="s">
        <v>18</v>
      </c>
      <c r="E532" s="14" t="s">
        <v>28</v>
      </c>
      <c r="F532" s="14" t="s">
        <v>27</v>
      </c>
      <c r="G532" s="17">
        <f>'JUNIO-18 '!I519</f>
        <v>0</v>
      </c>
      <c r="H532" s="51"/>
      <c r="I532" s="17">
        <f t="shared" si="9"/>
        <v>0</v>
      </c>
      <c r="J532" s="56"/>
      <c r="K532" s="137"/>
    </row>
    <row r="533" spans="1:11" ht="29.25">
      <c r="A533" s="11">
        <v>54110</v>
      </c>
      <c r="B533" s="54" t="s">
        <v>658</v>
      </c>
      <c r="C533" s="13"/>
      <c r="D533" s="14" t="s">
        <v>18</v>
      </c>
      <c r="E533" s="14" t="s">
        <v>28</v>
      </c>
      <c r="F533" s="14" t="s">
        <v>27</v>
      </c>
      <c r="G533" s="17">
        <f>'JUNIO-18 '!I520</f>
        <v>0</v>
      </c>
      <c r="H533" s="51"/>
      <c r="I533" s="17">
        <f t="shared" si="9"/>
        <v>0</v>
      </c>
      <c r="J533" s="56"/>
      <c r="K533" s="137"/>
    </row>
    <row r="534" spans="1:11" ht="44.25">
      <c r="A534" s="11">
        <v>54111</v>
      </c>
      <c r="B534" s="54" t="s">
        <v>659</v>
      </c>
      <c r="C534" s="13"/>
      <c r="D534" s="14" t="s">
        <v>18</v>
      </c>
      <c r="E534" s="14" t="s">
        <v>28</v>
      </c>
      <c r="F534" s="14" t="s">
        <v>27</v>
      </c>
      <c r="G534" s="17">
        <f>'JUNIO-18 '!I521</f>
        <v>0</v>
      </c>
      <c r="H534" s="51"/>
      <c r="I534" s="17">
        <f t="shared" si="9"/>
        <v>0</v>
      </c>
      <c r="J534" s="56"/>
      <c r="K534" s="137"/>
    </row>
    <row r="535" spans="1:11" ht="44.25">
      <c r="A535" s="11">
        <v>54112</v>
      </c>
      <c r="B535" s="54" t="s">
        <v>660</v>
      </c>
      <c r="C535" s="13"/>
      <c r="D535" s="14" t="s">
        <v>18</v>
      </c>
      <c r="E535" s="14" t="s">
        <v>28</v>
      </c>
      <c r="F535" s="14" t="s">
        <v>27</v>
      </c>
      <c r="G535" s="17">
        <f>'JUNIO-18 '!I522</f>
        <v>0</v>
      </c>
      <c r="H535" s="51"/>
      <c r="I535" s="17">
        <f t="shared" si="9"/>
        <v>0</v>
      </c>
      <c r="J535" s="56"/>
      <c r="K535" s="137"/>
    </row>
    <row r="536" spans="1:11" ht="44.25">
      <c r="A536" s="11">
        <v>54304</v>
      </c>
      <c r="B536" s="54" t="s">
        <v>661</v>
      </c>
      <c r="C536" s="13"/>
      <c r="D536" s="14" t="s">
        <v>18</v>
      </c>
      <c r="E536" s="14" t="s">
        <v>28</v>
      </c>
      <c r="F536" s="14" t="s">
        <v>27</v>
      </c>
      <c r="G536" s="17">
        <f>'JUNIO-18 '!I523</f>
        <v>0</v>
      </c>
      <c r="H536" s="51"/>
      <c r="I536" s="17">
        <f t="shared" si="9"/>
        <v>0</v>
      </c>
      <c r="J536" s="56"/>
      <c r="K536" s="137"/>
    </row>
    <row r="537" spans="1:11" ht="44.25">
      <c r="A537" s="11">
        <v>54313</v>
      </c>
      <c r="B537" s="54" t="s">
        <v>662</v>
      </c>
      <c r="C537" s="13"/>
      <c r="D537" s="14" t="s">
        <v>18</v>
      </c>
      <c r="E537" s="14" t="s">
        <v>28</v>
      </c>
      <c r="F537" s="14" t="s">
        <v>27</v>
      </c>
      <c r="G537" s="17">
        <f>'JUNIO-18 '!I524</f>
        <v>0</v>
      </c>
      <c r="H537" s="51"/>
      <c r="I537" s="17">
        <f t="shared" si="9"/>
        <v>0</v>
      </c>
      <c r="J537" s="56"/>
      <c r="K537" s="137"/>
    </row>
    <row r="538" spans="1:11" ht="44.25">
      <c r="A538" s="11">
        <v>54399</v>
      </c>
      <c r="B538" s="54" t="s">
        <v>663</v>
      </c>
      <c r="C538" s="13"/>
      <c r="D538" s="14" t="s">
        <v>18</v>
      </c>
      <c r="E538" s="14" t="s">
        <v>28</v>
      </c>
      <c r="F538" s="14" t="s">
        <v>27</v>
      </c>
      <c r="G538" s="17">
        <f>'JUNIO-18 '!I525</f>
        <v>0</v>
      </c>
      <c r="H538" s="51"/>
      <c r="I538" s="17">
        <f t="shared" si="9"/>
        <v>0</v>
      </c>
      <c r="J538" s="56"/>
      <c r="K538" s="137"/>
    </row>
    <row r="539" spans="1:11" ht="29.25">
      <c r="A539" s="11">
        <v>55603</v>
      </c>
      <c r="B539" s="54" t="s">
        <v>664</v>
      </c>
      <c r="C539" s="13"/>
      <c r="D539" s="14" t="s">
        <v>18</v>
      </c>
      <c r="E539" s="14" t="s">
        <v>28</v>
      </c>
      <c r="F539" s="14" t="s">
        <v>27</v>
      </c>
      <c r="G539" s="17">
        <f>'JUNIO-18 '!I526</f>
        <v>0</v>
      </c>
      <c r="H539" s="51"/>
      <c r="I539" s="17">
        <f t="shared" si="9"/>
        <v>0</v>
      </c>
      <c r="J539" s="56"/>
      <c r="K539" s="137"/>
    </row>
    <row r="540" spans="1:11" ht="90">
      <c r="A540" s="141" t="s">
        <v>348</v>
      </c>
      <c r="B540" s="53" t="s">
        <v>665</v>
      </c>
      <c r="C540" s="13"/>
      <c r="D540" s="14"/>
      <c r="E540" s="14"/>
      <c r="F540" s="14"/>
      <c r="G540" s="17">
        <f>'JUNIO-18 '!I527</f>
        <v>0</v>
      </c>
      <c r="H540" s="51"/>
      <c r="I540" s="17"/>
      <c r="J540" s="56"/>
      <c r="K540" s="56"/>
    </row>
    <row r="541" spans="1:11" ht="29.25">
      <c r="A541" s="11">
        <v>51202</v>
      </c>
      <c r="B541" s="54" t="s">
        <v>666</v>
      </c>
      <c r="C541" s="13"/>
      <c r="D541" s="14" t="s">
        <v>18</v>
      </c>
      <c r="E541" s="14" t="s">
        <v>28</v>
      </c>
      <c r="F541" s="14" t="s">
        <v>27</v>
      </c>
      <c r="G541" s="17">
        <f>'JUNIO-18 '!I528</f>
        <v>0</v>
      </c>
      <c r="H541" s="51"/>
      <c r="I541" s="17">
        <f t="shared" si="9"/>
        <v>0</v>
      </c>
      <c r="J541" s="56"/>
      <c r="K541" s="300"/>
    </row>
    <row r="542" spans="1:11" ht="29.25">
      <c r="A542" s="11">
        <v>54110</v>
      </c>
      <c r="B542" s="54" t="s">
        <v>667</v>
      </c>
      <c r="C542" s="13"/>
      <c r="D542" s="14" t="s">
        <v>18</v>
      </c>
      <c r="E542" s="14" t="s">
        <v>28</v>
      </c>
      <c r="F542" s="14" t="s">
        <v>27</v>
      </c>
      <c r="G542" s="17">
        <f>'JUNIO-18 '!I529</f>
        <v>0</v>
      </c>
      <c r="H542" s="51"/>
      <c r="I542" s="17">
        <f t="shared" si="9"/>
        <v>0</v>
      </c>
      <c r="J542" s="56"/>
      <c r="K542" s="300"/>
    </row>
    <row r="543" spans="1:11" ht="44.25">
      <c r="A543" s="11">
        <v>54111</v>
      </c>
      <c r="B543" s="54" t="s">
        <v>668</v>
      </c>
      <c r="C543" s="13"/>
      <c r="D543" s="14" t="s">
        <v>18</v>
      </c>
      <c r="E543" s="14" t="s">
        <v>28</v>
      </c>
      <c r="F543" s="14" t="s">
        <v>27</v>
      </c>
      <c r="G543" s="17">
        <f>'JUNIO-18 '!I530</f>
        <v>0</v>
      </c>
      <c r="H543" s="51"/>
      <c r="I543" s="17">
        <f t="shared" si="9"/>
        <v>0</v>
      </c>
      <c r="J543" s="56"/>
      <c r="K543" s="300"/>
    </row>
    <row r="544" spans="1:11" ht="44.25">
      <c r="A544" s="11">
        <v>54112</v>
      </c>
      <c r="B544" s="54" t="s">
        <v>669</v>
      </c>
      <c r="C544" s="13"/>
      <c r="D544" s="14" t="s">
        <v>18</v>
      </c>
      <c r="E544" s="14" t="s">
        <v>28</v>
      </c>
      <c r="F544" s="14" t="s">
        <v>27</v>
      </c>
      <c r="G544" s="17">
        <f>'JUNIO-18 '!I531</f>
        <v>0</v>
      </c>
      <c r="H544" s="51"/>
      <c r="I544" s="17">
        <f t="shared" si="9"/>
        <v>0</v>
      </c>
      <c r="J544" s="56"/>
      <c r="K544" s="300"/>
    </row>
    <row r="545" spans="1:11" ht="44.25">
      <c r="A545" s="11">
        <v>54313</v>
      </c>
      <c r="B545" s="54" t="s">
        <v>670</v>
      </c>
      <c r="C545" s="13"/>
      <c r="D545" s="14" t="s">
        <v>18</v>
      </c>
      <c r="E545" s="14" t="s">
        <v>28</v>
      </c>
      <c r="F545" s="14" t="s">
        <v>27</v>
      </c>
      <c r="G545" s="17">
        <f>'JUNIO-18 '!I532</f>
        <v>0</v>
      </c>
      <c r="H545" s="51"/>
      <c r="I545" s="17">
        <f t="shared" si="9"/>
        <v>0</v>
      </c>
      <c r="J545" s="56"/>
      <c r="K545" s="300"/>
    </row>
    <row r="546" spans="1:11" ht="44.25">
      <c r="A546" s="11">
        <v>54399</v>
      </c>
      <c r="B546" s="54" t="s">
        <v>671</v>
      </c>
      <c r="C546" s="13"/>
      <c r="D546" s="14" t="s">
        <v>18</v>
      </c>
      <c r="E546" s="14" t="s">
        <v>28</v>
      </c>
      <c r="F546" s="14" t="s">
        <v>27</v>
      </c>
      <c r="G546" s="17">
        <f>'JUNIO-18 '!I533</f>
        <v>0</v>
      </c>
      <c r="H546" s="51"/>
      <c r="I546" s="17">
        <f t="shared" si="9"/>
        <v>0</v>
      </c>
      <c r="J546" s="56"/>
      <c r="K546" s="300"/>
    </row>
    <row r="547" spans="1:11" ht="29.25">
      <c r="A547" s="11">
        <v>55603</v>
      </c>
      <c r="B547" s="54" t="s">
        <v>672</v>
      </c>
      <c r="C547" s="13"/>
      <c r="D547" s="14" t="s">
        <v>18</v>
      </c>
      <c r="E547" s="14" t="s">
        <v>28</v>
      </c>
      <c r="F547" s="14" t="s">
        <v>27</v>
      </c>
      <c r="G547" s="17">
        <f>'JUNIO-18 '!I534</f>
        <v>0</v>
      </c>
      <c r="H547" s="51"/>
      <c r="I547" s="17">
        <f t="shared" si="9"/>
        <v>0</v>
      </c>
      <c r="J547" s="56"/>
      <c r="K547" s="300"/>
    </row>
    <row r="548" spans="1:11" ht="119.25" customHeight="1">
      <c r="A548" s="141" t="s">
        <v>358</v>
      </c>
      <c r="B548" s="53" t="s">
        <v>673</v>
      </c>
      <c r="C548" s="13"/>
      <c r="D548" s="14"/>
      <c r="E548" s="14"/>
      <c r="F548" s="14"/>
      <c r="G548" s="17">
        <f>'JUNIO-18 '!I535</f>
        <v>0</v>
      </c>
      <c r="H548" s="51"/>
      <c r="I548" s="17"/>
      <c r="J548" s="56"/>
      <c r="K548" s="56"/>
    </row>
    <row r="549" spans="1:11" ht="29.25">
      <c r="A549" s="11">
        <v>51202</v>
      </c>
      <c r="B549" s="54" t="s">
        <v>674</v>
      </c>
      <c r="C549" s="13"/>
      <c r="D549" s="14" t="s">
        <v>18</v>
      </c>
      <c r="E549" s="14" t="s">
        <v>28</v>
      </c>
      <c r="F549" s="14" t="s">
        <v>27</v>
      </c>
      <c r="G549" s="17">
        <f>'JUNIO-18 '!I536</f>
        <v>0</v>
      </c>
      <c r="H549" s="51"/>
      <c r="I549" s="17">
        <f t="shared" si="9"/>
        <v>0</v>
      </c>
      <c r="J549" s="56"/>
      <c r="K549" s="300"/>
    </row>
    <row r="550" spans="1:11" ht="29.25">
      <c r="A550" s="11">
        <v>54110</v>
      </c>
      <c r="B550" s="54" t="s">
        <v>675</v>
      </c>
      <c r="C550" s="13"/>
      <c r="D550" s="14" t="s">
        <v>18</v>
      </c>
      <c r="E550" s="14" t="s">
        <v>28</v>
      </c>
      <c r="F550" s="14" t="s">
        <v>27</v>
      </c>
      <c r="G550" s="17">
        <f>'JUNIO-18 '!I537</f>
        <v>0</v>
      </c>
      <c r="H550" s="51"/>
      <c r="I550" s="17">
        <f t="shared" si="9"/>
        <v>0</v>
      </c>
      <c r="J550" s="56"/>
      <c r="K550" s="300"/>
    </row>
    <row r="551" spans="1:11" ht="29.25">
      <c r="A551" s="11">
        <v>54111</v>
      </c>
      <c r="B551" s="54" t="s">
        <v>677</v>
      </c>
      <c r="C551" s="13"/>
      <c r="D551" s="14" t="s">
        <v>18</v>
      </c>
      <c r="E551" s="14" t="s">
        <v>28</v>
      </c>
      <c r="F551" s="14" t="s">
        <v>27</v>
      </c>
      <c r="G551" s="17">
        <f>'JUNIO-18 '!I538</f>
        <v>0</v>
      </c>
      <c r="H551" s="51"/>
      <c r="I551" s="17">
        <f t="shared" si="9"/>
        <v>0</v>
      </c>
      <c r="J551" s="56"/>
      <c r="K551" s="300"/>
    </row>
    <row r="552" spans="1:11" ht="29.25">
      <c r="A552" s="11">
        <v>54112</v>
      </c>
      <c r="B552" s="54" t="s">
        <v>676</v>
      </c>
      <c r="C552" s="13"/>
      <c r="D552" s="14" t="s">
        <v>18</v>
      </c>
      <c r="E552" s="14" t="s">
        <v>28</v>
      </c>
      <c r="F552" s="14" t="s">
        <v>27</v>
      </c>
      <c r="G552" s="17">
        <f>'JUNIO-18 '!I539</f>
        <v>0</v>
      </c>
      <c r="H552" s="51"/>
      <c r="I552" s="17">
        <f t="shared" si="9"/>
        <v>0</v>
      </c>
      <c r="J552" s="56"/>
      <c r="K552" s="300"/>
    </row>
    <row r="553" spans="1:11" ht="29.25">
      <c r="A553" s="11">
        <v>54118</v>
      </c>
      <c r="B553" s="54" t="s">
        <v>678</v>
      </c>
      <c r="C553" s="13"/>
      <c r="D553" s="14" t="s">
        <v>18</v>
      </c>
      <c r="E553" s="14" t="s">
        <v>28</v>
      </c>
      <c r="F553" s="14" t="s">
        <v>27</v>
      </c>
      <c r="G553" s="17">
        <f>'JUNIO-18 '!I540</f>
        <v>0</v>
      </c>
      <c r="H553" s="51"/>
      <c r="I553" s="17">
        <f t="shared" si="9"/>
        <v>0</v>
      </c>
      <c r="J553" s="56"/>
      <c r="K553" s="300"/>
    </row>
    <row r="554" spans="1:11" ht="29.25">
      <c r="A554" s="11">
        <v>54313</v>
      </c>
      <c r="B554" s="54" t="s">
        <v>679</v>
      </c>
      <c r="C554" s="13"/>
      <c r="D554" s="14" t="s">
        <v>18</v>
      </c>
      <c r="E554" s="14" t="s">
        <v>28</v>
      </c>
      <c r="F554" s="14" t="s">
        <v>27</v>
      </c>
      <c r="G554" s="17">
        <f>'JUNIO-18 '!I541</f>
        <v>0</v>
      </c>
      <c r="H554" s="51"/>
      <c r="I554" s="17">
        <f t="shared" si="9"/>
        <v>0</v>
      </c>
      <c r="J554" s="56"/>
      <c r="K554" s="300"/>
    </row>
    <row r="555" spans="1:11" ht="36.75" customHeight="1">
      <c r="A555" s="11">
        <v>54399</v>
      </c>
      <c r="B555" s="54" t="s">
        <v>680</v>
      </c>
      <c r="C555" s="13"/>
      <c r="D555" s="14" t="s">
        <v>18</v>
      </c>
      <c r="E555" s="14" t="s">
        <v>28</v>
      </c>
      <c r="F555" s="14" t="s">
        <v>27</v>
      </c>
      <c r="G555" s="17">
        <f>'JUNIO-18 '!I542</f>
        <v>0</v>
      </c>
      <c r="H555" s="51"/>
      <c r="I555" s="17">
        <f t="shared" si="9"/>
        <v>0</v>
      </c>
      <c r="J555" s="56"/>
      <c r="K555" s="300"/>
    </row>
    <row r="556" spans="1:11" ht="29.25">
      <c r="A556" s="11">
        <v>55603</v>
      </c>
      <c r="B556" s="54" t="s">
        <v>681</v>
      </c>
      <c r="C556" s="13"/>
      <c r="D556" s="14" t="s">
        <v>18</v>
      </c>
      <c r="E556" s="14" t="s">
        <v>28</v>
      </c>
      <c r="F556" s="14" t="s">
        <v>27</v>
      </c>
      <c r="G556" s="17">
        <f>'JUNIO-18 '!I543</f>
        <v>0</v>
      </c>
      <c r="H556" s="51"/>
      <c r="I556" s="17">
        <f t="shared" si="9"/>
        <v>0</v>
      </c>
      <c r="J556" s="56"/>
      <c r="K556" s="300"/>
    </row>
    <row r="557" spans="1:11" ht="74.25">
      <c r="A557" s="141" t="s">
        <v>374</v>
      </c>
      <c r="B557" s="53" t="s">
        <v>690</v>
      </c>
      <c r="C557" s="13"/>
      <c r="D557" s="14"/>
      <c r="E557" s="14"/>
      <c r="F557" s="14"/>
      <c r="G557" s="17">
        <f>'JUNIO-18 '!I544</f>
        <v>0</v>
      </c>
      <c r="H557" s="51"/>
      <c r="I557" s="17"/>
      <c r="J557" s="56"/>
      <c r="K557" s="56"/>
    </row>
    <row r="558" spans="1:11">
      <c r="A558" s="11">
        <v>51202</v>
      </c>
      <c r="B558" s="54" t="s">
        <v>682</v>
      </c>
      <c r="C558" s="13"/>
      <c r="D558" s="14" t="s">
        <v>18</v>
      </c>
      <c r="E558" s="14" t="s">
        <v>28</v>
      </c>
      <c r="F558" s="14" t="s">
        <v>27</v>
      </c>
      <c r="G558" s="17">
        <f>'JUNIO-18 '!I545</f>
        <v>0</v>
      </c>
      <c r="H558" s="51"/>
      <c r="I558" s="17">
        <f t="shared" si="9"/>
        <v>0</v>
      </c>
      <c r="J558" s="56"/>
      <c r="K558" s="300"/>
    </row>
    <row r="559" spans="1:11" ht="29.25">
      <c r="A559" s="11">
        <v>54110</v>
      </c>
      <c r="B559" s="54" t="s">
        <v>683</v>
      </c>
      <c r="C559" s="13"/>
      <c r="D559" s="14" t="s">
        <v>18</v>
      </c>
      <c r="E559" s="14" t="s">
        <v>28</v>
      </c>
      <c r="F559" s="14" t="s">
        <v>27</v>
      </c>
      <c r="G559" s="17">
        <f>'JUNIO-18 '!I546</f>
        <v>0</v>
      </c>
      <c r="H559" s="51"/>
      <c r="I559" s="17">
        <f t="shared" si="9"/>
        <v>0</v>
      </c>
      <c r="J559" s="56"/>
      <c r="K559" s="300"/>
    </row>
    <row r="560" spans="1:11" ht="30">
      <c r="A560" s="11">
        <v>54111</v>
      </c>
      <c r="B560" s="53" t="s">
        <v>689</v>
      </c>
      <c r="C560" s="13"/>
      <c r="D560" s="14" t="s">
        <v>18</v>
      </c>
      <c r="E560" s="14" t="s">
        <v>28</v>
      </c>
      <c r="F560" s="14" t="s">
        <v>27</v>
      </c>
      <c r="G560" s="17">
        <f>'JUNIO-18 '!I547</f>
        <v>0</v>
      </c>
      <c r="H560" s="51"/>
      <c r="I560" s="17">
        <f t="shared" si="9"/>
        <v>0</v>
      </c>
      <c r="J560" s="56"/>
      <c r="K560" s="300"/>
    </row>
    <row r="561" spans="1:11" ht="29.25">
      <c r="A561" s="11">
        <v>54112</v>
      </c>
      <c r="B561" s="53" t="s">
        <v>684</v>
      </c>
      <c r="C561" s="13"/>
      <c r="D561" s="14" t="s">
        <v>18</v>
      </c>
      <c r="E561" s="14" t="s">
        <v>28</v>
      </c>
      <c r="F561" s="14" t="s">
        <v>27</v>
      </c>
      <c r="G561" s="17">
        <f>'JUNIO-18 '!I548</f>
        <v>0</v>
      </c>
      <c r="H561" s="51"/>
      <c r="I561" s="17">
        <f t="shared" si="9"/>
        <v>0</v>
      </c>
      <c r="J561" s="56"/>
      <c r="K561" s="300"/>
    </row>
    <row r="562" spans="1:11" ht="29.25">
      <c r="A562" s="11">
        <v>54118</v>
      </c>
      <c r="B562" s="53" t="s">
        <v>685</v>
      </c>
      <c r="C562" s="13"/>
      <c r="D562" s="14" t="s">
        <v>18</v>
      </c>
      <c r="E562" s="14" t="s">
        <v>28</v>
      </c>
      <c r="F562" s="14" t="s">
        <v>27</v>
      </c>
      <c r="G562" s="17">
        <f>'JUNIO-18 '!I549</f>
        <v>0</v>
      </c>
      <c r="H562" s="51"/>
      <c r="I562" s="17">
        <f t="shared" si="9"/>
        <v>0</v>
      </c>
      <c r="J562" s="56"/>
      <c r="K562" s="300"/>
    </row>
    <row r="563" spans="1:11" ht="29.25">
      <c r="A563" s="11">
        <v>54313</v>
      </c>
      <c r="B563" s="53" t="s">
        <v>686</v>
      </c>
      <c r="C563" s="13"/>
      <c r="D563" s="14" t="s">
        <v>18</v>
      </c>
      <c r="E563" s="14" t="s">
        <v>28</v>
      </c>
      <c r="F563" s="14" t="s">
        <v>27</v>
      </c>
      <c r="G563" s="17">
        <f>'JUNIO-18 '!I550</f>
        <v>0</v>
      </c>
      <c r="H563" s="51"/>
      <c r="I563" s="17">
        <f t="shared" si="9"/>
        <v>0</v>
      </c>
      <c r="J563" s="56"/>
      <c r="K563" s="300"/>
    </row>
    <row r="564" spans="1:11" ht="29.25">
      <c r="A564" s="11">
        <v>54399</v>
      </c>
      <c r="B564" s="54" t="s">
        <v>687</v>
      </c>
      <c r="C564" s="13"/>
      <c r="D564" s="14" t="s">
        <v>18</v>
      </c>
      <c r="E564" s="14" t="s">
        <v>28</v>
      </c>
      <c r="F564" s="14" t="s">
        <v>27</v>
      </c>
      <c r="G564" s="17">
        <f>'JUNIO-18 '!I551</f>
        <v>0</v>
      </c>
      <c r="H564" s="51"/>
      <c r="I564" s="17">
        <f t="shared" si="9"/>
        <v>0</v>
      </c>
      <c r="J564" s="56"/>
      <c r="K564" s="300"/>
    </row>
    <row r="565" spans="1:11" ht="29.25">
      <c r="A565" s="11">
        <v>55603</v>
      </c>
      <c r="B565" s="53" t="s">
        <v>688</v>
      </c>
      <c r="C565" s="13"/>
      <c r="D565" s="14" t="s">
        <v>18</v>
      </c>
      <c r="E565" s="14" t="s">
        <v>28</v>
      </c>
      <c r="F565" s="14" t="s">
        <v>27</v>
      </c>
      <c r="G565" s="17">
        <f>'JUNIO-18 '!I552</f>
        <v>0</v>
      </c>
      <c r="H565" s="51"/>
      <c r="I565" s="17">
        <f t="shared" si="9"/>
        <v>0</v>
      </c>
      <c r="J565" s="56"/>
      <c r="K565" s="300"/>
    </row>
    <row r="566" spans="1:11" ht="60">
      <c r="A566" s="141" t="s">
        <v>388</v>
      </c>
      <c r="B566" s="53" t="s">
        <v>699</v>
      </c>
      <c r="C566" s="13"/>
      <c r="D566" s="14"/>
      <c r="E566" s="14"/>
      <c r="F566" s="14"/>
      <c r="G566" s="17">
        <f>'JUNIO-18 '!I553</f>
        <v>0</v>
      </c>
      <c r="H566" s="51"/>
      <c r="I566" s="17"/>
      <c r="J566" s="56"/>
      <c r="K566" s="56"/>
    </row>
    <row r="567" spans="1:11" ht="29.25">
      <c r="A567" s="11">
        <v>51202</v>
      </c>
      <c r="B567" s="54" t="s">
        <v>691</v>
      </c>
      <c r="C567" s="13"/>
      <c r="D567" s="14" t="s">
        <v>18</v>
      </c>
      <c r="E567" s="14" t="s">
        <v>28</v>
      </c>
      <c r="F567" s="14" t="s">
        <v>27</v>
      </c>
      <c r="G567" s="17">
        <f>'JUNIO-18 '!I554</f>
        <v>0</v>
      </c>
      <c r="H567" s="51"/>
      <c r="I567" s="17">
        <f t="shared" si="9"/>
        <v>0</v>
      </c>
      <c r="J567" s="56"/>
      <c r="K567" s="300"/>
    </row>
    <row r="568" spans="1:11" ht="29.25">
      <c r="A568" s="11">
        <v>54110</v>
      </c>
      <c r="B568" s="54" t="s">
        <v>692</v>
      </c>
      <c r="C568" s="13"/>
      <c r="D568" s="14" t="s">
        <v>18</v>
      </c>
      <c r="E568" s="14" t="s">
        <v>28</v>
      </c>
      <c r="F568" s="14" t="s">
        <v>27</v>
      </c>
      <c r="G568" s="17">
        <f>'JUNIO-18 '!I555</f>
        <v>0</v>
      </c>
      <c r="H568" s="51"/>
      <c r="I568" s="17">
        <f t="shared" si="9"/>
        <v>0</v>
      </c>
      <c r="J568" s="56"/>
      <c r="K568" s="300"/>
    </row>
    <row r="569" spans="1:11" ht="44.25">
      <c r="A569" s="11">
        <v>54111</v>
      </c>
      <c r="B569" s="53" t="s">
        <v>693</v>
      </c>
      <c r="C569" s="13"/>
      <c r="D569" s="14" t="s">
        <v>18</v>
      </c>
      <c r="E569" s="14" t="s">
        <v>28</v>
      </c>
      <c r="F569" s="14" t="s">
        <v>27</v>
      </c>
      <c r="G569" s="17">
        <f>'JUNIO-18 '!I556</f>
        <v>0</v>
      </c>
      <c r="H569" s="51"/>
      <c r="I569" s="17">
        <f t="shared" ref="I569:I579" si="10">G569-H569+J569-K569</f>
        <v>0</v>
      </c>
      <c r="J569" s="56"/>
      <c r="K569" s="300"/>
    </row>
    <row r="570" spans="1:11" ht="29.25">
      <c r="A570" s="11">
        <v>54112</v>
      </c>
      <c r="B570" s="54" t="s">
        <v>694</v>
      </c>
      <c r="C570" s="13"/>
      <c r="D570" s="14" t="s">
        <v>18</v>
      </c>
      <c r="E570" s="14" t="s">
        <v>28</v>
      </c>
      <c r="F570" s="14" t="s">
        <v>27</v>
      </c>
      <c r="G570" s="17">
        <f>'JUNIO-18 '!I557</f>
        <v>0</v>
      </c>
      <c r="H570" s="51"/>
      <c r="I570" s="17">
        <f t="shared" si="10"/>
        <v>0</v>
      </c>
      <c r="J570" s="56"/>
      <c r="K570" s="300"/>
    </row>
    <row r="571" spans="1:11" ht="29.25">
      <c r="A571" s="11">
        <v>54118</v>
      </c>
      <c r="B571" s="54" t="s">
        <v>695</v>
      </c>
      <c r="C571" s="13"/>
      <c r="D571" s="14" t="s">
        <v>18</v>
      </c>
      <c r="E571" s="14" t="s">
        <v>28</v>
      </c>
      <c r="F571" s="14" t="s">
        <v>27</v>
      </c>
      <c r="G571" s="17">
        <f>'JUNIO-18 '!I558</f>
        <v>0</v>
      </c>
      <c r="H571" s="51"/>
      <c r="I571" s="17">
        <f t="shared" si="10"/>
        <v>0</v>
      </c>
      <c r="J571" s="56"/>
      <c r="K571" s="300"/>
    </row>
    <row r="572" spans="1:11" ht="44.25">
      <c r="A572" s="11">
        <v>54313</v>
      </c>
      <c r="B572" s="53" t="s">
        <v>696</v>
      </c>
      <c r="C572" s="13"/>
      <c r="D572" s="14" t="s">
        <v>18</v>
      </c>
      <c r="E572" s="14" t="s">
        <v>28</v>
      </c>
      <c r="F572" s="14" t="s">
        <v>27</v>
      </c>
      <c r="G572" s="17">
        <f>'JUNIO-18 '!I559</f>
        <v>0</v>
      </c>
      <c r="H572" s="51"/>
      <c r="I572" s="17">
        <f t="shared" si="10"/>
        <v>0</v>
      </c>
      <c r="J572" s="56"/>
      <c r="K572" s="300"/>
    </row>
    <row r="573" spans="1:11" ht="29.25">
      <c r="A573" s="11">
        <v>54399</v>
      </c>
      <c r="B573" s="54" t="s">
        <v>697</v>
      </c>
      <c r="C573" s="13"/>
      <c r="D573" s="14" t="s">
        <v>18</v>
      </c>
      <c r="E573" s="14" t="s">
        <v>28</v>
      </c>
      <c r="F573" s="14" t="s">
        <v>27</v>
      </c>
      <c r="G573" s="17">
        <f>'JUNIO-18 '!I560</f>
        <v>0</v>
      </c>
      <c r="H573" s="51"/>
      <c r="I573" s="17">
        <f t="shared" si="10"/>
        <v>0</v>
      </c>
      <c r="J573" s="56"/>
      <c r="K573" s="300"/>
    </row>
    <row r="574" spans="1:11" ht="29.25">
      <c r="A574" s="11">
        <v>55603</v>
      </c>
      <c r="B574" s="54" t="s">
        <v>698</v>
      </c>
      <c r="C574" s="13"/>
      <c r="D574" s="14" t="s">
        <v>18</v>
      </c>
      <c r="E574" s="14" t="s">
        <v>28</v>
      </c>
      <c r="F574" s="14" t="s">
        <v>27</v>
      </c>
      <c r="G574" s="17">
        <f>'JUNIO-18 '!I561</f>
        <v>0</v>
      </c>
      <c r="H574" s="51"/>
      <c r="I574" s="17">
        <f t="shared" si="10"/>
        <v>0</v>
      </c>
      <c r="J574" s="56"/>
      <c r="K574" s="300"/>
    </row>
    <row r="575" spans="1:11" ht="60">
      <c r="A575" s="141" t="s">
        <v>392</v>
      </c>
      <c r="B575" s="53" t="s">
        <v>700</v>
      </c>
      <c r="C575" s="13"/>
      <c r="D575" s="14"/>
      <c r="E575" s="14"/>
      <c r="F575" s="14"/>
      <c r="G575" s="17">
        <f>'JUNIO-18 '!I562</f>
        <v>0</v>
      </c>
      <c r="H575" s="51"/>
      <c r="I575" s="17"/>
      <c r="J575" s="56"/>
      <c r="K575" s="56"/>
    </row>
    <row r="576" spans="1:11" ht="29.25">
      <c r="A576" s="11">
        <v>51202</v>
      </c>
      <c r="B576" s="54" t="s">
        <v>701</v>
      </c>
      <c r="C576" s="13"/>
      <c r="D576" s="14" t="s">
        <v>18</v>
      </c>
      <c r="E576" s="14" t="s">
        <v>28</v>
      </c>
      <c r="F576" s="14" t="s">
        <v>27</v>
      </c>
      <c r="G576" s="17">
        <f>'JUNIO-18 '!I563</f>
        <v>0</v>
      </c>
      <c r="H576" s="51"/>
      <c r="I576" s="17">
        <f t="shared" si="10"/>
        <v>0</v>
      </c>
      <c r="J576" s="56"/>
      <c r="K576" s="332"/>
    </row>
    <row r="577" spans="1:11" ht="29.25">
      <c r="A577" s="11">
        <v>54110</v>
      </c>
      <c r="B577" s="53" t="s">
        <v>702</v>
      </c>
      <c r="C577" s="13"/>
      <c r="D577" s="14" t="s">
        <v>18</v>
      </c>
      <c r="E577" s="14" t="s">
        <v>28</v>
      </c>
      <c r="F577" s="14" t="s">
        <v>27</v>
      </c>
      <c r="G577" s="17">
        <f>'JUNIO-18 '!I564</f>
        <v>0</v>
      </c>
      <c r="H577" s="51"/>
      <c r="I577" s="17">
        <f t="shared" si="10"/>
        <v>0</v>
      </c>
      <c r="J577" s="56"/>
      <c r="K577" s="332"/>
    </row>
    <row r="578" spans="1:11" ht="44.25">
      <c r="A578" s="11">
        <v>54111</v>
      </c>
      <c r="B578" s="53" t="s">
        <v>703</v>
      </c>
      <c r="C578" s="13"/>
      <c r="D578" s="14" t="s">
        <v>18</v>
      </c>
      <c r="E578" s="14" t="s">
        <v>28</v>
      </c>
      <c r="F578" s="14" t="s">
        <v>27</v>
      </c>
      <c r="G578" s="17">
        <f>'JUNIO-18 '!I565</f>
        <v>0</v>
      </c>
      <c r="H578" s="51"/>
      <c r="I578" s="17">
        <f t="shared" si="10"/>
        <v>0</v>
      </c>
      <c r="J578" s="56"/>
      <c r="K578" s="332"/>
    </row>
    <row r="579" spans="1:11" ht="44.25">
      <c r="A579" s="11">
        <v>54313</v>
      </c>
      <c r="B579" s="53" t="s">
        <v>704</v>
      </c>
      <c r="C579" s="13"/>
      <c r="D579" s="14" t="s">
        <v>18</v>
      </c>
      <c r="E579" s="14" t="s">
        <v>28</v>
      </c>
      <c r="F579" s="14" t="s">
        <v>27</v>
      </c>
      <c r="G579" s="17">
        <f>'JUNIO-18 '!I566</f>
        <v>0</v>
      </c>
      <c r="H579" s="51"/>
      <c r="I579" s="17">
        <f t="shared" si="10"/>
        <v>0</v>
      </c>
      <c r="J579" s="56"/>
      <c r="K579" s="332"/>
    </row>
    <row r="580" spans="1:11" ht="29.25">
      <c r="A580" s="11">
        <v>55603</v>
      </c>
      <c r="B580" s="53" t="s">
        <v>705</v>
      </c>
      <c r="C580" s="13"/>
      <c r="D580" s="14" t="s">
        <v>18</v>
      </c>
      <c r="E580" s="14" t="s">
        <v>28</v>
      </c>
      <c r="F580" s="14" t="s">
        <v>27</v>
      </c>
      <c r="G580" s="17">
        <f>'JUNIO-18 '!I567</f>
        <v>0</v>
      </c>
      <c r="H580" s="51"/>
      <c r="I580" s="17">
        <f>G580-H580+J580-K580</f>
        <v>0</v>
      </c>
      <c r="J580" s="56"/>
      <c r="K580" s="332"/>
    </row>
    <row r="581" spans="1:11" ht="105">
      <c r="A581" s="141" t="s">
        <v>401</v>
      </c>
      <c r="B581" s="53" t="s">
        <v>706</v>
      </c>
      <c r="C581" s="13"/>
      <c r="D581" s="14"/>
      <c r="E581" s="14"/>
      <c r="F581" s="14"/>
      <c r="G581" s="17">
        <f>'JUNIO-18 '!I568</f>
        <v>0</v>
      </c>
      <c r="H581" s="51"/>
      <c r="I581" s="17"/>
      <c r="J581" s="56"/>
      <c r="K581" s="56"/>
    </row>
    <row r="582" spans="1:11" ht="29.25">
      <c r="A582" s="11">
        <v>51202</v>
      </c>
      <c r="B582" s="54" t="s">
        <v>707</v>
      </c>
      <c r="C582" s="13"/>
      <c r="D582" s="14" t="s">
        <v>18</v>
      </c>
      <c r="E582" s="14" t="s">
        <v>28</v>
      </c>
      <c r="F582" s="14" t="s">
        <v>27</v>
      </c>
      <c r="G582" s="17">
        <f>'JUNIO-18 '!I569</f>
        <v>0</v>
      </c>
      <c r="H582" s="51"/>
      <c r="I582" s="17">
        <f>G582-H582+J582-K582</f>
        <v>0</v>
      </c>
      <c r="J582" s="56"/>
      <c r="K582" s="300"/>
    </row>
    <row r="583" spans="1:11" ht="43.5">
      <c r="A583" s="11">
        <v>54110</v>
      </c>
      <c r="B583" s="54" t="s">
        <v>708</v>
      </c>
      <c r="C583" s="13"/>
      <c r="D583" s="14" t="s">
        <v>18</v>
      </c>
      <c r="E583" s="14" t="s">
        <v>28</v>
      </c>
      <c r="F583" s="14" t="s">
        <v>27</v>
      </c>
      <c r="G583" s="17">
        <f>'JUNIO-18 '!I570</f>
        <v>0</v>
      </c>
      <c r="H583" s="51"/>
      <c r="I583" s="17">
        <f t="shared" ref="I583:I623" si="11">G583-H583+J583-K583</f>
        <v>0</v>
      </c>
      <c r="J583" s="56"/>
      <c r="K583" s="300"/>
    </row>
    <row r="584" spans="1:11" ht="44.25">
      <c r="A584" s="11">
        <v>54111</v>
      </c>
      <c r="B584" s="54" t="s">
        <v>709</v>
      </c>
      <c r="C584" s="13"/>
      <c r="D584" s="14" t="s">
        <v>18</v>
      </c>
      <c r="E584" s="14" t="s">
        <v>28</v>
      </c>
      <c r="F584" s="14" t="s">
        <v>27</v>
      </c>
      <c r="G584" s="17">
        <f>'JUNIO-18 '!I571</f>
        <v>0</v>
      </c>
      <c r="H584" s="51"/>
      <c r="I584" s="17">
        <f t="shared" si="11"/>
        <v>0</v>
      </c>
      <c r="J584" s="56"/>
      <c r="K584" s="300"/>
    </row>
    <row r="585" spans="1:11" ht="43.5">
      <c r="A585" s="11">
        <v>54118</v>
      </c>
      <c r="B585" s="54" t="s">
        <v>710</v>
      </c>
      <c r="C585" s="13"/>
      <c r="D585" s="14" t="s">
        <v>18</v>
      </c>
      <c r="E585" s="14" t="s">
        <v>28</v>
      </c>
      <c r="F585" s="14" t="s">
        <v>27</v>
      </c>
      <c r="G585" s="17">
        <f>'JUNIO-18 '!I572</f>
        <v>0</v>
      </c>
      <c r="H585" s="51"/>
      <c r="I585" s="17">
        <f t="shared" si="11"/>
        <v>0</v>
      </c>
      <c r="J585" s="56"/>
      <c r="K585" s="300"/>
    </row>
    <row r="586" spans="1:11" ht="43.5">
      <c r="A586" s="11">
        <v>54313</v>
      </c>
      <c r="B586" s="54" t="s">
        <v>711</v>
      </c>
      <c r="C586" s="13"/>
      <c r="D586" s="14" t="s">
        <v>18</v>
      </c>
      <c r="E586" s="14" t="s">
        <v>28</v>
      </c>
      <c r="F586" s="14" t="s">
        <v>27</v>
      </c>
      <c r="G586" s="17">
        <f>'JUNIO-18 '!I573</f>
        <v>0</v>
      </c>
      <c r="H586" s="51"/>
      <c r="I586" s="17">
        <f t="shared" si="11"/>
        <v>0</v>
      </c>
      <c r="J586" s="56"/>
      <c r="K586" s="300"/>
    </row>
    <row r="587" spans="1:11" ht="44.25">
      <c r="A587" s="11">
        <v>54399</v>
      </c>
      <c r="B587" s="54" t="s">
        <v>712</v>
      </c>
      <c r="C587" s="13"/>
      <c r="D587" s="14" t="s">
        <v>18</v>
      </c>
      <c r="E587" s="14" t="s">
        <v>28</v>
      </c>
      <c r="F587" s="14" t="s">
        <v>27</v>
      </c>
      <c r="G587" s="17">
        <f>'JUNIO-18 '!I574</f>
        <v>0</v>
      </c>
      <c r="H587" s="51"/>
      <c r="I587" s="17">
        <f t="shared" si="11"/>
        <v>0</v>
      </c>
      <c r="J587" s="56"/>
      <c r="K587" s="300"/>
    </row>
    <row r="588" spans="1:11" ht="43.5">
      <c r="A588" s="11">
        <v>55603</v>
      </c>
      <c r="B588" s="53" t="s">
        <v>713</v>
      </c>
      <c r="C588" s="13"/>
      <c r="D588" s="14" t="s">
        <v>18</v>
      </c>
      <c r="E588" s="14" t="s">
        <v>28</v>
      </c>
      <c r="F588" s="14" t="s">
        <v>27</v>
      </c>
      <c r="G588" s="17">
        <f>'JUNIO-18 '!I575</f>
        <v>0</v>
      </c>
      <c r="H588" s="51"/>
      <c r="I588" s="17">
        <f t="shared" si="11"/>
        <v>0</v>
      </c>
      <c r="J588" s="56"/>
      <c r="K588" s="300"/>
    </row>
    <row r="589" spans="1:11" ht="59.25">
      <c r="A589" s="141" t="s">
        <v>408</v>
      </c>
      <c r="B589" s="53" t="s">
        <v>714</v>
      </c>
      <c r="C589" s="13"/>
      <c r="D589" s="14"/>
      <c r="E589" s="14"/>
      <c r="F589" s="14"/>
      <c r="G589" s="17">
        <f>'JUNIO-18 '!I576</f>
        <v>0</v>
      </c>
      <c r="H589" s="51"/>
      <c r="I589" s="17"/>
      <c r="J589" s="56"/>
      <c r="K589" s="56"/>
    </row>
    <row r="590" spans="1:11" ht="29.25">
      <c r="A590" s="11">
        <v>51202</v>
      </c>
      <c r="B590" s="54" t="s">
        <v>715</v>
      </c>
      <c r="C590" s="13"/>
      <c r="D590" s="14" t="s">
        <v>18</v>
      </c>
      <c r="E590" s="14" t="s">
        <v>28</v>
      </c>
      <c r="F590" s="14" t="s">
        <v>27</v>
      </c>
      <c r="G590" s="17">
        <f>'JUNIO-18 '!I577</f>
        <v>0</v>
      </c>
      <c r="H590" s="51"/>
      <c r="I590" s="17">
        <f t="shared" si="11"/>
        <v>0</v>
      </c>
      <c r="J590" s="56"/>
      <c r="K590" s="142"/>
    </row>
    <row r="591" spans="1:11" ht="29.25">
      <c r="A591" s="11">
        <v>54110</v>
      </c>
      <c r="B591" s="54" t="s">
        <v>716</v>
      </c>
      <c r="C591" s="13"/>
      <c r="D591" s="14" t="s">
        <v>18</v>
      </c>
      <c r="E591" s="14" t="s">
        <v>28</v>
      </c>
      <c r="F591" s="14" t="s">
        <v>27</v>
      </c>
      <c r="G591" s="17">
        <f>'JUNIO-18 '!I578</f>
        <v>0</v>
      </c>
      <c r="H591" s="51"/>
      <c r="I591" s="17">
        <f t="shared" si="11"/>
        <v>0</v>
      </c>
      <c r="J591" s="56"/>
      <c r="K591" s="142"/>
    </row>
    <row r="592" spans="1:11" ht="44.25">
      <c r="A592" s="11">
        <v>54111</v>
      </c>
      <c r="B592" s="54" t="s">
        <v>717</v>
      </c>
      <c r="C592" s="13"/>
      <c r="D592" s="14" t="s">
        <v>18</v>
      </c>
      <c r="E592" s="14" t="s">
        <v>28</v>
      </c>
      <c r="F592" s="14" t="s">
        <v>27</v>
      </c>
      <c r="G592" s="17">
        <f>'JUNIO-18 '!I579</f>
        <v>0</v>
      </c>
      <c r="H592" s="51"/>
      <c r="I592" s="17">
        <f t="shared" si="11"/>
        <v>0</v>
      </c>
      <c r="J592" s="56"/>
      <c r="K592" s="142"/>
    </row>
    <row r="593" spans="1:11" ht="43.5">
      <c r="A593" s="11">
        <v>54112</v>
      </c>
      <c r="B593" s="53" t="s">
        <v>718</v>
      </c>
      <c r="C593" s="13"/>
      <c r="D593" s="14" t="s">
        <v>18</v>
      </c>
      <c r="E593" s="14" t="s">
        <v>28</v>
      </c>
      <c r="F593" s="14" t="s">
        <v>27</v>
      </c>
      <c r="G593" s="17">
        <f>'JUNIO-18 '!I580</f>
        <v>0</v>
      </c>
      <c r="H593" s="51"/>
      <c r="I593" s="17">
        <f t="shared" si="11"/>
        <v>0</v>
      </c>
      <c r="J593" s="56"/>
      <c r="K593" s="142"/>
    </row>
    <row r="594" spans="1:11" ht="29.25">
      <c r="A594" s="11">
        <v>54118</v>
      </c>
      <c r="B594" s="54" t="s">
        <v>719</v>
      </c>
      <c r="C594" s="13"/>
      <c r="D594" s="14" t="s">
        <v>18</v>
      </c>
      <c r="E594" s="14" t="s">
        <v>28</v>
      </c>
      <c r="F594" s="14" t="s">
        <v>27</v>
      </c>
      <c r="G594" s="17">
        <f>'JUNIO-18 '!I581</f>
        <v>0</v>
      </c>
      <c r="H594" s="51"/>
      <c r="I594" s="17">
        <f t="shared" si="11"/>
        <v>0</v>
      </c>
      <c r="J594" s="56"/>
      <c r="K594" s="142"/>
    </row>
    <row r="595" spans="1:11" ht="44.25">
      <c r="A595" s="11">
        <v>54313</v>
      </c>
      <c r="B595" s="54" t="s">
        <v>720</v>
      </c>
      <c r="C595" s="13"/>
      <c r="D595" s="14" t="s">
        <v>18</v>
      </c>
      <c r="E595" s="14" t="s">
        <v>28</v>
      </c>
      <c r="F595" s="14" t="s">
        <v>27</v>
      </c>
      <c r="G595" s="17">
        <f>'JUNIO-18 '!I582</f>
        <v>0</v>
      </c>
      <c r="H595" s="51"/>
      <c r="I595" s="17">
        <f t="shared" si="11"/>
        <v>0</v>
      </c>
      <c r="J595" s="56"/>
      <c r="K595" s="142"/>
    </row>
    <row r="596" spans="1:11" ht="44.25">
      <c r="A596" s="11">
        <v>54399</v>
      </c>
      <c r="B596" s="53" t="s">
        <v>721</v>
      </c>
      <c r="C596" s="13"/>
      <c r="D596" s="14" t="s">
        <v>18</v>
      </c>
      <c r="E596" s="14" t="s">
        <v>28</v>
      </c>
      <c r="F596" s="14" t="s">
        <v>27</v>
      </c>
      <c r="G596" s="17">
        <f>'JUNIO-18 '!I583</f>
        <v>0</v>
      </c>
      <c r="H596" s="51"/>
      <c r="I596" s="17">
        <f t="shared" si="11"/>
        <v>0</v>
      </c>
      <c r="J596" s="56"/>
      <c r="K596" s="142"/>
    </row>
    <row r="597" spans="1:11" ht="29.25">
      <c r="A597" s="11">
        <v>55603</v>
      </c>
      <c r="B597" s="53" t="s">
        <v>722</v>
      </c>
      <c r="C597" s="13"/>
      <c r="D597" s="14" t="s">
        <v>18</v>
      </c>
      <c r="E597" s="14" t="s">
        <v>28</v>
      </c>
      <c r="F597" s="14" t="s">
        <v>27</v>
      </c>
      <c r="G597" s="17">
        <f>'JUNIO-18 '!I584</f>
        <v>0</v>
      </c>
      <c r="H597" s="51"/>
      <c r="I597" s="17">
        <f t="shared" si="11"/>
        <v>0</v>
      </c>
      <c r="J597" s="56"/>
      <c r="K597" s="142"/>
    </row>
    <row r="598" spans="1:11" ht="89.25">
      <c r="A598" s="141" t="s">
        <v>418</v>
      </c>
      <c r="B598" s="53" t="s">
        <v>723</v>
      </c>
      <c r="C598" s="13"/>
      <c r="D598" s="14"/>
      <c r="E598" s="14"/>
      <c r="F598" s="14"/>
      <c r="G598" s="17">
        <f>'JUNIO-18 '!I585</f>
        <v>0</v>
      </c>
      <c r="H598" s="51"/>
      <c r="I598" s="17"/>
      <c r="J598" s="56"/>
      <c r="K598" s="56"/>
    </row>
    <row r="599" spans="1:11" ht="29.25">
      <c r="A599" s="11">
        <v>51202</v>
      </c>
      <c r="B599" s="53" t="s">
        <v>724</v>
      </c>
      <c r="C599" s="13"/>
      <c r="D599" s="14" t="s">
        <v>18</v>
      </c>
      <c r="E599" s="14" t="s">
        <v>28</v>
      </c>
      <c r="F599" s="14" t="s">
        <v>27</v>
      </c>
      <c r="G599" s="17">
        <f>'JUNIO-18 '!I586</f>
        <v>0</v>
      </c>
      <c r="H599" s="51"/>
      <c r="I599" s="17">
        <f t="shared" si="11"/>
        <v>0</v>
      </c>
      <c r="J599" s="56"/>
      <c r="K599" s="337"/>
    </row>
    <row r="600" spans="1:11" ht="29.25">
      <c r="A600" s="11">
        <v>54110</v>
      </c>
      <c r="B600" s="53" t="s">
        <v>725</v>
      </c>
      <c r="C600" s="13"/>
      <c r="D600" s="14" t="s">
        <v>18</v>
      </c>
      <c r="E600" s="14" t="s">
        <v>28</v>
      </c>
      <c r="F600" s="14" t="s">
        <v>27</v>
      </c>
      <c r="G600" s="17">
        <f>'JUNIO-18 '!I587</f>
        <v>0</v>
      </c>
      <c r="H600" s="51"/>
      <c r="I600" s="17">
        <f t="shared" si="11"/>
        <v>0</v>
      </c>
      <c r="J600" s="56"/>
      <c r="K600" s="337"/>
    </row>
    <row r="601" spans="1:11" ht="29.25">
      <c r="A601" s="11">
        <v>54111</v>
      </c>
      <c r="B601" s="53" t="s">
        <v>726</v>
      </c>
      <c r="C601" s="13"/>
      <c r="D601" s="14" t="s">
        <v>18</v>
      </c>
      <c r="E601" s="14" t="s">
        <v>28</v>
      </c>
      <c r="F601" s="14" t="s">
        <v>27</v>
      </c>
      <c r="G601" s="17">
        <f>'JUNIO-18 '!I588</f>
        <v>0</v>
      </c>
      <c r="H601" s="51"/>
      <c r="I601" s="17">
        <f t="shared" si="11"/>
        <v>0</v>
      </c>
      <c r="J601" s="56"/>
      <c r="K601" s="337"/>
    </row>
    <row r="602" spans="1:11" ht="29.25">
      <c r="A602" s="11">
        <v>54118</v>
      </c>
      <c r="B602" s="53" t="s">
        <v>727</v>
      </c>
      <c r="C602" s="13"/>
      <c r="D602" s="14" t="s">
        <v>18</v>
      </c>
      <c r="E602" s="14" t="s">
        <v>28</v>
      </c>
      <c r="F602" s="14" t="s">
        <v>27</v>
      </c>
      <c r="G602" s="17">
        <f>'JUNIO-18 '!I589</f>
        <v>0</v>
      </c>
      <c r="H602" s="51"/>
      <c r="I602" s="17">
        <f t="shared" si="11"/>
        <v>0</v>
      </c>
      <c r="J602" s="56"/>
      <c r="K602" s="337"/>
    </row>
    <row r="603" spans="1:11" ht="29.25">
      <c r="A603" s="11">
        <v>54313</v>
      </c>
      <c r="B603" s="53" t="s">
        <v>728</v>
      </c>
      <c r="C603" s="13"/>
      <c r="D603" s="14" t="s">
        <v>18</v>
      </c>
      <c r="E603" s="14" t="s">
        <v>28</v>
      </c>
      <c r="F603" s="14" t="s">
        <v>27</v>
      </c>
      <c r="G603" s="17">
        <f>'JUNIO-18 '!I590</f>
        <v>0</v>
      </c>
      <c r="H603" s="51"/>
      <c r="I603" s="17">
        <f t="shared" si="11"/>
        <v>0</v>
      </c>
      <c r="J603" s="56"/>
      <c r="K603" s="337"/>
    </row>
    <row r="604" spans="1:11" ht="30">
      <c r="A604" s="11">
        <v>54399</v>
      </c>
      <c r="B604" s="53" t="s">
        <v>729</v>
      </c>
      <c r="C604" s="13"/>
      <c r="D604" s="14" t="s">
        <v>18</v>
      </c>
      <c r="E604" s="14" t="s">
        <v>28</v>
      </c>
      <c r="F604" s="14" t="s">
        <v>27</v>
      </c>
      <c r="G604" s="17">
        <f>'JUNIO-18 '!I591</f>
        <v>0</v>
      </c>
      <c r="H604" s="51"/>
      <c r="I604" s="17">
        <f t="shared" si="11"/>
        <v>0</v>
      </c>
      <c r="J604" s="56"/>
      <c r="K604" s="337"/>
    </row>
    <row r="605" spans="1:11" ht="29.25">
      <c r="A605" s="11">
        <v>55603</v>
      </c>
      <c r="B605" s="53" t="s">
        <v>730</v>
      </c>
      <c r="C605" s="13"/>
      <c r="D605" s="14" t="s">
        <v>18</v>
      </c>
      <c r="E605" s="14" t="s">
        <v>28</v>
      </c>
      <c r="F605" s="14" t="s">
        <v>27</v>
      </c>
      <c r="G605" s="17">
        <f>'JUNIO-18 '!I592</f>
        <v>0</v>
      </c>
      <c r="H605" s="51"/>
      <c r="I605" s="17">
        <f t="shared" si="11"/>
        <v>0</v>
      </c>
      <c r="J605" s="56"/>
      <c r="K605" s="337"/>
    </row>
    <row r="606" spans="1:11" ht="90">
      <c r="A606" s="141" t="s">
        <v>429</v>
      </c>
      <c r="B606" s="53" t="s">
        <v>731</v>
      </c>
      <c r="C606" s="13"/>
      <c r="D606" s="14"/>
      <c r="E606" s="14"/>
      <c r="F606" s="14"/>
      <c r="G606" s="17">
        <f>'JUNIO-18 '!I593</f>
        <v>0</v>
      </c>
      <c r="H606" s="51"/>
      <c r="I606" s="17"/>
      <c r="J606" s="56"/>
      <c r="K606" s="56"/>
    </row>
    <row r="607" spans="1:11">
      <c r="A607" s="11">
        <v>51202</v>
      </c>
      <c r="B607" s="53" t="s">
        <v>732</v>
      </c>
      <c r="C607" s="13"/>
      <c r="D607" s="14" t="s">
        <v>18</v>
      </c>
      <c r="E607" s="14" t="s">
        <v>28</v>
      </c>
      <c r="F607" s="14" t="s">
        <v>27</v>
      </c>
      <c r="G607" s="17">
        <f>'JUNIO-18 '!I594</f>
        <v>12190</v>
      </c>
      <c r="H607" s="51"/>
      <c r="I607" s="17">
        <f t="shared" si="11"/>
        <v>12190</v>
      </c>
      <c r="J607" s="56"/>
      <c r="K607" s="56"/>
    </row>
    <row r="608" spans="1:11" ht="29.25">
      <c r="A608" s="11">
        <v>54110</v>
      </c>
      <c r="B608" s="53" t="s">
        <v>733</v>
      </c>
      <c r="C608" s="13"/>
      <c r="D608" s="14" t="s">
        <v>18</v>
      </c>
      <c r="E608" s="14" t="s">
        <v>28</v>
      </c>
      <c r="F608" s="14" t="s">
        <v>27</v>
      </c>
      <c r="G608" s="17">
        <f>'JUNIO-18 '!I595</f>
        <v>300</v>
      </c>
      <c r="H608" s="51"/>
      <c r="I608" s="17">
        <f t="shared" si="11"/>
        <v>300</v>
      </c>
      <c r="J608" s="56"/>
      <c r="K608" s="56"/>
    </row>
    <row r="609" spans="1:11" ht="29.25">
      <c r="A609" s="11">
        <v>54111</v>
      </c>
      <c r="B609" s="53" t="s">
        <v>734</v>
      </c>
      <c r="C609" s="13"/>
      <c r="D609" s="14" t="s">
        <v>18</v>
      </c>
      <c r="E609" s="14" t="s">
        <v>28</v>
      </c>
      <c r="F609" s="14" t="s">
        <v>27</v>
      </c>
      <c r="G609" s="17">
        <f>'JUNIO-18 '!I596</f>
        <v>15000</v>
      </c>
      <c r="H609" s="51"/>
      <c r="I609" s="17">
        <f t="shared" si="11"/>
        <v>15000</v>
      </c>
      <c r="J609" s="56"/>
      <c r="K609" s="56"/>
    </row>
    <row r="610" spans="1:11" ht="29.25">
      <c r="A610" s="11">
        <v>54112</v>
      </c>
      <c r="B610" s="53" t="s">
        <v>735</v>
      </c>
      <c r="C610" s="13"/>
      <c r="D610" s="14" t="s">
        <v>18</v>
      </c>
      <c r="E610" s="14" t="s">
        <v>28</v>
      </c>
      <c r="F610" s="14" t="s">
        <v>27</v>
      </c>
      <c r="G610" s="17">
        <f>'JUNIO-18 '!I597</f>
        <v>8000</v>
      </c>
      <c r="H610" s="51"/>
      <c r="I610" s="17">
        <f t="shared" si="11"/>
        <v>8000</v>
      </c>
      <c r="J610" s="56"/>
      <c r="K610" s="56"/>
    </row>
    <row r="611" spans="1:11" ht="29.25">
      <c r="A611" s="11">
        <v>54118</v>
      </c>
      <c r="B611" s="53" t="s">
        <v>736</v>
      </c>
      <c r="C611" s="13"/>
      <c r="D611" s="14" t="s">
        <v>18</v>
      </c>
      <c r="E611" s="14" t="s">
        <v>28</v>
      </c>
      <c r="F611" s="14" t="s">
        <v>27</v>
      </c>
      <c r="G611" s="17">
        <f>'JUNIO-18 '!I598</f>
        <v>7000</v>
      </c>
      <c r="H611" s="51"/>
      <c r="I611" s="17">
        <f t="shared" si="11"/>
        <v>7000</v>
      </c>
      <c r="J611" s="56"/>
      <c r="K611" s="56"/>
    </row>
    <row r="612" spans="1:11" ht="29.25">
      <c r="A612" s="11">
        <v>54304</v>
      </c>
      <c r="B612" s="53" t="s">
        <v>737</v>
      </c>
      <c r="C612" s="13"/>
      <c r="D612" s="14" t="s">
        <v>18</v>
      </c>
      <c r="E612" s="14" t="s">
        <v>28</v>
      </c>
      <c r="F612" s="14" t="s">
        <v>27</v>
      </c>
      <c r="G612" s="17">
        <f>'JUNIO-18 '!I599</f>
        <v>2000</v>
      </c>
      <c r="H612" s="51"/>
      <c r="I612" s="17">
        <f t="shared" si="11"/>
        <v>2000</v>
      </c>
      <c r="J612" s="56"/>
      <c r="K612" s="56"/>
    </row>
    <row r="613" spans="1:11" ht="30">
      <c r="A613" s="11">
        <v>54313</v>
      </c>
      <c r="B613" s="53" t="s">
        <v>738</v>
      </c>
      <c r="C613" s="13"/>
      <c r="D613" s="14" t="s">
        <v>18</v>
      </c>
      <c r="E613" s="14" t="s">
        <v>28</v>
      </c>
      <c r="F613" s="14" t="s">
        <v>27</v>
      </c>
      <c r="G613" s="17">
        <f>'JUNIO-18 '!I600</f>
        <v>300</v>
      </c>
      <c r="H613" s="51"/>
      <c r="I613" s="17">
        <f t="shared" si="11"/>
        <v>300</v>
      </c>
      <c r="J613" s="56"/>
      <c r="K613" s="56"/>
    </row>
    <row r="614" spans="1:11" ht="29.25">
      <c r="A614" s="11">
        <v>54399</v>
      </c>
      <c r="B614" s="53" t="s">
        <v>739</v>
      </c>
      <c r="C614" s="13"/>
      <c r="D614" s="14" t="s">
        <v>18</v>
      </c>
      <c r="E614" s="14" t="s">
        <v>28</v>
      </c>
      <c r="F614" s="14" t="s">
        <v>27</v>
      </c>
      <c r="G614" s="17">
        <f>'JUNIO-18 '!I601</f>
        <v>200</v>
      </c>
      <c r="H614" s="51"/>
      <c r="I614" s="17">
        <f t="shared" si="11"/>
        <v>200</v>
      </c>
      <c r="J614" s="56"/>
      <c r="K614" s="56"/>
    </row>
    <row r="615" spans="1:11" ht="29.25">
      <c r="A615" s="11">
        <v>55603</v>
      </c>
      <c r="B615" s="53" t="s">
        <v>740</v>
      </c>
      <c r="C615" s="13"/>
      <c r="D615" s="14" t="s">
        <v>18</v>
      </c>
      <c r="E615" s="14" t="s">
        <v>28</v>
      </c>
      <c r="F615" s="14" t="s">
        <v>27</v>
      </c>
      <c r="G615" s="17">
        <f>'JUNIO-18 '!I602</f>
        <v>10</v>
      </c>
      <c r="H615" s="51"/>
      <c r="I615" s="17">
        <f t="shared" si="11"/>
        <v>10</v>
      </c>
      <c r="J615" s="56"/>
      <c r="K615" s="56"/>
    </row>
    <row r="616" spans="1:11" ht="75">
      <c r="A616" s="144" t="s">
        <v>437</v>
      </c>
      <c r="B616" s="53" t="s">
        <v>742</v>
      </c>
      <c r="C616" s="13"/>
      <c r="D616" s="14"/>
      <c r="E616" s="14"/>
      <c r="F616" s="14"/>
      <c r="G616" s="17">
        <f>'JUNIO-18 '!I603</f>
        <v>0</v>
      </c>
      <c r="H616" s="51"/>
      <c r="I616" s="17"/>
      <c r="J616" s="56"/>
      <c r="K616" s="56"/>
    </row>
    <row r="617" spans="1:11" ht="29.25">
      <c r="A617" s="11">
        <v>51202</v>
      </c>
      <c r="B617" s="53" t="s">
        <v>743</v>
      </c>
      <c r="C617" s="13"/>
      <c r="D617" s="14" t="s">
        <v>18</v>
      </c>
      <c r="E617" s="14" t="s">
        <v>28</v>
      </c>
      <c r="F617" s="14" t="s">
        <v>27</v>
      </c>
      <c r="G617" s="17">
        <f>'JUNIO-18 '!I604</f>
        <v>0</v>
      </c>
      <c r="H617" s="51"/>
      <c r="I617" s="17">
        <f t="shared" si="11"/>
        <v>0</v>
      </c>
      <c r="J617" s="56"/>
      <c r="K617" s="337"/>
    </row>
    <row r="618" spans="1:11" ht="29.25">
      <c r="A618" s="11">
        <v>54110</v>
      </c>
      <c r="B618" s="53" t="s">
        <v>744</v>
      </c>
      <c r="C618" s="13"/>
      <c r="D618" s="14" t="s">
        <v>18</v>
      </c>
      <c r="E618" s="14" t="s">
        <v>28</v>
      </c>
      <c r="F618" s="14" t="s">
        <v>27</v>
      </c>
      <c r="G618" s="17">
        <f>'JUNIO-18 '!I605</f>
        <v>0</v>
      </c>
      <c r="H618" s="51"/>
      <c r="I618" s="17">
        <f t="shared" si="11"/>
        <v>0</v>
      </c>
      <c r="J618" s="56"/>
      <c r="K618" s="337"/>
    </row>
    <row r="619" spans="1:11" ht="43.5">
      <c r="A619" s="11">
        <v>54111</v>
      </c>
      <c r="B619" s="53" t="s">
        <v>745</v>
      </c>
      <c r="C619" s="13"/>
      <c r="D619" s="14" t="s">
        <v>18</v>
      </c>
      <c r="E619" s="14" t="s">
        <v>28</v>
      </c>
      <c r="F619" s="14" t="s">
        <v>27</v>
      </c>
      <c r="G619" s="17">
        <f>'JUNIO-18 '!I606</f>
        <v>0</v>
      </c>
      <c r="H619" s="51"/>
      <c r="I619" s="17">
        <f t="shared" si="11"/>
        <v>0</v>
      </c>
      <c r="J619" s="56"/>
      <c r="K619" s="337"/>
    </row>
    <row r="620" spans="1:11" ht="43.5">
      <c r="A620" s="11">
        <v>54118</v>
      </c>
      <c r="B620" s="53" t="s">
        <v>746</v>
      </c>
      <c r="C620" s="13"/>
      <c r="D620" s="14" t="s">
        <v>18</v>
      </c>
      <c r="E620" s="14" t="s">
        <v>28</v>
      </c>
      <c r="F620" s="14" t="s">
        <v>27</v>
      </c>
      <c r="G620" s="17">
        <f>'JUNIO-18 '!I607</f>
        <v>2366.81</v>
      </c>
      <c r="H620" s="51"/>
      <c r="I620" s="17">
        <f t="shared" si="11"/>
        <v>2366.81</v>
      </c>
      <c r="J620" s="56"/>
      <c r="K620" s="337"/>
    </row>
    <row r="621" spans="1:11" ht="43.5">
      <c r="A621" s="11">
        <v>54313</v>
      </c>
      <c r="B621" s="53" t="s">
        <v>747</v>
      </c>
      <c r="C621" s="13"/>
      <c r="D621" s="14" t="s">
        <v>18</v>
      </c>
      <c r="E621" s="14" t="s">
        <v>28</v>
      </c>
      <c r="F621" s="14" t="s">
        <v>27</v>
      </c>
      <c r="G621" s="17">
        <f>'JUNIO-18 '!I608</f>
        <v>0</v>
      </c>
      <c r="H621" s="51"/>
      <c r="I621" s="17">
        <f t="shared" si="11"/>
        <v>0</v>
      </c>
      <c r="J621" s="56"/>
      <c r="K621" s="337"/>
    </row>
    <row r="622" spans="1:11" ht="44.25">
      <c r="A622" s="11">
        <v>54399</v>
      </c>
      <c r="B622" s="53" t="s">
        <v>748</v>
      </c>
      <c r="C622" s="13"/>
      <c r="D622" s="14" t="s">
        <v>18</v>
      </c>
      <c r="E622" s="14" t="s">
        <v>28</v>
      </c>
      <c r="F622" s="14" t="s">
        <v>27</v>
      </c>
      <c r="G622" s="17">
        <f>'JUNIO-18 '!I609</f>
        <v>0</v>
      </c>
      <c r="H622" s="51"/>
      <c r="I622" s="17">
        <f t="shared" si="11"/>
        <v>0</v>
      </c>
      <c r="J622" s="56"/>
      <c r="K622" s="337"/>
    </row>
    <row r="623" spans="1:11" ht="29.25">
      <c r="A623" s="11">
        <v>55603</v>
      </c>
      <c r="B623" s="53" t="s">
        <v>749</v>
      </c>
      <c r="C623" s="13"/>
      <c r="D623" s="14" t="s">
        <v>18</v>
      </c>
      <c r="E623" s="14" t="s">
        <v>28</v>
      </c>
      <c r="F623" s="14" t="s">
        <v>27</v>
      </c>
      <c r="G623" s="17">
        <f>'JUNIO-18 '!I610</f>
        <v>10</v>
      </c>
      <c r="H623" s="51"/>
      <c r="I623" s="17">
        <f t="shared" si="11"/>
        <v>10</v>
      </c>
      <c r="J623" s="56"/>
      <c r="K623" s="56"/>
    </row>
    <row r="624" spans="1:11">
      <c r="A624" s="11"/>
      <c r="B624" s="54"/>
      <c r="C624" s="13"/>
      <c r="D624" s="14"/>
      <c r="E624" s="14"/>
      <c r="F624" s="14"/>
      <c r="G624" s="17">
        <f>'JUNIO-18 '!I611</f>
        <v>0</v>
      </c>
      <c r="H624" s="51"/>
      <c r="I624" s="17"/>
      <c r="J624" s="56"/>
      <c r="K624" s="56"/>
    </row>
    <row r="625" spans="1:11" ht="60">
      <c r="A625" s="141" t="s">
        <v>443</v>
      </c>
      <c r="B625" s="53" t="s">
        <v>750</v>
      </c>
      <c r="C625" s="13"/>
      <c r="D625" s="14"/>
      <c r="E625" s="14"/>
      <c r="F625" s="14"/>
      <c r="G625" s="17">
        <f>'JUNIO-18 '!I612</f>
        <v>0</v>
      </c>
      <c r="H625" s="51"/>
      <c r="I625" s="17"/>
      <c r="J625" s="56"/>
      <c r="K625" s="56"/>
    </row>
    <row r="626" spans="1:11" ht="29.25">
      <c r="A626" s="11">
        <v>51202</v>
      </c>
      <c r="B626" s="53" t="s">
        <v>741</v>
      </c>
      <c r="C626" s="13"/>
      <c r="D626" s="14" t="s">
        <v>18</v>
      </c>
      <c r="E626" s="14" t="s">
        <v>28</v>
      </c>
      <c r="F626" s="14" t="s">
        <v>27</v>
      </c>
      <c r="G626" s="17">
        <f>'JUNIO-18 '!I613</f>
        <v>3000</v>
      </c>
      <c r="H626" s="51"/>
      <c r="I626" s="17">
        <f t="shared" ref="I626:I692" si="12">G626-H626+J626-K626</f>
        <v>3000</v>
      </c>
      <c r="J626" s="56"/>
      <c r="K626" s="56"/>
    </row>
    <row r="627" spans="1:11" ht="29.25">
      <c r="A627" s="11">
        <v>54110</v>
      </c>
      <c r="B627" s="53" t="s">
        <v>751</v>
      </c>
      <c r="C627" s="13"/>
      <c r="D627" s="14" t="s">
        <v>18</v>
      </c>
      <c r="E627" s="14" t="s">
        <v>28</v>
      </c>
      <c r="F627" s="14" t="s">
        <v>27</v>
      </c>
      <c r="G627" s="17">
        <f>'JUNIO-18 '!I614</f>
        <v>100</v>
      </c>
      <c r="H627" s="51"/>
      <c r="I627" s="17">
        <f t="shared" si="12"/>
        <v>100</v>
      </c>
      <c r="J627" s="56"/>
      <c r="K627" s="56"/>
    </row>
    <row r="628" spans="1:11" ht="43.5">
      <c r="A628" s="11">
        <v>54111</v>
      </c>
      <c r="B628" s="53" t="s">
        <v>752</v>
      </c>
      <c r="C628" s="13"/>
      <c r="D628" s="14" t="s">
        <v>18</v>
      </c>
      <c r="E628" s="14" t="s">
        <v>28</v>
      </c>
      <c r="F628" s="14" t="s">
        <v>27</v>
      </c>
      <c r="G628" s="17">
        <f>'JUNIO-18 '!I615</f>
        <v>2000</v>
      </c>
      <c r="H628" s="51"/>
      <c r="I628" s="17">
        <f t="shared" si="12"/>
        <v>2000</v>
      </c>
      <c r="J628" s="56"/>
      <c r="K628" s="56"/>
    </row>
    <row r="629" spans="1:11" ht="29.25">
      <c r="A629" s="11">
        <v>54118</v>
      </c>
      <c r="B629" s="53" t="s">
        <v>753</v>
      </c>
      <c r="C629" s="13"/>
      <c r="D629" s="14" t="s">
        <v>18</v>
      </c>
      <c r="E629" s="14" t="s">
        <v>28</v>
      </c>
      <c r="F629" s="14" t="s">
        <v>27</v>
      </c>
      <c r="G629" s="17">
        <f>'JUNIO-18 '!I616</f>
        <v>290</v>
      </c>
      <c r="H629" s="51"/>
      <c r="I629" s="17">
        <f t="shared" si="12"/>
        <v>290</v>
      </c>
      <c r="J629" s="56"/>
      <c r="K629" s="56"/>
    </row>
    <row r="630" spans="1:11" ht="29.25">
      <c r="A630" s="11">
        <v>54304</v>
      </c>
      <c r="B630" s="53" t="s">
        <v>754</v>
      </c>
      <c r="C630" s="13"/>
      <c r="D630" s="14" t="s">
        <v>18</v>
      </c>
      <c r="E630" s="14" t="s">
        <v>28</v>
      </c>
      <c r="F630" s="14" t="s">
        <v>27</v>
      </c>
      <c r="G630" s="17">
        <f>'JUNIO-18 '!I617</f>
        <v>100</v>
      </c>
      <c r="H630" s="51"/>
      <c r="I630" s="17">
        <f t="shared" si="12"/>
        <v>100</v>
      </c>
      <c r="J630" s="56"/>
      <c r="K630" s="56"/>
    </row>
    <row r="631" spans="1:11" ht="29.25">
      <c r="A631" s="11">
        <v>54313</v>
      </c>
      <c r="B631" s="53" t="s">
        <v>755</v>
      </c>
      <c r="C631" s="13"/>
      <c r="D631" s="14" t="s">
        <v>18</v>
      </c>
      <c r="E631" s="14" t="s">
        <v>28</v>
      </c>
      <c r="F631" s="14" t="s">
        <v>27</v>
      </c>
      <c r="G631" s="17">
        <f>'JUNIO-18 '!I618</f>
        <v>300</v>
      </c>
      <c r="H631" s="17"/>
      <c r="I631" s="17">
        <f t="shared" si="12"/>
        <v>300</v>
      </c>
      <c r="J631" s="56"/>
      <c r="K631" s="56"/>
    </row>
    <row r="632" spans="1:11" ht="43.5">
      <c r="A632" s="11">
        <v>54399</v>
      </c>
      <c r="B632" s="53" t="s">
        <v>756</v>
      </c>
      <c r="C632" s="13"/>
      <c r="D632" s="14" t="s">
        <v>18</v>
      </c>
      <c r="E632" s="14" t="s">
        <v>28</v>
      </c>
      <c r="F632" s="14" t="s">
        <v>27</v>
      </c>
      <c r="G632" s="17">
        <f>'JUNIO-18 '!I619</f>
        <v>200</v>
      </c>
      <c r="H632" s="51"/>
      <c r="I632" s="17">
        <f t="shared" si="12"/>
        <v>200</v>
      </c>
      <c r="J632" s="56"/>
      <c r="K632" s="56"/>
    </row>
    <row r="633" spans="1:11" ht="29.25">
      <c r="A633" s="11">
        <v>55603</v>
      </c>
      <c r="B633" s="53" t="s">
        <v>757</v>
      </c>
      <c r="C633" s="13"/>
      <c r="D633" s="14" t="s">
        <v>18</v>
      </c>
      <c r="E633" s="14" t="s">
        <v>28</v>
      </c>
      <c r="F633" s="14" t="s">
        <v>27</v>
      </c>
      <c r="G633" s="17">
        <f>'JUNIO-18 '!I620</f>
        <v>10</v>
      </c>
      <c r="H633" s="51"/>
      <c r="I633" s="17">
        <f t="shared" si="12"/>
        <v>10</v>
      </c>
      <c r="J633" s="56"/>
      <c r="K633" s="56"/>
    </row>
    <row r="634" spans="1:11" ht="60">
      <c r="A634" s="141" t="s">
        <v>451</v>
      </c>
      <c r="B634" s="53" t="s">
        <v>758</v>
      </c>
      <c r="C634" s="13"/>
      <c r="D634" s="14"/>
      <c r="E634" s="14"/>
      <c r="F634" s="14"/>
      <c r="G634" s="17">
        <f>'JUNIO-18 '!I621</f>
        <v>0</v>
      </c>
      <c r="H634" s="51"/>
      <c r="I634" s="17"/>
      <c r="J634" s="56"/>
      <c r="K634" s="56"/>
    </row>
    <row r="635" spans="1:11" ht="29.25">
      <c r="A635" s="11">
        <v>51202</v>
      </c>
      <c r="B635" s="54" t="s">
        <v>759</v>
      </c>
      <c r="C635" s="13"/>
      <c r="D635" s="14" t="s">
        <v>18</v>
      </c>
      <c r="E635" s="14" t="s">
        <v>28</v>
      </c>
      <c r="F635" s="14" t="s">
        <v>27</v>
      </c>
      <c r="G635" s="17">
        <f>'JUNIO-18 '!I622</f>
        <v>0</v>
      </c>
      <c r="H635" s="51"/>
      <c r="I635" s="17">
        <f t="shared" si="12"/>
        <v>0</v>
      </c>
      <c r="J635" s="56"/>
      <c r="K635" s="142"/>
    </row>
    <row r="636" spans="1:11" ht="29.25">
      <c r="A636" s="11">
        <v>54110</v>
      </c>
      <c r="B636" s="54" t="s">
        <v>760</v>
      </c>
      <c r="C636" s="13"/>
      <c r="D636" s="14" t="s">
        <v>18</v>
      </c>
      <c r="E636" s="14" t="s">
        <v>28</v>
      </c>
      <c r="F636" s="14" t="s">
        <v>27</v>
      </c>
      <c r="G636" s="17">
        <f>'JUNIO-18 '!I623</f>
        <v>0</v>
      </c>
      <c r="H636" s="51"/>
      <c r="I636" s="17">
        <f t="shared" si="12"/>
        <v>0</v>
      </c>
      <c r="J636" s="56"/>
      <c r="K636" s="142"/>
    </row>
    <row r="637" spans="1:11" ht="41.25" customHeight="1">
      <c r="A637" s="11">
        <v>54111</v>
      </c>
      <c r="B637" s="54" t="s">
        <v>761</v>
      </c>
      <c r="C637" s="13"/>
      <c r="D637" s="14" t="s">
        <v>18</v>
      </c>
      <c r="E637" s="14" t="s">
        <v>28</v>
      </c>
      <c r="F637" s="14" t="s">
        <v>27</v>
      </c>
      <c r="G637" s="17">
        <f>'JUNIO-18 '!I624</f>
        <v>0</v>
      </c>
      <c r="H637" s="51"/>
      <c r="I637" s="17">
        <f t="shared" si="12"/>
        <v>0</v>
      </c>
      <c r="J637" s="56"/>
      <c r="K637" s="142"/>
    </row>
    <row r="638" spans="1:11" ht="30" customHeight="1">
      <c r="A638" s="11">
        <v>54118</v>
      </c>
      <c r="B638" s="54" t="s">
        <v>762</v>
      </c>
      <c r="C638" s="13"/>
      <c r="D638" s="14" t="s">
        <v>18</v>
      </c>
      <c r="E638" s="14" t="s">
        <v>28</v>
      </c>
      <c r="F638" s="14" t="s">
        <v>27</v>
      </c>
      <c r="G638" s="17">
        <f>'JUNIO-18 '!I625</f>
        <v>0</v>
      </c>
      <c r="H638" s="51"/>
      <c r="I638" s="17">
        <f t="shared" si="12"/>
        <v>0</v>
      </c>
      <c r="J638" s="56"/>
      <c r="K638" s="142"/>
    </row>
    <row r="639" spans="1:11" ht="29.25">
      <c r="A639" s="11">
        <v>54313</v>
      </c>
      <c r="B639" s="54" t="s">
        <v>763</v>
      </c>
      <c r="C639" s="13"/>
      <c r="D639" s="14" t="s">
        <v>18</v>
      </c>
      <c r="E639" s="14" t="s">
        <v>28</v>
      </c>
      <c r="F639" s="14" t="s">
        <v>27</v>
      </c>
      <c r="G639" s="17">
        <f>'JUNIO-18 '!I626</f>
        <v>0</v>
      </c>
      <c r="H639" s="51"/>
      <c r="I639" s="17">
        <f t="shared" si="12"/>
        <v>0</v>
      </c>
      <c r="J639" s="56"/>
      <c r="K639" s="142"/>
    </row>
    <row r="640" spans="1:11" ht="44.25">
      <c r="A640" s="11">
        <v>54399</v>
      </c>
      <c r="B640" s="54" t="s">
        <v>764</v>
      </c>
      <c r="C640" s="13"/>
      <c r="D640" s="14" t="s">
        <v>18</v>
      </c>
      <c r="E640" s="14" t="s">
        <v>28</v>
      </c>
      <c r="F640" s="14" t="s">
        <v>27</v>
      </c>
      <c r="G640" s="17">
        <f>'JUNIO-18 '!I627</f>
        <v>0</v>
      </c>
      <c r="H640" s="51"/>
      <c r="I640" s="17">
        <f t="shared" si="12"/>
        <v>0</v>
      </c>
      <c r="J640" s="56"/>
      <c r="K640" s="142"/>
    </row>
    <row r="641" spans="1:11" ht="29.25">
      <c r="A641" s="11">
        <v>55603</v>
      </c>
      <c r="B641" s="54" t="s">
        <v>765</v>
      </c>
      <c r="C641" s="13"/>
      <c r="D641" s="14" t="s">
        <v>18</v>
      </c>
      <c r="E641" s="14" t="s">
        <v>28</v>
      </c>
      <c r="F641" s="14" t="s">
        <v>27</v>
      </c>
      <c r="G641" s="17">
        <f>'JUNIO-18 '!I628</f>
        <v>0</v>
      </c>
      <c r="H641" s="51"/>
      <c r="I641" s="17">
        <f t="shared" si="12"/>
        <v>0</v>
      </c>
      <c r="J641" s="56"/>
      <c r="K641" s="142"/>
    </row>
    <row r="642" spans="1:11" ht="78.75" customHeight="1">
      <c r="A642" s="141" t="s">
        <v>459</v>
      </c>
      <c r="B642" s="53" t="s">
        <v>766</v>
      </c>
      <c r="C642" s="13"/>
      <c r="D642" s="14"/>
      <c r="E642" s="14"/>
      <c r="F642" s="14"/>
      <c r="G642" s="17">
        <f>'JUNIO-18 '!I629</f>
        <v>0</v>
      </c>
      <c r="H642" s="51"/>
      <c r="I642" s="17"/>
      <c r="J642" s="56"/>
      <c r="K642" s="56"/>
    </row>
    <row r="643" spans="1:11" ht="29.25">
      <c r="A643" s="11">
        <v>51202</v>
      </c>
      <c r="B643" s="54" t="s">
        <v>767</v>
      </c>
      <c r="C643" s="13"/>
      <c r="D643" s="14" t="s">
        <v>18</v>
      </c>
      <c r="E643" s="14" t="s">
        <v>28</v>
      </c>
      <c r="F643" s="14" t="s">
        <v>27</v>
      </c>
      <c r="G643" s="17">
        <f>'JUNIO-18 '!I630</f>
        <v>0</v>
      </c>
      <c r="H643" s="51"/>
      <c r="I643" s="17">
        <f t="shared" si="12"/>
        <v>0</v>
      </c>
      <c r="J643" s="56"/>
      <c r="K643" s="137"/>
    </row>
    <row r="644" spans="1:11" ht="29.25">
      <c r="A644" s="11">
        <v>54110</v>
      </c>
      <c r="B644" s="54" t="s">
        <v>768</v>
      </c>
      <c r="C644" s="13"/>
      <c r="D644" s="14" t="s">
        <v>18</v>
      </c>
      <c r="E644" s="14" t="s">
        <v>28</v>
      </c>
      <c r="F644" s="14" t="s">
        <v>27</v>
      </c>
      <c r="G644" s="17">
        <f>'JUNIO-18 '!I631</f>
        <v>0</v>
      </c>
      <c r="H644" s="51"/>
      <c r="I644" s="17">
        <f t="shared" si="12"/>
        <v>0</v>
      </c>
      <c r="J644" s="56"/>
      <c r="K644" s="137"/>
    </row>
    <row r="645" spans="1:11" ht="43.5">
      <c r="A645" s="11">
        <v>54111</v>
      </c>
      <c r="B645" s="54" t="s">
        <v>769</v>
      </c>
      <c r="C645" s="13"/>
      <c r="D645" s="14" t="s">
        <v>18</v>
      </c>
      <c r="E645" s="14" t="s">
        <v>28</v>
      </c>
      <c r="F645" s="14" t="s">
        <v>27</v>
      </c>
      <c r="G645" s="17">
        <f>'JUNIO-18 '!I632</f>
        <v>0</v>
      </c>
      <c r="H645" s="51"/>
      <c r="I645" s="17">
        <f t="shared" si="12"/>
        <v>0</v>
      </c>
      <c r="J645" s="56"/>
      <c r="K645" s="137"/>
    </row>
    <row r="646" spans="1:11" ht="43.5">
      <c r="A646" s="11">
        <v>54118</v>
      </c>
      <c r="B646" s="54" t="s">
        <v>770</v>
      </c>
      <c r="C646" s="13"/>
      <c r="D646" s="14" t="s">
        <v>18</v>
      </c>
      <c r="E646" s="14" t="s">
        <v>28</v>
      </c>
      <c r="F646" s="14" t="s">
        <v>27</v>
      </c>
      <c r="G646" s="17">
        <f>'JUNIO-18 '!I633</f>
        <v>0</v>
      </c>
      <c r="H646" s="51"/>
      <c r="I646" s="17">
        <f t="shared" si="12"/>
        <v>0</v>
      </c>
      <c r="J646" s="56"/>
      <c r="K646" s="137"/>
    </row>
    <row r="647" spans="1:11" ht="44.25">
      <c r="A647" s="11">
        <v>54313</v>
      </c>
      <c r="B647" s="54" t="s">
        <v>771</v>
      </c>
      <c r="C647" s="13"/>
      <c r="D647" s="14" t="s">
        <v>18</v>
      </c>
      <c r="E647" s="14" t="s">
        <v>28</v>
      </c>
      <c r="F647" s="14" t="s">
        <v>27</v>
      </c>
      <c r="G647" s="17">
        <f>'JUNIO-18 '!I634</f>
        <v>0</v>
      </c>
      <c r="H647" s="51"/>
      <c r="I647" s="17">
        <f t="shared" si="12"/>
        <v>0</v>
      </c>
      <c r="J647" s="56"/>
      <c r="K647" s="137"/>
    </row>
    <row r="648" spans="1:11" ht="43.5">
      <c r="A648" s="11">
        <v>54399</v>
      </c>
      <c r="B648" s="54" t="s">
        <v>772</v>
      </c>
      <c r="C648" s="13"/>
      <c r="D648" s="14" t="s">
        <v>18</v>
      </c>
      <c r="E648" s="14" t="s">
        <v>28</v>
      </c>
      <c r="F648" s="14" t="s">
        <v>27</v>
      </c>
      <c r="G648" s="17">
        <f>'JUNIO-18 '!I635</f>
        <v>0</v>
      </c>
      <c r="H648" s="51"/>
      <c r="I648" s="17">
        <f t="shared" si="12"/>
        <v>0</v>
      </c>
      <c r="J648" s="56"/>
      <c r="K648" s="137"/>
    </row>
    <row r="649" spans="1:11" ht="43.5">
      <c r="A649" s="11">
        <v>55603</v>
      </c>
      <c r="B649" s="54" t="s">
        <v>773</v>
      </c>
      <c r="C649" s="13"/>
      <c r="D649" s="14" t="s">
        <v>18</v>
      </c>
      <c r="E649" s="14" t="s">
        <v>28</v>
      </c>
      <c r="F649" s="14" t="s">
        <v>27</v>
      </c>
      <c r="G649" s="17">
        <f>'JUNIO-18 '!I636</f>
        <v>0</v>
      </c>
      <c r="H649" s="51"/>
      <c r="I649" s="17">
        <f t="shared" si="12"/>
        <v>0</v>
      </c>
      <c r="J649" s="56"/>
      <c r="K649" s="137"/>
    </row>
    <row r="650" spans="1:11" ht="74.25">
      <c r="A650" s="141" t="s">
        <v>461</v>
      </c>
      <c r="B650" s="53" t="s">
        <v>774</v>
      </c>
      <c r="C650" s="13"/>
      <c r="D650" s="14"/>
      <c r="E650" s="14"/>
      <c r="F650" s="14"/>
      <c r="G650" s="17">
        <f>'JUNIO-18 '!I637</f>
        <v>0</v>
      </c>
      <c r="H650" s="51"/>
      <c r="I650" s="17"/>
      <c r="J650" s="56"/>
      <c r="K650" s="56"/>
    </row>
    <row r="651" spans="1:11" ht="29.25">
      <c r="A651" s="11">
        <v>51202</v>
      </c>
      <c r="B651" s="54" t="s">
        <v>775</v>
      </c>
      <c r="C651" s="13"/>
      <c r="D651" s="14" t="s">
        <v>18</v>
      </c>
      <c r="E651" s="14" t="s">
        <v>28</v>
      </c>
      <c r="F651" s="14" t="s">
        <v>27</v>
      </c>
      <c r="G651" s="17">
        <f>'JUNIO-18 '!I638</f>
        <v>7000</v>
      </c>
      <c r="H651" s="51"/>
      <c r="I651" s="17">
        <f t="shared" si="12"/>
        <v>7000</v>
      </c>
      <c r="J651" s="56"/>
      <c r="K651" s="56"/>
    </row>
    <row r="652" spans="1:11" ht="29.25">
      <c r="A652" s="11">
        <v>54110</v>
      </c>
      <c r="B652" s="54" t="s">
        <v>776</v>
      </c>
      <c r="C652" s="13"/>
      <c r="D652" s="14" t="s">
        <v>18</v>
      </c>
      <c r="E652" s="14" t="s">
        <v>28</v>
      </c>
      <c r="F652" s="14" t="s">
        <v>27</v>
      </c>
      <c r="G652" s="17">
        <f>'JUNIO-18 '!I639</f>
        <v>200</v>
      </c>
      <c r="H652" s="51"/>
      <c r="I652" s="17">
        <f t="shared" si="12"/>
        <v>200</v>
      </c>
      <c r="J652" s="56"/>
      <c r="K652" s="56"/>
    </row>
    <row r="653" spans="1:11" ht="44.25">
      <c r="A653" s="11">
        <v>54111</v>
      </c>
      <c r="B653" s="54" t="s">
        <v>777</v>
      </c>
      <c r="C653" s="13"/>
      <c r="D653" s="14" t="s">
        <v>18</v>
      </c>
      <c r="E653" s="14" t="s">
        <v>28</v>
      </c>
      <c r="F653" s="14" t="s">
        <v>27</v>
      </c>
      <c r="G653" s="17">
        <f>'JUNIO-18 '!I640</f>
        <v>9290</v>
      </c>
      <c r="H653" s="51"/>
      <c r="I653" s="17">
        <f t="shared" si="12"/>
        <v>9290</v>
      </c>
      <c r="J653" s="56"/>
      <c r="K653" s="56"/>
    </row>
    <row r="654" spans="1:11" ht="43.5">
      <c r="A654" s="11">
        <v>54118</v>
      </c>
      <c r="B654" s="54" t="s">
        <v>778</v>
      </c>
      <c r="C654" s="13"/>
      <c r="D654" s="14" t="s">
        <v>18</v>
      </c>
      <c r="E654" s="14" t="s">
        <v>28</v>
      </c>
      <c r="F654" s="14" t="s">
        <v>27</v>
      </c>
      <c r="G654" s="17">
        <f>'JUNIO-18 '!I641</f>
        <v>3000</v>
      </c>
      <c r="H654" s="51"/>
      <c r="I654" s="17">
        <f t="shared" si="12"/>
        <v>3000</v>
      </c>
      <c r="J654" s="56"/>
      <c r="K654" s="56"/>
    </row>
    <row r="655" spans="1:11" ht="43.5">
      <c r="A655" s="11">
        <v>54313</v>
      </c>
      <c r="B655" s="54" t="s">
        <v>779</v>
      </c>
      <c r="C655" s="13"/>
      <c r="D655" s="14" t="s">
        <v>18</v>
      </c>
      <c r="E655" s="14" t="s">
        <v>28</v>
      </c>
      <c r="F655" s="14" t="s">
        <v>27</v>
      </c>
      <c r="G655" s="17">
        <f>'JUNIO-18 '!I642</f>
        <v>300</v>
      </c>
      <c r="H655" s="51"/>
      <c r="I655" s="17">
        <f t="shared" si="12"/>
        <v>300</v>
      </c>
      <c r="J655" s="56"/>
      <c r="K655" s="56"/>
    </row>
    <row r="656" spans="1:11" ht="43.5">
      <c r="A656" s="11">
        <v>54399</v>
      </c>
      <c r="B656" s="54" t="s">
        <v>780</v>
      </c>
      <c r="C656" s="13"/>
      <c r="D656" s="14" t="s">
        <v>18</v>
      </c>
      <c r="E656" s="14" t="s">
        <v>28</v>
      </c>
      <c r="F656" s="14" t="s">
        <v>27</v>
      </c>
      <c r="G656" s="17">
        <f>'JUNIO-18 '!I643</f>
        <v>200</v>
      </c>
      <c r="H656" s="51"/>
      <c r="I656" s="17">
        <f t="shared" si="12"/>
        <v>200</v>
      </c>
      <c r="J656" s="56"/>
      <c r="K656" s="56"/>
    </row>
    <row r="657" spans="1:11" ht="43.5">
      <c r="A657" s="11">
        <v>55603</v>
      </c>
      <c r="B657" s="54" t="s">
        <v>781</v>
      </c>
      <c r="C657" s="13"/>
      <c r="D657" s="14" t="s">
        <v>18</v>
      </c>
      <c r="E657" s="14" t="s">
        <v>28</v>
      </c>
      <c r="F657" s="14" t="s">
        <v>27</v>
      </c>
      <c r="G657" s="17">
        <f>'JUNIO-18 '!I644</f>
        <v>10</v>
      </c>
      <c r="H657" s="51"/>
      <c r="I657" s="17">
        <f t="shared" si="12"/>
        <v>10</v>
      </c>
      <c r="J657" s="56"/>
      <c r="K657" s="56"/>
    </row>
    <row r="658" spans="1:11" ht="89.25">
      <c r="A658" s="141" t="s">
        <v>468</v>
      </c>
      <c r="B658" s="53" t="s">
        <v>782</v>
      </c>
      <c r="C658" s="13"/>
      <c r="D658" s="14"/>
      <c r="E658" s="14"/>
      <c r="F658" s="14"/>
      <c r="G658" s="17">
        <f>'JUNIO-18 '!I645</f>
        <v>0</v>
      </c>
      <c r="H658" s="51"/>
      <c r="I658" s="17"/>
      <c r="J658" s="56"/>
      <c r="K658" s="56"/>
    </row>
    <row r="659" spans="1:11" ht="29.25">
      <c r="A659" s="11">
        <v>51202</v>
      </c>
      <c r="B659" s="54" t="s">
        <v>783</v>
      </c>
      <c r="C659" s="13"/>
      <c r="D659" s="14" t="s">
        <v>18</v>
      </c>
      <c r="E659" s="14" t="s">
        <v>28</v>
      </c>
      <c r="F659" s="14" t="s">
        <v>27</v>
      </c>
      <c r="G659" s="17">
        <f>'JUNIO-18 '!I646</f>
        <v>7000</v>
      </c>
      <c r="H659" s="51"/>
      <c r="I659" s="17">
        <f t="shared" si="12"/>
        <v>7000</v>
      </c>
      <c r="J659" s="56"/>
      <c r="K659" s="56"/>
    </row>
    <row r="660" spans="1:11" ht="43.5">
      <c r="A660" s="11">
        <v>54110</v>
      </c>
      <c r="B660" s="54" t="s">
        <v>784</v>
      </c>
      <c r="C660" s="13"/>
      <c r="D660" s="14" t="s">
        <v>18</v>
      </c>
      <c r="E660" s="14" t="s">
        <v>28</v>
      </c>
      <c r="F660" s="14" t="s">
        <v>27</v>
      </c>
      <c r="G660" s="17">
        <f>'JUNIO-18 '!I647</f>
        <v>200</v>
      </c>
      <c r="H660" s="51"/>
      <c r="I660" s="17">
        <f t="shared" si="12"/>
        <v>200</v>
      </c>
      <c r="J660" s="56"/>
      <c r="K660" s="56"/>
    </row>
    <row r="661" spans="1:11" ht="44.25">
      <c r="A661" s="11">
        <v>54111</v>
      </c>
      <c r="B661" s="53" t="s">
        <v>785</v>
      </c>
      <c r="C661" s="13"/>
      <c r="D661" s="14" t="s">
        <v>18</v>
      </c>
      <c r="E661" s="14" t="s">
        <v>28</v>
      </c>
      <c r="F661" s="14" t="s">
        <v>27</v>
      </c>
      <c r="G661" s="17">
        <f>'JUNIO-18 '!I648</f>
        <v>9290</v>
      </c>
      <c r="H661" s="51"/>
      <c r="I661" s="17">
        <f t="shared" si="12"/>
        <v>9290</v>
      </c>
      <c r="J661" s="56"/>
      <c r="K661" s="56"/>
    </row>
    <row r="662" spans="1:11" ht="43.5">
      <c r="A662" s="11">
        <v>54118</v>
      </c>
      <c r="B662" s="54" t="s">
        <v>786</v>
      </c>
      <c r="C662" s="13"/>
      <c r="D662" s="14" t="s">
        <v>18</v>
      </c>
      <c r="E662" s="14" t="s">
        <v>28</v>
      </c>
      <c r="F662" s="14" t="s">
        <v>27</v>
      </c>
      <c r="G662" s="17">
        <f>'JUNIO-18 '!I649</f>
        <v>3000</v>
      </c>
      <c r="H662" s="51"/>
      <c r="I662" s="17">
        <f t="shared" si="12"/>
        <v>3000</v>
      </c>
      <c r="J662" s="56"/>
      <c r="K662" s="56"/>
    </row>
    <row r="663" spans="1:11" ht="44.25">
      <c r="A663" s="11">
        <v>54313</v>
      </c>
      <c r="B663" s="54" t="s">
        <v>787</v>
      </c>
      <c r="C663" s="13"/>
      <c r="D663" s="14" t="s">
        <v>18</v>
      </c>
      <c r="E663" s="14" t="s">
        <v>28</v>
      </c>
      <c r="F663" s="14" t="s">
        <v>27</v>
      </c>
      <c r="G663" s="17">
        <f>'JUNIO-18 '!I650</f>
        <v>300</v>
      </c>
      <c r="H663" s="51"/>
      <c r="I663" s="17">
        <f t="shared" si="12"/>
        <v>300</v>
      </c>
      <c r="J663" s="56"/>
      <c r="K663" s="56"/>
    </row>
    <row r="664" spans="1:11" ht="44.25">
      <c r="A664" s="11">
        <v>54399</v>
      </c>
      <c r="B664" s="54" t="s">
        <v>788</v>
      </c>
      <c r="C664" s="13"/>
      <c r="D664" s="14" t="s">
        <v>18</v>
      </c>
      <c r="E664" s="14" t="s">
        <v>28</v>
      </c>
      <c r="F664" s="14" t="s">
        <v>27</v>
      </c>
      <c r="G664" s="17">
        <f>'JUNIO-18 '!I651</f>
        <v>200</v>
      </c>
      <c r="H664" s="51"/>
      <c r="I664" s="17">
        <f t="shared" si="12"/>
        <v>200</v>
      </c>
      <c r="J664" s="56"/>
      <c r="K664" s="56"/>
    </row>
    <row r="665" spans="1:11" ht="40.5" customHeight="1">
      <c r="A665" s="11">
        <v>55603</v>
      </c>
      <c r="B665" s="54" t="s">
        <v>789</v>
      </c>
      <c r="C665" s="13"/>
      <c r="D665" s="14" t="s">
        <v>18</v>
      </c>
      <c r="E665" s="14" t="s">
        <v>28</v>
      </c>
      <c r="F665" s="14" t="s">
        <v>27</v>
      </c>
      <c r="G665" s="17">
        <f>'JUNIO-18 '!I652</f>
        <v>10</v>
      </c>
      <c r="H665" s="51"/>
      <c r="I665" s="17">
        <f t="shared" si="12"/>
        <v>10</v>
      </c>
      <c r="J665" s="56"/>
      <c r="K665" s="56"/>
    </row>
    <row r="666" spans="1:11" ht="60">
      <c r="A666" s="144" t="s">
        <v>477</v>
      </c>
      <c r="B666" s="53" t="s">
        <v>791</v>
      </c>
      <c r="C666" s="13"/>
      <c r="D666" s="14"/>
      <c r="E666" s="14"/>
      <c r="F666" s="14"/>
      <c r="G666" s="17">
        <f>'JUNIO-18 '!I653</f>
        <v>0</v>
      </c>
      <c r="H666" s="51"/>
      <c r="I666" s="17"/>
      <c r="J666" s="56"/>
      <c r="K666" s="56"/>
    </row>
    <row r="667" spans="1:11" ht="30">
      <c r="A667" s="11">
        <v>51202</v>
      </c>
      <c r="B667" s="54" t="s">
        <v>792</v>
      </c>
      <c r="C667" s="13"/>
      <c r="D667" s="14" t="s">
        <v>18</v>
      </c>
      <c r="E667" s="14" t="s">
        <v>28</v>
      </c>
      <c r="F667" s="14" t="s">
        <v>27</v>
      </c>
      <c r="G667" s="17">
        <f>'JUNIO-18 '!I654</f>
        <v>9000</v>
      </c>
      <c r="H667" s="51"/>
      <c r="I667" s="17">
        <f t="shared" si="12"/>
        <v>9000</v>
      </c>
      <c r="J667" s="56"/>
      <c r="K667" s="56"/>
    </row>
    <row r="668" spans="1:11" ht="30">
      <c r="A668" s="11">
        <v>54110</v>
      </c>
      <c r="B668" s="54" t="s">
        <v>793</v>
      </c>
      <c r="C668" s="13"/>
      <c r="D668" s="14" t="s">
        <v>18</v>
      </c>
      <c r="E668" s="14" t="s">
        <v>28</v>
      </c>
      <c r="F668" s="14" t="s">
        <v>27</v>
      </c>
      <c r="G668" s="17">
        <f>'JUNIO-18 '!I655</f>
        <v>200</v>
      </c>
      <c r="H668" s="51"/>
      <c r="I668" s="17">
        <f t="shared" si="12"/>
        <v>200</v>
      </c>
      <c r="J668" s="56"/>
      <c r="K668" s="56"/>
    </row>
    <row r="669" spans="1:11" ht="30">
      <c r="A669" s="11">
        <v>54111</v>
      </c>
      <c r="B669" s="54" t="s">
        <v>794</v>
      </c>
      <c r="C669" s="13"/>
      <c r="D669" s="14" t="s">
        <v>18</v>
      </c>
      <c r="E669" s="14" t="s">
        <v>28</v>
      </c>
      <c r="F669" s="14" t="s">
        <v>27</v>
      </c>
      <c r="G669" s="17">
        <f>'JUNIO-18 '!I656</f>
        <v>11290</v>
      </c>
      <c r="H669" s="51"/>
      <c r="I669" s="17">
        <f t="shared" si="12"/>
        <v>11290</v>
      </c>
      <c r="J669" s="56"/>
      <c r="K669" s="56"/>
    </row>
    <row r="670" spans="1:11" ht="30">
      <c r="A670" s="11">
        <v>54118</v>
      </c>
      <c r="B670" s="54" t="s">
        <v>795</v>
      </c>
      <c r="C670" s="13"/>
      <c r="D670" s="14" t="s">
        <v>18</v>
      </c>
      <c r="E670" s="14" t="s">
        <v>28</v>
      </c>
      <c r="F670" s="14" t="s">
        <v>27</v>
      </c>
      <c r="G670" s="17">
        <f>'JUNIO-18 '!I657</f>
        <v>3000</v>
      </c>
      <c r="H670" s="51"/>
      <c r="I670" s="17">
        <f t="shared" si="12"/>
        <v>3000</v>
      </c>
      <c r="J670" s="56"/>
      <c r="K670" s="56"/>
    </row>
    <row r="671" spans="1:11" ht="45">
      <c r="A671" s="11">
        <v>54313</v>
      </c>
      <c r="B671" s="54" t="s">
        <v>796</v>
      </c>
      <c r="C671" s="13"/>
      <c r="D671" s="14" t="s">
        <v>18</v>
      </c>
      <c r="E671" s="14" t="s">
        <v>28</v>
      </c>
      <c r="F671" s="14" t="s">
        <v>27</v>
      </c>
      <c r="G671" s="17">
        <f>'JUNIO-18 '!I658</f>
        <v>300</v>
      </c>
      <c r="H671" s="51"/>
      <c r="I671" s="17">
        <f t="shared" si="12"/>
        <v>300</v>
      </c>
      <c r="J671" s="56"/>
      <c r="K671" s="56"/>
    </row>
    <row r="672" spans="1:11" ht="30">
      <c r="A672" s="11">
        <v>54399</v>
      </c>
      <c r="B672" s="54" t="s">
        <v>797</v>
      </c>
      <c r="C672" s="13"/>
      <c r="D672" s="14" t="s">
        <v>18</v>
      </c>
      <c r="E672" s="14" t="s">
        <v>28</v>
      </c>
      <c r="F672" s="14" t="s">
        <v>27</v>
      </c>
      <c r="G672" s="17">
        <f>'JUNIO-18 '!I659</f>
        <v>1200</v>
      </c>
      <c r="H672" s="51"/>
      <c r="I672" s="17">
        <f t="shared" si="12"/>
        <v>1200</v>
      </c>
      <c r="J672" s="56"/>
      <c r="K672" s="56"/>
    </row>
    <row r="673" spans="1:11" ht="30">
      <c r="A673" s="11">
        <v>55603</v>
      </c>
      <c r="B673" s="54" t="s">
        <v>798</v>
      </c>
      <c r="C673" s="13"/>
      <c r="D673" s="14" t="s">
        <v>18</v>
      </c>
      <c r="E673" s="14" t="s">
        <v>28</v>
      </c>
      <c r="F673" s="14" t="s">
        <v>27</v>
      </c>
      <c r="G673" s="17">
        <f>'JUNIO-18 '!I660</f>
        <v>10</v>
      </c>
      <c r="H673" s="51"/>
      <c r="I673" s="17">
        <f t="shared" si="12"/>
        <v>10</v>
      </c>
      <c r="J673" s="56"/>
      <c r="K673" s="56"/>
    </row>
    <row r="674" spans="1:11" ht="60">
      <c r="A674" s="141" t="s">
        <v>486</v>
      </c>
      <c r="B674" s="53" t="s">
        <v>790</v>
      </c>
      <c r="C674" s="13"/>
      <c r="D674" s="14"/>
      <c r="E674" s="14"/>
      <c r="F674" s="14"/>
      <c r="G674" s="17">
        <f>'JUNIO-18 '!I661</f>
        <v>0</v>
      </c>
      <c r="H674" s="51"/>
      <c r="I674" s="17"/>
      <c r="J674" s="56"/>
      <c r="K674" s="56"/>
    </row>
    <row r="675" spans="1:11" ht="29.25">
      <c r="A675" s="11">
        <v>51202</v>
      </c>
      <c r="B675" s="54" t="s">
        <v>799</v>
      </c>
      <c r="C675" s="13"/>
      <c r="D675" s="14" t="s">
        <v>18</v>
      </c>
      <c r="E675" s="14" t="s">
        <v>28</v>
      </c>
      <c r="F675" s="14" t="s">
        <v>27</v>
      </c>
      <c r="G675" s="17">
        <f>'JUNIO-18 '!I662</f>
        <v>9000</v>
      </c>
      <c r="H675" s="51"/>
      <c r="I675" s="17">
        <f t="shared" si="12"/>
        <v>9000</v>
      </c>
      <c r="J675" s="56"/>
      <c r="K675" s="56"/>
    </row>
    <row r="676" spans="1:11" ht="29.25">
      <c r="A676" s="11">
        <v>54110</v>
      </c>
      <c r="B676" s="54" t="s">
        <v>800</v>
      </c>
      <c r="C676" s="13"/>
      <c r="D676" s="14" t="s">
        <v>18</v>
      </c>
      <c r="E676" s="14" t="s">
        <v>28</v>
      </c>
      <c r="F676" s="14" t="s">
        <v>27</v>
      </c>
      <c r="G676" s="17">
        <f>'JUNIO-18 '!I663</f>
        <v>200</v>
      </c>
      <c r="H676" s="51"/>
      <c r="I676" s="17">
        <f t="shared" si="12"/>
        <v>200</v>
      </c>
      <c r="J676" s="56"/>
      <c r="K676" s="56"/>
    </row>
    <row r="677" spans="1:11" ht="44.25">
      <c r="A677" s="11">
        <v>54111</v>
      </c>
      <c r="B677" s="54" t="s">
        <v>801</v>
      </c>
      <c r="C677" s="13"/>
      <c r="D677" s="14" t="s">
        <v>18</v>
      </c>
      <c r="E677" s="14" t="s">
        <v>28</v>
      </c>
      <c r="F677" s="14" t="s">
        <v>27</v>
      </c>
      <c r="G677" s="17">
        <f>'JUNIO-18 '!I664</f>
        <v>12290</v>
      </c>
      <c r="H677" s="51"/>
      <c r="I677" s="17">
        <f t="shared" si="12"/>
        <v>12290</v>
      </c>
      <c r="J677" s="56"/>
      <c r="K677" s="56"/>
    </row>
    <row r="678" spans="1:11" ht="29.25">
      <c r="A678" s="11">
        <v>54118</v>
      </c>
      <c r="B678" s="54" t="s">
        <v>802</v>
      </c>
      <c r="C678" s="13"/>
      <c r="D678" s="14" t="s">
        <v>18</v>
      </c>
      <c r="E678" s="14" t="s">
        <v>28</v>
      </c>
      <c r="F678" s="14" t="s">
        <v>27</v>
      </c>
      <c r="G678" s="17">
        <f>'JUNIO-18 '!I665</f>
        <v>3000</v>
      </c>
      <c r="H678" s="51"/>
      <c r="I678" s="17">
        <f t="shared" si="12"/>
        <v>3000</v>
      </c>
      <c r="J678" s="56"/>
      <c r="K678" s="56"/>
    </row>
    <row r="679" spans="1:11" ht="43.5">
      <c r="A679" s="11">
        <v>54313</v>
      </c>
      <c r="B679" s="54" t="s">
        <v>803</v>
      </c>
      <c r="C679" s="13"/>
      <c r="D679" s="14" t="s">
        <v>18</v>
      </c>
      <c r="E679" s="14" t="s">
        <v>28</v>
      </c>
      <c r="F679" s="14" t="s">
        <v>27</v>
      </c>
      <c r="G679" s="17">
        <f>'JUNIO-18 '!I666</f>
        <v>300</v>
      </c>
      <c r="H679" s="51"/>
      <c r="I679" s="17">
        <f t="shared" si="12"/>
        <v>300</v>
      </c>
      <c r="J679" s="56"/>
      <c r="K679" s="56"/>
    </row>
    <row r="680" spans="1:11" ht="43.5">
      <c r="A680" s="11">
        <v>54399</v>
      </c>
      <c r="B680" s="54" t="s">
        <v>804</v>
      </c>
      <c r="C680" s="13"/>
      <c r="D680" s="14" t="s">
        <v>18</v>
      </c>
      <c r="E680" s="14" t="s">
        <v>28</v>
      </c>
      <c r="F680" s="14" t="s">
        <v>27</v>
      </c>
      <c r="G680" s="17">
        <f>'JUNIO-18 '!I667</f>
        <v>200</v>
      </c>
      <c r="H680" s="51"/>
      <c r="I680" s="17">
        <f t="shared" si="12"/>
        <v>200</v>
      </c>
      <c r="J680" s="56"/>
      <c r="K680" s="56"/>
    </row>
    <row r="681" spans="1:11" ht="33.75" customHeight="1">
      <c r="A681" s="11">
        <v>55603</v>
      </c>
      <c r="B681" s="54" t="s">
        <v>805</v>
      </c>
      <c r="C681" s="13"/>
      <c r="D681" s="14" t="s">
        <v>18</v>
      </c>
      <c r="E681" s="14" t="s">
        <v>28</v>
      </c>
      <c r="F681" s="14" t="s">
        <v>27</v>
      </c>
      <c r="G681" s="17">
        <f>'JUNIO-18 '!I668</f>
        <v>10</v>
      </c>
      <c r="H681" s="51"/>
      <c r="I681" s="17">
        <f t="shared" si="12"/>
        <v>10</v>
      </c>
      <c r="J681" s="56"/>
      <c r="K681" s="56"/>
    </row>
    <row r="682" spans="1:11" ht="75">
      <c r="A682" s="141" t="s">
        <v>504</v>
      </c>
      <c r="B682" s="53" t="s">
        <v>806</v>
      </c>
      <c r="C682" s="13"/>
      <c r="D682" s="14"/>
      <c r="E682" s="14"/>
      <c r="F682" s="14"/>
      <c r="G682" s="17">
        <f>'JUNIO-18 '!I669</f>
        <v>0</v>
      </c>
      <c r="H682" s="51"/>
      <c r="I682" s="17"/>
      <c r="J682" s="56"/>
      <c r="K682" s="56"/>
    </row>
    <row r="683" spans="1:11" ht="29.25">
      <c r="A683" s="11">
        <v>51202</v>
      </c>
      <c r="B683" s="54" t="s">
        <v>807</v>
      </c>
      <c r="C683" s="13"/>
      <c r="D683" s="14" t="s">
        <v>18</v>
      </c>
      <c r="E683" s="14" t="s">
        <v>28</v>
      </c>
      <c r="F683" s="14" t="s">
        <v>27</v>
      </c>
      <c r="G683" s="17">
        <f>'JUNIO-18 '!I670</f>
        <v>7000</v>
      </c>
      <c r="H683" s="51"/>
      <c r="I683" s="17">
        <f t="shared" si="12"/>
        <v>7000</v>
      </c>
      <c r="J683" s="56"/>
      <c r="K683" s="56"/>
    </row>
    <row r="684" spans="1:11" ht="29.25">
      <c r="A684" s="11">
        <v>54110</v>
      </c>
      <c r="B684" s="54" t="s">
        <v>808</v>
      </c>
      <c r="C684" s="13"/>
      <c r="D684" s="14" t="s">
        <v>18</v>
      </c>
      <c r="E684" s="14" t="s">
        <v>28</v>
      </c>
      <c r="F684" s="14" t="s">
        <v>27</v>
      </c>
      <c r="G684" s="17">
        <f>'JUNIO-18 '!I671</f>
        <v>200</v>
      </c>
      <c r="H684" s="51"/>
      <c r="I684" s="17">
        <f t="shared" si="12"/>
        <v>200</v>
      </c>
      <c r="J684" s="56"/>
      <c r="K684" s="56"/>
    </row>
    <row r="685" spans="1:11" ht="29.25">
      <c r="A685" s="11">
        <v>54111</v>
      </c>
      <c r="B685" s="54" t="s">
        <v>809</v>
      </c>
      <c r="C685" s="13"/>
      <c r="D685" s="14" t="s">
        <v>18</v>
      </c>
      <c r="E685" s="14" t="s">
        <v>28</v>
      </c>
      <c r="F685" s="14" t="s">
        <v>27</v>
      </c>
      <c r="G685" s="17">
        <f>'JUNIO-18 '!I672</f>
        <v>10290</v>
      </c>
      <c r="H685" s="51"/>
      <c r="I685" s="17">
        <f t="shared" si="12"/>
        <v>10290</v>
      </c>
      <c r="J685" s="56"/>
      <c r="K685" s="56"/>
    </row>
    <row r="686" spans="1:11" ht="29.25">
      <c r="A686" s="11">
        <v>54118</v>
      </c>
      <c r="B686" s="54" t="s">
        <v>810</v>
      </c>
      <c r="C686" s="13"/>
      <c r="D686" s="14" t="s">
        <v>18</v>
      </c>
      <c r="E686" s="14" t="s">
        <v>28</v>
      </c>
      <c r="F686" s="14" t="s">
        <v>27</v>
      </c>
      <c r="G686" s="17">
        <f>'JUNIO-18 '!I673</f>
        <v>1500</v>
      </c>
      <c r="H686" s="51"/>
      <c r="I686" s="17">
        <f t="shared" si="12"/>
        <v>1500</v>
      </c>
      <c r="J686" s="56"/>
      <c r="K686" s="56"/>
    </row>
    <row r="687" spans="1:11" ht="44.25">
      <c r="A687" s="11">
        <v>54313</v>
      </c>
      <c r="B687" s="54" t="s">
        <v>811</v>
      </c>
      <c r="C687" s="13"/>
      <c r="D687" s="14" t="s">
        <v>18</v>
      </c>
      <c r="E687" s="14" t="s">
        <v>28</v>
      </c>
      <c r="F687" s="14" t="s">
        <v>27</v>
      </c>
      <c r="G687" s="17">
        <f>'JUNIO-18 '!I674</f>
        <v>300</v>
      </c>
      <c r="H687" s="51"/>
      <c r="I687" s="17">
        <f t="shared" si="12"/>
        <v>300</v>
      </c>
      <c r="J687" s="56"/>
      <c r="K687" s="56"/>
    </row>
    <row r="688" spans="1:11" ht="29.25">
      <c r="A688" s="11">
        <v>54399</v>
      </c>
      <c r="B688" s="54" t="s">
        <v>812</v>
      </c>
      <c r="C688" s="13"/>
      <c r="D688" s="14" t="s">
        <v>18</v>
      </c>
      <c r="E688" s="14" t="s">
        <v>28</v>
      </c>
      <c r="F688" s="14" t="s">
        <v>27</v>
      </c>
      <c r="G688" s="17">
        <f>'JUNIO-18 '!I675</f>
        <v>700</v>
      </c>
      <c r="H688" s="51"/>
      <c r="I688" s="17">
        <f t="shared" si="12"/>
        <v>700</v>
      </c>
      <c r="J688" s="56"/>
      <c r="K688" s="56"/>
    </row>
    <row r="689" spans="1:11" ht="29.25">
      <c r="A689" s="11">
        <v>55603</v>
      </c>
      <c r="B689" s="54" t="s">
        <v>813</v>
      </c>
      <c r="C689" s="13"/>
      <c r="D689" s="14" t="s">
        <v>18</v>
      </c>
      <c r="E689" s="14" t="s">
        <v>28</v>
      </c>
      <c r="F689" s="14" t="s">
        <v>27</v>
      </c>
      <c r="G689" s="17">
        <f>'JUNIO-18 '!I676</f>
        <v>10</v>
      </c>
      <c r="H689" s="51"/>
      <c r="I689" s="17">
        <f t="shared" si="12"/>
        <v>10</v>
      </c>
      <c r="J689" s="56"/>
      <c r="K689" s="56"/>
    </row>
    <row r="690" spans="1:11" ht="88.5">
      <c r="A690" s="141" t="s">
        <v>505</v>
      </c>
      <c r="B690" s="53" t="s">
        <v>821</v>
      </c>
      <c r="C690" s="13"/>
      <c r="D690" s="14"/>
      <c r="E690" s="14"/>
      <c r="F690" s="14"/>
      <c r="G690" s="17">
        <f>'JUNIO-18 '!I677</f>
        <v>0</v>
      </c>
      <c r="H690" s="51"/>
      <c r="I690" s="17"/>
      <c r="J690" s="56"/>
      <c r="K690" s="56"/>
    </row>
    <row r="691" spans="1:11" ht="29.25">
      <c r="A691" s="11">
        <v>51202</v>
      </c>
      <c r="B691" s="54" t="s">
        <v>814</v>
      </c>
      <c r="C691" s="13"/>
      <c r="D691" s="14" t="s">
        <v>18</v>
      </c>
      <c r="E691" s="14" t="s">
        <v>28</v>
      </c>
      <c r="F691" s="14" t="s">
        <v>27</v>
      </c>
      <c r="G691" s="17">
        <f>'JUNIO-18 '!I678</f>
        <v>9000</v>
      </c>
      <c r="H691" s="51"/>
      <c r="I691" s="17">
        <f t="shared" si="12"/>
        <v>9000</v>
      </c>
      <c r="J691" s="56"/>
      <c r="K691" s="56"/>
    </row>
    <row r="692" spans="1:11" ht="29.25">
      <c r="A692" s="11">
        <v>54110</v>
      </c>
      <c r="B692" s="54" t="s">
        <v>815</v>
      </c>
      <c r="C692" s="13"/>
      <c r="D692" s="14" t="s">
        <v>18</v>
      </c>
      <c r="E692" s="14" t="s">
        <v>28</v>
      </c>
      <c r="F692" s="14" t="s">
        <v>27</v>
      </c>
      <c r="G692" s="17">
        <f>'JUNIO-18 '!I679</f>
        <v>200</v>
      </c>
      <c r="H692" s="51"/>
      <c r="I692" s="17">
        <f t="shared" si="12"/>
        <v>200</v>
      </c>
      <c r="J692" s="56"/>
      <c r="K692" s="56"/>
    </row>
    <row r="693" spans="1:11" ht="44.25">
      <c r="A693" s="11">
        <v>54111</v>
      </c>
      <c r="B693" s="53" t="s">
        <v>816</v>
      </c>
      <c r="C693" s="13"/>
      <c r="D693" s="14" t="s">
        <v>18</v>
      </c>
      <c r="E693" s="14" t="s">
        <v>28</v>
      </c>
      <c r="F693" s="14" t="s">
        <v>27</v>
      </c>
      <c r="G693" s="17">
        <f>'JUNIO-18 '!I680</f>
        <v>12290</v>
      </c>
      <c r="H693" s="51"/>
      <c r="I693" s="17">
        <f t="shared" ref="I693:I756" si="13">G693-H693+J693-K693</f>
        <v>12290</v>
      </c>
      <c r="J693" s="56"/>
      <c r="K693" s="56"/>
    </row>
    <row r="694" spans="1:11" ht="29.25">
      <c r="A694" s="11">
        <v>54118</v>
      </c>
      <c r="B694" s="54" t="s">
        <v>817</v>
      </c>
      <c r="C694" s="13"/>
      <c r="D694" s="14" t="s">
        <v>18</v>
      </c>
      <c r="E694" s="14" t="s">
        <v>28</v>
      </c>
      <c r="F694" s="14" t="s">
        <v>27</v>
      </c>
      <c r="G694" s="17">
        <f>'JUNIO-18 '!I681</f>
        <v>3000</v>
      </c>
      <c r="H694" s="51"/>
      <c r="I694" s="17">
        <f t="shared" si="13"/>
        <v>3000</v>
      </c>
      <c r="J694" s="56"/>
      <c r="K694" s="56"/>
    </row>
    <row r="695" spans="1:11" ht="44.25">
      <c r="A695" s="11">
        <v>54313</v>
      </c>
      <c r="B695" s="54" t="s">
        <v>818</v>
      </c>
      <c r="C695" s="13"/>
      <c r="D695" s="14" t="s">
        <v>18</v>
      </c>
      <c r="E695" s="14" t="s">
        <v>28</v>
      </c>
      <c r="F695" s="14" t="s">
        <v>27</v>
      </c>
      <c r="G695" s="17">
        <f>'JUNIO-18 '!I682</f>
        <v>300</v>
      </c>
      <c r="H695" s="51"/>
      <c r="I695" s="17">
        <f t="shared" si="13"/>
        <v>300</v>
      </c>
      <c r="J695" s="56"/>
      <c r="K695" s="56"/>
    </row>
    <row r="696" spans="1:11" ht="43.5">
      <c r="A696" s="11">
        <v>54399</v>
      </c>
      <c r="B696" s="54" t="s">
        <v>819</v>
      </c>
      <c r="C696" s="13"/>
      <c r="D696" s="14" t="s">
        <v>18</v>
      </c>
      <c r="E696" s="14" t="s">
        <v>28</v>
      </c>
      <c r="F696" s="14" t="s">
        <v>27</v>
      </c>
      <c r="G696" s="17">
        <f>'JUNIO-18 '!I683</f>
        <v>200</v>
      </c>
      <c r="H696" s="51"/>
      <c r="I696" s="17">
        <f t="shared" si="13"/>
        <v>200</v>
      </c>
      <c r="J696" s="56"/>
      <c r="K696" s="56"/>
    </row>
    <row r="697" spans="1:11" ht="29.25">
      <c r="A697" s="11">
        <v>55603</v>
      </c>
      <c r="B697" s="54" t="s">
        <v>820</v>
      </c>
      <c r="C697" s="13"/>
      <c r="D697" s="14" t="s">
        <v>18</v>
      </c>
      <c r="E697" s="14" t="s">
        <v>28</v>
      </c>
      <c r="F697" s="14" t="s">
        <v>27</v>
      </c>
      <c r="G697" s="17">
        <f>'JUNIO-18 '!I684</f>
        <v>10</v>
      </c>
      <c r="H697" s="51"/>
      <c r="I697" s="17">
        <f t="shared" si="13"/>
        <v>10</v>
      </c>
      <c r="J697" s="56"/>
      <c r="K697" s="56"/>
    </row>
    <row r="698" spans="1:11" ht="75">
      <c r="A698" s="141" t="s">
        <v>511</v>
      </c>
      <c r="B698" s="53" t="s">
        <v>824</v>
      </c>
      <c r="C698" s="13"/>
      <c r="D698" s="14"/>
      <c r="E698" s="14"/>
      <c r="F698" s="14"/>
      <c r="G698" s="17">
        <f>'JUNIO-18 '!I685</f>
        <v>0</v>
      </c>
      <c r="H698" s="51"/>
      <c r="I698" s="17"/>
      <c r="J698" s="56"/>
      <c r="K698" s="56"/>
    </row>
    <row r="699" spans="1:11" ht="29.25">
      <c r="A699" s="11">
        <v>51202</v>
      </c>
      <c r="B699" s="54" t="s">
        <v>823</v>
      </c>
      <c r="C699" s="13"/>
      <c r="D699" s="14" t="s">
        <v>18</v>
      </c>
      <c r="E699" s="14" t="s">
        <v>28</v>
      </c>
      <c r="F699" s="14" t="s">
        <v>27</v>
      </c>
      <c r="G699" s="17">
        <f>'JUNIO-18 '!I686</f>
        <v>3000</v>
      </c>
      <c r="H699" s="51"/>
      <c r="I699" s="17">
        <f t="shared" si="13"/>
        <v>3000</v>
      </c>
      <c r="J699" s="56"/>
      <c r="K699" s="56"/>
    </row>
    <row r="700" spans="1:11" ht="29.25">
      <c r="A700" s="11">
        <v>54110</v>
      </c>
      <c r="B700" s="54" t="s">
        <v>825</v>
      </c>
      <c r="C700" s="13"/>
      <c r="D700" s="14" t="s">
        <v>18</v>
      </c>
      <c r="E700" s="14" t="s">
        <v>28</v>
      </c>
      <c r="F700" s="14" t="s">
        <v>27</v>
      </c>
      <c r="G700" s="17">
        <f>'JUNIO-18 '!I687</f>
        <v>200</v>
      </c>
      <c r="H700" s="51"/>
      <c r="I700" s="17">
        <f t="shared" si="13"/>
        <v>200</v>
      </c>
      <c r="J700" s="56"/>
      <c r="K700" s="56"/>
    </row>
    <row r="701" spans="1:11" ht="44.25">
      <c r="A701" s="11">
        <v>54111</v>
      </c>
      <c r="B701" s="54" t="s">
        <v>826</v>
      </c>
      <c r="C701" s="13"/>
      <c r="D701" s="14" t="s">
        <v>18</v>
      </c>
      <c r="E701" s="14" t="s">
        <v>28</v>
      </c>
      <c r="F701" s="14" t="s">
        <v>27</v>
      </c>
      <c r="G701" s="17">
        <f>'JUNIO-18 '!I688</f>
        <v>4990</v>
      </c>
      <c r="H701" s="51"/>
      <c r="I701" s="17">
        <f t="shared" si="13"/>
        <v>4990</v>
      </c>
      <c r="J701" s="56"/>
      <c r="K701" s="56"/>
    </row>
    <row r="702" spans="1:11" ht="29.25">
      <c r="A702" s="11">
        <v>54118</v>
      </c>
      <c r="B702" s="54" t="s">
        <v>827</v>
      </c>
      <c r="C702" s="13"/>
      <c r="D702" s="14" t="s">
        <v>18</v>
      </c>
      <c r="E702" s="14" t="s">
        <v>28</v>
      </c>
      <c r="F702" s="14" t="s">
        <v>27</v>
      </c>
      <c r="G702" s="17">
        <f>'JUNIO-18 '!I689</f>
        <v>800</v>
      </c>
      <c r="H702" s="51"/>
      <c r="I702" s="17">
        <f t="shared" si="13"/>
        <v>800</v>
      </c>
      <c r="J702" s="56"/>
      <c r="K702" s="56"/>
    </row>
    <row r="703" spans="1:11" ht="44.25">
      <c r="A703" s="11">
        <v>54313</v>
      </c>
      <c r="B703" s="54" t="s">
        <v>828</v>
      </c>
      <c r="C703" s="13"/>
      <c r="D703" s="14" t="s">
        <v>18</v>
      </c>
      <c r="E703" s="14" t="s">
        <v>28</v>
      </c>
      <c r="F703" s="14" t="s">
        <v>27</v>
      </c>
      <c r="G703" s="17">
        <f>'JUNIO-18 '!I690</f>
        <v>300</v>
      </c>
      <c r="H703" s="51"/>
      <c r="I703" s="17">
        <f t="shared" si="13"/>
        <v>300</v>
      </c>
      <c r="J703" s="56"/>
      <c r="K703" s="56"/>
    </row>
    <row r="704" spans="1:11" ht="44.25">
      <c r="A704" s="11">
        <v>54399</v>
      </c>
      <c r="B704" s="54" t="s">
        <v>829</v>
      </c>
      <c r="C704" s="13"/>
      <c r="D704" s="14" t="s">
        <v>18</v>
      </c>
      <c r="E704" s="14" t="s">
        <v>28</v>
      </c>
      <c r="F704" s="14" t="s">
        <v>27</v>
      </c>
      <c r="G704" s="17">
        <f>'JUNIO-18 '!I691</f>
        <v>700</v>
      </c>
      <c r="H704" s="51"/>
      <c r="I704" s="17">
        <f t="shared" si="13"/>
        <v>700</v>
      </c>
      <c r="J704" s="56"/>
      <c r="K704" s="56"/>
    </row>
    <row r="705" spans="1:11" ht="29.25">
      <c r="A705" s="11">
        <v>55603</v>
      </c>
      <c r="B705" s="54" t="s">
        <v>830</v>
      </c>
      <c r="C705" s="13"/>
      <c r="D705" s="14" t="s">
        <v>18</v>
      </c>
      <c r="E705" s="14" t="s">
        <v>28</v>
      </c>
      <c r="F705" s="14" t="s">
        <v>27</v>
      </c>
      <c r="G705" s="17">
        <f>'JUNIO-18 '!I692</f>
        <v>10</v>
      </c>
      <c r="H705" s="51"/>
      <c r="I705" s="17">
        <f t="shared" si="13"/>
        <v>10</v>
      </c>
      <c r="J705" s="56"/>
      <c r="K705" s="56"/>
    </row>
    <row r="706" spans="1:11" ht="74.25">
      <c r="A706" s="141" t="s">
        <v>517</v>
      </c>
      <c r="B706" s="53" t="s">
        <v>822</v>
      </c>
      <c r="C706" s="13"/>
      <c r="D706" s="14"/>
      <c r="E706" s="14"/>
      <c r="F706" s="14"/>
      <c r="G706" s="17">
        <f>'JUNIO-18 '!I693</f>
        <v>0</v>
      </c>
      <c r="H706" s="51"/>
      <c r="I706" s="17"/>
      <c r="J706" s="56"/>
      <c r="K706" s="56"/>
    </row>
    <row r="707" spans="1:11" ht="29.25">
      <c r="A707" s="11">
        <v>51202</v>
      </c>
      <c r="B707" s="54" t="s">
        <v>831</v>
      </c>
      <c r="C707" s="13"/>
      <c r="D707" s="14" t="s">
        <v>18</v>
      </c>
      <c r="E707" s="14" t="s">
        <v>28</v>
      </c>
      <c r="F707" s="14" t="s">
        <v>27</v>
      </c>
      <c r="G707" s="17">
        <f>'JUNIO-18 '!I694</f>
        <v>9000</v>
      </c>
      <c r="H707" s="51"/>
      <c r="I707" s="17">
        <f t="shared" si="13"/>
        <v>9000</v>
      </c>
      <c r="J707" s="56"/>
      <c r="K707" s="56"/>
    </row>
    <row r="708" spans="1:11" ht="29.25">
      <c r="A708" s="11">
        <v>54110</v>
      </c>
      <c r="B708" s="54" t="s">
        <v>832</v>
      </c>
      <c r="C708" s="13"/>
      <c r="D708" s="14" t="s">
        <v>18</v>
      </c>
      <c r="E708" s="14" t="s">
        <v>28</v>
      </c>
      <c r="F708" s="14" t="s">
        <v>27</v>
      </c>
      <c r="G708" s="17">
        <f>'JUNIO-18 '!I695</f>
        <v>200</v>
      </c>
      <c r="H708" s="51"/>
      <c r="I708" s="17">
        <f t="shared" si="13"/>
        <v>200</v>
      </c>
      <c r="J708" s="56"/>
      <c r="K708" s="56"/>
    </row>
    <row r="709" spans="1:11" ht="29.25">
      <c r="A709" s="11">
        <v>54111</v>
      </c>
      <c r="B709" s="54" t="s">
        <v>833</v>
      </c>
      <c r="C709" s="13"/>
      <c r="D709" s="14" t="s">
        <v>18</v>
      </c>
      <c r="E709" s="14" t="s">
        <v>28</v>
      </c>
      <c r="F709" s="14" t="s">
        <v>27</v>
      </c>
      <c r="G709" s="17">
        <f>'JUNIO-18 '!I696</f>
        <v>12290</v>
      </c>
      <c r="H709" s="51"/>
      <c r="I709" s="17">
        <f t="shared" si="13"/>
        <v>12290</v>
      </c>
      <c r="J709" s="56"/>
      <c r="K709" s="56"/>
    </row>
    <row r="710" spans="1:11" ht="29.25">
      <c r="A710" s="11">
        <v>54118</v>
      </c>
      <c r="B710" s="54" t="s">
        <v>834</v>
      </c>
      <c r="C710" s="13"/>
      <c r="D710" s="14" t="s">
        <v>18</v>
      </c>
      <c r="E710" s="14" t="s">
        <v>28</v>
      </c>
      <c r="F710" s="14" t="s">
        <v>27</v>
      </c>
      <c r="G710" s="17">
        <f>'JUNIO-18 '!I697</f>
        <v>3000</v>
      </c>
      <c r="H710" s="51"/>
      <c r="I710" s="17">
        <f t="shared" si="13"/>
        <v>3000</v>
      </c>
      <c r="J710" s="56"/>
      <c r="K710" s="56"/>
    </row>
    <row r="711" spans="1:11" ht="29.25">
      <c r="A711" s="11">
        <v>54313</v>
      </c>
      <c r="B711" s="54" t="s">
        <v>835</v>
      </c>
      <c r="C711" s="13"/>
      <c r="D711" s="14" t="s">
        <v>18</v>
      </c>
      <c r="E711" s="14" t="s">
        <v>28</v>
      </c>
      <c r="F711" s="14" t="s">
        <v>27</v>
      </c>
      <c r="G711" s="17">
        <f>'JUNIO-18 '!I698</f>
        <v>300</v>
      </c>
      <c r="H711" s="51"/>
      <c r="I711" s="17">
        <f t="shared" si="13"/>
        <v>300</v>
      </c>
      <c r="J711" s="56"/>
      <c r="K711" s="56"/>
    </row>
    <row r="712" spans="1:11" ht="29.25">
      <c r="A712" s="11">
        <v>54399</v>
      </c>
      <c r="B712" s="54" t="s">
        <v>836</v>
      </c>
      <c r="C712" s="13"/>
      <c r="D712" s="14" t="s">
        <v>18</v>
      </c>
      <c r="E712" s="14" t="s">
        <v>28</v>
      </c>
      <c r="F712" s="14" t="s">
        <v>27</v>
      </c>
      <c r="G712" s="17">
        <f>'JUNIO-18 '!I699</f>
        <v>200</v>
      </c>
      <c r="H712" s="51"/>
      <c r="I712" s="17">
        <f t="shared" si="13"/>
        <v>200</v>
      </c>
      <c r="J712" s="56"/>
      <c r="K712" s="56"/>
    </row>
    <row r="713" spans="1:11" ht="29.25">
      <c r="A713" s="11">
        <v>55603</v>
      </c>
      <c r="B713" s="53" t="s">
        <v>837</v>
      </c>
      <c r="C713" s="13"/>
      <c r="D713" s="14" t="s">
        <v>18</v>
      </c>
      <c r="E713" s="14" t="s">
        <v>28</v>
      </c>
      <c r="F713" s="14" t="s">
        <v>27</v>
      </c>
      <c r="G713" s="17">
        <f>'JUNIO-18 '!I700</f>
        <v>10</v>
      </c>
      <c r="H713" s="51"/>
      <c r="I713" s="17">
        <f t="shared" si="13"/>
        <v>10</v>
      </c>
      <c r="J713" s="56"/>
      <c r="K713" s="56"/>
    </row>
    <row r="714" spans="1:11" ht="75">
      <c r="A714" s="141" t="s">
        <v>838</v>
      </c>
      <c r="B714" s="53" t="s">
        <v>840</v>
      </c>
      <c r="C714" s="13"/>
      <c r="D714" s="14"/>
      <c r="E714" s="14"/>
      <c r="F714" s="14"/>
      <c r="G714" s="17">
        <f>'JUNIO-18 '!I701</f>
        <v>0</v>
      </c>
      <c r="H714" s="51"/>
      <c r="I714" s="17"/>
      <c r="J714" s="56"/>
      <c r="K714" s="56"/>
    </row>
    <row r="715" spans="1:11" ht="29.25">
      <c r="A715" s="11">
        <v>51202</v>
      </c>
      <c r="B715" s="54" t="s">
        <v>842</v>
      </c>
      <c r="C715" s="13"/>
      <c r="D715" s="14" t="s">
        <v>18</v>
      </c>
      <c r="E715" s="14" t="s">
        <v>28</v>
      </c>
      <c r="F715" s="14" t="s">
        <v>27</v>
      </c>
      <c r="G715" s="17">
        <f>'JUNIO-18 '!I702</f>
        <v>9000</v>
      </c>
      <c r="H715" s="51"/>
      <c r="I715" s="17">
        <f t="shared" si="13"/>
        <v>9000</v>
      </c>
      <c r="J715" s="56"/>
      <c r="K715" s="56"/>
    </row>
    <row r="716" spans="1:11" ht="43.5">
      <c r="A716" s="11">
        <v>54110</v>
      </c>
      <c r="B716" s="53" t="s">
        <v>844</v>
      </c>
      <c r="C716" s="13"/>
      <c r="D716" s="14" t="s">
        <v>18</v>
      </c>
      <c r="E716" s="14" t="s">
        <v>28</v>
      </c>
      <c r="F716" s="14" t="s">
        <v>27</v>
      </c>
      <c r="G716" s="17">
        <f>'JUNIO-18 '!I703</f>
        <v>200</v>
      </c>
      <c r="H716" s="51"/>
      <c r="I716" s="17">
        <f t="shared" si="13"/>
        <v>200</v>
      </c>
      <c r="J716" s="56"/>
      <c r="K716" s="56"/>
    </row>
    <row r="717" spans="1:11" ht="44.25">
      <c r="A717" s="11">
        <v>54111</v>
      </c>
      <c r="B717" s="53" t="s">
        <v>845</v>
      </c>
      <c r="C717" s="13"/>
      <c r="D717" s="14" t="s">
        <v>18</v>
      </c>
      <c r="E717" s="14" t="s">
        <v>28</v>
      </c>
      <c r="F717" s="14" t="s">
        <v>27</v>
      </c>
      <c r="G717" s="17">
        <f>'JUNIO-18 '!I704</f>
        <v>12290</v>
      </c>
      <c r="H717" s="51"/>
      <c r="I717" s="17">
        <f t="shared" si="13"/>
        <v>12290</v>
      </c>
      <c r="J717" s="56"/>
      <c r="K717" s="56"/>
    </row>
    <row r="718" spans="1:11" ht="43.5">
      <c r="A718" s="11">
        <v>54118</v>
      </c>
      <c r="B718" s="53" t="s">
        <v>846</v>
      </c>
      <c r="C718" s="13"/>
      <c r="D718" s="14" t="s">
        <v>18</v>
      </c>
      <c r="E718" s="14" t="s">
        <v>28</v>
      </c>
      <c r="F718" s="14" t="s">
        <v>27</v>
      </c>
      <c r="G718" s="17">
        <f>'JUNIO-18 '!I705</f>
        <v>3000</v>
      </c>
      <c r="H718" s="51"/>
      <c r="I718" s="17">
        <f t="shared" si="13"/>
        <v>3000</v>
      </c>
      <c r="J718" s="56"/>
      <c r="K718" s="56"/>
    </row>
    <row r="719" spans="1:11" ht="44.25">
      <c r="A719" s="11">
        <v>54313</v>
      </c>
      <c r="B719" s="53" t="s">
        <v>847</v>
      </c>
      <c r="C719" s="13"/>
      <c r="D719" s="14" t="s">
        <v>18</v>
      </c>
      <c r="E719" s="14" t="s">
        <v>28</v>
      </c>
      <c r="F719" s="14" t="s">
        <v>27</v>
      </c>
      <c r="G719" s="17">
        <f>'JUNIO-18 '!I706</f>
        <v>300</v>
      </c>
      <c r="H719" s="51"/>
      <c r="I719" s="17">
        <f t="shared" si="13"/>
        <v>300</v>
      </c>
      <c r="J719" s="56"/>
      <c r="K719" s="56"/>
    </row>
    <row r="720" spans="1:11" ht="44.25">
      <c r="A720" s="11">
        <v>54399</v>
      </c>
      <c r="B720" s="53" t="s">
        <v>848</v>
      </c>
      <c r="C720" s="13"/>
      <c r="D720" s="14" t="s">
        <v>18</v>
      </c>
      <c r="E720" s="14" t="s">
        <v>28</v>
      </c>
      <c r="F720" s="14" t="s">
        <v>27</v>
      </c>
      <c r="G720" s="17">
        <f>'JUNIO-18 '!I707</f>
        <v>200</v>
      </c>
      <c r="H720" s="51"/>
      <c r="I720" s="17">
        <f t="shared" si="13"/>
        <v>200</v>
      </c>
      <c r="J720" s="56"/>
      <c r="K720" s="56"/>
    </row>
    <row r="721" spans="1:11" ht="43.5">
      <c r="A721" s="11">
        <v>55603</v>
      </c>
      <c r="B721" s="53" t="s">
        <v>849</v>
      </c>
      <c r="C721" s="13"/>
      <c r="D721" s="14" t="s">
        <v>18</v>
      </c>
      <c r="E721" s="14" t="s">
        <v>28</v>
      </c>
      <c r="F721" s="14" t="s">
        <v>27</v>
      </c>
      <c r="G721" s="17">
        <f>'JUNIO-18 '!I708</f>
        <v>10</v>
      </c>
      <c r="H721" s="51"/>
      <c r="I721" s="17">
        <f t="shared" si="13"/>
        <v>10</v>
      </c>
      <c r="J721" s="56"/>
      <c r="K721" s="56"/>
    </row>
    <row r="722" spans="1:11" ht="60">
      <c r="A722" s="141" t="s">
        <v>839</v>
      </c>
      <c r="B722" s="53" t="s">
        <v>841</v>
      </c>
      <c r="C722" s="13"/>
      <c r="D722" s="14"/>
      <c r="E722" s="14"/>
      <c r="F722" s="14"/>
      <c r="G722" s="17">
        <f>'JUNIO-18 '!I709</f>
        <v>0</v>
      </c>
      <c r="H722" s="51"/>
      <c r="I722" s="17"/>
      <c r="J722" s="56"/>
      <c r="K722" s="56"/>
    </row>
    <row r="723" spans="1:11" ht="29.25">
      <c r="A723" s="11">
        <v>51202</v>
      </c>
      <c r="B723" s="54" t="s">
        <v>843</v>
      </c>
      <c r="C723" s="13"/>
      <c r="D723" s="14" t="s">
        <v>18</v>
      </c>
      <c r="E723" s="14" t="s">
        <v>28</v>
      </c>
      <c r="F723" s="14" t="s">
        <v>27</v>
      </c>
      <c r="G723" s="17">
        <f>'JUNIO-18 '!I710</f>
        <v>9000</v>
      </c>
      <c r="H723" s="51"/>
      <c r="I723" s="17">
        <f t="shared" si="13"/>
        <v>9000</v>
      </c>
      <c r="J723" s="56"/>
      <c r="K723" s="56"/>
    </row>
    <row r="724" spans="1:11" ht="29.25">
      <c r="A724" s="11">
        <v>54110</v>
      </c>
      <c r="B724" s="53" t="s">
        <v>850</v>
      </c>
      <c r="C724" s="13"/>
      <c r="D724" s="14" t="s">
        <v>18</v>
      </c>
      <c r="E724" s="14" t="s">
        <v>28</v>
      </c>
      <c r="F724" s="14" t="s">
        <v>27</v>
      </c>
      <c r="G724" s="17">
        <f>'JUNIO-18 '!I711</f>
        <v>200</v>
      </c>
      <c r="H724" s="51"/>
      <c r="I724" s="17">
        <f t="shared" si="13"/>
        <v>200</v>
      </c>
      <c r="J724" s="56"/>
      <c r="K724" s="56"/>
    </row>
    <row r="725" spans="1:11" ht="29.25">
      <c r="A725" s="11">
        <v>54111</v>
      </c>
      <c r="B725" s="54" t="s">
        <v>851</v>
      </c>
      <c r="C725" s="13"/>
      <c r="D725" s="14" t="s">
        <v>18</v>
      </c>
      <c r="E725" s="14" t="s">
        <v>28</v>
      </c>
      <c r="F725" s="14" t="s">
        <v>27</v>
      </c>
      <c r="G725" s="17">
        <f>'JUNIO-18 '!I712</f>
        <v>12290</v>
      </c>
      <c r="H725" s="51"/>
      <c r="I725" s="17">
        <f t="shared" si="13"/>
        <v>12290</v>
      </c>
      <c r="J725" s="56"/>
      <c r="K725" s="56"/>
    </row>
    <row r="726" spans="1:11" ht="29.25">
      <c r="A726" s="11">
        <v>54118</v>
      </c>
      <c r="B726" s="53" t="s">
        <v>852</v>
      </c>
      <c r="C726" s="13"/>
      <c r="D726" s="14" t="s">
        <v>18</v>
      </c>
      <c r="E726" s="14" t="s">
        <v>28</v>
      </c>
      <c r="F726" s="14" t="s">
        <v>27</v>
      </c>
      <c r="G726" s="17">
        <f>'JUNIO-18 '!I713</f>
        <v>3000</v>
      </c>
      <c r="H726" s="51"/>
      <c r="I726" s="17">
        <f t="shared" si="13"/>
        <v>3000</v>
      </c>
      <c r="J726" s="56"/>
      <c r="K726" s="56"/>
    </row>
    <row r="727" spans="1:11" ht="29.25">
      <c r="A727" s="11">
        <v>54313</v>
      </c>
      <c r="B727" s="54" t="s">
        <v>853</v>
      </c>
      <c r="C727" s="13"/>
      <c r="D727" s="14" t="s">
        <v>18</v>
      </c>
      <c r="E727" s="14" t="s">
        <v>28</v>
      </c>
      <c r="F727" s="14" t="s">
        <v>27</v>
      </c>
      <c r="G727" s="17">
        <f>'JUNIO-18 '!I714</f>
        <v>300</v>
      </c>
      <c r="H727" s="51"/>
      <c r="I727" s="17">
        <f t="shared" si="13"/>
        <v>300</v>
      </c>
      <c r="J727" s="56"/>
      <c r="K727" s="56"/>
    </row>
    <row r="728" spans="1:11" ht="37.5" customHeight="1">
      <c r="A728" s="11">
        <v>54399</v>
      </c>
      <c r="B728" s="54" t="s">
        <v>854</v>
      </c>
      <c r="C728" s="13"/>
      <c r="D728" s="14" t="s">
        <v>18</v>
      </c>
      <c r="E728" s="14" t="s">
        <v>28</v>
      </c>
      <c r="F728" s="14" t="s">
        <v>27</v>
      </c>
      <c r="G728" s="17">
        <f>'JUNIO-18 '!I715</f>
        <v>200</v>
      </c>
      <c r="H728" s="51"/>
      <c r="I728" s="17">
        <f t="shared" si="13"/>
        <v>200</v>
      </c>
      <c r="J728" s="56"/>
      <c r="K728" s="56"/>
    </row>
    <row r="729" spans="1:11" ht="29.25">
      <c r="A729" s="11">
        <v>55603</v>
      </c>
      <c r="B729" s="54" t="s">
        <v>855</v>
      </c>
      <c r="C729" s="13"/>
      <c r="D729" s="14" t="s">
        <v>18</v>
      </c>
      <c r="E729" s="14" t="s">
        <v>28</v>
      </c>
      <c r="F729" s="14" t="s">
        <v>27</v>
      </c>
      <c r="G729" s="17">
        <f>'JUNIO-18 '!I716</f>
        <v>10</v>
      </c>
      <c r="H729" s="51"/>
      <c r="I729" s="17">
        <f t="shared" si="13"/>
        <v>10</v>
      </c>
      <c r="J729" s="56"/>
      <c r="K729" s="56"/>
    </row>
    <row r="730" spans="1:11" ht="60">
      <c r="A730" s="141" t="s">
        <v>872</v>
      </c>
      <c r="B730" s="53" t="s">
        <v>856</v>
      </c>
      <c r="C730" s="13"/>
      <c r="D730" s="14"/>
      <c r="E730" s="14"/>
      <c r="F730" s="14"/>
      <c r="G730" s="17">
        <f>'JUNIO-18 '!I717</f>
        <v>0</v>
      </c>
      <c r="H730" s="51"/>
      <c r="I730" s="17"/>
      <c r="J730" s="56"/>
      <c r="K730" s="56"/>
    </row>
    <row r="731" spans="1:11" ht="29.25">
      <c r="A731" s="11">
        <v>51202</v>
      </c>
      <c r="B731" s="54" t="s">
        <v>857</v>
      </c>
      <c r="C731" s="13"/>
      <c r="D731" s="14" t="s">
        <v>18</v>
      </c>
      <c r="E731" s="14" t="s">
        <v>28</v>
      </c>
      <c r="F731" s="14" t="s">
        <v>27</v>
      </c>
      <c r="G731" s="17">
        <f>'JUNIO-18 '!I718</f>
        <v>1800</v>
      </c>
      <c r="H731" s="51"/>
      <c r="I731" s="17">
        <f t="shared" si="13"/>
        <v>1800</v>
      </c>
      <c r="J731" s="56"/>
      <c r="K731" s="56"/>
    </row>
    <row r="732" spans="1:11" ht="29.25">
      <c r="A732" s="11">
        <v>54110</v>
      </c>
      <c r="B732" s="53" t="s">
        <v>858</v>
      </c>
      <c r="C732" s="13"/>
      <c r="D732" s="14" t="s">
        <v>18</v>
      </c>
      <c r="E732" s="14" t="s">
        <v>28</v>
      </c>
      <c r="F732" s="14" t="s">
        <v>27</v>
      </c>
      <c r="G732" s="17">
        <f>'JUNIO-18 '!I719</f>
        <v>100</v>
      </c>
      <c r="H732" s="51"/>
      <c r="I732" s="17">
        <f t="shared" si="13"/>
        <v>100</v>
      </c>
      <c r="J732" s="56"/>
      <c r="K732" s="56"/>
    </row>
    <row r="733" spans="1:11" ht="44.25">
      <c r="A733" s="11">
        <v>54111</v>
      </c>
      <c r="B733" s="53" t="s">
        <v>859</v>
      </c>
      <c r="C733" s="13"/>
      <c r="D733" s="14" t="s">
        <v>18</v>
      </c>
      <c r="E733" s="14" t="s">
        <v>28</v>
      </c>
      <c r="F733" s="14" t="s">
        <v>27</v>
      </c>
      <c r="G733" s="17">
        <f>'JUNIO-18 '!I720</f>
        <v>2590</v>
      </c>
      <c r="H733" s="51"/>
      <c r="I733" s="17">
        <f t="shared" si="13"/>
        <v>2590</v>
      </c>
      <c r="J733" s="56"/>
      <c r="K733" s="56"/>
    </row>
    <row r="734" spans="1:11" ht="29.25">
      <c r="A734" s="11">
        <v>54118</v>
      </c>
      <c r="B734" s="53" t="s">
        <v>860</v>
      </c>
      <c r="C734" s="13"/>
      <c r="D734" s="14" t="s">
        <v>18</v>
      </c>
      <c r="E734" s="14" t="s">
        <v>28</v>
      </c>
      <c r="F734" s="14" t="s">
        <v>27</v>
      </c>
      <c r="G734" s="17">
        <f>'JUNIO-18 '!I721</f>
        <v>100</v>
      </c>
      <c r="H734" s="51"/>
      <c r="I734" s="17">
        <f t="shared" si="13"/>
        <v>100</v>
      </c>
      <c r="J734" s="56"/>
      <c r="K734" s="56"/>
    </row>
    <row r="735" spans="1:11" ht="44.25">
      <c r="A735" s="11">
        <v>54313</v>
      </c>
      <c r="B735" s="53" t="s">
        <v>861</v>
      </c>
      <c r="C735" s="13"/>
      <c r="D735" s="14" t="s">
        <v>18</v>
      </c>
      <c r="E735" s="14" t="s">
        <v>28</v>
      </c>
      <c r="F735" s="14" t="s">
        <v>27</v>
      </c>
      <c r="G735" s="17">
        <f>'JUNIO-18 '!I722</f>
        <v>200</v>
      </c>
      <c r="H735" s="51"/>
      <c r="I735" s="17">
        <f t="shared" si="13"/>
        <v>200</v>
      </c>
      <c r="J735" s="56"/>
      <c r="K735" s="56"/>
    </row>
    <row r="736" spans="1:11" ht="44.25">
      <c r="A736" s="11">
        <v>54399</v>
      </c>
      <c r="B736" s="53" t="s">
        <v>862</v>
      </c>
      <c r="C736" s="13"/>
      <c r="D736" s="14" t="s">
        <v>18</v>
      </c>
      <c r="E736" s="14" t="s">
        <v>28</v>
      </c>
      <c r="F736" s="14" t="s">
        <v>27</v>
      </c>
      <c r="G736" s="17">
        <f>'JUNIO-18 '!I723</f>
        <v>200</v>
      </c>
      <c r="H736" s="51"/>
      <c r="I736" s="17">
        <f t="shared" si="13"/>
        <v>200</v>
      </c>
      <c r="J736" s="56"/>
      <c r="K736" s="56"/>
    </row>
    <row r="737" spans="1:11" ht="29.25">
      <c r="A737" s="11">
        <v>55603</v>
      </c>
      <c r="B737" s="53" t="s">
        <v>863</v>
      </c>
      <c r="C737" s="13"/>
      <c r="D737" s="14" t="s">
        <v>18</v>
      </c>
      <c r="E737" s="14" t="s">
        <v>28</v>
      </c>
      <c r="F737" s="14" t="s">
        <v>27</v>
      </c>
      <c r="G737" s="17">
        <f>'JUNIO-18 '!I724</f>
        <v>10</v>
      </c>
      <c r="H737" s="51"/>
      <c r="I737" s="17">
        <f t="shared" si="13"/>
        <v>10</v>
      </c>
      <c r="J737" s="56"/>
      <c r="K737" s="56"/>
    </row>
    <row r="738" spans="1:11" ht="59.25">
      <c r="A738" s="141" t="s">
        <v>873</v>
      </c>
      <c r="B738" s="53" t="s">
        <v>864</v>
      </c>
      <c r="C738" s="13"/>
      <c r="D738" s="14"/>
      <c r="E738" s="14"/>
      <c r="F738" s="14"/>
      <c r="G738" s="17">
        <f>'JUNIO-18 '!I725</f>
        <v>0</v>
      </c>
      <c r="H738" s="51"/>
      <c r="I738" s="17"/>
      <c r="J738" s="56"/>
      <c r="K738" s="56"/>
    </row>
    <row r="739" spans="1:11" ht="29.25">
      <c r="A739" s="11">
        <v>51202</v>
      </c>
      <c r="B739" s="53" t="s">
        <v>865</v>
      </c>
      <c r="C739" s="13"/>
      <c r="D739" s="14" t="s">
        <v>18</v>
      </c>
      <c r="E739" s="14" t="s">
        <v>28</v>
      </c>
      <c r="F739" s="14" t="s">
        <v>27</v>
      </c>
      <c r="G739" s="17">
        <f>'JUNIO-18 '!I726</f>
        <v>7000</v>
      </c>
      <c r="H739" s="51"/>
      <c r="I739" s="17">
        <f t="shared" si="13"/>
        <v>7000</v>
      </c>
      <c r="J739" s="56"/>
      <c r="K739" s="56"/>
    </row>
    <row r="740" spans="1:11" ht="29.25">
      <c r="A740" s="11">
        <v>54110</v>
      </c>
      <c r="B740" s="53" t="s">
        <v>866</v>
      </c>
      <c r="C740" s="13"/>
      <c r="D740" s="14" t="s">
        <v>18</v>
      </c>
      <c r="E740" s="14" t="s">
        <v>28</v>
      </c>
      <c r="F740" s="14" t="s">
        <v>27</v>
      </c>
      <c r="G740" s="17">
        <f>'JUNIO-18 '!I727</f>
        <v>200</v>
      </c>
      <c r="H740" s="51"/>
      <c r="I740" s="17">
        <f t="shared" si="13"/>
        <v>200</v>
      </c>
      <c r="J740" s="56"/>
      <c r="K740" s="56"/>
    </row>
    <row r="741" spans="1:11" ht="30">
      <c r="A741" s="11">
        <v>54111</v>
      </c>
      <c r="B741" s="53" t="s">
        <v>867</v>
      </c>
      <c r="C741" s="13"/>
      <c r="D741" s="14" t="s">
        <v>18</v>
      </c>
      <c r="E741" s="14" t="s">
        <v>28</v>
      </c>
      <c r="F741" s="14" t="s">
        <v>27</v>
      </c>
      <c r="G741" s="17">
        <f>'JUNIO-18 '!I728</f>
        <v>10290</v>
      </c>
      <c r="H741" s="51"/>
      <c r="I741" s="17">
        <f t="shared" si="13"/>
        <v>10290</v>
      </c>
      <c r="J741" s="56"/>
      <c r="K741" s="56"/>
    </row>
    <row r="742" spans="1:11" ht="29.25">
      <c r="A742" s="11">
        <v>54118</v>
      </c>
      <c r="B742" s="53" t="s">
        <v>868</v>
      </c>
      <c r="C742" s="13"/>
      <c r="D742" s="14" t="s">
        <v>18</v>
      </c>
      <c r="E742" s="14" t="s">
        <v>28</v>
      </c>
      <c r="F742" s="14" t="s">
        <v>27</v>
      </c>
      <c r="G742" s="17">
        <f>'JUNIO-18 '!I729</f>
        <v>2000</v>
      </c>
      <c r="H742" s="51"/>
      <c r="I742" s="17">
        <f t="shared" si="13"/>
        <v>2000</v>
      </c>
      <c r="J742" s="56"/>
      <c r="K742" s="56"/>
    </row>
    <row r="743" spans="1:11" ht="44.25">
      <c r="A743" s="11">
        <v>54313</v>
      </c>
      <c r="B743" s="53" t="s">
        <v>869</v>
      </c>
      <c r="C743" s="13"/>
      <c r="D743" s="14" t="s">
        <v>18</v>
      </c>
      <c r="E743" s="14" t="s">
        <v>28</v>
      </c>
      <c r="F743" s="14" t="s">
        <v>27</v>
      </c>
      <c r="G743" s="17">
        <f>'JUNIO-18 '!I730</f>
        <v>300</v>
      </c>
      <c r="H743" s="51"/>
      <c r="I743" s="17">
        <f t="shared" si="13"/>
        <v>300</v>
      </c>
      <c r="J743" s="56"/>
      <c r="K743" s="56"/>
    </row>
    <row r="744" spans="1:11" ht="30">
      <c r="A744" s="11">
        <v>54399</v>
      </c>
      <c r="B744" s="53" t="s">
        <v>870</v>
      </c>
      <c r="C744" s="13"/>
      <c r="D744" s="14" t="s">
        <v>18</v>
      </c>
      <c r="E744" s="14" t="s">
        <v>28</v>
      </c>
      <c r="F744" s="14" t="s">
        <v>27</v>
      </c>
      <c r="G744" s="17">
        <f>'JUNIO-18 '!I731</f>
        <v>200</v>
      </c>
      <c r="H744" s="51"/>
      <c r="I744" s="17">
        <f t="shared" si="13"/>
        <v>200</v>
      </c>
      <c r="J744" s="56"/>
      <c r="K744" s="56"/>
    </row>
    <row r="745" spans="1:11" ht="29.25">
      <c r="A745" s="11">
        <v>55603</v>
      </c>
      <c r="B745" s="53" t="s">
        <v>871</v>
      </c>
      <c r="C745" s="13"/>
      <c r="D745" s="14" t="s">
        <v>18</v>
      </c>
      <c r="E745" s="14" t="s">
        <v>28</v>
      </c>
      <c r="F745" s="14" t="s">
        <v>27</v>
      </c>
      <c r="G745" s="17">
        <f>'JUNIO-18 '!I732</f>
        <v>10</v>
      </c>
      <c r="H745" s="51"/>
      <c r="I745" s="17">
        <f t="shared" si="13"/>
        <v>10</v>
      </c>
      <c r="J745" s="56"/>
      <c r="K745" s="56"/>
    </row>
    <row r="746" spans="1:11" ht="60">
      <c r="A746" s="141" t="s">
        <v>532</v>
      </c>
      <c r="B746" s="53" t="s">
        <v>874</v>
      </c>
      <c r="C746" s="13"/>
      <c r="D746" s="14"/>
      <c r="E746" s="14"/>
      <c r="F746" s="14"/>
      <c r="G746" s="17">
        <f>'JUNIO-18 '!I733</f>
        <v>0</v>
      </c>
      <c r="H746" s="51"/>
      <c r="I746" s="17"/>
      <c r="J746" s="56"/>
      <c r="K746" s="56"/>
    </row>
    <row r="747" spans="1:11" ht="29.25">
      <c r="A747" s="11">
        <v>51202</v>
      </c>
      <c r="B747" s="53" t="s">
        <v>875</v>
      </c>
      <c r="C747" s="13"/>
      <c r="D747" s="14" t="s">
        <v>18</v>
      </c>
      <c r="E747" s="14" t="s">
        <v>28</v>
      </c>
      <c r="F747" s="14" t="s">
        <v>27</v>
      </c>
      <c r="G747" s="17">
        <f>'JUNIO-18 '!I734</f>
        <v>6990</v>
      </c>
      <c r="H747" s="51"/>
      <c r="I747" s="17">
        <f t="shared" si="13"/>
        <v>6990</v>
      </c>
      <c r="J747" s="56"/>
      <c r="K747" s="56"/>
    </row>
    <row r="748" spans="1:11" ht="29.25">
      <c r="A748" s="11">
        <v>54110</v>
      </c>
      <c r="B748" s="53" t="s">
        <v>876</v>
      </c>
      <c r="C748" s="13"/>
      <c r="D748" s="14" t="s">
        <v>18</v>
      </c>
      <c r="E748" s="14" t="s">
        <v>28</v>
      </c>
      <c r="F748" s="14" t="s">
        <v>27</v>
      </c>
      <c r="G748" s="17">
        <f>'JUNIO-18 '!I735</f>
        <v>200</v>
      </c>
      <c r="H748" s="51"/>
      <c r="I748" s="17">
        <f t="shared" si="13"/>
        <v>200</v>
      </c>
      <c r="J748" s="56"/>
      <c r="K748" s="56"/>
    </row>
    <row r="749" spans="1:11" ht="44.25">
      <c r="A749" s="11">
        <v>54111</v>
      </c>
      <c r="B749" s="53" t="s">
        <v>881</v>
      </c>
      <c r="C749" s="13"/>
      <c r="D749" s="14" t="s">
        <v>18</v>
      </c>
      <c r="E749" s="14" t="s">
        <v>28</v>
      </c>
      <c r="F749" s="14" t="s">
        <v>27</v>
      </c>
      <c r="G749" s="17">
        <f>'JUNIO-18 '!I736</f>
        <v>10000</v>
      </c>
      <c r="H749" s="51"/>
      <c r="I749" s="17">
        <f t="shared" si="13"/>
        <v>10000</v>
      </c>
      <c r="J749" s="56"/>
      <c r="K749" s="56"/>
    </row>
    <row r="750" spans="1:11" ht="29.25">
      <c r="A750" s="11">
        <v>54118</v>
      </c>
      <c r="B750" s="53" t="s">
        <v>877</v>
      </c>
      <c r="C750" s="13"/>
      <c r="D750" s="14" t="s">
        <v>18</v>
      </c>
      <c r="E750" s="14" t="s">
        <v>28</v>
      </c>
      <c r="F750" s="14" t="s">
        <v>27</v>
      </c>
      <c r="G750" s="17">
        <f>'JUNIO-18 '!I737</f>
        <v>2000</v>
      </c>
      <c r="H750" s="51"/>
      <c r="I750" s="17">
        <f t="shared" si="13"/>
        <v>2000</v>
      </c>
      <c r="J750" s="56"/>
      <c r="K750" s="56"/>
    </row>
    <row r="751" spans="1:11" ht="44.25">
      <c r="A751" s="11">
        <v>54313</v>
      </c>
      <c r="B751" s="53" t="s">
        <v>878</v>
      </c>
      <c r="C751" s="13"/>
      <c r="D751" s="14" t="s">
        <v>18</v>
      </c>
      <c r="E751" s="14" t="s">
        <v>28</v>
      </c>
      <c r="F751" s="14" t="s">
        <v>27</v>
      </c>
      <c r="G751" s="17">
        <f>'JUNIO-18 '!I738</f>
        <v>300</v>
      </c>
      <c r="H751" s="51"/>
      <c r="I751" s="17">
        <f t="shared" si="13"/>
        <v>300</v>
      </c>
      <c r="J751" s="56"/>
      <c r="K751" s="56"/>
    </row>
    <row r="752" spans="1:11" ht="43.5">
      <c r="A752" s="11">
        <v>54399</v>
      </c>
      <c r="B752" s="53" t="s">
        <v>879</v>
      </c>
      <c r="C752" s="13"/>
      <c r="D752" s="14" t="s">
        <v>18</v>
      </c>
      <c r="E752" s="14" t="s">
        <v>28</v>
      </c>
      <c r="F752" s="14" t="s">
        <v>27</v>
      </c>
      <c r="G752" s="17">
        <f>'JUNIO-18 '!I739</f>
        <v>500</v>
      </c>
      <c r="H752" s="51"/>
      <c r="I752" s="17">
        <f t="shared" si="13"/>
        <v>500</v>
      </c>
      <c r="J752" s="56"/>
      <c r="K752" s="56"/>
    </row>
    <row r="753" spans="1:11" ht="29.25">
      <c r="A753" s="11">
        <v>55603</v>
      </c>
      <c r="B753" s="53" t="s">
        <v>880</v>
      </c>
      <c r="C753" s="13"/>
      <c r="D753" s="14" t="s">
        <v>18</v>
      </c>
      <c r="E753" s="14" t="s">
        <v>28</v>
      </c>
      <c r="F753" s="14" t="s">
        <v>27</v>
      </c>
      <c r="G753" s="17">
        <f>'JUNIO-18 '!I740</f>
        <v>10</v>
      </c>
      <c r="H753" s="51"/>
      <c r="I753" s="17">
        <f t="shared" si="13"/>
        <v>10</v>
      </c>
      <c r="J753" s="56"/>
      <c r="K753" s="56"/>
    </row>
    <row r="754" spans="1:11" ht="72.75">
      <c r="A754" s="144" t="s">
        <v>540</v>
      </c>
      <c r="B754" s="53" t="s">
        <v>882</v>
      </c>
      <c r="C754" s="13"/>
      <c r="D754" s="14"/>
      <c r="E754" s="14"/>
      <c r="F754" s="14"/>
      <c r="G754" s="17">
        <f>'JUNIO-18 '!I741</f>
        <v>0</v>
      </c>
      <c r="H754" s="51"/>
      <c r="I754" s="17"/>
      <c r="J754" s="56"/>
      <c r="K754" s="56"/>
    </row>
    <row r="755" spans="1:11" ht="43.5">
      <c r="A755" s="11">
        <v>51202</v>
      </c>
      <c r="B755" s="53" t="s">
        <v>883</v>
      </c>
      <c r="C755" s="13"/>
      <c r="D755" s="14" t="s">
        <v>18</v>
      </c>
      <c r="E755" s="14" t="s">
        <v>28</v>
      </c>
      <c r="F755" s="14" t="s">
        <v>27</v>
      </c>
      <c r="G755" s="17">
        <f>'JUNIO-18 '!I742</f>
        <v>10000</v>
      </c>
      <c r="H755" s="51"/>
      <c r="I755" s="17">
        <f t="shared" si="13"/>
        <v>10000</v>
      </c>
      <c r="J755" s="56"/>
      <c r="K755" s="56"/>
    </row>
    <row r="756" spans="1:11" ht="43.5">
      <c r="A756" s="11">
        <v>54110</v>
      </c>
      <c r="B756" s="53" t="s">
        <v>968</v>
      </c>
      <c r="C756" s="13"/>
      <c r="D756" s="14" t="s">
        <v>18</v>
      </c>
      <c r="E756" s="14" t="s">
        <v>28</v>
      </c>
      <c r="F756" s="14" t="s">
        <v>27</v>
      </c>
      <c r="G756" s="17">
        <f>'JUNIO-18 '!I743</f>
        <v>500</v>
      </c>
      <c r="H756" s="51"/>
      <c r="I756" s="17">
        <f t="shared" si="13"/>
        <v>500</v>
      </c>
      <c r="J756" s="56"/>
      <c r="K756" s="56"/>
    </row>
    <row r="757" spans="1:11" ht="44.25">
      <c r="A757" s="11">
        <v>54111</v>
      </c>
      <c r="B757" s="53" t="s">
        <v>884</v>
      </c>
      <c r="C757" s="13"/>
      <c r="D757" s="14" t="s">
        <v>18</v>
      </c>
      <c r="E757" s="14" t="s">
        <v>28</v>
      </c>
      <c r="F757" s="14" t="s">
        <v>27</v>
      </c>
      <c r="G757" s="17">
        <f>'JUNIO-18 '!I744</f>
        <v>15000</v>
      </c>
      <c r="H757" s="51"/>
      <c r="I757" s="17">
        <f t="shared" ref="I757:I803" si="14">G757-H757+J757-K757</f>
        <v>15000</v>
      </c>
      <c r="J757" s="56"/>
      <c r="K757" s="56"/>
    </row>
    <row r="758" spans="1:11" ht="43.5">
      <c r="A758" s="11">
        <v>54118</v>
      </c>
      <c r="B758" s="53" t="s">
        <v>885</v>
      </c>
      <c r="C758" s="13"/>
      <c r="D758" s="14" t="s">
        <v>18</v>
      </c>
      <c r="E758" s="14" t="s">
        <v>28</v>
      </c>
      <c r="F758" s="14" t="s">
        <v>27</v>
      </c>
      <c r="G758" s="17">
        <f>'JUNIO-18 '!I745</f>
        <v>5000</v>
      </c>
      <c r="H758" s="51"/>
      <c r="I758" s="17">
        <f t="shared" si="14"/>
        <v>5000</v>
      </c>
      <c r="J758" s="56"/>
      <c r="K758" s="56"/>
    </row>
    <row r="759" spans="1:11" ht="43.5">
      <c r="A759" s="11">
        <v>54304</v>
      </c>
      <c r="B759" s="53" t="s">
        <v>889</v>
      </c>
      <c r="C759" s="13"/>
      <c r="D759" s="14" t="s">
        <v>18</v>
      </c>
      <c r="E759" s="14" t="s">
        <v>28</v>
      </c>
      <c r="F759" s="14" t="s">
        <v>27</v>
      </c>
      <c r="G759" s="17">
        <f>'JUNIO-18 '!I746</f>
        <v>2690</v>
      </c>
      <c r="H759" s="51"/>
      <c r="I759" s="17">
        <f t="shared" si="14"/>
        <v>2690</v>
      </c>
      <c r="J759" s="56"/>
      <c r="K759" s="56"/>
    </row>
    <row r="760" spans="1:11" ht="44.25">
      <c r="A760" s="11">
        <v>54313</v>
      </c>
      <c r="B760" s="53" t="s">
        <v>886</v>
      </c>
      <c r="C760" s="13"/>
      <c r="D760" s="14" t="s">
        <v>18</v>
      </c>
      <c r="E760" s="14" t="s">
        <v>28</v>
      </c>
      <c r="F760" s="14" t="s">
        <v>27</v>
      </c>
      <c r="G760" s="17">
        <f>'JUNIO-18 '!I747</f>
        <v>300</v>
      </c>
      <c r="H760" s="51"/>
      <c r="I760" s="17">
        <f t="shared" si="14"/>
        <v>300</v>
      </c>
      <c r="J760" s="56"/>
      <c r="K760" s="56"/>
    </row>
    <row r="761" spans="1:11" ht="44.25">
      <c r="A761" s="11">
        <v>54399</v>
      </c>
      <c r="B761" s="53" t="s">
        <v>887</v>
      </c>
      <c r="C761" s="13"/>
      <c r="D761" s="14" t="s">
        <v>18</v>
      </c>
      <c r="E761" s="14" t="s">
        <v>28</v>
      </c>
      <c r="F761" s="14" t="s">
        <v>27</v>
      </c>
      <c r="G761" s="17">
        <f>'JUNIO-18 '!I748</f>
        <v>1500</v>
      </c>
      <c r="H761" s="51"/>
      <c r="I761" s="17">
        <f t="shared" si="14"/>
        <v>1500</v>
      </c>
      <c r="J761" s="56"/>
      <c r="K761" s="56"/>
    </row>
    <row r="762" spans="1:11" ht="43.5">
      <c r="A762" s="11">
        <v>55603</v>
      </c>
      <c r="B762" s="53" t="s">
        <v>888</v>
      </c>
      <c r="C762" s="13"/>
      <c r="D762" s="14" t="s">
        <v>18</v>
      </c>
      <c r="E762" s="14" t="s">
        <v>28</v>
      </c>
      <c r="F762" s="14" t="s">
        <v>27</v>
      </c>
      <c r="G762" s="17">
        <f>'JUNIO-18 '!I749</f>
        <v>10</v>
      </c>
      <c r="H762" s="51"/>
      <c r="I762" s="17">
        <f t="shared" si="14"/>
        <v>10</v>
      </c>
      <c r="J762" s="56"/>
      <c r="K762" s="56"/>
    </row>
    <row r="763" spans="1:11" ht="63.75" customHeight="1">
      <c r="A763" s="141" t="s">
        <v>901</v>
      </c>
      <c r="B763" s="53" t="s">
        <v>890</v>
      </c>
      <c r="C763" s="344" t="s">
        <v>1108</v>
      </c>
      <c r="D763" s="14"/>
      <c r="E763" s="14"/>
      <c r="F763" s="14"/>
      <c r="G763" s="17">
        <f>'JUNIO-18 '!I750</f>
        <v>0</v>
      </c>
      <c r="H763" s="51"/>
      <c r="I763" s="17"/>
      <c r="J763" s="56"/>
      <c r="K763" s="56"/>
    </row>
    <row r="764" spans="1:11" ht="29.25">
      <c r="A764" s="11">
        <v>51202</v>
      </c>
      <c r="B764" s="53" t="s">
        <v>1014</v>
      </c>
      <c r="C764" s="13"/>
      <c r="D764" s="14" t="s">
        <v>18</v>
      </c>
      <c r="E764" s="14" t="s">
        <v>28</v>
      </c>
      <c r="F764" s="14" t="s">
        <v>27</v>
      </c>
      <c r="G764" s="17">
        <f>'JUNIO-18 '!I751</f>
        <v>5516</v>
      </c>
      <c r="H764" s="51">
        <f>90+112+112+112+112+112+112+112+112+112+112+112+112+112+112+112+80+40+40+40+33.4+33.4+20.04+26.72+33.4+26.72+26.72+33.4+33.4+33.4+26.72+20.04+33.4+13.36+33.4+6.68+50+8+8+8+8+8+8+8+8+8+8+8</f>
        <v>2542.1999999999998</v>
      </c>
      <c r="I764" s="17">
        <f t="shared" si="14"/>
        <v>2973.8</v>
      </c>
      <c r="J764" s="56"/>
      <c r="K764" s="56"/>
    </row>
    <row r="765" spans="1:11" ht="29.25">
      <c r="A765" s="11">
        <v>51999</v>
      </c>
      <c r="B765" s="53" t="s">
        <v>1015</v>
      </c>
      <c r="C765" s="13"/>
      <c r="D765" s="14" t="s">
        <v>18</v>
      </c>
      <c r="E765" s="14" t="s">
        <v>28</v>
      </c>
      <c r="F765" s="14" t="s">
        <v>27</v>
      </c>
      <c r="G765" s="17">
        <f>'JUNIO-18 '!I752</f>
        <v>931.59999999999991</v>
      </c>
      <c r="H765" s="51">
        <f>80+80+80+80+100+100+100+100</f>
        <v>720</v>
      </c>
      <c r="I765" s="17">
        <f t="shared" si="14"/>
        <v>211.59999999999991</v>
      </c>
      <c r="J765" s="56"/>
      <c r="K765" s="56"/>
    </row>
    <row r="766" spans="1:11" ht="29.25">
      <c r="A766" s="11">
        <v>54110</v>
      </c>
      <c r="B766" s="53" t="s">
        <v>1016</v>
      </c>
      <c r="C766" s="13"/>
      <c r="D766" s="14" t="s">
        <v>18</v>
      </c>
      <c r="E766" s="14" t="s">
        <v>28</v>
      </c>
      <c r="F766" s="14" t="s">
        <v>27</v>
      </c>
      <c r="G766" s="17">
        <f>'JUNIO-18 '!I753</f>
        <v>500</v>
      </c>
      <c r="H766" s="51"/>
      <c r="I766" s="17">
        <f t="shared" si="14"/>
        <v>500</v>
      </c>
      <c r="J766" s="56"/>
      <c r="K766" s="56"/>
    </row>
    <row r="767" spans="1:11" ht="29.25">
      <c r="A767" s="11">
        <v>54111</v>
      </c>
      <c r="B767" s="53" t="s">
        <v>1017</v>
      </c>
      <c r="C767" s="13"/>
      <c r="D767" s="14" t="s">
        <v>18</v>
      </c>
      <c r="E767" s="14" t="s">
        <v>28</v>
      </c>
      <c r="F767" s="14" t="s">
        <v>27</v>
      </c>
      <c r="G767" s="17">
        <f>'JUNIO-18 '!I754</f>
        <v>10000</v>
      </c>
      <c r="H767" s="51">
        <f>317.5+209</f>
        <v>526.5</v>
      </c>
      <c r="I767" s="17">
        <f t="shared" si="14"/>
        <v>9473.5</v>
      </c>
      <c r="J767" s="56"/>
      <c r="K767" s="127"/>
    </row>
    <row r="768" spans="1:11" ht="44.25">
      <c r="A768" s="11">
        <v>54112</v>
      </c>
      <c r="B768" s="53" t="s">
        <v>1021</v>
      </c>
      <c r="C768" s="13"/>
      <c r="D768" s="14" t="s">
        <v>18</v>
      </c>
      <c r="E768" s="14" t="s">
        <v>28</v>
      </c>
      <c r="F768" s="14" t="s">
        <v>27</v>
      </c>
      <c r="G768" s="17">
        <f>'JUNIO-18 '!I755</f>
        <v>2981.25</v>
      </c>
      <c r="H768" s="51"/>
      <c r="I768" s="17">
        <f t="shared" si="14"/>
        <v>2981.25</v>
      </c>
      <c r="J768" s="56"/>
      <c r="K768" s="56"/>
    </row>
    <row r="769" spans="1:11" ht="29.25">
      <c r="A769" s="11">
        <v>54118</v>
      </c>
      <c r="B769" s="53" t="s">
        <v>1020</v>
      </c>
      <c r="C769" s="61" t="s">
        <v>1109</v>
      </c>
      <c r="D769" s="14" t="s">
        <v>18</v>
      </c>
      <c r="E769" s="14" t="s">
        <v>28</v>
      </c>
      <c r="F769" s="14" t="s">
        <v>27</v>
      </c>
      <c r="G769" s="17">
        <f>'JUNIO-18 '!I756</f>
        <v>1886.8500000000001</v>
      </c>
      <c r="H769" s="51">
        <v>559.44000000000005</v>
      </c>
      <c r="I769" s="17">
        <f t="shared" si="14"/>
        <v>1327.41</v>
      </c>
      <c r="J769" s="56"/>
      <c r="K769" s="56"/>
    </row>
    <row r="770" spans="1:11" ht="29.25">
      <c r="A770" s="11">
        <v>54199</v>
      </c>
      <c r="B770" s="53" t="s">
        <v>1018</v>
      </c>
      <c r="C770" s="13"/>
      <c r="D770" s="14" t="s">
        <v>18</v>
      </c>
      <c r="E770" s="14" t="s">
        <v>28</v>
      </c>
      <c r="F770" s="14" t="s">
        <v>27</v>
      </c>
      <c r="G770" s="17">
        <f>'JUNIO-18 '!I757</f>
        <v>2079.0500000000002</v>
      </c>
      <c r="H770" s="51">
        <v>62</v>
      </c>
      <c r="I770" s="17">
        <f t="shared" si="14"/>
        <v>2017.0500000000002</v>
      </c>
      <c r="J770" s="56"/>
      <c r="K770" s="56"/>
    </row>
    <row r="771" spans="1:11" ht="29.25">
      <c r="A771" s="11">
        <v>54313</v>
      </c>
      <c r="B771" s="53" t="s">
        <v>1019</v>
      </c>
      <c r="C771" s="13"/>
      <c r="D771" s="14" t="s">
        <v>18</v>
      </c>
      <c r="E771" s="14" t="s">
        <v>28</v>
      </c>
      <c r="F771" s="14" t="s">
        <v>27</v>
      </c>
      <c r="G771" s="17">
        <f>'JUNIO-18 '!I758</f>
        <v>1650</v>
      </c>
      <c r="H771" s="51">
        <f>700+675</f>
        <v>1375</v>
      </c>
      <c r="I771" s="17">
        <f t="shared" si="14"/>
        <v>275</v>
      </c>
      <c r="J771" s="56"/>
      <c r="K771" s="56"/>
    </row>
    <row r="772" spans="1:11" ht="44.25">
      <c r="A772" s="11">
        <v>54399</v>
      </c>
      <c r="B772" s="53" t="s">
        <v>1022</v>
      </c>
      <c r="C772" s="13"/>
      <c r="D772" s="14" t="s">
        <v>18</v>
      </c>
      <c r="E772" s="14" t="s">
        <v>28</v>
      </c>
      <c r="F772" s="14" t="s">
        <v>27</v>
      </c>
      <c r="G772" s="17">
        <f>'JUNIO-18 '!I759</f>
        <v>1439.35</v>
      </c>
      <c r="H772" s="51"/>
      <c r="I772" s="17">
        <f t="shared" si="14"/>
        <v>1429.35</v>
      </c>
      <c r="J772" s="137"/>
      <c r="K772" s="137">
        <v>10</v>
      </c>
    </row>
    <row r="773" spans="1:11" ht="29.25">
      <c r="A773" s="11">
        <v>55603</v>
      </c>
      <c r="B773" s="53" t="s">
        <v>898</v>
      </c>
      <c r="C773" s="13"/>
      <c r="D773" s="14" t="s">
        <v>18</v>
      </c>
      <c r="E773" s="14" t="s">
        <v>28</v>
      </c>
      <c r="F773" s="14" t="s">
        <v>27</v>
      </c>
      <c r="G773" s="17">
        <f>'JUNIO-18 '!I760</f>
        <v>2.4699999999999998</v>
      </c>
      <c r="H773" s="51">
        <v>5.65</v>
      </c>
      <c r="I773" s="18">
        <f t="shared" si="14"/>
        <v>6.8199999999999994</v>
      </c>
      <c r="J773" s="142">
        <v>10</v>
      </c>
      <c r="K773" s="56"/>
    </row>
    <row r="774" spans="1:11" ht="60">
      <c r="A774" s="141">
        <v>41</v>
      </c>
      <c r="B774" s="53" t="s">
        <v>902</v>
      </c>
      <c r="C774" s="13"/>
      <c r="D774" s="14"/>
      <c r="E774" s="14"/>
      <c r="F774" s="14"/>
      <c r="G774" s="17">
        <f>'JUNIO-18 '!I761</f>
        <v>0</v>
      </c>
      <c r="H774" s="51"/>
      <c r="I774" s="17"/>
      <c r="J774" s="56"/>
      <c r="K774" s="56"/>
    </row>
    <row r="775" spans="1:11" ht="29.25">
      <c r="A775" s="11">
        <v>51999</v>
      </c>
      <c r="B775" s="53" t="s">
        <v>903</v>
      </c>
      <c r="C775" s="13"/>
      <c r="D775" s="14" t="s">
        <v>18</v>
      </c>
      <c r="E775" s="14" t="s">
        <v>28</v>
      </c>
      <c r="F775" s="14" t="s">
        <v>27</v>
      </c>
      <c r="G775" s="17">
        <f>'JUNIO-18 '!I762</f>
        <v>1000</v>
      </c>
      <c r="H775" s="51"/>
      <c r="I775" s="17">
        <f t="shared" si="14"/>
        <v>1000</v>
      </c>
      <c r="J775" s="56"/>
      <c r="K775" s="56"/>
    </row>
    <row r="776" spans="1:11" ht="44.25">
      <c r="A776" s="11">
        <v>54111</v>
      </c>
      <c r="B776" s="53" t="s">
        <v>904</v>
      </c>
      <c r="C776" s="13"/>
      <c r="D776" s="14" t="s">
        <v>18</v>
      </c>
      <c r="E776" s="14" t="s">
        <v>28</v>
      </c>
      <c r="F776" s="14" t="s">
        <v>27</v>
      </c>
      <c r="G776" s="17">
        <f>'JUNIO-18 '!I763</f>
        <v>1000</v>
      </c>
      <c r="H776" s="51"/>
      <c r="I776" s="17">
        <f t="shared" si="14"/>
        <v>1000</v>
      </c>
      <c r="J776" s="56"/>
      <c r="K776" s="56"/>
    </row>
    <row r="777" spans="1:11" ht="43.5">
      <c r="A777" s="11">
        <v>54118</v>
      </c>
      <c r="B777" s="53" t="s">
        <v>905</v>
      </c>
      <c r="C777" s="13"/>
      <c r="D777" s="14" t="s">
        <v>18</v>
      </c>
      <c r="E777" s="14" t="s">
        <v>28</v>
      </c>
      <c r="F777" s="14" t="s">
        <v>27</v>
      </c>
      <c r="G777" s="17">
        <f>'JUNIO-18 '!I764</f>
        <v>1000</v>
      </c>
      <c r="H777" s="51"/>
      <c r="I777" s="17">
        <f t="shared" si="14"/>
        <v>1000</v>
      </c>
      <c r="J777" s="56"/>
      <c r="K777" s="56"/>
    </row>
    <row r="778" spans="1:11" ht="44.25">
      <c r="A778" s="11">
        <v>54313</v>
      </c>
      <c r="B778" s="53" t="s">
        <v>906</v>
      </c>
      <c r="C778" s="13"/>
      <c r="D778" s="14" t="s">
        <v>18</v>
      </c>
      <c r="E778" s="14" t="s">
        <v>28</v>
      </c>
      <c r="F778" s="14" t="s">
        <v>27</v>
      </c>
      <c r="G778" s="17">
        <f>'JUNIO-18 '!I765</f>
        <v>100</v>
      </c>
      <c r="H778" s="51"/>
      <c r="I778" s="17">
        <f t="shared" si="14"/>
        <v>100</v>
      </c>
      <c r="J778" s="56"/>
      <c r="K778" s="56"/>
    </row>
    <row r="779" spans="1:11" ht="44.25">
      <c r="A779" s="11">
        <v>54399</v>
      </c>
      <c r="B779" s="53" t="s">
        <v>907</v>
      </c>
      <c r="C779" s="13"/>
      <c r="D779" s="14" t="s">
        <v>18</v>
      </c>
      <c r="E779" s="14" t="s">
        <v>28</v>
      </c>
      <c r="F779" s="14" t="s">
        <v>27</v>
      </c>
      <c r="G779" s="17">
        <f>'JUNIO-18 '!I766</f>
        <v>1890</v>
      </c>
      <c r="H779" s="51"/>
      <c r="I779" s="17">
        <f t="shared" si="14"/>
        <v>1890</v>
      </c>
      <c r="J779" s="56"/>
      <c r="K779" s="56"/>
    </row>
    <row r="780" spans="1:11" ht="29.25">
      <c r="A780" s="11">
        <v>55603</v>
      </c>
      <c r="B780" s="53" t="s">
        <v>908</v>
      </c>
      <c r="C780" s="13"/>
      <c r="D780" s="14" t="s">
        <v>18</v>
      </c>
      <c r="E780" s="14" t="s">
        <v>28</v>
      </c>
      <c r="F780" s="14" t="s">
        <v>27</v>
      </c>
      <c r="G780" s="17">
        <f>'JUNIO-18 '!I767</f>
        <v>10</v>
      </c>
      <c r="H780" s="51"/>
      <c r="I780" s="17">
        <f t="shared" si="14"/>
        <v>10</v>
      </c>
      <c r="J780" s="56"/>
      <c r="K780" s="56"/>
    </row>
    <row r="781" spans="1:11" ht="45">
      <c r="A781" s="141" t="s">
        <v>909</v>
      </c>
      <c r="B781" s="53" t="s">
        <v>910</v>
      </c>
      <c r="C781" s="13"/>
      <c r="D781" s="14"/>
      <c r="E781" s="14"/>
      <c r="F781" s="14"/>
      <c r="G781" s="17">
        <f>'JUNIO-18 '!I768</f>
        <v>0</v>
      </c>
      <c r="H781" s="51"/>
      <c r="I781" s="17"/>
      <c r="J781" s="56"/>
      <c r="K781" s="56"/>
    </row>
    <row r="782" spans="1:11" ht="29.25">
      <c r="A782" s="11">
        <v>51999</v>
      </c>
      <c r="B782" s="54" t="s">
        <v>911</v>
      </c>
      <c r="C782" s="13"/>
      <c r="D782" s="14" t="s">
        <v>18</v>
      </c>
      <c r="E782" s="14" t="s">
        <v>28</v>
      </c>
      <c r="F782" s="14" t="s">
        <v>27</v>
      </c>
      <c r="G782" s="17">
        <f>'JUNIO-18 '!I769</f>
        <v>500</v>
      </c>
      <c r="H782" s="51"/>
      <c r="I782" s="17">
        <f t="shared" si="14"/>
        <v>500</v>
      </c>
      <c r="J782" s="56"/>
      <c r="K782" s="56"/>
    </row>
    <row r="783" spans="1:11" ht="29.25">
      <c r="A783" s="11">
        <v>54110</v>
      </c>
      <c r="B783" s="54" t="s">
        <v>912</v>
      </c>
      <c r="C783" s="13"/>
      <c r="D783" s="14" t="s">
        <v>18</v>
      </c>
      <c r="E783" s="14" t="s">
        <v>28</v>
      </c>
      <c r="F783" s="14" t="s">
        <v>27</v>
      </c>
      <c r="G783" s="17">
        <f>'JUNIO-18 '!I770</f>
        <v>500</v>
      </c>
      <c r="H783" s="51"/>
      <c r="I783" s="17">
        <f t="shared" si="14"/>
        <v>500</v>
      </c>
      <c r="J783" s="56"/>
      <c r="K783" s="56"/>
    </row>
    <row r="784" spans="1:11" ht="30">
      <c r="A784" s="11">
        <v>54111</v>
      </c>
      <c r="B784" s="53" t="s">
        <v>913</v>
      </c>
      <c r="C784" s="13"/>
      <c r="D784" s="14" t="s">
        <v>18</v>
      </c>
      <c r="E784" s="14" t="s">
        <v>28</v>
      </c>
      <c r="F784" s="14" t="s">
        <v>27</v>
      </c>
      <c r="G784" s="17">
        <f>'JUNIO-18 '!I771</f>
        <v>1000</v>
      </c>
      <c r="H784" s="51"/>
      <c r="I784" s="17">
        <f t="shared" si="14"/>
        <v>1000</v>
      </c>
      <c r="J784" s="56"/>
      <c r="K784" s="56"/>
    </row>
    <row r="785" spans="1:11" ht="29.25">
      <c r="A785" s="11">
        <v>54118</v>
      </c>
      <c r="B785" s="53" t="s">
        <v>914</v>
      </c>
      <c r="C785" s="13"/>
      <c r="D785" s="14" t="s">
        <v>18</v>
      </c>
      <c r="E785" s="14" t="s">
        <v>28</v>
      </c>
      <c r="F785" s="14" t="s">
        <v>27</v>
      </c>
      <c r="G785" s="17">
        <f>'JUNIO-18 '!I772</f>
        <v>1000</v>
      </c>
      <c r="H785" s="51"/>
      <c r="I785" s="17">
        <f t="shared" si="14"/>
        <v>1000</v>
      </c>
      <c r="J785" s="56"/>
      <c r="K785" s="56"/>
    </row>
    <row r="786" spans="1:11" ht="29.25">
      <c r="A786" s="11">
        <v>54199</v>
      </c>
      <c r="B786" s="53" t="s">
        <v>915</v>
      </c>
      <c r="C786" s="13"/>
      <c r="D786" s="14" t="s">
        <v>18</v>
      </c>
      <c r="E786" s="14" t="s">
        <v>28</v>
      </c>
      <c r="F786" s="14" t="s">
        <v>27</v>
      </c>
      <c r="G786" s="17">
        <f>'JUNIO-18 '!I773</f>
        <v>500</v>
      </c>
      <c r="H786" s="51"/>
      <c r="I786" s="17">
        <f t="shared" si="14"/>
        <v>500</v>
      </c>
      <c r="J786" s="56"/>
      <c r="K786" s="56"/>
    </row>
    <row r="787" spans="1:11" ht="44.25">
      <c r="A787" s="11">
        <v>54313</v>
      </c>
      <c r="B787" s="53" t="s">
        <v>916</v>
      </c>
      <c r="C787" s="13"/>
      <c r="D787" s="14" t="s">
        <v>18</v>
      </c>
      <c r="E787" s="14" t="s">
        <v>28</v>
      </c>
      <c r="F787" s="14" t="s">
        <v>27</v>
      </c>
      <c r="G787" s="17">
        <f>'JUNIO-18 '!I774</f>
        <v>600</v>
      </c>
      <c r="H787" s="51"/>
      <c r="I787" s="17">
        <f t="shared" si="14"/>
        <v>600</v>
      </c>
      <c r="J787" s="56"/>
      <c r="K787" s="56"/>
    </row>
    <row r="788" spans="1:11" ht="30">
      <c r="A788" s="11">
        <v>54399</v>
      </c>
      <c r="B788" s="53" t="s">
        <v>917</v>
      </c>
      <c r="C788" s="13"/>
      <c r="D788" s="14" t="s">
        <v>18</v>
      </c>
      <c r="E788" s="14" t="s">
        <v>28</v>
      </c>
      <c r="F788" s="14" t="s">
        <v>27</v>
      </c>
      <c r="G788" s="17">
        <f>'JUNIO-18 '!I775</f>
        <v>890</v>
      </c>
      <c r="H788" s="51"/>
      <c r="I788" s="17">
        <f t="shared" si="14"/>
        <v>890</v>
      </c>
      <c r="J788" s="56"/>
      <c r="K788" s="56"/>
    </row>
    <row r="789" spans="1:11" ht="29.25">
      <c r="A789" s="11">
        <v>55603</v>
      </c>
      <c r="B789" s="53" t="s">
        <v>918</v>
      </c>
      <c r="C789" s="13"/>
      <c r="D789" s="14" t="s">
        <v>18</v>
      </c>
      <c r="E789" s="14" t="s">
        <v>28</v>
      </c>
      <c r="F789" s="14" t="s">
        <v>27</v>
      </c>
      <c r="G789" s="17">
        <f>'JUNIO-18 '!I776</f>
        <v>10</v>
      </c>
      <c r="H789" s="51"/>
      <c r="I789" s="17">
        <f t="shared" si="14"/>
        <v>10</v>
      </c>
      <c r="J789" s="56"/>
      <c r="K789" s="56"/>
    </row>
    <row r="790" spans="1:11" ht="74.25">
      <c r="A790" s="141" t="s">
        <v>1093</v>
      </c>
      <c r="B790" s="53" t="s">
        <v>964</v>
      </c>
      <c r="C790" s="13"/>
      <c r="D790" s="14"/>
      <c r="E790" s="14"/>
      <c r="F790" s="14"/>
      <c r="G790" s="17">
        <f>'JUNIO-18 '!I777</f>
        <v>0</v>
      </c>
      <c r="H790" s="51"/>
      <c r="I790" s="17"/>
      <c r="J790" s="56"/>
      <c r="K790" s="56"/>
    </row>
    <row r="791" spans="1:11" s="178" customFormat="1" ht="45">
      <c r="A791" s="1" t="s">
        <v>19</v>
      </c>
      <c r="B791" s="179" t="s">
        <v>965</v>
      </c>
      <c r="C791" s="180"/>
      <c r="D791" s="14" t="s">
        <v>18</v>
      </c>
      <c r="E791" s="14" t="s">
        <v>28</v>
      </c>
      <c r="F791" s="14" t="s">
        <v>27</v>
      </c>
      <c r="G791" s="17">
        <f>'JUNIO-18 '!I778</f>
        <v>1.8189894035458565E-12</v>
      </c>
      <c r="H791" s="210"/>
      <c r="I791" s="17">
        <f t="shared" si="14"/>
        <v>1.8189894035458565E-12</v>
      </c>
      <c r="J791" s="143"/>
      <c r="K791" s="209"/>
    </row>
    <row r="792" spans="1:11" s="178" customFormat="1" ht="71.25">
      <c r="A792" s="1">
        <v>51202</v>
      </c>
      <c r="B792" s="53" t="s">
        <v>985</v>
      </c>
      <c r="C792" s="180"/>
      <c r="D792" s="14" t="s">
        <v>18</v>
      </c>
      <c r="E792" s="14" t="s">
        <v>28</v>
      </c>
      <c r="F792" s="14" t="s">
        <v>27</v>
      </c>
      <c r="G792" s="17">
        <f>'JUNIO-18 '!I779</f>
        <v>0.15999999999939973</v>
      </c>
      <c r="H792" s="210"/>
      <c r="I792" s="17">
        <f t="shared" si="14"/>
        <v>0.15999999999939973</v>
      </c>
      <c r="J792" s="209"/>
      <c r="K792" s="209"/>
    </row>
    <row r="793" spans="1:11" ht="44.25">
      <c r="A793" s="11">
        <v>54118</v>
      </c>
      <c r="B793" s="53" t="s">
        <v>919</v>
      </c>
      <c r="C793" s="13"/>
      <c r="D793" s="14" t="s">
        <v>18</v>
      </c>
      <c r="E793" s="14" t="s">
        <v>28</v>
      </c>
      <c r="F793" s="14" t="s">
        <v>27</v>
      </c>
      <c r="G793" s="17">
        <f>'JUNIO-18 '!I780</f>
        <v>0</v>
      </c>
      <c r="H793" s="51"/>
      <c r="I793" s="17">
        <f t="shared" si="14"/>
        <v>0</v>
      </c>
      <c r="J793" s="56"/>
      <c r="K793" s="137"/>
    </row>
    <row r="794" spans="1:11" ht="44.25">
      <c r="A794" s="11">
        <v>54313</v>
      </c>
      <c r="B794" s="168" t="s">
        <v>920</v>
      </c>
      <c r="C794" s="13"/>
      <c r="D794" s="14" t="s">
        <v>18</v>
      </c>
      <c r="E794" s="14" t="s">
        <v>28</v>
      </c>
      <c r="F794" s="14" t="s">
        <v>27</v>
      </c>
      <c r="G794" s="17">
        <f>'JUNIO-18 '!I781</f>
        <v>0</v>
      </c>
      <c r="H794" s="51"/>
      <c r="I794" s="17">
        <f t="shared" si="14"/>
        <v>0</v>
      </c>
      <c r="J794" s="56"/>
      <c r="K794" s="137"/>
    </row>
    <row r="795" spans="1:11" ht="29.25">
      <c r="A795" s="11">
        <v>56303</v>
      </c>
      <c r="B795" s="53" t="s">
        <v>921</v>
      </c>
      <c r="C795" s="13"/>
      <c r="D795" s="14" t="s">
        <v>18</v>
      </c>
      <c r="E795" s="14" t="s">
        <v>28</v>
      </c>
      <c r="F795" s="14" t="s">
        <v>27</v>
      </c>
      <c r="G795" s="17">
        <f>'JUNIO-18 '!I782</f>
        <v>0</v>
      </c>
      <c r="H795" s="51"/>
      <c r="I795" s="17">
        <f t="shared" si="14"/>
        <v>0</v>
      </c>
      <c r="J795" s="56"/>
      <c r="K795" s="137"/>
    </row>
    <row r="796" spans="1:11" ht="29.25">
      <c r="A796" s="11">
        <v>55603</v>
      </c>
      <c r="B796" s="53" t="s">
        <v>922</v>
      </c>
      <c r="C796" s="13"/>
      <c r="D796" s="14" t="s">
        <v>18</v>
      </c>
      <c r="E796" s="14" t="s">
        <v>28</v>
      </c>
      <c r="F796" s="14" t="s">
        <v>27</v>
      </c>
      <c r="G796" s="17">
        <f>'JUNIO-18 '!I783</f>
        <v>0</v>
      </c>
      <c r="H796" s="51"/>
      <c r="I796" s="17">
        <f t="shared" si="14"/>
        <v>0</v>
      </c>
      <c r="J796" s="56"/>
      <c r="K796" s="137"/>
    </row>
    <row r="797" spans="1:11" ht="103.5">
      <c r="A797" s="11" t="s">
        <v>923</v>
      </c>
      <c r="B797" s="53" t="s">
        <v>924</v>
      </c>
      <c r="C797" s="13"/>
      <c r="D797" s="14" t="s">
        <v>18</v>
      </c>
      <c r="E797" s="14" t="s">
        <v>28</v>
      </c>
      <c r="F797" s="14" t="s">
        <v>27</v>
      </c>
      <c r="G797" s="17">
        <f>'JUNIO-18 '!I784</f>
        <v>3.5242919693700969E-12</v>
      </c>
      <c r="H797" s="51"/>
      <c r="I797" s="17">
        <f t="shared" si="14"/>
        <v>3.5242919693700969E-12</v>
      </c>
      <c r="J797" s="56"/>
      <c r="K797" s="266"/>
    </row>
    <row r="798" spans="1:11">
      <c r="A798" s="38"/>
      <c r="B798" s="161" t="s">
        <v>975</v>
      </c>
      <c r="C798" s="39"/>
      <c r="D798" s="39"/>
      <c r="E798" s="39"/>
      <c r="F798" s="39"/>
      <c r="G798" s="17">
        <f>'JUNIO-18 '!I785</f>
        <v>468432.72999999986</v>
      </c>
      <c r="H798" s="95">
        <f>SUM(H433:H797)</f>
        <v>27847.09</v>
      </c>
      <c r="I798" s="40">
        <f>SUM(I433:I797)</f>
        <v>440585.6399999999</v>
      </c>
      <c r="J798" s="40">
        <f>SUM(J433:J797)</f>
        <v>11010</v>
      </c>
      <c r="K798" s="40">
        <f>SUM(K433:K797)</f>
        <v>11010</v>
      </c>
    </row>
    <row r="799" spans="1:11" s="198" customFormat="1" ht="54.75" customHeight="1" thickBot="1">
      <c r="A799" s="191" t="s">
        <v>925</v>
      </c>
      <c r="B799" s="192" t="s">
        <v>926</v>
      </c>
      <c r="C799" s="193"/>
      <c r="D799" s="194" t="s">
        <v>20</v>
      </c>
      <c r="E799" s="194" t="s">
        <v>31</v>
      </c>
      <c r="F799" s="194" t="s">
        <v>27</v>
      </c>
      <c r="G799" s="17">
        <f>' MARZO-18-1'!I766</f>
        <v>0</v>
      </c>
      <c r="H799" s="246"/>
      <c r="I799" s="196">
        <f t="shared" si="14"/>
        <v>0</v>
      </c>
      <c r="J799" s="197"/>
      <c r="K799" s="267"/>
    </row>
    <row r="800" spans="1:11" s="199" customFormat="1" ht="23.25" customHeight="1" thickBot="1">
      <c r="A800" s="38"/>
      <c r="B800" s="161" t="s">
        <v>21</v>
      </c>
      <c r="C800" s="39"/>
      <c r="D800" s="39"/>
      <c r="E800" s="39"/>
      <c r="F800" s="39"/>
      <c r="G800" s="17">
        <f>' MARZO-18-1'!I767</f>
        <v>0</v>
      </c>
      <c r="H800" s="95">
        <f>SUM(H799)</f>
        <v>0</v>
      </c>
      <c r="I800" s="196">
        <f t="shared" si="14"/>
        <v>0</v>
      </c>
      <c r="J800" s="40"/>
      <c r="K800" s="40">
        <f>SUM(K799)</f>
        <v>0</v>
      </c>
    </row>
    <row r="801" spans="1:11" s="171" customFormat="1" ht="45">
      <c r="A801" s="184" t="s">
        <v>929</v>
      </c>
      <c r="B801" s="185" t="s">
        <v>928</v>
      </c>
      <c r="C801" s="186"/>
      <c r="D801" s="187" t="s">
        <v>22</v>
      </c>
      <c r="E801" s="187" t="s">
        <v>31</v>
      </c>
      <c r="F801" s="187" t="s">
        <v>27</v>
      </c>
      <c r="G801" s="17">
        <f>'JUNIO-18 '!I788</f>
        <v>117.86000000000001</v>
      </c>
      <c r="H801" s="245"/>
      <c r="I801" s="189">
        <f t="shared" si="14"/>
        <v>117.86000000000001</v>
      </c>
      <c r="J801" s="190"/>
      <c r="K801" s="268"/>
    </row>
    <row r="802" spans="1:11" s="171" customFormat="1" ht="63" customHeight="1">
      <c r="A802" s="175" t="s">
        <v>927</v>
      </c>
      <c r="B802" s="174" t="s">
        <v>978</v>
      </c>
      <c r="C802" s="139"/>
      <c r="D802" s="14" t="s">
        <v>22</v>
      </c>
      <c r="E802" s="14" t="s">
        <v>31</v>
      </c>
      <c r="F802" s="14" t="s">
        <v>27</v>
      </c>
      <c r="G802" s="17">
        <f>'JUNIO-18 '!I789</f>
        <v>290.39999999999998</v>
      </c>
      <c r="H802" s="244"/>
      <c r="I802" s="17">
        <f t="shared" si="14"/>
        <v>290.39999999999998</v>
      </c>
      <c r="J802" s="140"/>
      <c r="K802" s="140"/>
    </row>
    <row r="803" spans="1:11">
      <c r="A803" s="38"/>
      <c r="B803" s="161" t="s">
        <v>23</v>
      </c>
      <c r="C803" s="39"/>
      <c r="D803" s="39"/>
      <c r="E803" s="39"/>
      <c r="F803" s="39"/>
      <c r="G803" s="17">
        <f>'JUNIO-18 '!I790</f>
        <v>408.2600000000001</v>
      </c>
      <c r="H803" s="95">
        <f>SUM(H801:H802)</f>
        <v>0</v>
      </c>
      <c r="I803" s="17">
        <f t="shared" si="14"/>
        <v>408.2600000000001</v>
      </c>
      <c r="J803" s="40"/>
      <c r="K803" s="40">
        <f>SUM(K801:K802)</f>
        <v>0</v>
      </c>
    </row>
    <row r="804" spans="1:11" s="171" customFormat="1" ht="116.25" customHeight="1">
      <c r="A804" s="169" t="s">
        <v>200</v>
      </c>
      <c r="B804" s="174" t="s">
        <v>1081</v>
      </c>
      <c r="C804" s="139"/>
      <c r="D804" s="139"/>
      <c r="E804" s="139"/>
      <c r="F804" s="139"/>
      <c r="G804" s="17"/>
      <c r="H804" s="170"/>
      <c r="I804" s="140"/>
      <c r="J804" s="140"/>
      <c r="K804" s="140"/>
    </row>
    <row r="805" spans="1:11" s="171" customFormat="1" ht="38.25" customHeight="1">
      <c r="A805" s="255">
        <v>51999</v>
      </c>
      <c r="B805" s="173" t="s">
        <v>933</v>
      </c>
      <c r="C805" s="139"/>
      <c r="D805" s="14" t="s">
        <v>11</v>
      </c>
      <c r="E805" s="14" t="s">
        <v>25</v>
      </c>
      <c r="F805" s="257" t="s">
        <v>1025</v>
      </c>
      <c r="G805" s="17">
        <f>'JUNIO-18 '!I792</f>
        <v>2100</v>
      </c>
      <c r="H805" s="140"/>
      <c r="I805" s="17">
        <f t="shared" ref="I805:I841" si="15">G805-H805+J805-K805</f>
        <v>2100</v>
      </c>
      <c r="J805" s="135"/>
      <c r="K805" s="135"/>
    </row>
    <row r="806" spans="1:11" s="171" customFormat="1" ht="30" customHeight="1">
      <c r="A806" s="255">
        <v>54199</v>
      </c>
      <c r="B806" s="173" t="s">
        <v>931</v>
      </c>
      <c r="C806" s="139"/>
      <c r="D806" s="14" t="s">
        <v>11</v>
      </c>
      <c r="E806" s="14" t="s">
        <v>25</v>
      </c>
      <c r="F806" s="257" t="s">
        <v>1025</v>
      </c>
      <c r="G806" s="17">
        <f>'JUNIO-18 '!I793</f>
        <v>0</v>
      </c>
      <c r="H806" s="170"/>
      <c r="I806" s="17">
        <f t="shared" si="15"/>
        <v>0</v>
      </c>
      <c r="J806" s="135"/>
      <c r="K806" s="135"/>
    </row>
    <row r="807" spans="1:11" s="171" customFormat="1" ht="24.75" customHeight="1">
      <c r="A807" s="255">
        <v>55799</v>
      </c>
      <c r="B807" s="173" t="s">
        <v>932</v>
      </c>
      <c r="C807" s="139"/>
      <c r="D807" s="14" t="s">
        <v>11</v>
      </c>
      <c r="E807" s="14" t="s">
        <v>25</v>
      </c>
      <c r="F807" s="257" t="s">
        <v>1025</v>
      </c>
      <c r="G807" s="17">
        <f>'JUNIO-18 '!I794</f>
        <v>1413.6799999999998</v>
      </c>
      <c r="H807" s="170"/>
      <c r="I807" s="17">
        <f t="shared" si="15"/>
        <v>1413.6799999999998</v>
      </c>
      <c r="J807" s="135"/>
      <c r="K807" s="135"/>
    </row>
    <row r="808" spans="1:11" s="171" customFormat="1" ht="68.25" customHeight="1">
      <c r="A808" s="176" t="s">
        <v>201</v>
      </c>
      <c r="B808" s="173" t="s">
        <v>934</v>
      </c>
      <c r="C808" s="139"/>
      <c r="D808" s="139"/>
      <c r="E808" s="139"/>
      <c r="F808" s="257" t="s">
        <v>1024</v>
      </c>
      <c r="G808" s="17">
        <f>'JUNIO-18 '!I795</f>
        <v>0</v>
      </c>
      <c r="H808" s="170"/>
      <c r="I808" s="17"/>
      <c r="J808" s="140"/>
      <c r="K808" s="140"/>
    </row>
    <row r="809" spans="1:11" s="171" customFormat="1" ht="37.5" customHeight="1">
      <c r="A809" s="254">
        <v>51202</v>
      </c>
      <c r="B809" s="173" t="s">
        <v>954</v>
      </c>
      <c r="C809" s="139"/>
      <c r="D809" s="14" t="s">
        <v>11</v>
      </c>
      <c r="E809" s="14" t="s">
        <v>25</v>
      </c>
      <c r="F809" s="257" t="s">
        <v>1024</v>
      </c>
      <c r="G809" s="17">
        <f>'JUNIO-18 '!I796</f>
        <v>335.67000000000098</v>
      </c>
      <c r="H809" s="140"/>
      <c r="I809" s="17">
        <f t="shared" si="15"/>
        <v>335.67000000000098</v>
      </c>
      <c r="J809" s="140"/>
      <c r="K809" s="140"/>
    </row>
    <row r="810" spans="1:11" s="171" customFormat="1" ht="33" customHeight="1">
      <c r="A810" s="254">
        <v>51999</v>
      </c>
      <c r="B810" s="177" t="s">
        <v>935</v>
      </c>
      <c r="C810" s="139"/>
      <c r="D810" s="14" t="s">
        <v>11</v>
      </c>
      <c r="E810" s="14" t="s">
        <v>25</v>
      </c>
      <c r="F810" s="257" t="s">
        <v>1024</v>
      </c>
      <c r="G810" s="17">
        <f>'JUNIO-18 '!I797</f>
        <v>0</v>
      </c>
      <c r="H810" s="140"/>
      <c r="I810" s="17">
        <f t="shared" si="15"/>
        <v>0</v>
      </c>
      <c r="J810" s="140"/>
      <c r="K810" s="135"/>
    </row>
    <row r="811" spans="1:11" s="171" customFormat="1" ht="29.25">
      <c r="A811" s="254">
        <v>54110</v>
      </c>
      <c r="B811" s="177" t="s">
        <v>936</v>
      </c>
      <c r="C811" s="139"/>
      <c r="D811" s="14" t="s">
        <v>11</v>
      </c>
      <c r="E811" s="14" t="s">
        <v>25</v>
      </c>
      <c r="F811" s="257" t="s">
        <v>1024</v>
      </c>
      <c r="G811" s="17">
        <f>'JUNIO-18 '!I798</f>
        <v>393.8599999999999</v>
      </c>
      <c r="H811" s="140"/>
      <c r="I811" s="17">
        <f t="shared" si="15"/>
        <v>393.8599999999999</v>
      </c>
      <c r="J811" s="140"/>
      <c r="K811" s="135"/>
    </row>
    <row r="812" spans="1:11" s="171" customFormat="1" ht="44.25">
      <c r="A812" s="254">
        <v>54111</v>
      </c>
      <c r="B812" s="173" t="s">
        <v>937</v>
      </c>
      <c r="C812" s="139"/>
      <c r="D812" s="14" t="s">
        <v>11</v>
      </c>
      <c r="E812" s="14" t="s">
        <v>25</v>
      </c>
      <c r="F812" s="257" t="s">
        <v>1024</v>
      </c>
      <c r="G812" s="17">
        <f>'JUNIO-18 '!I799</f>
        <v>176.97000000000116</v>
      </c>
      <c r="H812" s="140"/>
      <c r="I812" s="17">
        <f t="shared" si="15"/>
        <v>176.97000000000116</v>
      </c>
      <c r="J812" s="140"/>
      <c r="K812" s="135"/>
    </row>
    <row r="813" spans="1:11" s="171" customFormat="1" ht="44.25">
      <c r="A813" s="254">
        <v>54112</v>
      </c>
      <c r="B813" s="173" t="s">
        <v>938</v>
      </c>
      <c r="C813" s="139"/>
      <c r="D813" s="14" t="s">
        <v>11</v>
      </c>
      <c r="E813" s="14" t="s">
        <v>25</v>
      </c>
      <c r="F813" s="257" t="s">
        <v>1024</v>
      </c>
      <c r="G813" s="17">
        <f>'JUNIO-18 '!I800</f>
        <v>713.29999999999927</v>
      </c>
      <c r="H813" s="140"/>
      <c r="I813" s="17">
        <f t="shared" si="15"/>
        <v>713.29999999999927</v>
      </c>
      <c r="J813" s="135"/>
      <c r="K813" s="135"/>
    </row>
    <row r="814" spans="1:11" s="171" customFormat="1" ht="29.25">
      <c r="A814" s="254">
        <v>54118</v>
      </c>
      <c r="B814" s="173" t="s">
        <v>939</v>
      </c>
      <c r="C814" s="139"/>
      <c r="D814" s="14" t="s">
        <v>11</v>
      </c>
      <c r="E814" s="14" t="s">
        <v>25</v>
      </c>
      <c r="F814" s="257" t="s">
        <v>1024</v>
      </c>
      <c r="G814" s="17">
        <f>'JUNIO-18 '!I801</f>
        <v>41.749999999999773</v>
      </c>
      <c r="H814" s="244"/>
      <c r="I814" s="17">
        <f t="shared" si="15"/>
        <v>41.749999999999773</v>
      </c>
      <c r="J814" s="140"/>
      <c r="K814" s="135"/>
    </row>
    <row r="815" spans="1:11" s="171" customFormat="1" ht="29.25">
      <c r="A815" s="254">
        <v>54304</v>
      </c>
      <c r="B815" s="173" t="s">
        <v>940</v>
      </c>
      <c r="C815" s="139"/>
      <c r="D815" s="14" t="s">
        <v>11</v>
      </c>
      <c r="E815" s="14" t="s">
        <v>25</v>
      </c>
      <c r="F815" s="257" t="s">
        <v>1024</v>
      </c>
      <c r="G815" s="17">
        <f>'JUNIO-18 '!I802</f>
        <v>0</v>
      </c>
      <c r="H815" s="170"/>
      <c r="I815" s="17">
        <f t="shared" si="15"/>
        <v>0</v>
      </c>
      <c r="J815" s="140"/>
      <c r="K815" s="135"/>
    </row>
    <row r="816" spans="1:11" s="171" customFormat="1" ht="39" customHeight="1">
      <c r="A816" s="254">
        <v>54313</v>
      </c>
      <c r="B816" s="173" t="s">
        <v>941</v>
      </c>
      <c r="C816" s="139"/>
      <c r="D816" s="14" t="s">
        <v>11</v>
      </c>
      <c r="E816" s="14" t="s">
        <v>25</v>
      </c>
      <c r="F816" s="257" t="s">
        <v>1024</v>
      </c>
      <c r="G816" s="17">
        <f>'JUNIO-18 '!I803</f>
        <v>0</v>
      </c>
      <c r="H816" s="170"/>
      <c r="I816" s="17">
        <f t="shared" si="15"/>
        <v>0</v>
      </c>
      <c r="J816" s="140"/>
      <c r="K816" s="140"/>
    </row>
    <row r="817" spans="1:11" s="171" customFormat="1" ht="36" customHeight="1">
      <c r="A817" s="254">
        <v>54399</v>
      </c>
      <c r="B817" s="173" t="s">
        <v>942</v>
      </c>
      <c r="C817" s="139"/>
      <c r="D817" s="14" t="s">
        <v>11</v>
      </c>
      <c r="E817" s="14" t="s">
        <v>25</v>
      </c>
      <c r="F817" s="257" t="s">
        <v>1024</v>
      </c>
      <c r="G817" s="17">
        <f>'JUNIO-18 '!I804</f>
        <v>53.789999999999964</v>
      </c>
      <c r="H817" s="170"/>
      <c r="I817" s="17">
        <f t="shared" si="15"/>
        <v>53.789999999999964</v>
      </c>
      <c r="J817" s="140"/>
      <c r="K817" s="135"/>
    </row>
    <row r="818" spans="1:11" s="171" customFormat="1" ht="34.5" customHeight="1">
      <c r="A818" s="254">
        <v>55603</v>
      </c>
      <c r="B818" s="173" t="s">
        <v>943</v>
      </c>
      <c r="C818" s="139"/>
      <c r="D818" s="14" t="s">
        <v>11</v>
      </c>
      <c r="E818" s="14" t="s">
        <v>25</v>
      </c>
      <c r="F818" s="257" t="s">
        <v>1024</v>
      </c>
      <c r="G818" s="17">
        <f>'JUNIO-18 '!I805</f>
        <v>6.35</v>
      </c>
      <c r="H818" s="170"/>
      <c r="I818" s="134">
        <f t="shared" si="15"/>
        <v>6.35</v>
      </c>
      <c r="J818" s="135"/>
      <c r="K818" s="140"/>
    </row>
    <row r="819" spans="1:11" s="171" customFormat="1" ht="98.25" customHeight="1">
      <c r="A819" s="169" t="s">
        <v>220</v>
      </c>
      <c r="B819" s="241" t="s">
        <v>973</v>
      </c>
      <c r="C819" s="139"/>
      <c r="D819" s="14"/>
      <c r="E819" s="14"/>
      <c r="F819" s="257" t="s">
        <v>1024</v>
      </c>
      <c r="G819" s="17">
        <f>'JUNIO-18 '!I806</f>
        <v>0</v>
      </c>
      <c r="H819" s="170"/>
      <c r="I819" s="17"/>
      <c r="J819" s="140"/>
      <c r="K819" s="140"/>
    </row>
    <row r="820" spans="1:11" s="171" customFormat="1" ht="29.25">
      <c r="A820" s="254">
        <v>51202</v>
      </c>
      <c r="B820" s="173" t="s">
        <v>944</v>
      </c>
      <c r="C820" s="139"/>
      <c r="D820" s="14" t="s">
        <v>11</v>
      </c>
      <c r="E820" s="14" t="s">
        <v>25</v>
      </c>
      <c r="F820" s="257" t="s">
        <v>1024</v>
      </c>
      <c r="G820" s="17">
        <f>'JUNIO-18 '!I807</f>
        <v>12091.14</v>
      </c>
      <c r="H820" s="140"/>
      <c r="I820" s="17">
        <f t="shared" si="15"/>
        <v>12091.14</v>
      </c>
      <c r="J820" s="140"/>
      <c r="K820" s="140"/>
    </row>
    <row r="821" spans="1:11" s="171" customFormat="1" ht="29.25">
      <c r="A821" s="254">
        <v>51999</v>
      </c>
      <c r="B821" s="173" t="s">
        <v>946</v>
      </c>
      <c r="C821" s="139"/>
      <c r="D821" s="14" t="s">
        <v>11</v>
      </c>
      <c r="E821" s="14" t="s">
        <v>25</v>
      </c>
      <c r="F821" s="257" t="s">
        <v>1024</v>
      </c>
      <c r="G821" s="17">
        <f>'JUNIO-18 '!I808</f>
        <v>1000</v>
      </c>
      <c r="H821" s="140"/>
      <c r="I821" s="17">
        <f t="shared" si="15"/>
        <v>1000</v>
      </c>
      <c r="J821" s="140"/>
      <c r="K821" s="140"/>
    </row>
    <row r="822" spans="1:11" s="171" customFormat="1" ht="36" customHeight="1">
      <c r="A822" s="254">
        <v>54110</v>
      </c>
      <c r="B822" s="173" t="s">
        <v>945</v>
      </c>
      <c r="C822" s="139"/>
      <c r="D822" s="14" t="s">
        <v>11</v>
      </c>
      <c r="E822" s="14" t="s">
        <v>25</v>
      </c>
      <c r="F822" s="257" t="s">
        <v>1024</v>
      </c>
      <c r="G822" s="17">
        <f>'JUNIO-18 '!I809</f>
        <v>2000</v>
      </c>
      <c r="H822" s="140"/>
      <c r="I822" s="17">
        <f t="shared" si="15"/>
        <v>2000</v>
      </c>
      <c r="J822" s="140"/>
      <c r="K822" s="140"/>
    </row>
    <row r="823" spans="1:11" s="171" customFormat="1" ht="41.25" customHeight="1">
      <c r="A823" s="254">
        <v>54111</v>
      </c>
      <c r="B823" s="173" t="s">
        <v>947</v>
      </c>
      <c r="C823" s="139"/>
      <c r="D823" s="14" t="s">
        <v>11</v>
      </c>
      <c r="E823" s="14" t="s">
        <v>25</v>
      </c>
      <c r="F823" s="257" t="s">
        <v>1024</v>
      </c>
      <c r="G823" s="17">
        <f>'JUNIO-18 '!I810</f>
        <v>13877</v>
      </c>
      <c r="H823" s="140">
        <v>937.75</v>
      </c>
      <c r="I823" s="17">
        <f t="shared" si="15"/>
        <v>12939.25</v>
      </c>
      <c r="J823" s="140"/>
      <c r="K823" s="140"/>
    </row>
    <row r="824" spans="1:11" s="171" customFormat="1" ht="35.25" customHeight="1">
      <c r="A824" s="254">
        <v>54112</v>
      </c>
      <c r="B824" s="173" t="s">
        <v>948</v>
      </c>
      <c r="C824" s="139"/>
      <c r="D824" s="14" t="s">
        <v>11</v>
      </c>
      <c r="E824" s="14" t="s">
        <v>25</v>
      </c>
      <c r="F824" s="257" t="s">
        <v>1024</v>
      </c>
      <c r="G824" s="17">
        <f>'JUNIO-18 '!I811</f>
        <v>5265.95</v>
      </c>
      <c r="H824" s="140">
        <v>816</v>
      </c>
      <c r="I824" s="17">
        <f t="shared" si="15"/>
        <v>4449.95</v>
      </c>
      <c r="J824" s="140"/>
      <c r="K824" s="140"/>
    </row>
    <row r="825" spans="1:11" s="171" customFormat="1" ht="29.25">
      <c r="A825" s="254">
        <v>54118</v>
      </c>
      <c r="B825" s="173" t="s">
        <v>949</v>
      </c>
      <c r="C825" s="139"/>
      <c r="D825" s="14" t="s">
        <v>11</v>
      </c>
      <c r="E825" s="14" t="s">
        <v>25</v>
      </c>
      <c r="F825" s="257" t="s">
        <v>1024</v>
      </c>
      <c r="G825" s="17">
        <f>'JUNIO-18 '!I812</f>
        <v>2670</v>
      </c>
      <c r="H825" s="140"/>
      <c r="I825" s="17">
        <f t="shared" si="15"/>
        <v>2670</v>
      </c>
      <c r="J825" s="140"/>
      <c r="K825" s="140"/>
    </row>
    <row r="826" spans="1:11" s="171" customFormat="1" ht="29.25">
      <c r="A826" s="254">
        <v>54304</v>
      </c>
      <c r="B826" s="173" t="s">
        <v>950</v>
      </c>
      <c r="C826" s="139"/>
      <c r="D826" s="14" t="s">
        <v>11</v>
      </c>
      <c r="E826" s="14" t="s">
        <v>25</v>
      </c>
      <c r="F826" s="257" t="s">
        <v>1024</v>
      </c>
      <c r="G826" s="17">
        <f>'JUNIO-18 '!I813</f>
        <v>12000</v>
      </c>
      <c r="H826" s="140"/>
      <c r="I826" s="17">
        <f t="shared" si="15"/>
        <v>12000</v>
      </c>
      <c r="J826" s="140"/>
      <c r="K826" s="140"/>
    </row>
    <row r="827" spans="1:11" s="171" customFormat="1" ht="44.25">
      <c r="A827" s="254">
        <v>54313</v>
      </c>
      <c r="B827" s="173" t="s">
        <v>951</v>
      </c>
      <c r="C827" s="139"/>
      <c r="D827" s="14" t="s">
        <v>11</v>
      </c>
      <c r="E827" s="14" t="s">
        <v>25</v>
      </c>
      <c r="F827" s="257" t="s">
        <v>1024</v>
      </c>
      <c r="G827" s="17">
        <f>'JUNIO-18 '!I814</f>
        <v>1000</v>
      </c>
      <c r="H827" s="140"/>
      <c r="I827" s="17">
        <f t="shared" si="15"/>
        <v>1000</v>
      </c>
      <c r="J827" s="140"/>
      <c r="K827" s="140"/>
    </row>
    <row r="828" spans="1:11" s="171" customFormat="1" ht="44.25">
      <c r="A828" s="254">
        <v>54399</v>
      </c>
      <c r="B828" s="173" t="s">
        <v>952</v>
      </c>
      <c r="C828" s="139"/>
      <c r="D828" s="14" t="s">
        <v>11</v>
      </c>
      <c r="E828" s="14" t="s">
        <v>25</v>
      </c>
      <c r="F828" s="257" t="s">
        <v>1024</v>
      </c>
      <c r="G828" s="17">
        <f>'JUNIO-18 '!I815</f>
        <v>1988</v>
      </c>
      <c r="H828" s="140"/>
      <c r="I828" s="17">
        <f t="shared" si="15"/>
        <v>1988</v>
      </c>
      <c r="J828" s="135"/>
      <c r="K828" s="135"/>
    </row>
    <row r="829" spans="1:11" s="171" customFormat="1" ht="50.25" customHeight="1">
      <c r="A829" s="254">
        <v>55603</v>
      </c>
      <c r="B829" s="173" t="s">
        <v>953</v>
      </c>
      <c r="C829" s="139"/>
      <c r="D829" s="14" t="s">
        <v>11</v>
      </c>
      <c r="E829" s="14" t="s">
        <v>25</v>
      </c>
      <c r="F829" s="257" t="s">
        <v>1024</v>
      </c>
      <c r="G829" s="17">
        <f>'JUNIO-18 '!I816</f>
        <v>6.35</v>
      </c>
      <c r="H829" s="140"/>
      <c r="I829" s="134">
        <f t="shared" si="15"/>
        <v>6.35</v>
      </c>
      <c r="J829" s="135"/>
      <c r="K829" s="135"/>
    </row>
    <row r="830" spans="1:11" s="171" customFormat="1" ht="99.75">
      <c r="A830" s="256" t="s">
        <v>238</v>
      </c>
      <c r="B830" s="241" t="s">
        <v>972</v>
      </c>
      <c r="C830" s="139"/>
      <c r="D830" s="14"/>
      <c r="E830" s="14"/>
      <c r="F830" s="257" t="s">
        <v>1024</v>
      </c>
      <c r="G830" s="17">
        <f>'JUNIO-18 '!I817</f>
        <v>0</v>
      </c>
      <c r="H830" s="170"/>
      <c r="I830" s="17"/>
      <c r="J830" s="140"/>
      <c r="K830" s="140"/>
    </row>
    <row r="831" spans="1:11" s="171" customFormat="1" ht="29.25">
      <c r="A831" s="254">
        <v>51202</v>
      </c>
      <c r="B831" s="173" t="s">
        <v>955</v>
      </c>
      <c r="C831" s="139"/>
      <c r="D831" s="14" t="s">
        <v>11</v>
      </c>
      <c r="E831" s="14" t="s">
        <v>25</v>
      </c>
      <c r="F831" s="257" t="s">
        <v>1024</v>
      </c>
      <c r="G831" s="17">
        <f>'JUNIO-18 '!I818</f>
        <v>5476.74</v>
      </c>
      <c r="H831" s="244"/>
      <c r="I831" s="17">
        <f t="shared" si="15"/>
        <v>5476.74</v>
      </c>
      <c r="J831" s="140"/>
      <c r="K831" s="140"/>
    </row>
    <row r="832" spans="1:11" s="171" customFormat="1" ht="43.5">
      <c r="A832" s="254">
        <v>51999</v>
      </c>
      <c r="B832" s="173" t="s">
        <v>956</v>
      </c>
      <c r="C832" s="139"/>
      <c r="D832" s="14" t="s">
        <v>11</v>
      </c>
      <c r="E832" s="14" t="s">
        <v>25</v>
      </c>
      <c r="F832" s="257" t="s">
        <v>1024</v>
      </c>
      <c r="G832" s="17">
        <f>'JUNIO-18 '!I819</f>
        <v>0</v>
      </c>
      <c r="H832" s="244"/>
      <c r="I832" s="17">
        <f t="shared" si="15"/>
        <v>0</v>
      </c>
      <c r="J832" s="140"/>
      <c r="K832" s="135"/>
    </row>
    <row r="833" spans="1:11" s="171" customFormat="1" ht="43.5">
      <c r="A833" s="254">
        <v>54110</v>
      </c>
      <c r="B833" s="173" t="s">
        <v>957</v>
      </c>
      <c r="C833" s="139"/>
      <c r="D833" s="14" t="s">
        <v>11</v>
      </c>
      <c r="E833" s="14" t="s">
        <v>25</v>
      </c>
      <c r="F833" s="257" t="s">
        <v>1024</v>
      </c>
      <c r="G833" s="17">
        <f>'JUNIO-18 '!I820</f>
        <v>909.2</v>
      </c>
      <c r="H833" s="244"/>
      <c r="I833" s="17">
        <f t="shared" si="15"/>
        <v>909.2</v>
      </c>
      <c r="J833" s="140"/>
      <c r="K833" s="140"/>
    </row>
    <row r="834" spans="1:11" s="171" customFormat="1" ht="44.25">
      <c r="A834" s="254">
        <v>54111</v>
      </c>
      <c r="B834" s="173" t="s">
        <v>958</v>
      </c>
      <c r="C834" s="139"/>
      <c r="D834" s="14" t="s">
        <v>11</v>
      </c>
      <c r="E834" s="14" t="s">
        <v>25</v>
      </c>
      <c r="F834" s="257" t="s">
        <v>1024</v>
      </c>
      <c r="G834" s="17">
        <f>'JUNIO-18 '!I821</f>
        <v>1543.5</v>
      </c>
      <c r="H834" s="244"/>
      <c r="I834" s="17">
        <f t="shared" si="15"/>
        <v>1543.5</v>
      </c>
      <c r="J834" s="140"/>
      <c r="K834" s="135"/>
    </row>
    <row r="835" spans="1:11" s="171" customFormat="1" ht="44.25">
      <c r="A835" s="254">
        <v>54112</v>
      </c>
      <c r="B835" s="173" t="s">
        <v>959</v>
      </c>
      <c r="C835" s="139"/>
      <c r="D835" s="14" t="s">
        <v>11</v>
      </c>
      <c r="E835" s="14" t="s">
        <v>25</v>
      </c>
      <c r="F835" s="257" t="s">
        <v>1024</v>
      </c>
      <c r="G835" s="17">
        <f>'JUNIO-18 '!I822</f>
        <v>391.85000000000036</v>
      </c>
      <c r="H835" s="244"/>
      <c r="I835" s="134">
        <f t="shared" si="15"/>
        <v>391.85000000000036</v>
      </c>
      <c r="J835" s="135"/>
      <c r="K835" s="135"/>
    </row>
    <row r="836" spans="1:11" s="171" customFormat="1" ht="38.25" customHeight="1">
      <c r="A836" s="254">
        <v>54118</v>
      </c>
      <c r="B836" s="173" t="s">
        <v>960</v>
      </c>
      <c r="C836" s="139"/>
      <c r="D836" s="14" t="s">
        <v>11</v>
      </c>
      <c r="E836" s="14" t="s">
        <v>25</v>
      </c>
      <c r="F836" s="257" t="s">
        <v>1024</v>
      </c>
      <c r="G836" s="17">
        <f>'JUNIO-18 '!I823</f>
        <v>1464.85</v>
      </c>
      <c r="H836" s="244"/>
      <c r="I836" s="17">
        <f t="shared" si="15"/>
        <v>1464.85</v>
      </c>
      <c r="J836" s="135"/>
      <c r="K836" s="135"/>
    </row>
    <row r="837" spans="1:11" s="171" customFormat="1" ht="39" customHeight="1">
      <c r="A837" s="254">
        <v>54304</v>
      </c>
      <c r="B837" s="173" t="s">
        <v>961</v>
      </c>
      <c r="C837" s="139"/>
      <c r="D837" s="14" t="s">
        <v>11</v>
      </c>
      <c r="E837" s="14" t="s">
        <v>25</v>
      </c>
      <c r="F837" s="257" t="s">
        <v>1024</v>
      </c>
      <c r="G837" s="17">
        <f>'JUNIO-18 '!I824</f>
        <v>993</v>
      </c>
      <c r="H837" s="170"/>
      <c r="I837" s="17">
        <f t="shared" si="15"/>
        <v>993</v>
      </c>
      <c r="J837" s="135"/>
      <c r="K837" s="135"/>
    </row>
    <row r="838" spans="1:11" s="171" customFormat="1" ht="39" customHeight="1">
      <c r="A838" s="254">
        <v>54313</v>
      </c>
      <c r="B838" s="173" t="s">
        <v>962</v>
      </c>
      <c r="C838" s="139"/>
      <c r="D838" s="14" t="s">
        <v>11</v>
      </c>
      <c r="E838" s="14" t="s">
        <v>25</v>
      </c>
      <c r="F838" s="257" t="s">
        <v>1024</v>
      </c>
      <c r="G838" s="17">
        <f>'JUNIO-18 '!I825</f>
        <v>500</v>
      </c>
      <c r="H838" s="170"/>
      <c r="I838" s="17">
        <f t="shared" si="15"/>
        <v>500</v>
      </c>
      <c r="J838" s="135"/>
      <c r="K838" s="135"/>
    </row>
    <row r="839" spans="1:11" s="171" customFormat="1" ht="45" customHeight="1">
      <c r="A839" s="254">
        <v>54316</v>
      </c>
      <c r="B839" s="173" t="s">
        <v>1023</v>
      </c>
      <c r="C839" s="139"/>
      <c r="D839" s="14" t="s">
        <v>11</v>
      </c>
      <c r="E839" s="14" t="s">
        <v>25</v>
      </c>
      <c r="F839" s="257" t="s">
        <v>1024</v>
      </c>
      <c r="G839" s="17">
        <f>'JUNIO-18 '!I826</f>
        <v>50</v>
      </c>
      <c r="H839" s="170"/>
      <c r="I839" s="134">
        <f t="shared" si="15"/>
        <v>50</v>
      </c>
      <c r="J839" s="135"/>
      <c r="K839" s="135"/>
    </row>
    <row r="840" spans="1:11" s="171" customFormat="1" ht="40.5" customHeight="1">
      <c r="A840" s="254">
        <v>54399</v>
      </c>
      <c r="B840" s="173" t="s">
        <v>963</v>
      </c>
      <c r="C840" s="139"/>
      <c r="D840" s="14" t="s">
        <v>11</v>
      </c>
      <c r="E840" s="14" t="s">
        <v>25</v>
      </c>
      <c r="F840" s="257" t="s">
        <v>1024</v>
      </c>
      <c r="G840" s="17">
        <f>'JUNIO-18 '!I827</f>
        <v>495</v>
      </c>
      <c r="H840" s="170"/>
      <c r="I840" s="17">
        <f t="shared" si="15"/>
        <v>495</v>
      </c>
      <c r="J840" s="135"/>
      <c r="K840" s="135"/>
    </row>
    <row r="841" spans="1:11" s="171" customFormat="1" ht="57.75">
      <c r="A841" s="254">
        <v>55603</v>
      </c>
      <c r="B841" s="173" t="s">
        <v>971</v>
      </c>
      <c r="C841" s="139"/>
      <c r="D841" s="14" t="s">
        <v>11</v>
      </c>
      <c r="E841" s="14" t="s">
        <v>25</v>
      </c>
      <c r="F841" s="257" t="s">
        <v>1024</v>
      </c>
      <c r="G841" s="17">
        <f>'JUNIO-18 '!I828</f>
        <v>6.35</v>
      </c>
      <c r="H841" s="170"/>
      <c r="I841" s="134">
        <f t="shared" si="15"/>
        <v>6.35</v>
      </c>
      <c r="J841" s="135"/>
      <c r="K841" s="140"/>
    </row>
    <row r="842" spans="1:11" ht="21">
      <c r="A842" s="38" t="s">
        <v>8</v>
      </c>
      <c r="B842" s="39" t="s">
        <v>24</v>
      </c>
      <c r="C842" s="39"/>
      <c r="D842" s="39" t="s">
        <v>11</v>
      </c>
      <c r="E842" s="39" t="s">
        <v>25</v>
      </c>
      <c r="F842" s="257" t="s">
        <v>1024</v>
      </c>
      <c r="G842" s="17">
        <f>'JUNIO-18 '!I829</f>
        <v>68964.299999999988</v>
      </c>
      <c r="H842" s="95">
        <f>SUM(H804:H841)</f>
        <v>1753.75</v>
      </c>
      <c r="I842" s="40">
        <f>G842-H842+J842-K842</f>
        <v>67210.549999999988</v>
      </c>
      <c r="J842" s="40">
        <f>SUM(J804:J841)</f>
        <v>0</v>
      </c>
      <c r="K842" s="40">
        <f>SUM(K804:K841)</f>
        <v>0</v>
      </c>
    </row>
    <row r="843" spans="1:11" ht="28.5">
      <c r="A843" s="169" t="s">
        <v>15</v>
      </c>
      <c r="B843" s="282" t="s">
        <v>990</v>
      </c>
      <c r="C843" s="139" t="s">
        <v>1070</v>
      </c>
      <c r="D843" s="14" t="s">
        <v>18</v>
      </c>
      <c r="E843" s="14" t="s">
        <v>28</v>
      </c>
      <c r="F843" s="287" t="s">
        <v>1073</v>
      </c>
      <c r="G843" s="17">
        <f>'ABRIL-18'!I819</f>
        <v>0</v>
      </c>
      <c r="H843" s="170"/>
      <c r="I843" s="135">
        <f>G843-H843+J843-K843</f>
        <v>0</v>
      </c>
      <c r="J843" s="135"/>
      <c r="K843" s="140"/>
    </row>
    <row r="844" spans="1:11" ht="25.5">
      <c r="A844" s="38"/>
      <c r="B844" s="39" t="s">
        <v>989</v>
      </c>
      <c r="C844" s="39"/>
      <c r="D844" s="99" t="s">
        <v>18</v>
      </c>
      <c r="E844" s="99" t="s">
        <v>28</v>
      </c>
      <c r="F844" s="242" t="s">
        <v>996</v>
      </c>
      <c r="G844" s="17"/>
      <c r="H844" s="95">
        <f>SUM(H843)</f>
        <v>0</v>
      </c>
      <c r="I844" s="40">
        <f>SUM(I843)</f>
        <v>0</v>
      </c>
      <c r="J844" s="40">
        <f>SUM(J841:J843)</f>
        <v>0</v>
      </c>
      <c r="K844" s="40"/>
    </row>
    <row r="845" spans="1:11" ht="28.5">
      <c r="A845" s="169" t="s">
        <v>16</v>
      </c>
      <c r="B845" s="282" t="s">
        <v>1068</v>
      </c>
      <c r="C845" s="139" t="s">
        <v>1070</v>
      </c>
      <c r="D845" s="14" t="s">
        <v>18</v>
      </c>
      <c r="E845" s="14" t="s">
        <v>28</v>
      </c>
      <c r="F845" s="139" t="s">
        <v>1074</v>
      </c>
      <c r="G845" s="17">
        <f>'JUNIO-18 '!I832</f>
        <v>10</v>
      </c>
      <c r="H845" s="170"/>
      <c r="I845" s="244">
        <f>G845-H845+J845-K845</f>
        <v>10</v>
      </c>
      <c r="J845" s="140"/>
      <c r="K845" s="140"/>
    </row>
    <row r="846" spans="1:11">
      <c r="A846" s="38"/>
      <c r="B846" s="39" t="s">
        <v>989</v>
      </c>
      <c r="C846" s="39"/>
      <c r="D846" s="99" t="s">
        <v>18</v>
      </c>
      <c r="E846" s="99" t="s">
        <v>28</v>
      </c>
      <c r="F846" s="139" t="s">
        <v>1069</v>
      </c>
      <c r="G846" s="17">
        <f>SUM(G845)</f>
        <v>10</v>
      </c>
      <c r="H846" s="95">
        <f>SUM(H845)</f>
        <v>0</v>
      </c>
      <c r="I846" s="40">
        <f>SUM(I843:I845)</f>
        <v>10</v>
      </c>
      <c r="J846" s="40">
        <f>SUM(J845)</f>
        <v>0</v>
      </c>
      <c r="K846" s="40"/>
    </row>
    <row r="847" spans="1:11" ht="20.25" customHeight="1">
      <c r="A847" s="469" t="s">
        <v>124</v>
      </c>
      <c r="B847" s="469"/>
      <c r="C847" s="469"/>
      <c r="D847" s="48"/>
      <c r="E847" s="48"/>
      <c r="F847" s="48"/>
      <c r="G847" s="17">
        <f>'JUNIO-18 '!I834</f>
        <v>2011321.7999999998</v>
      </c>
      <c r="H847" s="51">
        <f>H846+H844+H842+H803+H800+H798+H432+H159+H151+H138+H126+H101+H74+H61</f>
        <v>158466.52000000002</v>
      </c>
      <c r="I847" s="49">
        <f>I846+I844+I842+I803+I800+I798+I432+I159+I151+I138+I126+I101+I74+I61</f>
        <v>1852855.28</v>
      </c>
      <c r="J847" s="231">
        <f>J846+J844+J842+J803+J800+J798+J432+J159+J151+J138+J126+J101+J74+J61</f>
        <v>66019.61</v>
      </c>
      <c r="K847" s="231">
        <f>K842+K803+K798+K432+K159+K151+K138+K126+K101+K74+K61+K800</f>
        <v>66019.61</v>
      </c>
    </row>
    <row r="848" spans="1:11">
      <c r="G848" s="274"/>
      <c r="J848" s="130"/>
    </row>
    <row r="849" spans="1:10">
      <c r="I849" s="274"/>
      <c r="J849" s="262">
        <f>J847-K847</f>
        <v>0</v>
      </c>
    </row>
    <row r="850" spans="1:10">
      <c r="A850" s="232" t="s">
        <v>1031</v>
      </c>
    </row>
    <row r="851" spans="1:10">
      <c r="A851" s="273" t="s">
        <v>1050</v>
      </c>
      <c r="B851" s="273"/>
      <c r="C851" s="273"/>
      <c r="D851" s="273"/>
      <c r="E851" s="273"/>
      <c r="F851" s="273"/>
    </row>
  </sheetData>
  <mergeCells count="3">
    <mergeCell ref="B1:K1"/>
    <mergeCell ref="B2:J2"/>
    <mergeCell ref="A847:C847"/>
  </mergeCells>
  <pageMargins left="0.15748031496062992" right="0.11811023622047245" top="0.19685039370078741" bottom="0.62992125984251968" header="0.15748031496062992" footer="0.11811023622047245"/>
  <pageSetup paperSize="5" scale="80" orientation="landscape" horizontalDpi="4294967293" verticalDpi="4294967293" r:id="rId1"/>
  <headerFooter>
    <oddFooter>&amp;L&amp;P
&amp;F
&amp;D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AF67D"/>
  </sheetPr>
  <dimension ref="A1:J27"/>
  <sheetViews>
    <sheetView topLeftCell="C13" zoomScaleNormal="100" workbookViewId="0">
      <selection activeCell="A2" sqref="A2:I2"/>
    </sheetView>
  </sheetViews>
  <sheetFormatPr baseColWidth="10" defaultRowHeight="15"/>
  <cols>
    <col min="1" max="1" width="18" customWidth="1"/>
    <col min="2" max="2" width="28.85546875" customWidth="1"/>
    <col min="3" max="3" width="26.5703125" customWidth="1"/>
    <col min="4" max="4" width="20.28515625" customWidth="1"/>
    <col min="5" max="5" width="16.28515625" customWidth="1"/>
    <col min="6" max="6" width="20.28515625" customWidth="1"/>
    <col min="7" max="7" width="26.28515625" customWidth="1"/>
    <col min="8" max="8" width="24.140625" customWidth="1"/>
    <col min="9" max="9" width="25.7109375" customWidth="1"/>
  </cols>
  <sheetData>
    <row r="1" spans="1:10" ht="36.75">
      <c r="A1" s="467" t="s">
        <v>155</v>
      </c>
      <c r="B1" s="467"/>
      <c r="C1" s="467"/>
      <c r="D1" s="467"/>
      <c r="E1" s="467"/>
      <c r="F1" s="467"/>
      <c r="G1" s="467"/>
      <c r="H1" s="467"/>
      <c r="I1" s="467"/>
      <c r="J1" s="467"/>
    </row>
    <row r="2" spans="1:10" ht="36.75">
      <c r="A2" s="468" t="s">
        <v>1133</v>
      </c>
      <c r="B2" s="468"/>
      <c r="C2" s="468"/>
      <c r="D2" s="468"/>
      <c r="E2" s="468"/>
      <c r="F2" s="468"/>
      <c r="G2" s="468"/>
      <c r="H2" s="468"/>
      <c r="I2" s="468"/>
      <c r="J2" s="377"/>
    </row>
    <row r="3" spans="1:10" ht="66" customHeight="1">
      <c r="A3" s="100" t="s">
        <v>142</v>
      </c>
      <c r="B3" s="100" t="s">
        <v>38</v>
      </c>
      <c r="C3" s="100" t="s">
        <v>144</v>
      </c>
      <c r="D3" s="100" t="s">
        <v>145</v>
      </c>
      <c r="E3" s="100" t="s">
        <v>146</v>
      </c>
      <c r="F3" s="100" t="s">
        <v>147</v>
      </c>
      <c r="G3" s="100" t="s">
        <v>148</v>
      </c>
      <c r="H3" s="100" t="s">
        <v>1174</v>
      </c>
      <c r="I3" s="100" t="s">
        <v>1175</v>
      </c>
    </row>
    <row r="4" spans="1:10" ht="30" customHeight="1">
      <c r="A4" s="101" t="s">
        <v>42</v>
      </c>
      <c r="B4" s="100" t="s">
        <v>149</v>
      </c>
      <c r="C4" s="85">
        <f>'JULIO-18  '!G61</f>
        <v>162220.66</v>
      </c>
      <c r="D4" s="353">
        <f>'JULIO-18  '!J61</f>
        <v>2000</v>
      </c>
      <c r="E4" s="354"/>
      <c r="F4" s="354">
        <f>'JULIO-18  '!K61</f>
        <v>500</v>
      </c>
      <c r="G4" s="351">
        <f>C4+D4-F4</f>
        <v>163720.66</v>
      </c>
      <c r="H4" s="351">
        <f>'JULIO-18  '!H61</f>
        <v>20735.849999999999</v>
      </c>
      <c r="I4" s="355">
        <f>G4-H4</f>
        <v>142984.81</v>
      </c>
      <c r="J4" s="72"/>
    </row>
    <row r="5" spans="1:10" ht="30" customHeight="1">
      <c r="A5" s="101" t="s">
        <v>94</v>
      </c>
      <c r="B5" s="100" t="s">
        <v>149</v>
      </c>
      <c r="C5" s="88">
        <f>'JULIO-18  '!G74</f>
        <v>18545.060000000005</v>
      </c>
      <c r="D5" s="350">
        <f>'JULIO-18  '!J74</f>
        <v>1000</v>
      </c>
      <c r="E5" s="89"/>
      <c r="F5" s="350">
        <f>'JULIO-18  '!K74</f>
        <v>2500</v>
      </c>
      <c r="G5" s="85">
        <f t="shared" ref="G5:G20" si="0">C5+D5-F5</f>
        <v>17045.060000000005</v>
      </c>
      <c r="H5" s="90">
        <f>'JULIO-18  '!H74</f>
        <v>1057.21</v>
      </c>
      <c r="I5" s="355">
        <f t="shared" ref="I5:I20" si="1">G5-H5</f>
        <v>15987.850000000006</v>
      </c>
      <c r="J5" s="72"/>
    </row>
    <row r="6" spans="1:10" ht="30" customHeight="1">
      <c r="A6" s="101" t="s">
        <v>97</v>
      </c>
      <c r="B6" s="100" t="s">
        <v>149</v>
      </c>
      <c r="C6" s="90">
        <f>'JULIO-18  '!G101</f>
        <v>56907.789999999994</v>
      </c>
      <c r="D6" s="350">
        <f>'JULIO-18  '!J101</f>
        <v>300</v>
      </c>
      <c r="E6" s="89"/>
      <c r="F6" s="350">
        <f>'JULIO-18  '!K101</f>
        <v>300</v>
      </c>
      <c r="G6" s="85">
        <f t="shared" si="0"/>
        <v>56907.789999999994</v>
      </c>
      <c r="H6" s="90">
        <f>'JULIO-18  '!H101</f>
        <v>8827.52</v>
      </c>
      <c r="I6" s="355">
        <f t="shared" si="1"/>
        <v>48080.26999999999</v>
      </c>
      <c r="J6" s="72"/>
    </row>
    <row r="7" spans="1:10" ht="30" customHeight="1">
      <c r="A7" s="101"/>
      <c r="B7" s="100"/>
      <c r="C7" s="90"/>
      <c r="D7" s="350"/>
      <c r="E7" s="89"/>
      <c r="F7" s="350"/>
      <c r="G7" s="359">
        <f>SUM(G4:G6)</f>
        <v>237673.51</v>
      </c>
      <c r="H7" s="360">
        <f>SUM(H4:H6)</f>
        <v>30620.579999999998</v>
      </c>
      <c r="I7" s="361">
        <f>SUM(I4:I6)</f>
        <v>207052.93</v>
      </c>
      <c r="J7" s="72"/>
    </row>
    <row r="8" spans="1:10" ht="30" customHeight="1">
      <c r="A8" s="101" t="s">
        <v>42</v>
      </c>
      <c r="B8" s="100" t="s">
        <v>150</v>
      </c>
      <c r="C8" s="90">
        <f>'JULIO-18  '!G126</f>
        <v>108455.40000000001</v>
      </c>
      <c r="D8" s="350">
        <f>'JULIO-18  '!J126</f>
        <v>0</v>
      </c>
      <c r="E8" s="89"/>
      <c r="F8" s="350">
        <f>'JULIO-18  '!K126</f>
        <v>0</v>
      </c>
      <c r="G8" s="351">
        <f t="shared" si="0"/>
        <v>108455.40000000001</v>
      </c>
      <c r="H8" s="352">
        <f>'JULIO-18  '!H126</f>
        <v>20433.72</v>
      </c>
      <c r="I8" s="355">
        <f t="shared" si="1"/>
        <v>88021.680000000008</v>
      </c>
      <c r="J8" s="72"/>
    </row>
    <row r="9" spans="1:10" ht="30" customHeight="1">
      <c r="A9" s="101" t="s">
        <v>94</v>
      </c>
      <c r="B9" s="100" t="s">
        <v>150</v>
      </c>
      <c r="C9" s="90">
        <f>'JULIO-18  '!G138</f>
        <v>66449.040000000023</v>
      </c>
      <c r="D9" s="350">
        <f>'JULIO-18  '!J138</f>
        <v>1000</v>
      </c>
      <c r="E9" s="89"/>
      <c r="F9" s="350">
        <f>'JULIO-18  '!K138</f>
        <v>1000</v>
      </c>
      <c r="G9" s="85">
        <f t="shared" si="0"/>
        <v>66449.040000000023</v>
      </c>
      <c r="H9" s="90">
        <f>'JULIO-18  '!H138</f>
        <v>6402.2400000000007</v>
      </c>
      <c r="I9" s="355">
        <f t="shared" si="1"/>
        <v>60046.800000000025</v>
      </c>
      <c r="J9" s="72"/>
    </row>
    <row r="10" spans="1:10" ht="30" customHeight="1">
      <c r="A10" s="101" t="s">
        <v>97</v>
      </c>
      <c r="B10" s="100" t="s">
        <v>150</v>
      </c>
      <c r="C10" s="90">
        <f>'JULIO-18  '!G151</f>
        <v>154306.36000000004</v>
      </c>
      <c r="D10" s="350">
        <f>'JULIO-18  '!J151</f>
        <v>3000</v>
      </c>
      <c r="E10" s="89"/>
      <c r="F10" s="350">
        <f>'JULIO-18  '!K151</f>
        <v>3000</v>
      </c>
      <c r="G10" s="351">
        <f t="shared" si="0"/>
        <v>154306.36000000004</v>
      </c>
      <c r="H10" s="352">
        <f>'JULIO-18  '!H151</f>
        <v>21630.37</v>
      </c>
      <c r="I10" s="355">
        <f t="shared" si="1"/>
        <v>132675.99000000005</v>
      </c>
      <c r="J10" s="72"/>
    </row>
    <row r="11" spans="1:10" ht="30" customHeight="1">
      <c r="A11" s="101"/>
      <c r="B11" s="100"/>
      <c r="C11" s="90"/>
      <c r="D11" s="350"/>
      <c r="E11" s="89"/>
      <c r="F11" s="350"/>
      <c r="G11" s="362">
        <f>SUM(G8:G10)</f>
        <v>329210.80000000005</v>
      </c>
      <c r="H11" s="363">
        <f>SUM(H8:H10)</f>
        <v>48466.33</v>
      </c>
      <c r="I11" s="361">
        <f>SUM(I8:I10)</f>
        <v>280744.47000000009</v>
      </c>
      <c r="J11" s="72"/>
    </row>
    <row r="12" spans="1:10" ht="30" customHeight="1">
      <c r="A12" s="101" t="s">
        <v>1</v>
      </c>
      <c r="B12" s="100" t="s">
        <v>151</v>
      </c>
      <c r="C12" s="90">
        <f>'JULIO-18  '!G159</f>
        <v>8545.9699999999993</v>
      </c>
      <c r="D12" s="350">
        <v>0</v>
      </c>
      <c r="E12" s="89"/>
      <c r="F12" s="350">
        <v>0</v>
      </c>
      <c r="G12" s="85">
        <f t="shared" si="0"/>
        <v>8545.9699999999993</v>
      </c>
      <c r="H12" s="90">
        <f>'JULIO-18  '!H159</f>
        <v>1.3</v>
      </c>
      <c r="I12" s="109">
        <f t="shared" si="1"/>
        <v>8544.67</v>
      </c>
      <c r="J12" s="72"/>
    </row>
    <row r="13" spans="1:10" ht="30" customHeight="1">
      <c r="A13" s="101" t="s">
        <v>11</v>
      </c>
      <c r="B13" s="100" t="s">
        <v>151</v>
      </c>
      <c r="C13" s="90">
        <f>'JULIO-18  '!G432</f>
        <v>898076.23</v>
      </c>
      <c r="D13" s="350">
        <f>'JULIO-18  '!J432</f>
        <v>47709.61</v>
      </c>
      <c r="E13" s="89"/>
      <c r="F13" s="350">
        <f>'JULIO-18  '!K432</f>
        <v>47709.61</v>
      </c>
      <c r="G13" s="351">
        <f>C13+D13-F13</f>
        <v>898076.23</v>
      </c>
      <c r="H13" s="352">
        <f>'JULIO-18  '!H432</f>
        <v>49777.470000000008</v>
      </c>
      <c r="I13" s="355">
        <f>G13-H13</f>
        <v>848298.76</v>
      </c>
      <c r="J13" s="72"/>
    </row>
    <row r="14" spans="1:10" ht="30" customHeight="1">
      <c r="A14" s="101" t="s">
        <v>18</v>
      </c>
      <c r="B14" s="100" t="s">
        <v>151</v>
      </c>
      <c r="C14" s="90">
        <f>'JULIO-18  '!G798</f>
        <v>468432.72999999986</v>
      </c>
      <c r="D14" s="350">
        <f>'JULIO-18  '!J798</f>
        <v>11010</v>
      </c>
      <c r="E14" s="89"/>
      <c r="F14" s="350">
        <f>'JULIO-18  '!K798</f>
        <v>11010</v>
      </c>
      <c r="G14" s="351">
        <f t="shared" si="0"/>
        <v>468432.72999999986</v>
      </c>
      <c r="H14" s="90">
        <f>'JULIO-18  '!H798</f>
        <v>27847.09</v>
      </c>
      <c r="I14" s="355">
        <f t="shared" si="1"/>
        <v>440585.63999999984</v>
      </c>
      <c r="J14" s="72"/>
    </row>
    <row r="15" spans="1:10" ht="30" customHeight="1">
      <c r="A15" s="101"/>
      <c r="B15" s="100"/>
      <c r="C15" s="90"/>
      <c r="D15" s="350"/>
      <c r="E15" s="89"/>
      <c r="F15" s="350"/>
      <c r="G15" s="362">
        <f>SUM(G12:G14)</f>
        <v>1375054.9299999997</v>
      </c>
      <c r="H15" s="364">
        <f>SUM(H12:H14)</f>
        <v>77625.860000000015</v>
      </c>
      <c r="I15" s="361">
        <f>SUM(I12:I14)</f>
        <v>1297429.0699999998</v>
      </c>
      <c r="J15" s="72"/>
    </row>
    <row r="16" spans="1:10" ht="30" customHeight="1">
      <c r="A16" s="101" t="s">
        <v>20</v>
      </c>
      <c r="B16" s="100" t="s">
        <v>156</v>
      </c>
      <c r="C16" s="90">
        <f>'ABRIL-18'!G776</f>
        <v>0</v>
      </c>
      <c r="D16" s="89">
        <v>0</v>
      </c>
      <c r="E16" s="89"/>
      <c r="F16" s="89"/>
      <c r="G16" s="85">
        <f t="shared" si="0"/>
        <v>0</v>
      </c>
      <c r="H16" s="91">
        <f>' MARZO-18-1'!H767</f>
        <v>0</v>
      </c>
      <c r="I16" s="109">
        <f t="shared" si="1"/>
        <v>0</v>
      </c>
      <c r="J16" s="72"/>
    </row>
    <row r="17" spans="1:10" ht="35.25" customHeight="1">
      <c r="A17" s="101" t="s">
        <v>22</v>
      </c>
      <c r="B17" s="100" t="s">
        <v>157</v>
      </c>
      <c r="C17" s="91">
        <f>'JULIO-18  '!G803</f>
        <v>408.2600000000001</v>
      </c>
      <c r="D17" s="92">
        <v>0</v>
      </c>
      <c r="E17" s="92"/>
      <c r="F17" s="92"/>
      <c r="G17" s="93">
        <f t="shared" si="0"/>
        <v>408.2600000000001</v>
      </c>
      <c r="H17" s="91"/>
      <c r="I17" s="109">
        <f t="shared" si="1"/>
        <v>408.2600000000001</v>
      </c>
      <c r="J17" s="72"/>
    </row>
    <row r="18" spans="1:10" ht="30.75" customHeight="1">
      <c r="A18" s="102" t="s">
        <v>11</v>
      </c>
      <c r="B18" s="103" t="s">
        <v>997</v>
      </c>
      <c r="C18" s="96">
        <f>'JULIO-18  '!G842</f>
        <v>68964.299999999988</v>
      </c>
      <c r="D18" s="97"/>
      <c r="E18" s="97"/>
      <c r="F18" s="97"/>
      <c r="G18" s="356">
        <f t="shared" si="0"/>
        <v>68964.299999999988</v>
      </c>
      <c r="H18" s="357">
        <f>'JULIO-18  '!H842</f>
        <v>1753.75</v>
      </c>
      <c r="I18" s="356">
        <f t="shared" si="1"/>
        <v>67210.549999999988</v>
      </c>
      <c r="J18" s="72"/>
    </row>
    <row r="19" spans="1:10" ht="16.5" customHeight="1">
      <c r="A19" s="236" t="s">
        <v>18</v>
      </c>
      <c r="B19" s="100" t="s">
        <v>994</v>
      </c>
      <c r="C19" s="96">
        <f>'MAYO-18 '!G831</f>
        <v>0</v>
      </c>
      <c r="D19" s="97"/>
      <c r="E19" s="97"/>
      <c r="F19" s="97">
        <v>0</v>
      </c>
      <c r="G19" s="98">
        <f t="shared" si="0"/>
        <v>0</v>
      </c>
      <c r="H19" s="96"/>
      <c r="I19" s="98">
        <f t="shared" si="1"/>
        <v>0</v>
      </c>
      <c r="J19" s="72"/>
    </row>
    <row r="20" spans="1:10" ht="43.5" customHeight="1" thickBot="1">
      <c r="A20" s="236" t="s">
        <v>18</v>
      </c>
      <c r="B20" s="100" t="s">
        <v>1076</v>
      </c>
      <c r="C20" s="96">
        <f>'JULIO-18  '!G846</f>
        <v>10</v>
      </c>
      <c r="D20" s="97">
        <v>0</v>
      </c>
      <c r="E20" s="97"/>
      <c r="F20" s="97">
        <v>0</v>
      </c>
      <c r="G20" s="98">
        <f t="shared" si="0"/>
        <v>10</v>
      </c>
      <c r="H20" s="96"/>
      <c r="I20" s="98">
        <f t="shared" si="1"/>
        <v>10</v>
      </c>
      <c r="J20" s="72"/>
    </row>
    <row r="21" spans="1:10" ht="23.25">
      <c r="A21" s="110" t="s">
        <v>153</v>
      </c>
      <c r="B21" s="110"/>
      <c r="C21" s="111">
        <f>SUM(C4:C20)</f>
        <v>2011321.7999999998</v>
      </c>
      <c r="D21" s="111">
        <f>SUM(D4:D20)</f>
        <v>66019.61</v>
      </c>
      <c r="E21" s="111">
        <f>SUM(E4:E20)</f>
        <v>0</v>
      </c>
      <c r="F21" s="111">
        <f>SUM(F4:F20)</f>
        <v>66019.61</v>
      </c>
      <c r="G21" s="111">
        <f>G7+G11+G15+G17+G18+G20</f>
        <v>2011321.7999999998</v>
      </c>
      <c r="H21" s="111">
        <f>H7+H11+H15+H18</f>
        <v>158466.52000000002</v>
      </c>
      <c r="I21" s="111">
        <f>I7+I11+I15+I17+I18+I20</f>
        <v>1852855.28</v>
      </c>
      <c r="J21" s="72"/>
    </row>
    <row r="22" spans="1:10" ht="15.75" thickBot="1">
      <c r="A22" s="73"/>
      <c r="B22" s="74"/>
      <c r="C22" s="75"/>
      <c r="D22" s="76"/>
      <c r="E22" s="77"/>
      <c r="F22" s="77"/>
      <c r="G22" s="77" t="s">
        <v>1130</v>
      </c>
      <c r="H22" s="77"/>
      <c r="I22" s="77"/>
      <c r="J22" s="78"/>
    </row>
    <row r="23" spans="1:10" ht="15.75" thickBot="1">
      <c r="A23" s="73" t="s">
        <v>154</v>
      </c>
      <c r="B23" s="74"/>
      <c r="C23" s="79">
        <f ca="1">TODAY()</f>
        <v>43586</v>
      </c>
      <c r="D23" s="80"/>
      <c r="E23" s="81">
        <f>D21-F21</f>
        <v>0</v>
      </c>
      <c r="F23" s="80"/>
      <c r="G23" s="80"/>
      <c r="H23" s="80"/>
      <c r="I23" s="80"/>
      <c r="J23" s="72"/>
    </row>
    <row r="24" spans="1:10" ht="24.75">
      <c r="A24" s="83"/>
      <c r="B24" s="84"/>
      <c r="C24" s="84"/>
      <c r="D24" s="84"/>
      <c r="E24" s="263">
        <f>9000+9000</f>
        <v>18000</v>
      </c>
      <c r="F24" s="80" t="s">
        <v>1033</v>
      </c>
      <c r="G24" s="80">
        <v>0</v>
      </c>
      <c r="H24" s="80"/>
    </row>
    <row r="25" spans="1:10">
      <c r="A25" s="83"/>
      <c r="B25" s="84"/>
      <c r="C25" s="84"/>
      <c r="D25" s="84"/>
      <c r="E25" s="264">
        <v>4500</v>
      </c>
      <c r="F25" s="80" t="s">
        <v>1032</v>
      </c>
      <c r="G25" s="80"/>
      <c r="H25" s="80"/>
    </row>
    <row r="26" spans="1:10">
      <c r="A26" s="83"/>
      <c r="B26" s="84"/>
      <c r="C26" s="84"/>
      <c r="D26" s="84"/>
      <c r="F26" s="80"/>
      <c r="G26" s="80"/>
      <c r="H26" s="80"/>
    </row>
    <row r="27" spans="1:10">
      <c r="A27" s="83"/>
      <c r="B27" s="84"/>
      <c r="C27" s="84"/>
      <c r="D27" s="84"/>
    </row>
  </sheetData>
  <mergeCells count="2">
    <mergeCell ref="A1:J1"/>
    <mergeCell ref="A2:I2"/>
  </mergeCells>
  <pageMargins left="0.19685039370078741" right="0.19685039370078741" top="0.35433070866141736" bottom="0.31496062992125984" header="0.31496062992125984" footer="0.31496062992125984"/>
  <pageSetup paperSize="5" scale="82" orientation="landscape" horizontalDpi="4294967293" vertic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P863"/>
  <sheetViews>
    <sheetView topLeftCell="A424" zoomScale="85" zoomScaleNormal="85" zoomScaleSheetLayoutView="84" workbookViewId="0">
      <selection activeCell="I452" sqref="I452"/>
    </sheetView>
  </sheetViews>
  <sheetFormatPr baseColWidth="10" defaultRowHeight="15"/>
  <cols>
    <col min="1" max="1" width="11.5703125" customWidth="1"/>
    <col min="2" max="2" width="62" customWidth="1"/>
    <col min="3" max="3" width="19.28515625" customWidth="1"/>
    <col min="4" max="4" width="11" customWidth="1"/>
    <col min="5" max="5" width="10.85546875" customWidth="1"/>
    <col min="6" max="6" width="15.42578125" customWidth="1"/>
    <col min="7" max="7" width="14.7109375" customWidth="1"/>
    <col min="8" max="8" width="14.42578125" customWidth="1"/>
    <col min="9" max="9" width="17" customWidth="1"/>
    <col min="10" max="10" width="13.42578125" customWidth="1"/>
    <col min="11" max="11" width="14.7109375" customWidth="1"/>
  </cols>
  <sheetData>
    <row r="1" spans="1:11" ht="36.75">
      <c r="A1" s="15"/>
      <c r="B1" s="467" t="s">
        <v>33</v>
      </c>
      <c r="C1" s="467"/>
      <c r="D1" s="467"/>
      <c r="E1" s="467"/>
      <c r="F1" s="467"/>
      <c r="G1" s="467"/>
      <c r="H1" s="467"/>
      <c r="I1" s="467"/>
      <c r="J1" s="467"/>
      <c r="K1" s="467"/>
    </row>
    <row r="2" spans="1:11" ht="36.75">
      <c r="A2" s="16"/>
      <c r="B2" s="468" t="s">
        <v>1177</v>
      </c>
      <c r="C2" s="468"/>
      <c r="D2" s="468"/>
      <c r="E2" s="468"/>
      <c r="F2" s="468"/>
      <c r="G2" s="468"/>
      <c r="H2" s="468"/>
      <c r="I2" s="468"/>
      <c r="J2" s="468"/>
      <c r="K2" s="383"/>
    </row>
    <row r="3" spans="1:11" ht="53.25" customHeight="1">
      <c r="A3" s="41" t="s">
        <v>8</v>
      </c>
      <c r="B3" s="41" t="s">
        <v>34</v>
      </c>
      <c r="C3" s="41" t="s">
        <v>35</v>
      </c>
      <c r="D3" s="41" t="s">
        <v>36</v>
      </c>
      <c r="E3" s="41" t="s">
        <v>37</v>
      </c>
      <c r="F3" s="41" t="s">
        <v>38</v>
      </c>
      <c r="G3" s="42" t="s">
        <v>39</v>
      </c>
      <c r="H3" s="42" t="s">
        <v>1178</v>
      </c>
      <c r="I3" s="42" t="s">
        <v>1179</v>
      </c>
      <c r="J3" s="42" t="s">
        <v>40</v>
      </c>
      <c r="K3" s="42" t="s">
        <v>41</v>
      </c>
    </row>
    <row r="4" spans="1:11" ht="41.25" customHeight="1">
      <c r="A4" s="308">
        <v>51101</v>
      </c>
      <c r="B4" s="306" t="s">
        <v>1110</v>
      </c>
      <c r="C4" s="304"/>
      <c r="D4" s="3" t="s">
        <v>42</v>
      </c>
      <c r="E4" s="3" t="s">
        <v>29</v>
      </c>
      <c r="F4" s="3" t="s">
        <v>43</v>
      </c>
      <c r="G4" s="305">
        <f>'JULIO-18  '!I4</f>
        <v>1551.9899999999998</v>
      </c>
      <c r="H4" s="341"/>
      <c r="I4" s="17">
        <f>G4-H4+J4-K4</f>
        <v>1051.9899999999998</v>
      </c>
      <c r="J4" s="342"/>
      <c r="K4" s="394">
        <v>500</v>
      </c>
    </row>
    <row r="5" spans="1:11">
      <c r="A5" s="4">
        <v>51103</v>
      </c>
      <c r="B5" s="7" t="s">
        <v>164</v>
      </c>
      <c r="C5" s="2"/>
      <c r="D5" s="3" t="s">
        <v>42</v>
      </c>
      <c r="E5" s="3" t="s">
        <v>29</v>
      </c>
      <c r="F5" s="3" t="s">
        <v>43</v>
      </c>
      <c r="G5" s="305">
        <f>'JULIO-18  '!I5</f>
        <v>570.95000000000005</v>
      </c>
      <c r="H5" s="51"/>
      <c r="I5" s="17">
        <f>G5-H5+J5-K5</f>
        <v>570.95000000000005</v>
      </c>
      <c r="J5" s="18"/>
      <c r="K5" s="18"/>
    </row>
    <row r="6" spans="1:11">
      <c r="A6" s="4">
        <v>51105</v>
      </c>
      <c r="B6" s="7" t="s">
        <v>125</v>
      </c>
      <c r="C6" s="2"/>
      <c r="D6" s="3" t="s">
        <v>42</v>
      </c>
      <c r="E6" s="3" t="s">
        <v>29</v>
      </c>
      <c r="F6" s="3" t="s">
        <v>43</v>
      </c>
      <c r="G6" s="305">
        <f>'JULIO-18  '!I6</f>
        <v>14254.400000000001</v>
      </c>
      <c r="H6" s="51"/>
      <c r="I6" s="17">
        <f>G6-H6+J6-K6</f>
        <v>12454.400000000001</v>
      </c>
      <c r="J6" s="18"/>
      <c r="K6" s="18">
        <v>1800</v>
      </c>
    </row>
    <row r="7" spans="1:11">
      <c r="A7" s="4">
        <v>51107</v>
      </c>
      <c r="B7" s="7" t="s">
        <v>167</v>
      </c>
      <c r="C7" s="2"/>
      <c r="D7" s="3" t="s">
        <v>42</v>
      </c>
      <c r="E7" s="3" t="s">
        <v>29</v>
      </c>
      <c r="F7" s="3" t="s">
        <v>43</v>
      </c>
      <c r="G7" s="305">
        <f>'JULIO-18  '!I7</f>
        <v>315</v>
      </c>
      <c r="H7" s="51">
        <f>601.14+100.19</f>
        <v>701.32999999999993</v>
      </c>
      <c r="I7" s="18">
        <f t="shared" ref="I7:I71" si="0">G7-H7+J7-K7</f>
        <v>113.67000000000007</v>
      </c>
      <c r="J7" s="18">
        <v>500</v>
      </c>
      <c r="K7" s="18"/>
    </row>
    <row r="8" spans="1:11">
      <c r="A8" s="4">
        <v>51201</v>
      </c>
      <c r="B8" s="7" t="s">
        <v>44</v>
      </c>
      <c r="C8" s="2"/>
      <c r="D8" s="3" t="s">
        <v>42</v>
      </c>
      <c r="E8" s="3" t="s">
        <v>29</v>
      </c>
      <c r="F8" s="3" t="s">
        <v>43</v>
      </c>
      <c r="G8" s="305">
        <f>'JULIO-18  '!I8</f>
        <v>2666</v>
      </c>
      <c r="H8" s="369"/>
      <c r="I8" s="17">
        <f t="shared" si="0"/>
        <v>2666</v>
      </c>
      <c r="J8" s="23"/>
      <c r="K8" s="18"/>
    </row>
    <row r="9" spans="1:11" ht="36.75" customHeight="1">
      <c r="A9" s="4">
        <v>51401</v>
      </c>
      <c r="B9" s="5" t="s">
        <v>128</v>
      </c>
      <c r="C9" s="2"/>
      <c r="D9" s="3" t="s">
        <v>42</v>
      </c>
      <c r="E9" s="3" t="s">
        <v>29</v>
      </c>
      <c r="F9" s="3" t="s">
        <v>43</v>
      </c>
      <c r="G9" s="305">
        <f>'JULIO-18  '!I9</f>
        <v>2244.1799999999998</v>
      </c>
      <c r="H9" s="108"/>
      <c r="I9" s="17">
        <f t="shared" si="0"/>
        <v>1744.1799999999998</v>
      </c>
      <c r="J9" s="20"/>
      <c r="K9" s="18">
        <v>500</v>
      </c>
    </row>
    <row r="10" spans="1:11" ht="42" customHeight="1">
      <c r="A10" s="4">
        <v>51501</v>
      </c>
      <c r="B10" s="5" t="s">
        <v>168</v>
      </c>
      <c r="C10" s="47"/>
      <c r="D10" s="3" t="s">
        <v>42</v>
      </c>
      <c r="E10" s="3" t="s">
        <v>29</v>
      </c>
      <c r="F10" s="3" t="s">
        <v>43</v>
      </c>
      <c r="G10" s="305">
        <f>'JULIO-18  '!I10</f>
        <v>2829.78</v>
      </c>
      <c r="H10" s="51"/>
      <c r="I10" s="17">
        <f t="shared" si="0"/>
        <v>2329.7800000000002</v>
      </c>
      <c r="J10" s="21"/>
      <c r="K10" s="18">
        <v>500</v>
      </c>
    </row>
    <row r="11" spans="1:11" ht="25.5">
      <c r="A11" s="4">
        <v>51701</v>
      </c>
      <c r="B11" s="7" t="s">
        <v>126</v>
      </c>
      <c r="C11" s="2"/>
      <c r="D11" s="3" t="s">
        <v>42</v>
      </c>
      <c r="E11" s="3" t="s">
        <v>29</v>
      </c>
      <c r="F11" s="3" t="s">
        <v>43</v>
      </c>
      <c r="G11" s="305">
        <f>'JULIO-18  '!I11</f>
        <v>146.81000000000677</v>
      </c>
      <c r="H11" s="51"/>
      <c r="I11" s="17">
        <f t="shared" si="0"/>
        <v>146.81000000000677</v>
      </c>
      <c r="J11" s="22"/>
      <c r="K11" s="18"/>
    </row>
    <row r="12" spans="1:11" ht="25.5">
      <c r="A12" s="4">
        <v>51601</v>
      </c>
      <c r="B12" s="7" t="s">
        <v>129</v>
      </c>
      <c r="C12" s="2"/>
      <c r="D12" s="3" t="s">
        <v>42</v>
      </c>
      <c r="E12" s="3" t="s">
        <v>29</v>
      </c>
      <c r="F12" s="3" t="s">
        <v>43</v>
      </c>
      <c r="G12" s="305">
        <f>'JULIO-18  '!I12</f>
        <v>4500</v>
      </c>
      <c r="H12" s="51">
        <v>1500</v>
      </c>
      <c r="I12" s="17">
        <f t="shared" si="0"/>
        <v>6000</v>
      </c>
      <c r="J12" s="21">
        <v>3000</v>
      </c>
      <c r="K12" s="18"/>
    </row>
    <row r="13" spans="1:11">
      <c r="A13" s="4">
        <v>51602</v>
      </c>
      <c r="B13" s="2" t="s">
        <v>46</v>
      </c>
      <c r="C13" s="2"/>
      <c r="D13" s="3" t="s">
        <v>42</v>
      </c>
      <c r="E13" s="3" t="s">
        <v>29</v>
      </c>
      <c r="F13" s="3" t="s">
        <v>43</v>
      </c>
      <c r="G13" s="305">
        <f>'JULIO-18  '!I13</f>
        <v>1</v>
      </c>
      <c r="H13" s="51"/>
      <c r="I13" s="17">
        <f t="shared" si="0"/>
        <v>1</v>
      </c>
      <c r="J13" s="20"/>
      <c r="K13" s="18"/>
    </row>
    <row r="14" spans="1:11">
      <c r="A14" s="4">
        <v>51999</v>
      </c>
      <c r="B14" s="2" t="s">
        <v>47</v>
      </c>
      <c r="C14" s="2"/>
      <c r="D14" s="3" t="s">
        <v>42</v>
      </c>
      <c r="E14" s="3" t="s">
        <v>29</v>
      </c>
      <c r="F14" s="3" t="s">
        <v>43</v>
      </c>
      <c r="G14" s="305">
        <f>'JULIO-18  '!I14</f>
        <v>455</v>
      </c>
      <c r="H14" s="51">
        <f>166.7+166.7+166.7+166.7+50.01+50.01+50.01+50.01+50.01+50.01+116.69+20</f>
        <v>1103.55</v>
      </c>
      <c r="I14" s="17">
        <f t="shared" si="0"/>
        <v>351.45000000000005</v>
      </c>
      <c r="J14" s="405">
        <v>1000</v>
      </c>
      <c r="K14" s="18"/>
    </row>
    <row r="15" spans="1:11" ht="45" customHeight="1">
      <c r="A15" s="4">
        <v>54101</v>
      </c>
      <c r="B15" s="5" t="s">
        <v>48</v>
      </c>
      <c r="C15" s="2"/>
      <c r="D15" s="3" t="s">
        <v>42</v>
      </c>
      <c r="E15" s="3" t="s">
        <v>29</v>
      </c>
      <c r="F15" s="3" t="s">
        <v>43</v>
      </c>
      <c r="G15" s="305">
        <f>'JULIO-18  '!I15</f>
        <v>23136.27</v>
      </c>
      <c r="H15" s="51">
        <f>38.4+63.6+49.4+134+262.5+50+150+96.25+170.5+125+277+137.4+43.6+5+28.8+30+13+16+6+29.6+7+4+25.2+25.2+25.2+25.2+25.2+25.2+28.8+12+1.5+5+3</f>
        <v>1938.5500000000002</v>
      </c>
      <c r="I15" s="17">
        <f t="shared" si="0"/>
        <v>21197.72</v>
      </c>
      <c r="J15" s="404"/>
      <c r="K15" s="18"/>
    </row>
    <row r="16" spans="1:11" ht="26.25">
      <c r="A16" s="4">
        <v>54104</v>
      </c>
      <c r="B16" s="5" t="s">
        <v>130</v>
      </c>
      <c r="C16" s="2"/>
      <c r="D16" s="3" t="s">
        <v>42</v>
      </c>
      <c r="E16" s="3" t="s">
        <v>29</v>
      </c>
      <c r="F16" s="3" t="s">
        <v>43</v>
      </c>
      <c r="G16" s="305">
        <f>'JULIO-18  '!I16</f>
        <v>1832.6</v>
      </c>
      <c r="H16" s="51"/>
      <c r="I16" s="17">
        <f t="shared" si="0"/>
        <v>1832.6</v>
      </c>
      <c r="J16" s="21"/>
      <c r="K16" s="18"/>
    </row>
    <row r="17" spans="1:11">
      <c r="A17" s="4">
        <v>54105</v>
      </c>
      <c r="B17" s="2" t="s">
        <v>49</v>
      </c>
      <c r="C17" s="2"/>
      <c r="D17" s="3" t="s">
        <v>42</v>
      </c>
      <c r="E17" s="3" t="s">
        <v>29</v>
      </c>
      <c r="F17" s="3" t="s">
        <v>43</v>
      </c>
      <c r="G17" s="305">
        <f>'JULIO-18  '!I17</f>
        <v>407.7</v>
      </c>
      <c r="H17" s="51"/>
      <c r="I17" s="17">
        <f t="shared" si="0"/>
        <v>407.7</v>
      </c>
      <c r="J17" s="20"/>
      <c r="K17" s="18"/>
    </row>
    <row r="18" spans="1:11">
      <c r="A18" s="4">
        <v>54107</v>
      </c>
      <c r="B18" s="2" t="s">
        <v>50</v>
      </c>
      <c r="C18" s="2"/>
      <c r="D18" s="3" t="s">
        <v>42</v>
      </c>
      <c r="E18" s="3" t="s">
        <v>29</v>
      </c>
      <c r="F18" s="3" t="s">
        <v>43</v>
      </c>
      <c r="G18" s="305">
        <f>'JULIO-18  '!I18</f>
        <v>520</v>
      </c>
      <c r="H18" s="51"/>
      <c r="I18" s="17">
        <f t="shared" si="0"/>
        <v>520</v>
      </c>
      <c r="J18" s="22"/>
      <c r="K18" s="18"/>
    </row>
    <row r="19" spans="1:11">
      <c r="A19" s="4">
        <v>54108</v>
      </c>
      <c r="B19" s="2" t="s">
        <v>51</v>
      </c>
      <c r="C19" s="2"/>
      <c r="D19" s="3" t="s">
        <v>42</v>
      </c>
      <c r="E19" s="3" t="s">
        <v>29</v>
      </c>
      <c r="F19" s="3" t="s">
        <v>43</v>
      </c>
      <c r="G19" s="305">
        <f>'JULIO-18  '!I19</f>
        <v>100</v>
      </c>
      <c r="H19" s="51"/>
      <c r="I19" s="17">
        <f t="shared" si="0"/>
        <v>100</v>
      </c>
      <c r="J19" s="20"/>
      <c r="K19" s="18"/>
    </row>
    <row r="20" spans="1:11">
      <c r="A20" s="4">
        <v>54109</v>
      </c>
      <c r="B20" s="2" t="s">
        <v>131</v>
      </c>
      <c r="C20" s="2"/>
      <c r="D20" s="3" t="s">
        <v>42</v>
      </c>
      <c r="E20" s="3" t="s">
        <v>29</v>
      </c>
      <c r="F20" s="3" t="s">
        <v>43</v>
      </c>
      <c r="G20" s="305">
        <f>'JULIO-18  '!I20</f>
        <v>500</v>
      </c>
      <c r="H20" s="51"/>
      <c r="I20" s="17">
        <f t="shared" si="0"/>
        <v>500</v>
      </c>
      <c r="J20" s="20"/>
      <c r="K20" s="18"/>
    </row>
    <row r="21" spans="1:11">
      <c r="A21" s="4">
        <v>54110</v>
      </c>
      <c r="B21" s="2" t="s">
        <v>132</v>
      </c>
      <c r="C21" s="2"/>
      <c r="D21" s="3" t="s">
        <v>42</v>
      </c>
      <c r="E21" s="3" t="s">
        <v>29</v>
      </c>
      <c r="F21" s="3" t="s">
        <v>43</v>
      </c>
      <c r="G21" s="305">
        <f>'JULIO-18  '!I21</f>
        <v>8260.9600000000009</v>
      </c>
      <c r="H21" s="51">
        <f>101.41+495.95</f>
        <v>597.36</v>
      </c>
      <c r="I21" s="17">
        <f t="shared" si="0"/>
        <v>7663.6000000000013</v>
      </c>
      <c r="J21" s="24"/>
      <c r="K21" s="18"/>
    </row>
    <row r="22" spans="1:11" ht="30.75" customHeight="1">
      <c r="A22" s="4">
        <v>54111</v>
      </c>
      <c r="B22" s="5" t="s">
        <v>54</v>
      </c>
      <c r="C22" s="2"/>
      <c r="D22" s="3" t="s">
        <v>42</v>
      </c>
      <c r="E22" s="3" t="s">
        <v>29</v>
      </c>
      <c r="F22" s="3" t="s">
        <v>43</v>
      </c>
      <c r="G22" s="305">
        <f>'JULIO-18  '!I22</f>
        <v>349.05000000000018</v>
      </c>
      <c r="H22" s="51"/>
      <c r="I22" s="138">
        <f t="shared" si="0"/>
        <v>349.05000000000018</v>
      </c>
      <c r="J22" s="23"/>
      <c r="K22" s="18"/>
    </row>
    <row r="23" spans="1:11" ht="42.75" customHeight="1">
      <c r="A23" s="4">
        <v>54112</v>
      </c>
      <c r="B23" s="5" t="s">
        <v>55</v>
      </c>
      <c r="C23" s="2"/>
      <c r="D23" s="3" t="s">
        <v>42</v>
      </c>
      <c r="E23" s="3" t="s">
        <v>29</v>
      </c>
      <c r="F23" s="3" t="s">
        <v>43</v>
      </c>
      <c r="G23" s="305">
        <f>'JULIO-18  '!I23</f>
        <v>1000</v>
      </c>
      <c r="H23" s="51"/>
      <c r="I23" s="17">
        <f t="shared" si="0"/>
        <v>500</v>
      </c>
      <c r="J23" s="21"/>
      <c r="K23" s="18">
        <v>500</v>
      </c>
    </row>
    <row r="24" spans="1:11">
      <c r="A24" s="4">
        <v>54114</v>
      </c>
      <c r="B24" s="2" t="s">
        <v>56</v>
      </c>
      <c r="C24" s="2"/>
      <c r="D24" s="3" t="s">
        <v>42</v>
      </c>
      <c r="E24" s="3" t="s">
        <v>29</v>
      </c>
      <c r="F24" s="3" t="s">
        <v>43</v>
      </c>
      <c r="G24" s="305">
        <f>'JULIO-18  '!I24</f>
        <v>852.06</v>
      </c>
      <c r="H24" s="51"/>
      <c r="I24" s="17">
        <f t="shared" si="0"/>
        <v>852.06</v>
      </c>
      <c r="J24" s="20"/>
      <c r="K24" s="18"/>
    </row>
    <row r="25" spans="1:11">
      <c r="A25" s="4">
        <v>54115</v>
      </c>
      <c r="B25" s="2" t="s">
        <v>57</v>
      </c>
      <c r="C25" s="2"/>
      <c r="D25" s="3" t="s">
        <v>42</v>
      </c>
      <c r="E25" s="3" t="s">
        <v>29</v>
      </c>
      <c r="F25" s="3" t="s">
        <v>43</v>
      </c>
      <c r="G25" s="305">
        <f>'JULIO-18  '!I25</f>
        <v>775.52</v>
      </c>
      <c r="H25" s="51"/>
      <c r="I25" s="17">
        <f t="shared" si="0"/>
        <v>775.52</v>
      </c>
      <c r="J25" s="20"/>
      <c r="K25" s="18"/>
    </row>
    <row r="26" spans="1:11" ht="30">
      <c r="A26" s="4">
        <v>54116</v>
      </c>
      <c r="B26" s="5" t="s">
        <v>58</v>
      </c>
      <c r="C26" s="2"/>
      <c r="D26" s="3" t="s">
        <v>42</v>
      </c>
      <c r="E26" s="3" t="s">
        <v>29</v>
      </c>
      <c r="F26" s="3" t="s">
        <v>43</v>
      </c>
      <c r="G26" s="305">
        <f>'JULIO-18  '!I26</f>
        <v>460</v>
      </c>
      <c r="H26" s="51"/>
      <c r="I26" s="17">
        <f t="shared" si="0"/>
        <v>460</v>
      </c>
      <c r="J26" s="20"/>
      <c r="K26" s="18"/>
    </row>
    <row r="27" spans="1:11">
      <c r="A27" s="4">
        <v>54117</v>
      </c>
      <c r="B27" s="25" t="s">
        <v>12</v>
      </c>
      <c r="C27" s="25"/>
      <c r="D27" s="3" t="s">
        <v>42</v>
      </c>
      <c r="E27" s="3" t="s">
        <v>29</v>
      </c>
      <c r="F27" s="3" t="s">
        <v>43</v>
      </c>
      <c r="G27" s="305">
        <f>'JULIO-18  '!I27</f>
        <v>1000</v>
      </c>
      <c r="H27" s="51"/>
      <c r="I27" s="17">
        <f t="shared" si="0"/>
        <v>500</v>
      </c>
      <c r="J27" s="20"/>
      <c r="K27" s="18">
        <v>500</v>
      </c>
    </row>
    <row r="28" spans="1:11">
      <c r="A28" s="4">
        <v>54118</v>
      </c>
      <c r="B28" s="2" t="s">
        <v>59</v>
      </c>
      <c r="C28" s="2"/>
      <c r="D28" s="3" t="s">
        <v>42</v>
      </c>
      <c r="E28" s="3" t="s">
        <v>29</v>
      </c>
      <c r="F28" s="3" t="s">
        <v>43</v>
      </c>
      <c r="G28" s="305">
        <f>'JULIO-18  '!I28</f>
        <v>500</v>
      </c>
      <c r="H28" s="51"/>
      <c r="I28" s="17">
        <f t="shared" si="0"/>
        <v>500</v>
      </c>
      <c r="J28" s="23"/>
      <c r="K28" s="18"/>
    </row>
    <row r="29" spans="1:11">
      <c r="A29" s="4">
        <v>54119</v>
      </c>
      <c r="B29" s="2" t="s">
        <v>60</v>
      </c>
      <c r="C29" s="2"/>
      <c r="D29" s="3" t="s">
        <v>42</v>
      </c>
      <c r="E29" s="3" t="s">
        <v>29</v>
      </c>
      <c r="F29" s="3" t="s">
        <v>43</v>
      </c>
      <c r="G29" s="305">
        <f>'JULIO-18  '!I29</f>
        <v>500</v>
      </c>
      <c r="H29" s="51"/>
      <c r="I29" s="17">
        <f t="shared" si="0"/>
        <v>500</v>
      </c>
      <c r="J29" s="21"/>
      <c r="K29" s="18"/>
    </row>
    <row r="30" spans="1:11">
      <c r="A30" s="4">
        <v>54199</v>
      </c>
      <c r="B30" s="2" t="s">
        <v>61</v>
      </c>
      <c r="C30" s="2"/>
      <c r="D30" s="3" t="s">
        <v>42</v>
      </c>
      <c r="E30" s="3" t="s">
        <v>29</v>
      </c>
      <c r="F30" s="3" t="s">
        <v>43</v>
      </c>
      <c r="G30" s="305">
        <f>'JULIO-18  '!I30</f>
        <v>1381.15</v>
      </c>
      <c r="H30" s="51"/>
      <c r="I30" s="17">
        <f t="shared" si="0"/>
        <v>1381.15</v>
      </c>
      <c r="J30" s="21"/>
      <c r="K30" s="18"/>
    </row>
    <row r="31" spans="1:11">
      <c r="A31" s="4">
        <v>54201</v>
      </c>
      <c r="B31" s="2" t="s">
        <v>62</v>
      </c>
      <c r="C31" s="2"/>
      <c r="D31" s="3" t="s">
        <v>42</v>
      </c>
      <c r="E31" s="3" t="s">
        <v>29</v>
      </c>
      <c r="F31" s="3" t="s">
        <v>43</v>
      </c>
      <c r="G31" s="305">
        <f>'JULIO-18  '!I31</f>
        <v>10007.880000000001</v>
      </c>
      <c r="H31" s="51">
        <f>1403.84</f>
        <v>1403.84</v>
      </c>
      <c r="I31" s="17">
        <f t="shared" si="0"/>
        <v>8604.0400000000009</v>
      </c>
      <c r="J31" s="20"/>
      <c r="K31" s="18"/>
    </row>
    <row r="32" spans="1:11">
      <c r="A32" s="4">
        <v>54202</v>
      </c>
      <c r="B32" s="2" t="s">
        <v>63</v>
      </c>
      <c r="C32" s="2"/>
      <c r="D32" s="3" t="s">
        <v>42</v>
      </c>
      <c r="E32" s="3" t="s">
        <v>29</v>
      </c>
      <c r="F32" s="3" t="s">
        <v>43</v>
      </c>
      <c r="G32" s="305">
        <f>'JULIO-18  '!I32</f>
        <v>2763.8</v>
      </c>
      <c r="H32" s="51"/>
      <c r="I32" s="17">
        <f t="shared" si="0"/>
        <v>2763.8</v>
      </c>
      <c r="J32" s="20"/>
      <c r="K32" s="18"/>
    </row>
    <row r="33" spans="1:11" ht="26.25">
      <c r="A33" s="4">
        <v>54203</v>
      </c>
      <c r="B33" s="5" t="s">
        <v>133</v>
      </c>
      <c r="C33" s="2"/>
      <c r="D33" s="3" t="s">
        <v>42</v>
      </c>
      <c r="E33" s="3" t="s">
        <v>29</v>
      </c>
      <c r="F33" s="3" t="s">
        <v>43</v>
      </c>
      <c r="G33" s="305">
        <f>'JULIO-18  '!I33</f>
        <v>10563.630000000001</v>
      </c>
      <c r="H33" s="50">
        <f>399+242.73+921.05</f>
        <v>1562.78</v>
      </c>
      <c r="I33" s="17">
        <f t="shared" si="0"/>
        <v>9000.85</v>
      </c>
      <c r="J33" s="20"/>
      <c r="K33" s="21"/>
    </row>
    <row r="34" spans="1:11">
      <c r="A34" s="4">
        <v>54204</v>
      </c>
      <c r="B34" s="2" t="s">
        <v>65</v>
      </c>
      <c r="C34" s="2"/>
      <c r="D34" s="3" t="s">
        <v>42</v>
      </c>
      <c r="E34" s="3" t="s">
        <v>29</v>
      </c>
      <c r="F34" s="3" t="s">
        <v>43</v>
      </c>
      <c r="G34" s="305">
        <f>'JULIO-18  '!I34</f>
        <v>100</v>
      </c>
      <c r="H34" s="51"/>
      <c r="I34" s="17">
        <f t="shared" si="0"/>
        <v>100</v>
      </c>
      <c r="J34" s="20"/>
      <c r="K34" s="18"/>
    </row>
    <row r="35" spans="1:11">
      <c r="A35" s="4">
        <v>54301</v>
      </c>
      <c r="B35" s="2" t="s">
        <v>66</v>
      </c>
      <c r="C35" s="2"/>
      <c r="D35" s="3" t="s">
        <v>42</v>
      </c>
      <c r="E35" s="3" t="s">
        <v>29</v>
      </c>
      <c r="F35" s="3" t="s">
        <v>43</v>
      </c>
      <c r="G35" s="305">
        <f>'JULIO-18  '!I35</f>
        <v>198</v>
      </c>
      <c r="H35" s="51">
        <v>160</v>
      </c>
      <c r="I35" s="17">
        <f t="shared" si="0"/>
        <v>338</v>
      </c>
      <c r="J35" s="21">
        <v>300</v>
      </c>
      <c r="K35" s="18"/>
    </row>
    <row r="36" spans="1:11">
      <c r="A36" s="4">
        <v>54302</v>
      </c>
      <c r="B36" s="2" t="s">
        <v>67</v>
      </c>
      <c r="C36" s="2"/>
      <c r="D36" s="3" t="s">
        <v>42</v>
      </c>
      <c r="E36" s="3" t="s">
        <v>29</v>
      </c>
      <c r="F36" s="3" t="s">
        <v>43</v>
      </c>
      <c r="G36" s="305">
        <f>'JULIO-18  '!I36</f>
        <v>500</v>
      </c>
      <c r="H36" s="51"/>
      <c r="I36" s="17">
        <f t="shared" si="0"/>
        <v>500</v>
      </c>
      <c r="J36" s="20"/>
      <c r="K36" s="18"/>
    </row>
    <row r="37" spans="1:11">
      <c r="A37" s="4">
        <v>54303</v>
      </c>
      <c r="B37" s="2" t="s">
        <v>68</v>
      </c>
      <c r="C37" s="2"/>
      <c r="D37" s="3" t="s">
        <v>42</v>
      </c>
      <c r="E37" s="3" t="s">
        <v>29</v>
      </c>
      <c r="F37" s="3" t="s">
        <v>43</v>
      </c>
      <c r="G37" s="305">
        <f>'JULIO-18  '!I37</f>
        <v>1000</v>
      </c>
      <c r="H37" s="51"/>
      <c r="I37" s="17">
        <f t="shared" si="0"/>
        <v>1000</v>
      </c>
      <c r="J37" s="20"/>
      <c r="K37" s="18"/>
    </row>
    <row r="38" spans="1:11">
      <c r="A38" s="4">
        <v>54304</v>
      </c>
      <c r="B38" s="2" t="s">
        <v>69</v>
      </c>
      <c r="C38" s="2"/>
      <c r="D38" s="3" t="s">
        <v>42</v>
      </c>
      <c r="E38" s="3" t="s">
        <v>29</v>
      </c>
      <c r="F38" s="3" t="s">
        <v>43</v>
      </c>
      <c r="G38" s="305">
        <f>'JULIO-18  '!I38</f>
        <v>615.02</v>
      </c>
      <c r="H38" s="51">
        <f>166.67+177.77+175+35+50</f>
        <v>604.44000000000005</v>
      </c>
      <c r="I38" s="17">
        <f t="shared" si="0"/>
        <v>310.57999999999993</v>
      </c>
      <c r="J38" s="18">
        <v>300</v>
      </c>
      <c r="K38" s="21"/>
    </row>
    <row r="39" spans="1:11">
      <c r="A39" s="4">
        <v>54305</v>
      </c>
      <c r="B39" s="2" t="s">
        <v>70</v>
      </c>
      <c r="C39" s="2"/>
      <c r="D39" s="3" t="s">
        <v>42</v>
      </c>
      <c r="E39" s="3" t="s">
        <v>29</v>
      </c>
      <c r="F39" s="3" t="s">
        <v>43</v>
      </c>
      <c r="G39" s="305">
        <f>'JULIO-18  '!I39</f>
        <v>501</v>
      </c>
      <c r="H39" s="51"/>
      <c r="I39" s="17">
        <f t="shared" si="0"/>
        <v>501</v>
      </c>
      <c r="J39" s="21"/>
      <c r="K39" s="18"/>
    </row>
    <row r="40" spans="1:11">
      <c r="A40" s="4">
        <v>54313</v>
      </c>
      <c r="B40" s="2" t="s">
        <v>71</v>
      </c>
      <c r="C40" s="2"/>
      <c r="D40" s="3" t="s">
        <v>42</v>
      </c>
      <c r="E40" s="3" t="s">
        <v>29</v>
      </c>
      <c r="F40" s="3" t="s">
        <v>43</v>
      </c>
      <c r="G40" s="305">
        <f>'JULIO-18  '!I40</f>
        <v>1125.42</v>
      </c>
      <c r="H40" s="372">
        <f>250+162.72+6.78</f>
        <v>419.5</v>
      </c>
      <c r="I40" s="17">
        <f>G40-H40+J40-K40</f>
        <v>705.92000000000007</v>
      </c>
      <c r="J40" s="18"/>
      <c r="K40" s="21"/>
    </row>
    <row r="41" spans="1:11">
      <c r="A41" s="4">
        <v>54316</v>
      </c>
      <c r="B41" s="2" t="s">
        <v>72</v>
      </c>
      <c r="C41" s="2"/>
      <c r="D41" s="3" t="s">
        <v>42</v>
      </c>
      <c r="E41" s="3" t="s">
        <v>29</v>
      </c>
      <c r="F41" s="3" t="s">
        <v>43</v>
      </c>
      <c r="G41" s="305">
        <f>'JULIO-18  '!I41</f>
        <v>400</v>
      </c>
      <c r="H41" s="51">
        <f>339</f>
        <v>339</v>
      </c>
      <c r="I41" s="17">
        <f t="shared" si="0"/>
        <v>161</v>
      </c>
      <c r="J41" s="336">
        <v>100</v>
      </c>
      <c r="K41" s="18"/>
    </row>
    <row r="42" spans="1:11">
      <c r="A42" s="4">
        <v>54317</v>
      </c>
      <c r="B42" s="2" t="s">
        <v>73</v>
      </c>
      <c r="C42" s="2"/>
      <c r="D42" s="3" t="s">
        <v>42</v>
      </c>
      <c r="E42" s="3" t="s">
        <v>29</v>
      </c>
      <c r="F42" s="3" t="s">
        <v>43</v>
      </c>
      <c r="G42" s="305">
        <f>'JULIO-18  '!I42</f>
        <v>2890</v>
      </c>
      <c r="H42" s="51">
        <v>330</v>
      </c>
      <c r="I42" s="17">
        <f t="shared" si="0"/>
        <v>2560</v>
      </c>
      <c r="J42" s="20"/>
      <c r="K42" s="18"/>
    </row>
    <row r="43" spans="1:11">
      <c r="A43" s="4">
        <v>54399</v>
      </c>
      <c r="B43" s="2" t="s">
        <v>74</v>
      </c>
      <c r="C43" s="2"/>
      <c r="D43" s="3" t="s">
        <v>42</v>
      </c>
      <c r="E43" s="3" t="s">
        <v>29</v>
      </c>
      <c r="F43" s="3" t="s">
        <v>43</v>
      </c>
      <c r="G43" s="305">
        <f>'JULIO-18  '!I43</f>
        <v>163.28</v>
      </c>
      <c r="H43" s="51"/>
      <c r="I43" s="17">
        <f t="shared" si="0"/>
        <v>163.28</v>
      </c>
      <c r="J43" s="18"/>
      <c r="K43" s="21"/>
    </row>
    <row r="44" spans="1:11">
      <c r="A44" s="4">
        <v>54401</v>
      </c>
      <c r="B44" s="2" t="s">
        <v>75</v>
      </c>
      <c r="C44" s="2"/>
      <c r="D44" s="3" t="s">
        <v>42</v>
      </c>
      <c r="E44" s="3" t="s">
        <v>29</v>
      </c>
      <c r="F44" s="3" t="s">
        <v>43</v>
      </c>
      <c r="G44" s="305">
        <f>'JULIO-18  '!I44</f>
        <v>200</v>
      </c>
      <c r="H44" s="51"/>
      <c r="I44" s="17">
        <f t="shared" si="0"/>
        <v>200</v>
      </c>
      <c r="J44" s="20"/>
      <c r="K44" s="18"/>
    </row>
    <row r="45" spans="1:11">
      <c r="A45" s="4">
        <v>54403</v>
      </c>
      <c r="B45" s="2" t="s">
        <v>76</v>
      </c>
      <c r="C45" s="2"/>
      <c r="D45" s="3" t="s">
        <v>42</v>
      </c>
      <c r="E45" s="3" t="s">
        <v>29</v>
      </c>
      <c r="F45" s="3" t="s">
        <v>43</v>
      </c>
      <c r="G45" s="305">
        <f>'JULIO-18  '!I45</f>
        <v>300</v>
      </c>
      <c r="H45" s="51"/>
      <c r="I45" s="17">
        <f t="shared" si="0"/>
        <v>300</v>
      </c>
      <c r="J45" s="20"/>
      <c r="K45" s="18"/>
    </row>
    <row r="46" spans="1:11">
      <c r="A46" s="4">
        <v>54501</v>
      </c>
      <c r="B46" s="2" t="s">
        <v>77</v>
      </c>
      <c r="C46" s="2"/>
      <c r="D46" s="3" t="s">
        <v>42</v>
      </c>
      <c r="E46" s="3" t="s">
        <v>29</v>
      </c>
      <c r="F46" s="3" t="s">
        <v>43</v>
      </c>
      <c r="G46" s="305">
        <f>'JULIO-18  '!I46</f>
        <v>3800</v>
      </c>
      <c r="H46" s="51"/>
      <c r="I46" s="17">
        <f t="shared" si="0"/>
        <v>3800</v>
      </c>
      <c r="J46" s="18"/>
      <c r="K46" s="22"/>
    </row>
    <row r="47" spans="1:11">
      <c r="A47" s="4">
        <v>54503</v>
      </c>
      <c r="B47" s="2" t="s">
        <v>78</v>
      </c>
      <c r="C47" s="2"/>
      <c r="D47" s="3" t="s">
        <v>42</v>
      </c>
      <c r="E47" s="3" t="s">
        <v>29</v>
      </c>
      <c r="F47" s="3" t="s">
        <v>43</v>
      </c>
      <c r="G47" s="305">
        <f>'JULIO-18  '!I47</f>
        <v>2000</v>
      </c>
      <c r="H47" s="51"/>
      <c r="I47" s="17">
        <f t="shared" si="0"/>
        <v>1500</v>
      </c>
      <c r="J47" s="18"/>
      <c r="K47" s="18">
        <v>500</v>
      </c>
    </row>
    <row r="48" spans="1:11">
      <c r="A48" s="4">
        <v>54504</v>
      </c>
      <c r="B48" s="2" t="s">
        <v>79</v>
      </c>
      <c r="C48" s="2"/>
      <c r="D48" s="3" t="s">
        <v>80</v>
      </c>
      <c r="E48" s="3" t="s">
        <v>29</v>
      </c>
      <c r="F48" s="3" t="s">
        <v>43</v>
      </c>
      <c r="G48" s="305">
        <f>'JULIO-18  '!I48</f>
        <v>1000</v>
      </c>
      <c r="H48" s="51"/>
      <c r="I48" s="17">
        <f t="shared" si="0"/>
        <v>1000</v>
      </c>
      <c r="J48" s="18"/>
      <c r="K48" s="18"/>
    </row>
    <row r="49" spans="1:11">
      <c r="A49" s="4">
        <v>54505</v>
      </c>
      <c r="B49" s="5" t="s">
        <v>81</v>
      </c>
      <c r="C49" s="2"/>
      <c r="D49" s="3" t="s">
        <v>42</v>
      </c>
      <c r="E49" s="3" t="s">
        <v>29</v>
      </c>
      <c r="F49" s="3" t="s">
        <v>43</v>
      </c>
      <c r="G49" s="305">
        <f>'JULIO-18  '!I49</f>
        <v>1000</v>
      </c>
      <c r="H49" s="51"/>
      <c r="I49" s="17">
        <f t="shared" si="0"/>
        <v>1000</v>
      </c>
      <c r="J49" s="18"/>
      <c r="K49" s="22"/>
    </row>
    <row r="50" spans="1:11" ht="20.25" customHeight="1">
      <c r="A50" s="4">
        <v>54599</v>
      </c>
      <c r="B50" s="5" t="s">
        <v>82</v>
      </c>
      <c r="C50" s="5"/>
      <c r="D50" s="3" t="s">
        <v>42</v>
      </c>
      <c r="E50" s="3" t="s">
        <v>29</v>
      </c>
      <c r="F50" s="3" t="s">
        <v>43</v>
      </c>
      <c r="G50" s="305">
        <f>'JULIO-18  '!I50</f>
        <v>700</v>
      </c>
      <c r="H50" s="51"/>
      <c r="I50" s="17">
        <f t="shared" si="0"/>
        <v>700</v>
      </c>
      <c r="J50" s="18"/>
      <c r="K50" s="18"/>
    </row>
    <row r="51" spans="1:11" ht="30" customHeight="1">
      <c r="A51" s="4">
        <v>55302</v>
      </c>
      <c r="B51" s="5" t="s">
        <v>83</v>
      </c>
      <c r="C51" s="2"/>
      <c r="D51" s="3" t="s">
        <v>42</v>
      </c>
      <c r="E51" s="3" t="s">
        <v>29</v>
      </c>
      <c r="F51" s="3" t="s">
        <v>43</v>
      </c>
      <c r="G51" s="305">
        <f>'JULIO-18  '!I51</f>
        <v>500</v>
      </c>
      <c r="H51" s="51"/>
      <c r="I51" s="17">
        <f t="shared" si="0"/>
        <v>500</v>
      </c>
      <c r="J51" s="18"/>
      <c r="K51" s="21"/>
    </row>
    <row r="52" spans="1:11">
      <c r="A52" s="4">
        <v>55601</v>
      </c>
      <c r="B52" s="2" t="s">
        <v>84</v>
      </c>
      <c r="C52" s="2" t="s">
        <v>85</v>
      </c>
      <c r="D52" s="3" t="s">
        <v>42</v>
      </c>
      <c r="E52" s="3" t="s">
        <v>29</v>
      </c>
      <c r="F52" s="3" t="s">
        <v>43</v>
      </c>
      <c r="G52" s="305">
        <f>'JULIO-18  '!I52</f>
        <v>5000</v>
      </c>
      <c r="H52" s="51"/>
      <c r="I52" s="17">
        <f t="shared" si="0"/>
        <v>5000</v>
      </c>
      <c r="J52" s="18"/>
      <c r="K52" s="22"/>
    </row>
    <row r="53" spans="1:11">
      <c r="A53" s="4">
        <v>55602</v>
      </c>
      <c r="B53" s="2" t="s">
        <v>86</v>
      </c>
      <c r="C53" s="2" t="s">
        <v>87</v>
      </c>
      <c r="D53" s="3" t="s">
        <v>42</v>
      </c>
      <c r="E53" s="3" t="s">
        <v>29</v>
      </c>
      <c r="F53" s="3" t="s">
        <v>43</v>
      </c>
      <c r="G53" s="305">
        <f>'JULIO-18  '!I53</f>
        <v>8000</v>
      </c>
      <c r="H53" s="51"/>
      <c r="I53" s="17">
        <f t="shared" si="0"/>
        <v>8000</v>
      </c>
      <c r="J53" s="18"/>
      <c r="K53" s="22"/>
    </row>
    <row r="54" spans="1:11">
      <c r="A54" s="4">
        <v>55603</v>
      </c>
      <c r="B54" s="2" t="s">
        <v>6</v>
      </c>
      <c r="C54" s="2"/>
      <c r="D54" s="3" t="s">
        <v>42</v>
      </c>
      <c r="E54" s="3" t="s">
        <v>29</v>
      </c>
      <c r="F54" s="3" t="s">
        <v>43</v>
      </c>
      <c r="G54" s="305">
        <f>'JULIO-18  '!I54</f>
        <v>455.98</v>
      </c>
      <c r="H54" s="375">
        <f>15.6+16.95</f>
        <v>32.549999999999997</v>
      </c>
      <c r="I54" s="17">
        <f t="shared" si="0"/>
        <v>423.43</v>
      </c>
      <c r="J54" s="18"/>
      <c r="K54" s="21"/>
    </row>
    <row r="55" spans="1:11" ht="33" customHeight="1">
      <c r="A55" s="4">
        <v>55799</v>
      </c>
      <c r="B55" s="5" t="s">
        <v>169</v>
      </c>
      <c r="C55" s="5"/>
      <c r="D55" s="3" t="s">
        <v>42</v>
      </c>
      <c r="E55" s="3" t="s">
        <v>29</v>
      </c>
      <c r="F55" s="3" t="s">
        <v>43</v>
      </c>
      <c r="G55" s="305">
        <f>'JULIO-18  '!I55</f>
        <v>394.71000000000004</v>
      </c>
      <c r="H55" s="51"/>
      <c r="I55" s="17">
        <f t="shared" si="0"/>
        <v>394.71000000000004</v>
      </c>
      <c r="J55" s="18"/>
      <c r="K55" s="21"/>
    </row>
    <row r="56" spans="1:11" ht="33" customHeight="1">
      <c r="A56" s="4" t="s">
        <v>170</v>
      </c>
      <c r="B56" s="5" t="s">
        <v>1028</v>
      </c>
      <c r="C56" s="5"/>
      <c r="D56" s="3" t="s">
        <v>42</v>
      </c>
      <c r="E56" s="3" t="s">
        <v>29</v>
      </c>
      <c r="F56" s="3" t="s">
        <v>43</v>
      </c>
      <c r="G56" s="305">
        <f>'JULIO-18  '!I56</f>
        <v>700</v>
      </c>
      <c r="H56" s="51"/>
      <c r="I56" s="17">
        <f t="shared" si="0"/>
        <v>700</v>
      </c>
      <c r="J56" s="18"/>
      <c r="K56" s="21"/>
    </row>
    <row r="57" spans="1:11" ht="39">
      <c r="A57" s="4" t="s">
        <v>171</v>
      </c>
      <c r="B57" s="5" t="s">
        <v>1137</v>
      </c>
      <c r="C57" s="5"/>
      <c r="D57" s="3" t="s">
        <v>42</v>
      </c>
      <c r="E57" s="3" t="s">
        <v>29</v>
      </c>
      <c r="F57" s="3" t="s">
        <v>43</v>
      </c>
      <c r="G57" s="305">
        <f>'JULIO-18  '!I57</f>
        <v>1248.0300000000002</v>
      </c>
      <c r="H57" s="51"/>
      <c r="I57" s="17">
        <f t="shared" si="0"/>
        <v>1248.0300000000002</v>
      </c>
      <c r="J57" s="18"/>
      <c r="K57" s="18"/>
    </row>
    <row r="58" spans="1:11" ht="27">
      <c r="A58" s="4" t="s">
        <v>161</v>
      </c>
      <c r="B58" s="5" t="s">
        <v>1027</v>
      </c>
      <c r="C58" s="5"/>
      <c r="D58" s="3" t="s">
        <v>42</v>
      </c>
      <c r="E58" s="3" t="s">
        <v>29</v>
      </c>
      <c r="F58" s="3" t="s">
        <v>43</v>
      </c>
      <c r="G58" s="305">
        <f>'JULIO-18  '!I58</f>
        <v>0</v>
      </c>
      <c r="H58" s="51"/>
      <c r="I58" s="17">
        <f t="shared" si="0"/>
        <v>0</v>
      </c>
      <c r="J58" s="18"/>
      <c r="K58" s="18"/>
    </row>
    <row r="59" spans="1:11" ht="21" customHeight="1">
      <c r="A59" s="4">
        <v>56303</v>
      </c>
      <c r="B59" s="2" t="s">
        <v>90</v>
      </c>
      <c r="C59" s="2"/>
      <c r="D59" s="3" t="s">
        <v>42</v>
      </c>
      <c r="E59" s="3" t="s">
        <v>29</v>
      </c>
      <c r="F59" s="3" t="s">
        <v>43</v>
      </c>
      <c r="G59" s="305">
        <f>'JULIO-18  '!I59</f>
        <v>8410.869999999999</v>
      </c>
      <c r="H59" s="51">
        <f>100+200+111.11+2122.01</f>
        <v>2533.1200000000003</v>
      </c>
      <c r="I59" s="17">
        <f t="shared" si="0"/>
        <v>5877.7499999999982</v>
      </c>
      <c r="J59" s="18"/>
      <c r="K59" s="18"/>
    </row>
    <row r="60" spans="1:11" ht="21.75" customHeight="1">
      <c r="A60" s="4">
        <v>56304</v>
      </c>
      <c r="B60" s="2" t="s">
        <v>91</v>
      </c>
      <c r="C60" s="2"/>
      <c r="D60" s="3" t="s">
        <v>42</v>
      </c>
      <c r="E60" s="3" t="s">
        <v>29</v>
      </c>
      <c r="F60" s="3" t="s">
        <v>43</v>
      </c>
      <c r="G60" s="305">
        <f>'JULIO-18  '!I60</f>
        <v>7336.77</v>
      </c>
      <c r="H60" s="51">
        <f>240+50+221+25+25+25+25+25+25+25+25+25+25+25+25+25+25+20+25</f>
        <v>906</v>
      </c>
      <c r="I60" s="17">
        <f>G60-H60+J60-K60</f>
        <v>6430.77</v>
      </c>
      <c r="J60" s="18"/>
      <c r="K60" s="18"/>
    </row>
    <row r="61" spans="1:11" ht="45.75" customHeight="1">
      <c r="A61" s="38" t="s">
        <v>8</v>
      </c>
      <c r="B61" s="39" t="s">
        <v>92</v>
      </c>
      <c r="C61" s="39"/>
      <c r="D61" s="39" t="s">
        <v>42</v>
      </c>
      <c r="E61" s="39" t="s">
        <v>29</v>
      </c>
      <c r="F61" s="39" t="s">
        <v>43</v>
      </c>
      <c r="G61" s="305">
        <f>'JULIO-18  '!I61</f>
        <v>142984.81</v>
      </c>
      <c r="H61" s="95">
        <f>SUM(H4:H60)</f>
        <v>14132.02</v>
      </c>
      <c r="I61" s="40">
        <f>G61-H61+J61-K61</f>
        <v>129252.78999999998</v>
      </c>
      <c r="J61" s="107">
        <f>SUM(J4:J60)</f>
        <v>5200</v>
      </c>
      <c r="K61" s="107">
        <f>SUM(K4:K60)</f>
        <v>4800</v>
      </c>
    </row>
    <row r="62" spans="1:11">
      <c r="A62" s="4">
        <v>51103</v>
      </c>
      <c r="B62" s="2" t="s">
        <v>173</v>
      </c>
      <c r="C62" s="2"/>
      <c r="D62" s="3" t="s">
        <v>94</v>
      </c>
      <c r="E62" s="3" t="s">
        <v>29</v>
      </c>
      <c r="F62" s="3" t="s">
        <v>43</v>
      </c>
      <c r="G62" s="305">
        <f>'JULIO-18  '!I62</f>
        <v>100</v>
      </c>
      <c r="H62" s="51"/>
      <c r="I62" s="17">
        <f t="shared" si="0"/>
        <v>100</v>
      </c>
      <c r="J62" s="27"/>
      <c r="K62" s="28"/>
    </row>
    <row r="63" spans="1:11">
      <c r="A63" s="4">
        <v>51107</v>
      </c>
      <c r="B63" s="2" t="s">
        <v>93</v>
      </c>
      <c r="C63" s="2"/>
      <c r="D63" s="3" t="s">
        <v>94</v>
      </c>
      <c r="E63" s="3" t="s">
        <v>29</v>
      </c>
      <c r="F63" s="3" t="s">
        <v>43</v>
      </c>
      <c r="G63" s="305">
        <f>'JULIO-18  '!I63</f>
        <v>820</v>
      </c>
      <c r="H63" s="51">
        <v>701.33</v>
      </c>
      <c r="I63" s="17">
        <f t="shared" si="0"/>
        <v>118.66999999999996</v>
      </c>
      <c r="J63" s="27"/>
      <c r="K63" s="28"/>
    </row>
    <row r="64" spans="1:11">
      <c r="A64" s="4">
        <v>51301</v>
      </c>
      <c r="B64" s="2" t="s">
        <v>45</v>
      </c>
      <c r="C64" s="2"/>
      <c r="D64" s="3" t="s">
        <v>94</v>
      </c>
      <c r="E64" s="3" t="s">
        <v>29</v>
      </c>
      <c r="F64" s="3" t="s">
        <v>43</v>
      </c>
      <c r="G64" s="305">
        <f>'JULIO-18  '!I64</f>
        <v>3500</v>
      </c>
      <c r="H64" s="51"/>
      <c r="I64" s="17">
        <f t="shared" si="0"/>
        <v>2000</v>
      </c>
      <c r="J64" s="27"/>
      <c r="K64" s="29">
        <v>1500</v>
      </c>
    </row>
    <row r="65" spans="1:11" ht="25.5">
      <c r="A65" s="4">
        <v>51401</v>
      </c>
      <c r="B65" s="7" t="s">
        <v>128</v>
      </c>
      <c r="C65" s="2"/>
      <c r="D65" s="3" t="s">
        <v>94</v>
      </c>
      <c r="E65" s="3" t="s">
        <v>29</v>
      </c>
      <c r="F65" s="3" t="s">
        <v>43</v>
      </c>
      <c r="G65" s="305">
        <f>'JULIO-18  '!I65</f>
        <v>2099.1</v>
      </c>
      <c r="H65" s="51"/>
      <c r="I65" s="17">
        <f t="shared" si="0"/>
        <v>1599.1</v>
      </c>
      <c r="J65" s="27"/>
      <c r="K65" s="30">
        <v>500</v>
      </c>
    </row>
    <row r="66" spans="1:11" ht="36">
      <c r="A66" s="4">
        <v>51501</v>
      </c>
      <c r="B66" s="5" t="s">
        <v>141</v>
      </c>
      <c r="C66" s="2"/>
      <c r="D66" s="3" t="s">
        <v>94</v>
      </c>
      <c r="E66" s="3" t="s">
        <v>29</v>
      </c>
      <c r="F66" s="3" t="s">
        <v>43</v>
      </c>
      <c r="G66" s="305">
        <f>'JULIO-18  '!I66</f>
        <v>1889.16</v>
      </c>
      <c r="H66" s="51"/>
      <c r="I66" s="17">
        <f t="shared" si="0"/>
        <v>1389.16</v>
      </c>
      <c r="J66" s="27"/>
      <c r="K66" s="21">
        <v>500</v>
      </c>
    </row>
    <row r="67" spans="1:11">
      <c r="A67" s="4">
        <v>54104</v>
      </c>
      <c r="B67" s="2" t="s">
        <v>10</v>
      </c>
      <c r="C67" s="2"/>
      <c r="D67" s="3" t="s">
        <v>94</v>
      </c>
      <c r="E67" s="3" t="s">
        <v>29</v>
      </c>
      <c r="F67" s="3" t="s">
        <v>43</v>
      </c>
      <c r="G67" s="305">
        <f>'JULIO-18  '!I67</f>
        <v>1000</v>
      </c>
      <c r="H67" s="51"/>
      <c r="I67" s="17">
        <f t="shared" si="0"/>
        <v>1000</v>
      </c>
      <c r="J67" s="27"/>
      <c r="K67" s="22"/>
    </row>
    <row r="68" spans="1:11">
      <c r="A68" s="4">
        <v>54105</v>
      </c>
      <c r="B68" s="2" t="s">
        <v>49</v>
      </c>
      <c r="C68" s="2"/>
      <c r="D68" s="3" t="s">
        <v>94</v>
      </c>
      <c r="E68" s="3" t="s">
        <v>29</v>
      </c>
      <c r="F68" s="3" t="s">
        <v>43</v>
      </c>
      <c r="G68" s="305">
        <f>'JULIO-18  '!I68</f>
        <v>1410.22</v>
      </c>
      <c r="H68" s="51">
        <v>339</v>
      </c>
      <c r="I68" s="17">
        <f t="shared" si="0"/>
        <v>1071.22</v>
      </c>
      <c r="J68" s="27"/>
      <c r="K68" s="18"/>
    </row>
    <row r="69" spans="1:11">
      <c r="A69" s="4">
        <v>54114</v>
      </c>
      <c r="B69" s="2" t="s">
        <v>56</v>
      </c>
      <c r="C69" s="2"/>
      <c r="D69" s="3" t="s">
        <v>94</v>
      </c>
      <c r="E69" s="3" t="s">
        <v>29</v>
      </c>
      <c r="F69" s="3" t="s">
        <v>43</v>
      </c>
      <c r="G69" s="305">
        <f>'JULIO-18  '!I69</f>
        <v>2794.87</v>
      </c>
      <c r="H69" s="51">
        <f>50.85+202.41</f>
        <v>253.26</v>
      </c>
      <c r="I69" s="17">
        <f t="shared" si="0"/>
        <v>2541.6099999999997</v>
      </c>
      <c r="J69" s="27"/>
      <c r="K69" s="21"/>
    </row>
    <row r="70" spans="1:11">
      <c r="A70" s="4">
        <v>54115</v>
      </c>
      <c r="B70" s="2" t="s">
        <v>57</v>
      </c>
      <c r="C70" s="2"/>
      <c r="D70" s="3" t="s">
        <v>94</v>
      </c>
      <c r="E70" s="3" t="s">
        <v>29</v>
      </c>
      <c r="F70" s="3" t="s">
        <v>43</v>
      </c>
      <c r="G70" s="305">
        <f>'JULIO-18  '!I70</f>
        <v>934.5</v>
      </c>
      <c r="H70" s="51">
        <f>688.5+471.18</f>
        <v>1159.68</v>
      </c>
      <c r="I70" s="17">
        <f t="shared" si="0"/>
        <v>1274.82</v>
      </c>
      <c r="J70" s="31">
        <v>1500</v>
      </c>
      <c r="K70" s="21"/>
    </row>
    <row r="71" spans="1:11">
      <c r="A71" s="4">
        <v>54401</v>
      </c>
      <c r="B71" s="2" t="s">
        <v>75</v>
      </c>
      <c r="C71" s="2"/>
      <c r="D71" s="3" t="s">
        <v>94</v>
      </c>
      <c r="E71" s="3" t="s">
        <v>29</v>
      </c>
      <c r="F71" s="3" t="s">
        <v>43</v>
      </c>
      <c r="G71" s="305">
        <f>'JULIO-18  '!I71</f>
        <v>200</v>
      </c>
      <c r="H71" s="51"/>
      <c r="I71" s="17">
        <f t="shared" si="0"/>
        <v>200</v>
      </c>
      <c r="J71" s="27"/>
      <c r="K71" s="21"/>
    </row>
    <row r="72" spans="1:11">
      <c r="A72" s="4">
        <v>54403</v>
      </c>
      <c r="B72" s="2" t="s">
        <v>76</v>
      </c>
      <c r="C72" s="2"/>
      <c r="D72" s="3" t="s">
        <v>94</v>
      </c>
      <c r="E72" s="3" t="s">
        <v>29</v>
      </c>
      <c r="F72" s="3" t="s">
        <v>43</v>
      </c>
      <c r="G72" s="305">
        <f>'JULIO-18  '!I72</f>
        <v>300</v>
      </c>
      <c r="H72" s="51"/>
      <c r="I72" s="17">
        <f>G72-H72+J72-K72</f>
        <v>300</v>
      </c>
      <c r="J72" s="27"/>
      <c r="K72" s="28"/>
    </row>
    <row r="73" spans="1:11" ht="21" customHeight="1">
      <c r="A73" s="4">
        <v>54507</v>
      </c>
      <c r="B73" s="5" t="s">
        <v>95</v>
      </c>
      <c r="C73" s="2"/>
      <c r="D73" s="3" t="s">
        <v>94</v>
      </c>
      <c r="E73" s="3" t="s">
        <v>29</v>
      </c>
      <c r="F73" s="3" t="s">
        <v>43</v>
      </c>
      <c r="G73" s="305">
        <f>'JULIO-18  '!I73</f>
        <v>940</v>
      </c>
      <c r="H73" s="51"/>
      <c r="I73" s="17">
        <f>G73-H73+J73-K73</f>
        <v>940</v>
      </c>
      <c r="J73" s="32"/>
      <c r="K73" s="28"/>
    </row>
    <row r="74" spans="1:11" ht="21">
      <c r="A74" s="38" t="s">
        <v>8</v>
      </c>
      <c r="B74" s="39" t="s">
        <v>96</v>
      </c>
      <c r="C74" s="39"/>
      <c r="D74" s="39" t="s">
        <v>94</v>
      </c>
      <c r="E74" s="39" t="s">
        <v>29</v>
      </c>
      <c r="F74" s="39" t="s">
        <v>43</v>
      </c>
      <c r="G74" s="305">
        <f>'JULIO-18  '!I74</f>
        <v>15987.850000000006</v>
      </c>
      <c r="H74" s="95">
        <f>SUM(H62:H73)</f>
        <v>2453.27</v>
      </c>
      <c r="I74" s="40">
        <f>G74-H74+J74-K74</f>
        <v>12534.580000000005</v>
      </c>
      <c r="J74" s="107">
        <f>SUM(J62:J73)</f>
        <v>1500</v>
      </c>
      <c r="K74" s="107">
        <f>SUM(K62:K73)</f>
        <v>2500</v>
      </c>
    </row>
    <row r="75" spans="1:11">
      <c r="A75" s="4">
        <v>51103</v>
      </c>
      <c r="B75" s="2" t="s">
        <v>174</v>
      </c>
      <c r="C75" s="2"/>
      <c r="D75" s="3" t="s">
        <v>97</v>
      </c>
      <c r="E75" s="3" t="s">
        <v>29</v>
      </c>
      <c r="F75" s="3" t="s">
        <v>43</v>
      </c>
      <c r="G75" s="305">
        <f>'JULIO-18  '!I75</f>
        <v>100</v>
      </c>
      <c r="H75" s="51"/>
      <c r="I75" s="170">
        <f t="shared" ref="I75:I100" si="1">G75-H75+J75-K75</f>
        <v>100</v>
      </c>
      <c r="J75" s="28"/>
      <c r="K75" s="28"/>
    </row>
    <row r="76" spans="1:11">
      <c r="A76" s="4">
        <v>51107</v>
      </c>
      <c r="B76" s="2" t="s">
        <v>93</v>
      </c>
      <c r="C76" s="2"/>
      <c r="D76" s="3" t="s">
        <v>97</v>
      </c>
      <c r="E76" s="3" t="s">
        <v>29</v>
      </c>
      <c r="F76" s="3" t="s">
        <v>43</v>
      </c>
      <c r="G76" s="305">
        <f>'JULIO-18  '!I76</f>
        <v>1256</v>
      </c>
      <c r="H76" s="51">
        <f>3506.65+601.14</f>
        <v>4107.79</v>
      </c>
      <c r="I76" s="135">
        <f t="shared" si="1"/>
        <v>148.21000000000004</v>
      </c>
      <c r="J76" s="28">
        <v>3000</v>
      </c>
      <c r="K76" s="28"/>
    </row>
    <row r="77" spans="1:11">
      <c r="A77" s="4">
        <v>51201</v>
      </c>
      <c r="B77" s="2" t="s">
        <v>44</v>
      </c>
      <c r="C77" s="2"/>
      <c r="D77" s="3" t="s">
        <v>97</v>
      </c>
      <c r="E77" s="3" t="s">
        <v>29</v>
      </c>
      <c r="F77" s="3" t="s">
        <v>43</v>
      </c>
      <c r="G77" s="305">
        <f>'JULIO-18  '!I77</f>
        <v>1010</v>
      </c>
      <c r="H77" s="51"/>
      <c r="I77" s="170">
        <f t="shared" si="1"/>
        <v>1010</v>
      </c>
      <c r="J77" s="30"/>
      <c r="K77" s="28"/>
    </row>
    <row r="78" spans="1:11">
      <c r="A78" s="4">
        <v>51301</v>
      </c>
      <c r="B78" s="7" t="s">
        <v>98</v>
      </c>
      <c r="C78" s="2"/>
      <c r="D78" s="3" t="s">
        <v>97</v>
      </c>
      <c r="E78" s="3" t="s">
        <v>29</v>
      </c>
      <c r="F78" s="3" t="s">
        <v>43</v>
      </c>
      <c r="G78" s="305">
        <f>'JULIO-18  '!I78</f>
        <v>3000</v>
      </c>
      <c r="H78" s="51"/>
      <c r="I78" s="170">
        <f t="shared" si="1"/>
        <v>2000</v>
      </c>
      <c r="J78" s="30"/>
      <c r="K78" s="28">
        <v>1000</v>
      </c>
    </row>
    <row r="79" spans="1:11" ht="48.75" customHeight="1">
      <c r="A79" s="4">
        <v>51401</v>
      </c>
      <c r="B79" s="7" t="s">
        <v>134</v>
      </c>
      <c r="C79" s="2"/>
      <c r="D79" s="3" t="s">
        <v>97</v>
      </c>
      <c r="E79" s="3" t="s">
        <v>29</v>
      </c>
      <c r="F79" s="3" t="s">
        <v>43</v>
      </c>
      <c r="G79" s="305">
        <f>'JULIO-18  '!I79</f>
        <v>9778.74</v>
      </c>
      <c r="H79" s="51"/>
      <c r="I79" s="170">
        <f t="shared" si="1"/>
        <v>7778.74</v>
      </c>
      <c r="J79" s="29"/>
      <c r="K79" s="28">
        <v>2000</v>
      </c>
    </row>
    <row r="80" spans="1:11" ht="36">
      <c r="A80" s="4">
        <v>51501</v>
      </c>
      <c r="B80" s="5" t="s">
        <v>127</v>
      </c>
      <c r="C80" s="2"/>
      <c r="D80" s="3" t="s">
        <v>97</v>
      </c>
      <c r="E80" s="3" t="s">
        <v>29</v>
      </c>
      <c r="F80" s="3" t="s">
        <v>43</v>
      </c>
      <c r="G80" s="305">
        <f>'JULIO-18  '!I80</f>
        <v>7853.28</v>
      </c>
      <c r="H80" s="51"/>
      <c r="I80" s="170">
        <f t="shared" si="1"/>
        <v>6853.28</v>
      </c>
      <c r="J80" s="27"/>
      <c r="K80" s="28">
        <v>1000</v>
      </c>
    </row>
    <row r="81" spans="1:11" ht="24" customHeight="1">
      <c r="A81" s="4">
        <v>54104</v>
      </c>
      <c r="B81" s="2" t="s">
        <v>10</v>
      </c>
      <c r="C81" s="2"/>
      <c r="D81" s="3" t="s">
        <v>97</v>
      </c>
      <c r="E81" s="3" t="s">
        <v>29</v>
      </c>
      <c r="F81" s="3" t="s">
        <v>43</v>
      </c>
      <c r="G81" s="305">
        <f>'JULIO-18  '!I81</f>
        <v>3819</v>
      </c>
      <c r="H81" s="51">
        <f>383.4+894.6+751.5</f>
        <v>2029.5</v>
      </c>
      <c r="I81" s="170">
        <f t="shared" si="1"/>
        <v>1289.5</v>
      </c>
      <c r="J81" s="28"/>
      <c r="K81" s="28">
        <v>500</v>
      </c>
    </row>
    <row r="82" spans="1:11" ht="21.75" customHeight="1">
      <c r="A82" s="4">
        <v>54105</v>
      </c>
      <c r="B82" s="2" t="s">
        <v>49</v>
      </c>
      <c r="C82" s="2"/>
      <c r="D82" s="3" t="s">
        <v>97</v>
      </c>
      <c r="E82" s="3" t="s">
        <v>29</v>
      </c>
      <c r="F82" s="3" t="s">
        <v>43</v>
      </c>
      <c r="G82" s="305">
        <f>'JULIO-18  '!I82</f>
        <v>500</v>
      </c>
      <c r="H82" s="375">
        <f>8.35</f>
        <v>8.35</v>
      </c>
      <c r="I82" s="170">
        <f t="shared" si="1"/>
        <v>491.65</v>
      </c>
      <c r="J82" s="27"/>
      <c r="K82" s="28"/>
    </row>
    <row r="83" spans="1:11" ht="27" customHeight="1">
      <c r="A83" s="4">
        <v>54106</v>
      </c>
      <c r="B83" s="5" t="s">
        <v>99</v>
      </c>
      <c r="C83" s="5"/>
      <c r="D83" s="3" t="s">
        <v>97</v>
      </c>
      <c r="E83" s="3" t="s">
        <v>29</v>
      </c>
      <c r="F83" s="3" t="s">
        <v>43</v>
      </c>
      <c r="G83" s="305">
        <f>'JULIO-18  '!I83</f>
        <v>500</v>
      </c>
      <c r="H83" s="375">
        <f>26+29.69</f>
        <v>55.69</v>
      </c>
      <c r="I83" s="170">
        <f t="shared" si="1"/>
        <v>444.31</v>
      </c>
      <c r="J83" s="27"/>
      <c r="K83" s="28"/>
    </row>
    <row r="84" spans="1:11" ht="24" customHeight="1">
      <c r="A84" s="4">
        <v>54109</v>
      </c>
      <c r="B84" s="2" t="s">
        <v>52</v>
      </c>
      <c r="C84" s="2"/>
      <c r="D84" s="3" t="s">
        <v>97</v>
      </c>
      <c r="E84" s="3" t="s">
        <v>29</v>
      </c>
      <c r="F84" s="3" t="s">
        <v>43</v>
      </c>
      <c r="G84" s="305">
        <f>'JULIO-18  '!I84</f>
        <v>500</v>
      </c>
      <c r="H84" s="51"/>
      <c r="I84" s="170">
        <f t="shared" si="1"/>
        <v>0</v>
      </c>
      <c r="J84" s="33"/>
      <c r="K84" s="28">
        <v>500</v>
      </c>
    </row>
    <row r="85" spans="1:11" ht="28.5" customHeight="1">
      <c r="A85" s="4">
        <v>54110</v>
      </c>
      <c r="B85" s="2" t="s">
        <v>53</v>
      </c>
      <c r="C85" s="2"/>
      <c r="D85" s="3" t="s">
        <v>97</v>
      </c>
      <c r="E85" s="3" t="s">
        <v>29</v>
      </c>
      <c r="F85" s="3" t="s">
        <v>43</v>
      </c>
      <c r="G85" s="305">
        <f>'JULIO-18  '!I85</f>
        <v>4868.96</v>
      </c>
      <c r="H85" s="51">
        <f>1339.18</f>
        <v>1339.18</v>
      </c>
      <c r="I85" s="170">
        <f t="shared" si="1"/>
        <v>3529.7799999999997</v>
      </c>
      <c r="J85" s="33"/>
      <c r="K85" s="30"/>
    </row>
    <row r="86" spans="1:11" ht="30.75" customHeight="1">
      <c r="A86" s="4">
        <v>54111</v>
      </c>
      <c r="B86" s="5" t="s">
        <v>54</v>
      </c>
      <c r="C86" s="2"/>
      <c r="D86" s="3" t="s">
        <v>97</v>
      </c>
      <c r="E86" s="3" t="s">
        <v>29</v>
      </c>
      <c r="F86" s="3" t="s">
        <v>43</v>
      </c>
      <c r="G86" s="305">
        <f>'JULIO-18  '!I86</f>
        <v>500</v>
      </c>
      <c r="H86" s="51">
        <v>812</v>
      </c>
      <c r="I86" s="170">
        <f t="shared" si="1"/>
        <v>188</v>
      </c>
      <c r="J86" s="33">
        <v>500</v>
      </c>
      <c r="K86" s="277"/>
    </row>
    <row r="87" spans="1:11" ht="39">
      <c r="A87" s="4">
        <v>54112</v>
      </c>
      <c r="B87" s="5" t="s">
        <v>55</v>
      </c>
      <c r="C87" s="2"/>
      <c r="D87" s="3" t="s">
        <v>97</v>
      </c>
      <c r="E87" s="3" t="s">
        <v>29</v>
      </c>
      <c r="F87" s="3" t="s">
        <v>43</v>
      </c>
      <c r="G87" s="305">
        <f>'JULIO-18  '!I87</f>
        <v>176</v>
      </c>
      <c r="H87" s="51"/>
      <c r="I87" s="170">
        <f t="shared" si="1"/>
        <v>176</v>
      </c>
      <c r="J87" s="33"/>
      <c r="K87" s="28"/>
    </row>
    <row r="88" spans="1:11" ht="18" customHeight="1">
      <c r="A88" s="4">
        <v>54114</v>
      </c>
      <c r="B88" s="2" t="s">
        <v>56</v>
      </c>
      <c r="C88" s="2"/>
      <c r="D88" s="3" t="s">
        <v>97</v>
      </c>
      <c r="E88" s="3" t="s">
        <v>29</v>
      </c>
      <c r="F88" s="3" t="s">
        <v>43</v>
      </c>
      <c r="G88" s="305">
        <f>'JULIO-18  '!I88</f>
        <v>500</v>
      </c>
      <c r="H88" s="51"/>
      <c r="I88" s="170">
        <f t="shared" si="1"/>
        <v>400</v>
      </c>
      <c r="J88" s="27"/>
      <c r="K88" s="28">
        <v>100</v>
      </c>
    </row>
    <row r="89" spans="1:11">
      <c r="A89" s="4">
        <v>54115</v>
      </c>
      <c r="B89" s="2" t="s">
        <v>57</v>
      </c>
      <c r="C89" s="2"/>
      <c r="D89" s="3" t="s">
        <v>97</v>
      </c>
      <c r="E89" s="3" t="s">
        <v>29</v>
      </c>
      <c r="F89" s="3" t="s">
        <v>43</v>
      </c>
      <c r="G89" s="305">
        <f>'JULIO-18  '!I89</f>
        <v>480</v>
      </c>
      <c r="H89" s="375">
        <v>10</v>
      </c>
      <c r="I89" s="170">
        <f t="shared" si="1"/>
        <v>470</v>
      </c>
      <c r="J89" s="33"/>
      <c r="K89" s="28"/>
    </row>
    <row r="90" spans="1:11" ht="27" customHeight="1">
      <c r="A90" s="4">
        <v>54118</v>
      </c>
      <c r="B90" s="5" t="s">
        <v>100</v>
      </c>
      <c r="C90" s="2"/>
      <c r="D90" s="3" t="s">
        <v>97</v>
      </c>
      <c r="E90" s="3" t="s">
        <v>29</v>
      </c>
      <c r="F90" s="3" t="s">
        <v>43</v>
      </c>
      <c r="G90" s="305">
        <f>'JULIO-18  '!I90</f>
        <v>537.16999999999996</v>
      </c>
      <c r="H90" s="51"/>
      <c r="I90" s="170">
        <f t="shared" si="1"/>
        <v>537.16999999999996</v>
      </c>
      <c r="J90" s="30"/>
      <c r="K90" s="28"/>
    </row>
    <row r="91" spans="1:11">
      <c r="A91" s="4">
        <v>54119</v>
      </c>
      <c r="B91" s="2" t="s">
        <v>60</v>
      </c>
      <c r="C91" s="2"/>
      <c r="D91" s="3" t="s">
        <v>97</v>
      </c>
      <c r="E91" s="3" t="s">
        <v>29</v>
      </c>
      <c r="F91" s="3" t="s">
        <v>43</v>
      </c>
      <c r="G91" s="305">
        <f>'JULIO-18  '!I91</f>
        <v>555.6</v>
      </c>
      <c r="H91" s="375">
        <f>4.55</f>
        <v>4.55</v>
      </c>
      <c r="I91" s="170">
        <f t="shared" si="1"/>
        <v>551.05000000000007</v>
      </c>
      <c r="J91" s="30"/>
      <c r="K91" s="28"/>
    </row>
    <row r="92" spans="1:11">
      <c r="A92" s="4">
        <v>54199</v>
      </c>
      <c r="B92" s="2" t="s">
        <v>61</v>
      </c>
      <c r="C92" s="2"/>
      <c r="D92" s="3" t="s">
        <v>97</v>
      </c>
      <c r="E92" s="3" t="s">
        <v>29</v>
      </c>
      <c r="F92" s="3" t="s">
        <v>43</v>
      </c>
      <c r="G92" s="305">
        <f>'JULIO-18  '!I92</f>
        <v>439.69000000000011</v>
      </c>
      <c r="H92" s="375">
        <f>166.53+3.63+3.9+4.6+6</f>
        <v>184.66</v>
      </c>
      <c r="I92" s="170">
        <f t="shared" si="1"/>
        <v>555.03000000000009</v>
      </c>
      <c r="J92" s="33">
        <v>300</v>
      </c>
      <c r="K92" s="28"/>
    </row>
    <row r="93" spans="1:11">
      <c r="A93" s="4">
        <v>54301</v>
      </c>
      <c r="B93" s="2" t="s">
        <v>66</v>
      </c>
      <c r="C93" s="2"/>
      <c r="D93" s="3" t="s">
        <v>97</v>
      </c>
      <c r="E93" s="3" t="s">
        <v>29</v>
      </c>
      <c r="F93" s="3" t="s">
        <v>43</v>
      </c>
      <c r="G93" s="305">
        <f>'JULIO-18  '!I93</f>
        <v>164.32999999999998</v>
      </c>
      <c r="H93" s="51">
        <f>140+100</f>
        <v>240</v>
      </c>
      <c r="I93" s="170">
        <f t="shared" si="1"/>
        <v>124.32999999999998</v>
      </c>
      <c r="J93" s="29">
        <v>200</v>
      </c>
      <c r="K93" s="28"/>
    </row>
    <row r="94" spans="1:11">
      <c r="A94" s="4">
        <v>54302</v>
      </c>
      <c r="B94" s="2" t="s">
        <v>67</v>
      </c>
      <c r="C94" s="2"/>
      <c r="D94" s="3" t="s">
        <v>97</v>
      </c>
      <c r="E94" s="3" t="s">
        <v>29</v>
      </c>
      <c r="F94" s="3" t="s">
        <v>43</v>
      </c>
      <c r="G94" s="305">
        <f>'JULIO-18  '!I94</f>
        <v>380</v>
      </c>
      <c r="H94" s="375">
        <v>20</v>
      </c>
      <c r="I94" s="170">
        <f t="shared" si="1"/>
        <v>360</v>
      </c>
      <c r="J94" s="27"/>
      <c r="K94" s="28"/>
    </row>
    <row r="95" spans="1:11" ht="24.75" customHeight="1">
      <c r="A95" s="4">
        <v>54314</v>
      </c>
      <c r="B95" s="5" t="s">
        <v>101</v>
      </c>
      <c r="C95" s="2"/>
      <c r="D95" s="3" t="s">
        <v>97</v>
      </c>
      <c r="E95" s="3" t="s">
        <v>29</v>
      </c>
      <c r="F95" s="3" t="s">
        <v>43</v>
      </c>
      <c r="G95" s="305">
        <f>'JULIO-18  '!I95</f>
        <v>9574.86</v>
      </c>
      <c r="H95" s="51">
        <f>40+35+30+71.5+400+33+1050+60+50+30</f>
        <v>1799.5</v>
      </c>
      <c r="I95" s="170">
        <f t="shared" si="1"/>
        <v>7775.3600000000006</v>
      </c>
      <c r="J95" s="33"/>
      <c r="K95" s="315"/>
    </row>
    <row r="96" spans="1:11">
      <c r="A96" s="4">
        <v>54399</v>
      </c>
      <c r="B96" s="2" t="s">
        <v>74</v>
      </c>
      <c r="C96" s="2"/>
      <c r="D96" s="3" t="s">
        <v>97</v>
      </c>
      <c r="E96" s="3" t="s">
        <v>29</v>
      </c>
      <c r="F96" s="3" t="s">
        <v>43</v>
      </c>
      <c r="G96" s="305">
        <f>'JULIO-18  '!I96</f>
        <v>52.659999999999854</v>
      </c>
      <c r="H96" s="51">
        <f>1120+333.33+36</f>
        <v>1489.33</v>
      </c>
      <c r="I96" s="170">
        <f t="shared" si="1"/>
        <v>563.32999999999993</v>
      </c>
      <c r="J96" s="33">
        <v>2000</v>
      </c>
      <c r="K96" s="33"/>
    </row>
    <row r="97" spans="1:11">
      <c r="A97" s="4">
        <v>54401</v>
      </c>
      <c r="B97" s="2" t="s">
        <v>75</v>
      </c>
      <c r="C97" s="2"/>
      <c r="D97" s="3" t="s">
        <v>97</v>
      </c>
      <c r="E97" s="3" t="s">
        <v>29</v>
      </c>
      <c r="F97" s="3" t="s">
        <v>43</v>
      </c>
      <c r="G97" s="305">
        <f>'JULIO-18  '!I97</f>
        <v>400</v>
      </c>
      <c r="H97" s="51"/>
      <c r="I97" s="170">
        <f t="shared" si="1"/>
        <v>400</v>
      </c>
      <c r="J97" s="34"/>
      <c r="K97" s="28"/>
    </row>
    <row r="98" spans="1:11">
      <c r="A98" s="4">
        <v>54403</v>
      </c>
      <c r="B98" s="2" t="s">
        <v>102</v>
      </c>
      <c r="C98" s="2"/>
      <c r="D98" s="3" t="s">
        <v>97</v>
      </c>
      <c r="E98" s="3" t="s">
        <v>29</v>
      </c>
      <c r="F98" s="3" t="s">
        <v>43</v>
      </c>
      <c r="G98" s="305">
        <f>'JULIO-18  '!I98</f>
        <v>632.98</v>
      </c>
      <c r="H98" s="51"/>
      <c r="I98" s="170">
        <f t="shared" si="1"/>
        <v>632.98</v>
      </c>
      <c r="J98" s="34"/>
      <c r="K98" s="28"/>
    </row>
    <row r="99" spans="1:11" ht="21.75" customHeight="1">
      <c r="A99" s="4">
        <v>54507</v>
      </c>
      <c r="B99" s="5" t="s">
        <v>103</v>
      </c>
      <c r="C99" s="5"/>
      <c r="D99" s="3" t="s">
        <v>97</v>
      </c>
      <c r="E99" s="3" t="s">
        <v>29</v>
      </c>
      <c r="F99" s="3" t="s">
        <v>43</v>
      </c>
      <c r="G99" s="305">
        <f>'JULIO-18  '!I99</f>
        <v>500</v>
      </c>
      <c r="H99" s="51"/>
      <c r="I99" s="170">
        <f t="shared" si="1"/>
        <v>200</v>
      </c>
      <c r="J99" s="35"/>
      <c r="K99" s="28">
        <v>300</v>
      </c>
    </row>
    <row r="100" spans="1:11">
      <c r="A100" s="4">
        <v>54699</v>
      </c>
      <c r="B100" s="5" t="s">
        <v>104</v>
      </c>
      <c r="C100" s="2"/>
      <c r="D100" s="3" t="s">
        <v>97</v>
      </c>
      <c r="E100" s="3" t="s">
        <v>29</v>
      </c>
      <c r="F100" s="3" t="s">
        <v>43</v>
      </c>
      <c r="G100" s="305">
        <f>'JULIO-18  '!I100</f>
        <v>1</v>
      </c>
      <c r="H100" s="51"/>
      <c r="I100" s="170">
        <f t="shared" si="1"/>
        <v>1</v>
      </c>
      <c r="J100" s="27"/>
      <c r="K100" s="28"/>
    </row>
    <row r="101" spans="1:11" ht="21">
      <c r="A101" s="38" t="s">
        <v>8</v>
      </c>
      <c r="B101" s="39" t="s">
        <v>105</v>
      </c>
      <c r="C101" s="39"/>
      <c r="D101" s="39" t="s">
        <v>97</v>
      </c>
      <c r="E101" s="39" t="s">
        <v>29</v>
      </c>
      <c r="F101" s="39" t="s">
        <v>43</v>
      </c>
      <c r="G101" s="305">
        <f>'JULIO-18  '!I101</f>
        <v>48080.26999999999</v>
      </c>
      <c r="H101" s="95">
        <f>SUM(H75:H100)</f>
        <v>12100.55</v>
      </c>
      <c r="I101" s="40">
        <f>G101-H101+J101-K101</f>
        <v>36579.719999999987</v>
      </c>
      <c r="J101" s="107">
        <f>SUM(J75:J100)</f>
        <v>6000</v>
      </c>
      <c r="K101" s="107">
        <f>SUM(K75:K100)</f>
        <v>5400</v>
      </c>
    </row>
    <row r="102" spans="1:11">
      <c r="A102" s="4">
        <v>51101</v>
      </c>
      <c r="B102" s="2" t="s">
        <v>175</v>
      </c>
      <c r="C102" s="2"/>
      <c r="D102" s="3" t="s">
        <v>42</v>
      </c>
      <c r="E102" s="3" t="s">
        <v>29</v>
      </c>
      <c r="F102" s="3" t="s">
        <v>106</v>
      </c>
      <c r="G102" s="305">
        <f>'JULIO-18  '!I102</f>
        <v>37685.249999999978</v>
      </c>
      <c r="H102" s="51">
        <f>7537.05</f>
        <v>7537.05</v>
      </c>
      <c r="I102" s="17">
        <f t="shared" ref="I102:I149" si="2">G102-H102+J102-K102</f>
        <v>30148.199999999979</v>
      </c>
      <c r="J102" s="28"/>
      <c r="K102" s="30"/>
    </row>
    <row r="103" spans="1:11">
      <c r="A103" s="4">
        <v>51103</v>
      </c>
      <c r="B103" s="2" t="s">
        <v>107</v>
      </c>
      <c r="C103" s="2"/>
      <c r="D103" s="3" t="s">
        <v>42</v>
      </c>
      <c r="E103" s="3" t="s">
        <v>29</v>
      </c>
      <c r="F103" s="3" t="s">
        <v>106</v>
      </c>
      <c r="G103" s="305">
        <f>'JULIO-18  '!I103</f>
        <v>7687.05</v>
      </c>
      <c r="H103" s="51"/>
      <c r="I103" s="17">
        <f t="shared" si="2"/>
        <v>7687.05</v>
      </c>
      <c r="J103" s="30"/>
      <c r="K103" s="29"/>
    </row>
    <row r="104" spans="1:11">
      <c r="A104" s="4">
        <v>51105</v>
      </c>
      <c r="B104" s="2" t="s">
        <v>176</v>
      </c>
      <c r="C104" s="2"/>
      <c r="D104" s="3" t="s">
        <v>42</v>
      </c>
      <c r="E104" s="3" t="s">
        <v>29</v>
      </c>
      <c r="F104" s="3" t="s">
        <v>106</v>
      </c>
      <c r="G104" s="305">
        <f>'JULIO-18  '!I104</f>
        <v>11850.779999999995</v>
      </c>
      <c r="H104" s="51">
        <f>7111.2</f>
        <v>7111.2</v>
      </c>
      <c r="I104" s="17">
        <f t="shared" si="2"/>
        <v>4739.5799999999954</v>
      </c>
      <c r="J104" s="30"/>
      <c r="K104" s="29"/>
    </row>
    <row r="105" spans="1:11" ht="29.25">
      <c r="A105" s="4">
        <v>51107</v>
      </c>
      <c r="B105" s="7" t="s">
        <v>1168</v>
      </c>
      <c r="C105" s="2"/>
      <c r="D105" s="3" t="s">
        <v>42</v>
      </c>
      <c r="E105" s="3" t="s">
        <v>29</v>
      </c>
      <c r="F105" s="3" t="s">
        <v>106</v>
      </c>
      <c r="G105" s="305">
        <f>'JULIO-18  '!I105</f>
        <v>1900</v>
      </c>
      <c r="H105" s="51"/>
      <c r="I105" s="17">
        <f t="shared" si="2"/>
        <v>900</v>
      </c>
      <c r="J105" s="30"/>
      <c r="K105" s="29">
        <v>1000</v>
      </c>
    </row>
    <row r="106" spans="1:11" ht="18.75" customHeight="1">
      <c r="A106" s="4">
        <v>51201</v>
      </c>
      <c r="B106" s="2" t="s">
        <v>1173</v>
      </c>
      <c r="C106" s="2"/>
      <c r="D106" s="3" t="s">
        <v>42</v>
      </c>
      <c r="E106" s="3" t="s">
        <v>29</v>
      </c>
      <c r="F106" s="3" t="s">
        <v>30</v>
      </c>
      <c r="G106" s="305">
        <f>'JULIO-18  '!I106</f>
        <v>6963</v>
      </c>
      <c r="H106" s="51">
        <f>950+700+1334</f>
        <v>2984</v>
      </c>
      <c r="I106" s="17">
        <f t="shared" si="2"/>
        <v>3979</v>
      </c>
      <c r="J106" s="30"/>
      <c r="K106" s="29"/>
    </row>
    <row r="107" spans="1:11">
      <c r="A107" s="4">
        <v>51301</v>
      </c>
      <c r="B107" s="2" t="s">
        <v>177</v>
      </c>
      <c r="C107" s="2"/>
      <c r="D107" s="3" t="s">
        <v>42</v>
      </c>
      <c r="E107" s="3" t="s">
        <v>29</v>
      </c>
      <c r="F107" s="3" t="s">
        <v>30</v>
      </c>
      <c r="G107" s="305">
        <f>'JULIO-18  '!I107</f>
        <v>719.02</v>
      </c>
      <c r="H107" s="51"/>
      <c r="I107" s="17">
        <f t="shared" si="2"/>
        <v>719.02</v>
      </c>
      <c r="J107" s="30"/>
      <c r="K107" s="29"/>
    </row>
    <row r="108" spans="1:11" ht="33.75" customHeight="1">
      <c r="A108" s="4">
        <v>51401</v>
      </c>
      <c r="B108" s="5" t="s">
        <v>128</v>
      </c>
      <c r="C108" s="5"/>
      <c r="D108" s="3" t="s">
        <v>42</v>
      </c>
      <c r="E108" s="3" t="s">
        <v>29</v>
      </c>
      <c r="F108" s="3" t="s">
        <v>106</v>
      </c>
      <c r="G108" s="305">
        <f>'JULIO-18  '!I108</f>
        <v>1277.7599999999998</v>
      </c>
      <c r="H108" s="51">
        <f>212.78+386.14</f>
        <v>598.91999999999996</v>
      </c>
      <c r="I108" s="17">
        <f t="shared" si="2"/>
        <v>678.8399999999998</v>
      </c>
      <c r="J108" s="33"/>
      <c r="K108" s="29"/>
    </row>
    <row r="109" spans="1:11" ht="36">
      <c r="A109" s="4">
        <v>51501</v>
      </c>
      <c r="B109" s="5" t="s">
        <v>168</v>
      </c>
      <c r="C109" s="5"/>
      <c r="D109" s="3" t="s">
        <v>42</v>
      </c>
      <c r="E109" s="3" t="s">
        <v>29</v>
      </c>
      <c r="F109" s="3" t="s">
        <v>106</v>
      </c>
      <c r="G109" s="305">
        <f>'JULIO-18  '!I109</f>
        <v>3556.6</v>
      </c>
      <c r="H109" s="51">
        <f>183.7+63.01+335.12+275.55</f>
        <v>857.37999999999988</v>
      </c>
      <c r="I109" s="17">
        <f t="shared" si="2"/>
        <v>2699.2200000000003</v>
      </c>
      <c r="J109" s="33"/>
      <c r="K109" s="29"/>
    </row>
    <row r="110" spans="1:11" ht="34.5" customHeight="1">
      <c r="A110" s="4">
        <v>51601</v>
      </c>
      <c r="B110" s="311" t="s">
        <v>1087</v>
      </c>
      <c r="C110" s="312"/>
      <c r="D110" s="3" t="s">
        <v>42</v>
      </c>
      <c r="E110" s="3" t="s">
        <v>29</v>
      </c>
      <c r="F110" s="3" t="s">
        <v>106</v>
      </c>
      <c r="G110" s="305">
        <f>'JULIO-18  '!I110</f>
        <v>0</v>
      </c>
      <c r="H110" s="51"/>
      <c r="I110" s="17">
        <f t="shared" si="2"/>
        <v>0</v>
      </c>
      <c r="J110" s="33"/>
      <c r="K110" s="29"/>
    </row>
    <row r="111" spans="1:11" ht="27.75" customHeight="1">
      <c r="A111" s="4">
        <v>51999</v>
      </c>
      <c r="B111" s="5" t="s">
        <v>178</v>
      </c>
      <c r="C111" s="5"/>
      <c r="D111" s="3" t="s">
        <v>42</v>
      </c>
      <c r="E111" s="3" t="s">
        <v>29</v>
      </c>
      <c r="F111" s="3" t="s">
        <v>30</v>
      </c>
      <c r="G111" s="305">
        <f>'JULIO-18  '!I111</f>
        <v>777.37</v>
      </c>
      <c r="H111" s="51"/>
      <c r="I111" s="17">
        <f t="shared" si="2"/>
        <v>777.37</v>
      </c>
      <c r="J111" s="33"/>
      <c r="K111" s="29"/>
    </row>
    <row r="112" spans="1:11">
      <c r="A112" s="4">
        <v>54110</v>
      </c>
      <c r="B112" s="2" t="s">
        <v>108</v>
      </c>
      <c r="C112" s="2"/>
      <c r="D112" s="3" t="s">
        <v>42</v>
      </c>
      <c r="E112" s="3" t="s">
        <v>29</v>
      </c>
      <c r="F112" s="3" t="s">
        <v>30</v>
      </c>
      <c r="G112" s="305">
        <f>'JULIO-18  '!I112</f>
        <v>300</v>
      </c>
      <c r="H112" s="51"/>
      <c r="I112" s="17">
        <f t="shared" si="2"/>
        <v>300</v>
      </c>
      <c r="J112" s="33"/>
      <c r="K112" s="29"/>
    </row>
    <row r="113" spans="1:11">
      <c r="A113" s="4">
        <v>54199</v>
      </c>
      <c r="B113" s="2" t="s">
        <v>61</v>
      </c>
      <c r="C113" s="2"/>
      <c r="D113" s="3" t="s">
        <v>42</v>
      </c>
      <c r="E113" s="3" t="s">
        <v>29</v>
      </c>
      <c r="F113" s="3" t="s">
        <v>106</v>
      </c>
      <c r="G113" s="305">
        <f>'JULIO-18  '!I113</f>
        <v>1000</v>
      </c>
      <c r="H113" s="51"/>
      <c r="I113" s="17">
        <f t="shared" si="2"/>
        <v>1000</v>
      </c>
      <c r="J113" s="35"/>
      <c r="K113" s="29"/>
    </row>
    <row r="114" spans="1:11">
      <c r="A114" s="4">
        <v>54201</v>
      </c>
      <c r="B114" s="2" t="s">
        <v>62</v>
      </c>
      <c r="C114" s="2"/>
      <c r="D114" s="3" t="s">
        <v>42</v>
      </c>
      <c r="E114" s="3" t="s">
        <v>29</v>
      </c>
      <c r="F114" s="3" t="s">
        <v>106</v>
      </c>
      <c r="G114" s="305">
        <f>'JULIO-18  '!I114</f>
        <v>5294.5799999999981</v>
      </c>
      <c r="H114" s="51">
        <f>47.28+2262.81</f>
        <v>2310.09</v>
      </c>
      <c r="I114" s="17">
        <f t="shared" si="2"/>
        <v>2984.489999999998</v>
      </c>
      <c r="J114" s="18"/>
      <c r="K114" s="29"/>
    </row>
    <row r="115" spans="1:11">
      <c r="A115" s="4">
        <v>54202</v>
      </c>
      <c r="B115" s="2" t="s">
        <v>109</v>
      </c>
      <c r="C115" s="2"/>
      <c r="D115" s="3" t="s">
        <v>42</v>
      </c>
      <c r="E115" s="3" t="s">
        <v>29</v>
      </c>
      <c r="F115" s="3" t="s">
        <v>106</v>
      </c>
      <c r="G115" s="305">
        <f>'JULIO-18  '!I115</f>
        <v>1564.76</v>
      </c>
      <c r="H115" s="51"/>
      <c r="I115" s="17">
        <f t="shared" si="2"/>
        <v>1564.76</v>
      </c>
      <c r="J115" s="18"/>
      <c r="K115" s="29"/>
    </row>
    <row r="116" spans="1:11">
      <c r="A116" s="4">
        <v>54203</v>
      </c>
      <c r="B116" s="2" t="s">
        <v>64</v>
      </c>
      <c r="C116" s="2"/>
      <c r="D116" s="3" t="s">
        <v>42</v>
      </c>
      <c r="E116" s="3" t="s">
        <v>29</v>
      </c>
      <c r="F116" s="3" t="s">
        <v>106</v>
      </c>
      <c r="G116" s="305">
        <f>'JULIO-18  '!I116</f>
        <v>1112.92</v>
      </c>
      <c r="H116" s="51">
        <f>279.93</f>
        <v>279.93</v>
      </c>
      <c r="I116" s="17">
        <f t="shared" si="2"/>
        <v>832.99</v>
      </c>
      <c r="J116" s="18"/>
      <c r="K116" s="29"/>
    </row>
    <row r="117" spans="1:11">
      <c r="A117" s="4">
        <v>54302</v>
      </c>
      <c r="B117" s="5" t="s">
        <v>136</v>
      </c>
      <c r="C117" s="2"/>
      <c r="D117" s="3" t="s">
        <v>42</v>
      </c>
      <c r="E117" s="3" t="s">
        <v>29</v>
      </c>
      <c r="F117" s="3" t="s">
        <v>106</v>
      </c>
      <c r="G117" s="305">
        <f>'JULIO-18  '!I117</f>
        <v>1</v>
      </c>
      <c r="H117" s="51"/>
      <c r="I117" s="17">
        <f t="shared" si="2"/>
        <v>1</v>
      </c>
      <c r="J117" s="35"/>
      <c r="K117" s="29"/>
    </row>
    <row r="118" spans="1:11" ht="30">
      <c r="A118" s="4">
        <v>54313</v>
      </c>
      <c r="B118" s="5" t="s">
        <v>1054</v>
      </c>
      <c r="C118" s="2"/>
      <c r="D118" s="3" t="s">
        <v>42</v>
      </c>
      <c r="E118" s="3" t="s">
        <v>29</v>
      </c>
      <c r="F118" s="3" t="s">
        <v>106</v>
      </c>
      <c r="G118" s="305">
        <f>'JULIO-18  '!I118</f>
        <v>52</v>
      </c>
      <c r="H118" s="51"/>
      <c r="I118" s="17">
        <f t="shared" si="2"/>
        <v>52</v>
      </c>
      <c r="J118" s="35"/>
      <c r="K118" s="29"/>
    </row>
    <row r="119" spans="1:11" ht="21.75" customHeight="1">
      <c r="A119" s="4">
        <v>54503</v>
      </c>
      <c r="B119" s="314" t="s">
        <v>1088</v>
      </c>
      <c r="C119" s="313"/>
      <c r="D119" s="3" t="s">
        <v>42</v>
      </c>
      <c r="E119" s="3" t="s">
        <v>29</v>
      </c>
      <c r="F119" s="3" t="s">
        <v>106</v>
      </c>
      <c r="G119" s="305">
        <f>'JULIO-18  '!I119</f>
        <v>0</v>
      </c>
      <c r="H119" s="51"/>
      <c r="I119" s="17">
        <f t="shared" si="2"/>
        <v>0</v>
      </c>
      <c r="J119" s="35"/>
      <c r="K119" s="29"/>
    </row>
    <row r="120" spans="1:11" ht="22.5" customHeight="1">
      <c r="A120" s="4">
        <v>55603</v>
      </c>
      <c r="B120" s="2" t="s">
        <v>6</v>
      </c>
      <c r="C120" s="2"/>
      <c r="D120" s="3" t="s">
        <v>42</v>
      </c>
      <c r="E120" s="3" t="s">
        <v>29</v>
      </c>
      <c r="F120" s="3" t="s">
        <v>106</v>
      </c>
      <c r="G120" s="305">
        <f>'JULIO-18  '!I120</f>
        <v>482.88</v>
      </c>
      <c r="H120" s="51"/>
      <c r="I120" s="17">
        <f t="shared" si="2"/>
        <v>482.88</v>
      </c>
      <c r="J120" s="35"/>
      <c r="K120" s="29"/>
    </row>
    <row r="121" spans="1:11" ht="24.75" customHeight="1">
      <c r="A121" s="4">
        <v>55799</v>
      </c>
      <c r="B121" s="5" t="s">
        <v>137</v>
      </c>
      <c r="C121" s="2"/>
      <c r="D121" s="3" t="s">
        <v>42</v>
      </c>
      <c r="E121" s="3" t="s">
        <v>29</v>
      </c>
      <c r="F121" s="3" t="s">
        <v>106</v>
      </c>
      <c r="G121" s="305">
        <f>'JULIO-18  '!I121</f>
        <v>596.70999999999992</v>
      </c>
      <c r="H121" s="51">
        <f>290.69+49.88</f>
        <v>340.57</v>
      </c>
      <c r="I121" s="134">
        <f t="shared" si="2"/>
        <v>256.13999999999993</v>
      </c>
      <c r="J121" s="35"/>
      <c r="K121" s="29"/>
    </row>
    <row r="122" spans="1:11" ht="16.5" customHeight="1">
      <c r="A122" s="4" t="s">
        <v>110</v>
      </c>
      <c r="B122" s="5" t="s">
        <v>111</v>
      </c>
      <c r="C122" s="2"/>
      <c r="D122" s="3" t="s">
        <v>42</v>
      </c>
      <c r="E122" s="3" t="s">
        <v>29</v>
      </c>
      <c r="F122" s="3" t="s">
        <v>106</v>
      </c>
      <c r="G122" s="305">
        <f>'JULIO-18  '!I122</f>
        <v>4200</v>
      </c>
      <c r="H122" s="276">
        <f>600</f>
        <v>600</v>
      </c>
      <c r="I122" s="17">
        <f t="shared" si="2"/>
        <v>3600</v>
      </c>
      <c r="J122" s="35"/>
      <c r="K122" s="35"/>
    </row>
    <row r="123" spans="1:11" ht="15.75" customHeight="1">
      <c r="A123" s="4" t="s">
        <v>112</v>
      </c>
      <c r="B123" s="5" t="s">
        <v>113</v>
      </c>
      <c r="C123" s="2"/>
      <c r="D123" s="3" t="s">
        <v>42</v>
      </c>
      <c r="E123" s="3" t="s">
        <v>29</v>
      </c>
      <c r="F123" s="3" t="s">
        <v>106</v>
      </c>
      <c r="G123" s="305">
        <f>'JULIO-18  '!I123</f>
        <v>1000</v>
      </c>
      <c r="H123" s="51"/>
      <c r="I123" s="17">
        <f t="shared" si="2"/>
        <v>1000</v>
      </c>
      <c r="J123" s="35"/>
      <c r="K123" s="35"/>
    </row>
    <row r="124" spans="1:11" ht="27">
      <c r="A124" s="4">
        <v>56301</v>
      </c>
      <c r="B124" s="5" t="s">
        <v>114</v>
      </c>
      <c r="C124" s="2"/>
      <c r="D124" s="3" t="s">
        <v>42</v>
      </c>
      <c r="E124" s="3" t="s">
        <v>29</v>
      </c>
      <c r="F124" s="3" t="s">
        <v>106</v>
      </c>
      <c r="G124" s="305">
        <f>'JULIO-18  '!I124</f>
        <v>0</v>
      </c>
      <c r="H124" s="51"/>
      <c r="I124" s="17">
        <f t="shared" si="2"/>
        <v>0</v>
      </c>
      <c r="J124" s="35"/>
      <c r="K124" s="35"/>
    </row>
    <row r="125" spans="1:11" ht="39.75" customHeight="1">
      <c r="A125" s="4"/>
      <c r="B125" s="5" t="s">
        <v>179</v>
      </c>
      <c r="C125" s="2"/>
      <c r="D125" s="3" t="s">
        <v>42</v>
      </c>
      <c r="E125" s="3" t="s">
        <v>29</v>
      </c>
      <c r="F125" s="3" t="s">
        <v>30</v>
      </c>
      <c r="G125" s="305">
        <f>'JULIO-18  '!I125</f>
        <v>0</v>
      </c>
      <c r="H125" s="51"/>
      <c r="I125" s="17">
        <f t="shared" si="2"/>
        <v>0</v>
      </c>
      <c r="J125" s="29"/>
      <c r="K125" s="30"/>
    </row>
    <row r="126" spans="1:11" ht="21">
      <c r="A126" s="38" t="s">
        <v>8</v>
      </c>
      <c r="B126" s="39" t="s">
        <v>115</v>
      </c>
      <c r="C126" s="39"/>
      <c r="D126" s="39" t="s">
        <v>42</v>
      </c>
      <c r="E126" s="39" t="s">
        <v>29</v>
      </c>
      <c r="F126" s="39" t="s">
        <v>30</v>
      </c>
      <c r="G126" s="305">
        <f>'JULIO-18  '!I126</f>
        <v>88021.680000000008</v>
      </c>
      <c r="H126" s="95">
        <f>SUM(H102:H125)</f>
        <v>22619.14</v>
      </c>
      <c r="I126" s="40">
        <f>G126-H126+J126-K126</f>
        <v>64402.540000000008</v>
      </c>
      <c r="J126" s="107">
        <f>SUM(J102:J125)</f>
        <v>0</v>
      </c>
      <c r="K126" s="107">
        <f>SUM(K102:K125)</f>
        <v>1000</v>
      </c>
    </row>
    <row r="127" spans="1:11">
      <c r="A127" s="4">
        <v>51101</v>
      </c>
      <c r="B127" s="2" t="s">
        <v>180</v>
      </c>
      <c r="C127" s="2"/>
      <c r="D127" s="3" t="s">
        <v>94</v>
      </c>
      <c r="E127" s="3" t="s">
        <v>29</v>
      </c>
      <c r="F127" s="3" t="s">
        <v>106</v>
      </c>
      <c r="G127" s="305">
        <f>'JULIO-18  '!I127</f>
        <v>36234.140000000014</v>
      </c>
      <c r="H127" s="51">
        <f>5063</f>
        <v>5063</v>
      </c>
      <c r="I127" s="17">
        <f t="shared" si="2"/>
        <v>31171.140000000014</v>
      </c>
      <c r="J127" s="30"/>
      <c r="K127" s="35"/>
    </row>
    <row r="128" spans="1:11">
      <c r="A128" s="4">
        <v>51103</v>
      </c>
      <c r="B128" s="2" t="s">
        <v>181</v>
      </c>
      <c r="C128" s="2"/>
      <c r="D128" s="3" t="s">
        <v>94</v>
      </c>
      <c r="E128" s="3" t="s">
        <v>29</v>
      </c>
      <c r="F128" s="3" t="s">
        <v>106</v>
      </c>
      <c r="G128" s="305">
        <f>'JULIO-18  '!I128</f>
        <v>5128.9799999999996</v>
      </c>
      <c r="H128" s="51"/>
      <c r="I128" s="17">
        <f t="shared" si="2"/>
        <v>5128.9799999999996</v>
      </c>
      <c r="J128" s="30"/>
      <c r="K128" s="29"/>
    </row>
    <row r="129" spans="1:11" ht="30">
      <c r="A129" s="4">
        <v>51107</v>
      </c>
      <c r="B129" s="382" t="s">
        <v>1172</v>
      </c>
      <c r="C129" s="2"/>
      <c r="D129" s="3" t="s">
        <v>94</v>
      </c>
      <c r="E129" s="3" t="s">
        <v>29</v>
      </c>
      <c r="F129" s="3" t="s">
        <v>106</v>
      </c>
      <c r="G129" s="305">
        <f>'JULIO-18  '!I129</f>
        <v>950</v>
      </c>
      <c r="H129" s="51"/>
      <c r="I129" s="17">
        <f t="shared" si="2"/>
        <v>450</v>
      </c>
      <c r="J129" s="30"/>
      <c r="K129" s="29">
        <v>500</v>
      </c>
    </row>
    <row r="130" spans="1:11">
      <c r="A130" s="4">
        <v>51201</v>
      </c>
      <c r="B130" s="2" t="s">
        <v>44</v>
      </c>
      <c r="C130" s="2"/>
      <c r="D130" s="3" t="s">
        <v>94</v>
      </c>
      <c r="E130" s="3" t="s">
        <v>29</v>
      </c>
      <c r="F130" s="3" t="s">
        <v>30</v>
      </c>
      <c r="G130" s="305">
        <f>'JULIO-18  '!I130</f>
        <v>1448</v>
      </c>
      <c r="H130" s="51">
        <f>400+343.98</f>
        <v>743.98</v>
      </c>
      <c r="I130" s="17">
        <f t="shared" si="2"/>
        <v>704.02</v>
      </c>
      <c r="J130" s="30"/>
      <c r="K130" s="29"/>
    </row>
    <row r="131" spans="1:11">
      <c r="A131" s="4">
        <v>51301</v>
      </c>
      <c r="B131" s="2" t="s">
        <v>45</v>
      </c>
      <c r="C131" s="2"/>
      <c r="D131" s="3" t="s">
        <v>94</v>
      </c>
      <c r="E131" s="3" t="s">
        <v>29</v>
      </c>
      <c r="F131" s="3" t="s">
        <v>30</v>
      </c>
      <c r="G131" s="305">
        <f>'JULIO-18  '!I131</f>
        <v>1031.4300000000003</v>
      </c>
      <c r="H131" s="51"/>
      <c r="I131" s="17">
        <f t="shared" si="2"/>
        <v>1031.4300000000003</v>
      </c>
      <c r="J131" s="30"/>
      <c r="K131" s="29"/>
    </row>
    <row r="132" spans="1:11">
      <c r="A132" s="4">
        <v>51999</v>
      </c>
      <c r="B132" s="2" t="s">
        <v>47</v>
      </c>
      <c r="C132" s="2"/>
      <c r="D132" s="3" t="s">
        <v>94</v>
      </c>
      <c r="E132" s="3" t="s">
        <v>29</v>
      </c>
      <c r="F132" s="3" t="s">
        <v>30</v>
      </c>
      <c r="G132" s="305">
        <f>'JULIO-18  '!I132</f>
        <v>450</v>
      </c>
      <c r="H132" s="51"/>
      <c r="I132" s="17">
        <f t="shared" si="2"/>
        <v>450</v>
      </c>
      <c r="J132" s="30"/>
      <c r="K132" s="29"/>
    </row>
    <row r="133" spans="1:11" ht="25.5">
      <c r="A133" s="4">
        <v>51401</v>
      </c>
      <c r="B133" s="5" t="s">
        <v>138</v>
      </c>
      <c r="C133" s="2"/>
      <c r="D133" s="3" t="s">
        <v>94</v>
      </c>
      <c r="E133" s="3" t="s">
        <v>29</v>
      </c>
      <c r="F133" s="3" t="s">
        <v>106</v>
      </c>
      <c r="G133" s="305">
        <f>'JULIO-18  '!I133</f>
        <v>1220.8099999999995</v>
      </c>
      <c r="H133" s="51">
        <f>369.11</f>
        <v>369.11</v>
      </c>
      <c r="I133" s="17">
        <f t="shared" si="2"/>
        <v>851.69999999999948</v>
      </c>
      <c r="J133" s="35"/>
      <c r="K133" s="34"/>
    </row>
    <row r="134" spans="1:11" ht="33" customHeight="1">
      <c r="A134" s="4">
        <v>51501</v>
      </c>
      <c r="B134" s="5" t="s">
        <v>182</v>
      </c>
      <c r="C134" s="2"/>
      <c r="D134" s="3" t="s">
        <v>94</v>
      </c>
      <c r="E134" s="3" t="s">
        <v>29</v>
      </c>
      <c r="F134" s="3" t="s">
        <v>30</v>
      </c>
      <c r="G134" s="305">
        <f>'JULIO-18  '!I134</f>
        <v>1719.24</v>
      </c>
      <c r="H134" s="51">
        <f>275.54+111.14</f>
        <v>386.68</v>
      </c>
      <c r="I134" s="17">
        <f t="shared" si="2"/>
        <v>1332.56</v>
      </c>
      <c r="J134" s="35"/>
      <c r="K134" s="27"/>
    </row>
    <row r="135" spans="1:11">
      <c r="A135" s="4">
        <v>54105</v>
      </c>
      <c r="B135" s="2" t="s">
        <v>116</v>
      </c>
      <c r="C135" s="2"/>
      <c r="D135" s="3" t="s">
        <v>94</v>
      </c>
      <c r="E135" s="3" t="s">
        <v>29</v>
      </c>
      <c r="F135" s="3" t="s">
        <v>30</v>
      </c>
      <c r="G135" s="305">
        <f>'JULIO-18  '!I135</f>
        <v>4000</v>
      </c>
      <c r="H135" s="51"/>
      <c r="I135" s="17">
        <f t="shared" si="2"/>
        <v>4000</v>
      </c>
      <c r="J135" s="30"/>
      <c r="K135" s="29"/>
    </row>
    <row r="136" spans="1:11">
      <c r="A136" s="4">
        <v>54114</v>
      </c>
      <c r="B136" s="2" t="s">
        <v>56</v>
      </c>
      <c r="C136" s="2"/>
      <c r="D136" s="3" t="s">
        <v>94</v>
      </c>
      <c r="E136" s="3" t="s">
        <v>29</v>
      </c>
      <c r="F136" s="3" t="s">
        <v>30</v>
      </c>
      <c r="G136" s="305">
        <f>'JULIO-18  '!I136</f>
        <v>3504.2</v>
      </c>
      <c r="H136" s="51"/>
      <c r="I136" s="17">
        <f t="shared" si="2"/>
        <v>3504.2</v>
      </c>
      <c r="J136" s="35"/>
      <c r="K136" s="35"/>
    </row>
    <row r="137" spans="1:11">
      <c r="A137" s="4">
        <v>54115</v>
      </c>
      <c r="B137" s="2" t="s">
        <v>57</v>
      </c>
      <c r="C137" s="2"/>
      <c r="D137" s="3" t="s">
        <v>94</v>
      </c>
      <c r="E137" s="3" t="s">
        <v>29</v>
      </c>
      <c r="F137" s="3" t="s">
        <v>30</v>
      </c>
      <c r="G137" s="305">
        <f>'JULIO-18  '!I137</f>
        <v>4360</v>
      </c>
      <c r="H137" s="51"/>
      <c r="I137" s="17">
        <f t="shared" si="2"/>
        <v>4360</v>
      </c>
      <c r="J137" s="29"/>
      <c r="K137" s="28"/>
    </row>
    <row r="138" spans="1:11" ht="21">
      <c r="A138" s="38" t="s">
        <v>8</v>
      </c>
      <c r="B138" s="39" t="s">
        <v>117</v>
      </c>
      <c r="C138" s="39"/>
      <c r="D138" s="39" t="s">
        <v>94</v>
      </c>
      <c r="E138" s="39" t="s">
        <v>29</v>
      </c>
      <c r="F138" s="39" t="s">
        <v>30</v>
      </c>
      <c r="G138" s="305">
        <f>'JULIO-18  '!I138</f>
        <v>60046.800000000025</v>
      </c>
      <c r="H138" s="95">
        <f>SUM(H127:H137)</f>
        <v>6562.7699999999995</v>
      </c>
      <c r="I138" s="40">
        <f>G138-H138+J138-K138</f>
        <v>52984.030000000028</v>
      </c>
      <c r="J138" s="107">
        <f>SUM(J127:J137)</f>
        <v>0</v>
      </c>
      <c r="K138" s="107">
        <f>SUM(K127:K137)</f>
        <v>500</v>
      </c>
    </row>
    <row r="139" spans="1:11">
      <c r="A139" s="4">
        <v>51101</v>
      </c>
      <c r="B139" s="2" t="s">
        <v>183</v>
      </c>
      <c r="C139" s="2"/>
      <c r="D139" s="3" t="s">
        <v>97</v>
      </c>
      <c r="E139" s="3" t="s">
        <v>29</v>
      </c>
      <c r="F139" s="3" t="s">
        <v>106</v>
      </c>
      <c r="G139" s="305">
        <f>'JULIO-18  '!I139</f>
        <v>97850.520000000033</v>
      </c>
      <c r="H139" s="51">
        <f>16238.22</f>
        <v>16238.22</v>
      </c>
      <c r="I139" s="17">
        <f t="shared" si="2"/>
        <v>81612.300000000032</v>
      </c>
      <c r="J139" s="30"/>
      <c r="K139" s="35"/>
    </row>
    <row r="140" spans="1:11">
      <c r="A140" s="4">
        <v>51103</v>
      </c>
      <c r="B140" s="2" t="s">
        <v>118</v>
      </c>
      <c r="C140" s="2"/>
      <c r="D140" s="3" t="s">
        <v>97</v>
      </c>
      <c r="E140" s="3" t="s">
        <v>29</v>
      </c>
      <c r="F140" s="3" t="s">
        <v>106</v>
      </c>
      <c r="G140" s="305">
        <f>'JULIO-18  '!I140</f>
        <v>19385.310000000001</v>
      </c>
      <c r="H140" s="51"/>
      <c r="I140" s="248">
        <f>G140-H140+J140-K140</f>
        <v>19385.310000000001</v>
      </c>
      <c r="J140" s="30"/>
      <c r="K140" s="30"/>
    </row>
    <row r="141" spans="1:11">
      <c r="A141" s="4">
        <v>51107</v>
      </c>
      <c r="B141" s="2" t="s">
        <v>1169</v>
      </c>
      <c r="C141" s="2"/>
      <c r="D141" s="3" t="s">
        <v>97</v>
      </c>
      <c r="E141" s="3" t="s">
        <v>29</v>
      </c>
      <c r="F141" s="3" t="s">
        <v>30</v>
      </c>
      <c r="G141" s="305">
        <f>'JULIO-18  '!I141</f>
        <v>3785.5</v>
      </c>
      <c r="H141" s="51">
        <f>40+40+40+40+40+40+280</f>
        <v>520</v>
      </c>
      <c r="I141" s="17">
        <f t="shared" si="2"/>
        <v>1765.5</v>
      </c>
      <c r="J141" s="30"/>
      <c r="K141" s="395">
        <v>1500</v>
      </c>
    </row>
    <row r="142" spans="1:11">
      <c r="A142" s="4">
        <v>51201</v>
      </c>
      <c r="B142" s="2" t="s">
        <v>119</v>
      </c>
      <c r="C142" s="2"/>
      <c r="D142" s="3" t="s">
        <v>97</v>
      </c>
      <c r="E142" s="3" t="s">
        <v>29</v>
      </c>
      <c r="F142" s="3" t="s">
        <v>30</v>
      </c>
      <c r="G142" s="305">
        <f>'JULIO-18  '!I142</f>
        <v>501.67000000000007</v>
      </c>
      <c r="H142" s="51">
        <f>310+330+330+330+330+357.5+330+330</f>
        <v>2647.5</v>
      </c>
      <c r="I142" s="17">
        <f t="shared" si="2"/>
        <v>854.17000000000007</v>
      </c>
      <c r="J142" s="30">
        <v>3000</v>
      </c>
      <c r="K142" s="277"/>
    </row>
    <row r="143" spans="1:11">
      <c r="A143" s="4">
        <v>51301</v>
      </c>
      <c r="B143" s="2" t="s">
        <v>45</v>
      </c>
      <c r="C143" s="2"/>
      <c r="D143" s="3" t="s">
        <v>97</v>
      </c>
      <c r="E143" s="3" t="s">
        <v>29</v>
      </c>
      <c r="F143" s="3" t="s">
        <v>106</v>
      </c>
      <c r="G143" s="305">
        <f>'JULIO-18  '!I143</f>
        <v>595.92999999999893</v>
      </c>
      <c r="H143" s="51"/>
      <c r="I143" s="17">
        <f t="shared" si="2"/>
        <v>595.92999999999893</v>
      </c>
      <c r="J143" s="20"/>
      <c r="K143" s="35"/>
    </row>
    <row r="144" spans="1:11" ht="34.5" customHeight="1">
      <c r="A144" s="4">
        <v>51401</v>
      </c>
      <c r="B144" s="5" t="s">
        <v>139</v>
      </c>
      <c r="C144" s="2"/>
      <c r="D144" s="3" t="s">
        <v>97</v>
      </c>
      <c r="E144" s="3" t="s">
        <v>29</v>
      </c>
      <c r="F144" s="3" t="s">
        <v>106</v>
      </c>
      <c r="G144" s="305">
        <f>'JULIO-18  '!I144</f>
        <v>4228.7100000000009</v>
      </c>
      <c r="H144" s="51">
        <f>93.6+1196.97</f>
        <v>1290.57</v>
      </c>
      <c r="I144" s="17">
        <f t="shared" si="2"/>
        <v>2938.1400000000012</v>
      </c>
      <c r="J144" s="35"/>
      <c r="K144" s="35"/>
    </row>
    <row r="145" spans="1:11" ht="45" customHeight="1">
      <c r="A145" s="4">
        <v>51501</v>
      </c>
      <c r="B145" s="5" t="s">
        <v>185</v>
      </c>
      <c r="C145" s="2"/>
      <c r="D145" s="3" t="s">
        <v>97</v>
      </c>
      <c r="E145" s="3" t="s">
        <v>29</v>
      </c>
      <c r="F145" s="3" t="s">
        <v>106</v>
      </c>
      <c r="G145" s="305">
        <f>'JULIO-18  '!I145</f>
        <v>5643.35</v>
      </c>
      <c r="H145" s="51">
        <f>425.35+630.01</f>
        <v>1055.3600000000001</v>
      </c>
      <c r="I145" s="17">
        <f t="shared" si="2"/>
        <v>4587.99</v>
      </c>
      <c r="J145" s="35"/>
      <c r="K145" s="35"/>
    </row>
    <row r="146" spans="1:11" ht="20.25" customHeight="1">
      <c r="A146" s="4">
        <v>54110</v>
      </c>
      <c r="B146" s="5" t="s">
        <v>108</v>
      </c>
      <c r="C146" s="2"/>
      <c r="D146" s="3" t="s">
        <v>97</v>
      </c>
      <c r="E146" s="3" t="s">
        <v>29</v>
      </c>
      <c r="F146" s="3" t="s">
        <v>106</v>
      </c>
      <c r="G146" s="305">
        <f>'JULIO-18  '!I146</f>
        <v>1</v>
      </c>
      <c r="H146" s="51"/>
      <c r="I146" s="17">
        <f t="shared" si="2"/>
        <v>1</v>
      </c>
      <c r="J146" s="35"/>
      <c r="K146" s="35"/>
    </row>
    <row r="147" spans="1:11">
      <c r="A147" s="4">
        <v>54121</v>
      </c>
      <c r="B147" s="2" t="s">
        <v>120</v>
      </c>
      <c r="C147" s="2"/>
      <c r="D147" s="3" t="s">
        <v>97</v>
      </c>
      <c r="E147" s="3" t="s">
        <v>29</v>
      </c>
      <c r="F147" s="3" t="s">
        <v>106</v>
      </c>
      <c r="G147" s="305">
        <f>'JULIO-18  '!I147</f>
        <v>657</v>
      </c>
      <c r="H147" s="51"/>
      <c r="I147" s="17">
        <f t="shared" si="2"/>
        <v>657</v>
      </c>
      <c r="J147" s="35"/>
      <c r="K147" s="29"/>
    </row>
    <row r="148" spans="1:11">
      <c r="A148" s="4">
        <v>54301</v>
      </c>
      <c r="B148" s="2" t="s">
        <v>140</v>
      </c>
      <c r="C148" s="2"/>
      <c r="D148" s="3" t="s">
        <v>97</v>
      </c>
      <c r="E148" s="3" t="s">
        <v>29</v>
      </c>
      <c r="F148" s="3" t="s">
        <v>106</v>
      </c>
      <c r="G148" s="305">
        <f>'JULIO-18  '!I148</f>
        <v>1</v>
      </c>
      <c r="H148" s="51"/>
      <c r="I148" s="17">
        <f t="shared" si="2"/>
        <v>1</v>
      </c>
      <c r="J148" s="35"/>
      <c r="K148" s="29"/>
    </row>
    <row r="149" spans="1:11">
      <c r="A149" s="4">
        <v>54302</v>
      </c>
      <c r="B149" s="2" t="s">
        <v>121</v>
      </c>
      <c r="C149" s="2"/>
      <c r="D149" s="3" t="s">
        <v>122</v>
      </c>
      <c r="E149" s="3" t="s">
        <v>29</v>
      </c>
      <c r="F149" s="3" t="s">
        <v>30</v>
      </c>
      <c r="G149" s="305">
        <f>'JULIO-18  '!I149</f>
        <v>1</v>
      </c>
      <c r="H149" s="51"/>
      <c r="I149" s="17">
        <f t="shared" si="2"/>
        <v>1</v>
      </c>
      <c r="J149" s="35"/>
      <c r="K149" s="29"/>
    </row>
    <row r="150" spans="1:11" ht="45">
      <c r="A150" s="4">
        <v>54501</v>
      </c>
      <c r="B150" s="7" t="s">
        <v>1055</v>
      </c>
      <c r="C150" s="2"/>
      <c r="D150" s="3" t="s">
        <v>122</v>
      </c>
      <c r="E150" s="3" t="s">
        <v>29</v>
      </c>
      <c r="F150" s="3" t="s">
        <v>30</v>
      </c>
      <c r="G150" s="305">
        <f>'JULIO-18  '!I150</f>
        <v>25</v>
      </c>
      <c r="H150" s="51"/>
      <c r="I150" s="17">
        <f>G150-H150+J150-K150</f>
        <v>25</v>
      </c>
      <c r="J150" s="22"/>
      <c r="K150" s="29"/>
    </row>
    <row r="151" spans="1:11" ht="21">
      <c r="A151" s="38" t="s">
        <v>8</v>
      </c>
      <c r="B151" s="39" t="s">
        <v>123</v>
      </c>
      <c r="C151" s="39"/>
      <c r="D151" s="39" t="s">
        <v>97</v>
      </c>
      <c r="E151" s="39" t="s">
        <v>29</v>
      </c>
      <c r="F151" s="39" t="s">
        <v>30</v>
      </c>
      <c r="G151" s="305">
        <f>'JULIO-18  '!I151</f>
        <v>132675.99000000005</v>
      </c>
      <c r="H151" s="95">
        <f>SUM(H139:H150)</f>
        <v>21751.65</v>
      </c>
      <c r="I151" s="40">
        <f>G151-H151+J151-K151</f>
        <v>112424.34000000005</v>
      </c>
      <c r="J151" s="107">
        <f>SUM(J141:J150)</f>
        <v>3000</v>
      </c>
      <c r="K151" s="107">
        <f>SUM(K139:K150)</f>
        <v>1500</v>
      </c>
    </row>
    <row r="152" spans="1:11">
      <c r="A152" s="1">
        <v>54305</v>
      </c>
      <c r="B152" s="2" t="s">
        <v>0</v>
      </c>
      <c r="C152" s="2"/>
      <c r="D152" s="3" t="s">
        <v>1</v>
      </c>
      <c r="E152" s="3" t="s">
        <v>25</v>
      </c>
      <c r="F152" s="3" t="s">
        <v>26</v>
      </c>
      <c r="G152" s="305">
        <f>'JULIO-18  '!I152</f>
        <v>1500</v>
      </c>
      <c r="H152" s="51"/>
      <c r="I152" s="17">
        <f t="shared" ref="I152:I280" si="3">G152-H152+J152-K152</f>
        <v>1500</v>
      </c>
      <c r="J152" s="37"/>
      <c r="K152" s="36"/>
    </row>
    <row r="153" spans="1:11" ht="30.75" customHeight="1">
      <c r="A153" s="4">
        <v>54313</v>
      </c>
      <c r="B153" s="5" t="s">
        <v>2</v>
      </c>
      <c r="C153" s="5"/>
      <c r="D153" s="3" t="s">
        <v>1</v>
      </c>
      <c r="E153" s="3" t="s">
        <v>25</v>
      </c>
      <c r="F153" s="3" t="s">
        <v>26</v>
      </c>
      <c r="G153" s="305">
        <f>'JULIO-18  '!I153</f>
        <v>1246.32</v>
      </c>
      <c r="H153" s="51"/>
      <c r="I153" s="17">
        <f t="shared" si="3"/>
        <v>1246.32</v>
      </c>
      <c r="J153" s="37"/>
      <c r="K153" s="36"/>
    </row>
    <row r="154" spans="1:11">
      <c r="A154" s="4">
        <v>54503</v>
      </c>
      <c r="B154" s="5" t="s">
        <v>3</v>
      </c>
      <c r="C154" s="2"/>
      <c r="D154" s="3" t="s">
        <v>1</v>
      </c>
      <c r="E154" s="3" t="s">
        <v>25</v>
      </c>
      <c r="F154" s="3" t="s">
        <v>26</v>
      </c>
      <c r="G154" s="305">
        <f>'JULIO-18  '!I154</f>
        <v>2000</v>
      </c>
      <c r="H154" s="51"/>
      <c r="I154" s="17">
        <f t="shared" si="3"/>
        <v>2000</v>
      </c>
      <c r="J154" s="37"/>
      <c r="K154" s="36"/>
    </row>
    <row r="155" spans="1:11">
      <c r="A155" s="4">
        <v>54505</v>
      </c>
      <c r="B155" s="2" t="s">
        <v>4</v>
      </c>
      <c r="C155" s="2"/>
      <c r="D155" s="3" t="s">
        <v>1</v>
      </c>
      <c r="E155" s="3" t="s">
        <v>25</v>
      </c>
      <c r="F155" s="3" t="s">
        <v>27</v>
      </c>
      <c r="G155" s="305">
        <f>'JULIO-18  '!I155</f>
        <v>2000</v>
      </c>
      <c r="H155" s="51"/>
      <c r="I155" s="17">
        <f t="shared" si="3"/>
        <v>2000</v>
      </c>
      <c r="J155" s="37"/>
      <c r="K155" s="36"/>
    </row>
    <row r="156" spans="1:11" ht="30">
      <c r="A156" s="11">
        <v>54599</v>
      </c>
      <c r="B156" s="54" t="s">
        <v>5</v>
      </c>
      <c r="C156" s="68"/>
      <c r="D156" s="14" t="s">
        <v>1</v>
      </c>
      <c r="E156" s="14" t="s">
        <v>25</v>
      </c>
      <c r="F156" s="14" t="s">
        <v>27</v>
      </c>
      <c r="G156" s="305">
        <f>'JULIO-18  '!I156</f>
        <v>367.60999999999967</v>
      </c>
      <c r="H156" s="51"/>
      <c r="I156" s="17">
        <f t="shared" si="3"/>
        <v>367.60999999999967</v>
      </c>
      <c r="J156" s="62"/>
      <c r="K156" s="63"/>
    </row>
    <row r="157" spans="1:11">
      <c r="A157" s="11">
        <v>55603</v>
      </c>
      <c r="B157" s="54" t="s">
        <v>6</v>
      </c>
      <c r="C157" s="55"/>
      <c r="D157" s="14" t="s">
        <v>1</v>
      </c>
      <c r="E157" s="14" t="s">
        <v>25</v>
      </c>
      <c r="F157" s="14" t="s">
        <v>26</v>
      </c>
      <c r="G157" s="305">
        <f>'JULIO-18  '!I157</f>
        <v>97.4</v>
      </c>
      <c r="H157" s="51"/>
      <c r="I157" s="17">
        <f t="shared" si="3"/>
        <v>97.4</v>
      </c>
      <c r="J157" s="64"/>
      <c r="K157" s="65"/>
    </row>
    <row r="158" spans="1:11" ht="26.25">
      <c r="A158" s="4">
        <v>61599</v>
      </c>
      <c r="B158" s="5" t="s">
        <v>7</v>
      </c>
      <c r="C158" s="5"/>
      <c r="D158" s="3" t="s">
        <v>1</v>
      </c>
      <c r="E158" s="3" t="s">
        <v>25</v>
      </c>
      <c r="F158" s="3" t="s">
        <v>26</v>
      </c>
      <c r="G158" s="305">
        <f>'JULIO-18  '!I158</f>
        <v>1333.34</v>
      </c>
      <c r="H158" s="51">
        <f>250+395.5</f>
        <v>645.5</v>
      </c>
      <c r="I158" s="17">
        <f t="shared" si="3"/>
        <v>687.83999999999992</v>
      </c>
      <c r="J158" s="37"/>
      <c r="K158" s="36"/>
    </row>
    <row r="159" spans="1:11" ht="21">
      <c r="A159" s="38" t="s">
        <v>8</v>
      </c>
      <c r="B159" s="39" t="s">
        <v>9</v>
      </c>
      <c r="C159" s="39"/>
      <c r="D159" s="39" t="s">
        <v>1</v>
      </c>
      <c r="E159" s="39" t="s">
        <v>25</v>
      </c>
      <c r="F159" s="39" t="s">
        <v>27</v>
      </c>
      <c r="G159" s="305">
        <f>'JULIO-18  '!I159</f>
        <v>8544.67</v>
      </c>
      <c r="H159" s="95">
        <f>SUM(H152:H158)</f>
        <v>645.5</v>
      </c>
      <c r="I159" s="40">
        <f>G159-H159+J159-K159</f>
        <v>7899.17</v>
      </c>
      <c r="J159" s="40"/>
      <c r="K159" s="40"/>
    </row>
    <row r="160" spans="1:11" ht="28.5" customHeight="1">
      <c r="A160" s="367">
        <v>54104</v>
      </c>
      <c r="B160" s="7" t="s">
        <v>186</v>
      </c>
      <c r="C160" s="6"/>
      <c r="D160" s="3" t="s">
        <v>11</v>
      </c>
      <c r="E160" s="3" t="s">
        <v>25</v>
      </c>
      <c r="F160" s="3" t="s">
        <v>26</v>
      </c>
      <c r="G160" s="305">
        <f>'JULIO-18  '!I160</f>
        <v>3000</v>
      </c>
      <c r="H160" s="51"/>
      <c r="I160" s="17">
        <f t="shared" si="3"/>
        <v>3000</v>
      </c>
      <c r="J160" s="37"/>
      <c r="K160" s="36"/>
    </row>
    <row r="161" spans="1:11" ht="44.25" customHeight="1">
      <c r="A161" s="4">
        <v>54117</v>
      </c>
      <c r="B161" s="7" t="s">
        <v>187</v>
      </c>
      <c r="C161" s="6"/>
      <c r="D161" s="3" t="s">
        <v>11</v>
      </c>
      <c r="E161" s="3" t="s">
        <v>25</v>
      </c>
      <c r="F161" s="3" t="s">
        <v>26</v>
      </c>
      <c r="G161" s="305">
        <f>'JULIO-18  '!I161</f>
        <v>1500</v>
      </c>
      <c r="H161" s="51"/>
      <c r="I161" s="17">
        <f t="shared" si="3"/>
        <v>1500</v>
      </c>
      <c r="J161" s="37"/>
      <c r="K161" s="36"/>
    </row>
    <row r="162" spans="1:11" ht="30.75" customHeight="1">
      <c r="A162" s="4">
        <v>55603</v>
      </c>
      <c r="B162" s="5" t="s">
        <v>13</v>
      </c>
      <c r="C162" s="6"/>
      <c r="D162" s="3" t="s">
        <v>11</v>
      </c>
      <c r="E162" s="3" t="s">
        <v>25</v>
      </c>
      <c r="F162" s="3" t="s">
        <v>26</v>
      </c>
      <c r="G162" s="305">
        <f>'JULIO-18  '!I162</f>
        <v>918.78000000000009</v>
      </c>
      <c r="H162" s="372">
        <f>1.7</f>
        <v>1.7</v>
      </c>
      <c r="I162" s="17">
        <f t="shared" si="3"/>
        <v>764.67000000000007</v>
      </c>
      <c r="J162" s="37"/>
      <c r="K162" s="385">
        <f>151.2+1.21</f>
        <v>152.41</v>
      </c>
    </row>
    <row r="163" spans="1:11" ht="30.75" customHeight="1">
      <c r="A163" s="66" t="s">
        <v>14</v>
      </c>
      <c r="B163" s="67" t="s">
        <v>188</v>
      </c>
      <c r="C163" s="55"/>
      <c r="D163" s="14" t="s">
        <v>11</v>
      </c>
      <c r="E163" s="14" t="s">
        <v>25</v>
      </c>
      <c r="F163" s="50" t="s">
        <v>26</v>
      </c>
      <c r="G163" s="305">
        <f>'JULIO-18  '!I163</f>
        <v>2583.0100000000002</v>
      </c>
      <c r="H163" s="51">
        <f>3050+423.75</f>
        <v>3473.75</v>
      </c>
      <c r="I163" s="108">
        <f t="shared" si="3"/>
        <v>0.26000000000021828</v>
      </c>
      <c r="J163" s="387">
        <v>891</v>
      </c>
      <c r="K163" s="54"/>
    </row>
    <row r="164" spans="1:11" ht="36.75" customHeight="1">
      <c r="A164" s="11">
        <v>61104</v>
      </c>
      <c r="B164" s="54" t="s">
        <v>189</v>
      </c>
      <c r="C164" s="55"/>
      <c r="D164" s="14" t="s">
        <v>11</v>
      </c>
      <c r="E164" s="14" t="s">
        <v>25</v>
      </c>
      <c r="F164" s="14" t="s">
        <v>27</v>
      </c>
      <c r="G164" s="305">
        <f>'JULIO-18  '!I164</f>
        <v>889.86000000000035</v>
      </c>
      <c r="H164" s="51"/>
      <c r="I164" s="17">
        <f t="shared" si="3"/>
        <v>889.86000000000035</v>
      </c>
      <c r="J164" s="62"/>
      <c r="K164" s="320"/>
    </row>
    <row r="165" spans="1:11" ht="31.5" customHeight="1">
      <c r="A165" s="11">
        <v>61109</v>
      </c>
      <c r="B165" s="54" t="s">
        <v>190</v>
      </c>
      <c r="C165" s="55"/>
      <c r="D165" s="14" t="s">
        <v>11</v>
      </c>
      <c r="E165" s="14" t="s">
        <v>25</v>
      </c>
      <c r="F165" s="14" t="s">
        <v>26</v>
      </c>
      <c r="G165" s="305">
        <f>'JULIO-18  '!I165</f>
        <v>2000</v>
      </c>
      <c r="H165" s="51"/>
      <c r="I165" s="17">
        <f t="shared" si="3"/>
        <v>1109</v>
      </c>
      <c r="J165" s="62"/>
      <c r="K165" s="387">
        <v>891</v>
      </c>
    </row>
    <row r="166" spans="1:11" ht="30.75" customHeight="1">
      <c r="A166" s="11" t="s">
        <v>160</v>
      </c>
      <c r="B166" s="54" t="s">
        <v>194</v>
      </c>
      <c r="C166" s="55"/>
      <c r="D166" s="14" t="s">
        <v>11</v>
      </c>
      <c r="E166" s="14" t="s">
        <v>25</v>
      </c>
      <c r="F166" s="14" t="s">
        <v>26</v>
      </c>
      <c r="G166" s="305">
        <f>'JULIO-18  '!I166</f>
        <v>0</v>
      </c>
      <c r="H166" s="51"/>
      <c r="I166" s="17">
        <f t="shared" si="3"/>
        <v>0</v>
      </c>
      <c r="J166" s="62"/>
      <c r="K166" s="63"/>
    </row>
    <row r="167" spans="1:11" ht="27.75" customHeight="1">
      <c r="A167" s="11" t="s">
        <v>191</v>
      </c>
      <c r="B167" s="54" t="s">
        <v>195</v>
      </c>
      <c r="C167" s="55"/>
      <c r="D167" s="14" t="s">
        <v>11</v>
      </c>
      <c r="E167" s="14" t="s">
        <v>25</v>
      </c>
      <c r="F167" s="14" t="s">
        <v>26</v>
      </c>
      <c r="G167" s="305">
        <f>'JULIO-18  '!I167</f>
        <v>15000</v>
      </c>
      <c r="H167" s="51"/>
      <c r="I167" s="17">
        <f t="shared" si="3"/>
        <v>15000</v>
      </c>
      <c r="J167" s="64"/>
      <c r="K167" s="65"/>
    </row>
    <row r="168" spans="1:11" ht="31.5" customHeight="1">
      <c r="A168" s="11" t="s">
        <v>192</v>
      </c>
      <c r="B168" s="53" t="s">
        <v>196</v>
      </c>
      <c r="C168" s="8"/>
      <c r="D168" s="3" t="s">
        <v>11</v>
      </c>
      <c r="E168" s="3" t="s">
        <v>25</v>
      </c>
      <c r="F168" s="3" t="s">
        <v>26</v>
      </c>
      <c r="G168" s="305">
        <f>'JULIO-18  '!I168</f>
        <v>10000</v>
      </c>
      <c r="H168" s="51"/>
      <c r="I168" s="17">
        <f t="shared" si="3"/>
        <v>10000</v>
      </c>
      <c r="J168" s="45"/>
      <c r="K168" s="46"/>
    </row>
    <row r="169" spans="1:11" ht="45" customHeight="1">
      <c r="A169" s="11" t="s">
        <v>193</v>
      </c>
      <c r="B169" s="53" t="s">
        <v>197</v>
      </c>
      <c r="C169" s="8"/>
      <c r="D169" s="3" t="s">
        <v>11</v>
      </c>
      <c r="E169" s="3" t="s">
        <v>25</v>
      </c>
      <c r="F169" s="3" t="s">
        <v>26</v>
      </c>
      <c r="G169" s="305">
        <f>'JULIO-18  '!I169</f>
        <v>10000</v>
      </c>
      <c r="H169" s="51"/>
      <c r="I169" s="17">
        <f t="shared" si="3"/>
        <v>10000</v>
      </c>
      <c r="J169" s="45"/>
      <c r="K169" s="46"/>
    </row>
    <row r="170" spans="1:11" ht="42.75" customHeight="1">
      <c r="A170" s="11" t="s">
        <v>198</v>
      </c>
      <c r="B170" s="53" t="s">
        <v>1029</v>
      </c>
      <c r="C170" s="6"/>
      <c r="D170" s="3" t="s">
        <v>11</v>
      </c>
      <c r="E170" s="3" t="s">
        <v>25</v>
      </c>
      <c r="F170" s="3" t="s">
        <v>26</v>
      </c>
      <c r="G170" s="305">
        <f>'JULIO-18  '!I170</f>
        <v>14000</v>
      </c>
      <c r="H170" s="51"/>
      <c r="I170" s="17">
        <f t="shared" si="3"/>
        <v>14000</v>
      </c>
      <c r="J170" s="45"/>
      <c r="K170" s="46"/>
    </row>
    <row r="171" spans="1:11" ht="85.5">
      <c r="A171" s="144" t="s">
        <v>200</v>
      </c>
      <c r="B171" s="54" t="s">
        <v>202</v>
      </c>
      <c r="C171" s="343" t="s">
        <v>1096</v>
      </c>
      <c r="D171" s="14" t="s">
        <v>11</v>
      </c>
      <c r="E171" s="14" t="s">
        <v>25</v>
      </c>
      <c r="F171" s="14" t="s">
        <v>26</v>
      </c>
      <c r="G171" s="305">
        <f>'JULIO-18  '!I171</f>
        <v>0</v>
      </c>
      <c r="H171" s="51"/>
      <c r="I171" s="17">
        <f t="shared" si="3"/>
        <v>0</v>
      </c>
      <c r="J171" s="64"/>
      <c r="K171" s="261"/>
    </row>
    <row r="172" spans="1:11" ht="36.75" customHeight="1">
      <c r="A172" s="11" t="s">
        <v>556</v>
      </c>
      <c r="B172" s="145" t="s">
        <v>1030</v>
      </c>
      <c r="C172" s="55" t="s">
        <v>1097</v>
      </c>
      <c r="D172" s="14" t="s">
        <v>11</v>
      </c>
      <c r="E172" s="14" t="s">
        <v>25</v>
      </c>
      <c r="F172" s="14" t="s">
        <v>26</v>
      </c>
      <c r="G172" s="305">
        <f>'JULIO-18  '!I172</f>
        <v>1080.8099999999995</v>
      </c>
      <c r="H172" s="51">
        <f>217.84+217.84+186.76+140+140+140+233.38+277.9+217.84+217.84+186.76+140+140+140+140+233.38</f>
        <v>2969.54</v>
      </c>
      <c r="I172" s="17">
        <f t="shared" si="3"/>
        <v>111.26999999999953</v>
      </c>
      <c r="J172" s="108">
        <v>2000</v>
      </c>
      <c r="K172" s="65"/>
    </row>
    <row r="173" spans="1:11" ht="36.75" customHeight="1">
      <c r="A173" s="144" t="s">
        <v>1038</v>
      </c>
      <c r="B173" s="250" t="s">
        <v>1007</v>
      </c>
      <c r="C173" s="55" t="s">
        <v>1097</v>
      </c>
      <c r="D173" s="14" t="s">
        <v>11</v>
      </c>
      <c r="E173" s="14" t="s">
        <v>25</v>
      </c>
      <c r="F173" s="14" t="s">
        <v>26</v>
      </c>
      <c r="G173" s="305">
        <f>'JULIO-18  '!I173</f>
        <v>6982.5</v>
      </c>
      <c r="H173" s="51"/>
      <c r="I173" s="17">
        <f t="shared" si="3"/>
        <v>4582.5</v>
      </c>
      <c r="J173" s="108"/>
      <c r="K173" s="269">
        <v>2400</v>
      </c>
    </row>
    <row r="174" spans="1:11" ht="36" customHeight="1">
      <c r="A174" s="144" t="s">
        <v>1138</v>
      </c>
      <c r="B174" s="250" t="s">
        <v>1139</v>
      </c>
      <c r="C174" s="55" t="s">
        <v>1097</v>
      </c>
      <c r="D174" s="14" t="s">
        <v>11</v>
      </c>
      <c r="E174" s="14" t="s">
        <v>25</v>
      </c>
      <c r="F174" s="14" t="s">
        <v>26</v>
      </c>
      <c r="G174" s="305">
        <f>'JULIO-18  '!I174</f>
        <v>256</v>
      </c>
      <c r="H174" s="51">
        <f>9.2</f>
        <v>9.1999999999999993</v>
      </c>
      <c r="I174" s="17">
        <f t="shared" si="3"/>
        <v>246.8</v>
      </c>
      <c r="J174" s="108"/>
      <c r="K174" s="269"/>
    </row>
    <row r="175" spans="1:11" ht="38.25" customHeight="1">
      <c r="A175" s="144" t="s">
        <v>571</v>
      </c>
      <c r="B175" s="250" t="s">
        <v>1067</v>
      </c>
      <c r="C175" s="55" t="s">
        <v>1097</v>
      </c>
      <c r="D175" s="14" t="s">
        <v>11</v>
      </c>
      <c r="E175" s="14" t="s">
        <v>25</v>
      </c>
      <c r="F175" s="14" t="s">
        <v>26</v>
      </c>
      <c r="G175" s="305">
        <f>'JULIO-18  '!I175</f>
        <v>1.789999999999992</v>
      </c>
      <c r="H175" s="51"/>
      <c r="I175" s="17">
        <f t="shared" si="3"/>
        <v>1.789999999999992</v>
      </c>
      <c r="J175" s="108"/>
      <c r="K175" s="269"/>
    </row>
    <row r="176" spans="1:11" ht="38.25" customHeight="1">
      <c r="A176" s="144">
        <v>54599</v>
      </c>
      <c r="B176" s="250" t="s">
        <v>1184</v>
      </c>
      <c r="C176" s="55"/>
      <c r="D176" s="14" t="s">
        <v>11</v>
      </c>
      <c r="E176" s="14" t="s">
        <v>25</v>
      </c>
      <c r="F176" s="14" t="s">
        <v>26</v>
      </c>
      <c r="G176" s="305"/>
      <c r="H176" s="51">
        <v>395.5</v>
      </c>
      <c r="I176" s="17">
        <f t="shared" si="3"/>
        <v>4.5</v>
      </c>
      <c r="J176" s="108">
        <v>400</v>
      </c>
      <c r="K176" s="269"/>
    </row>
    <row r="177" spans="1:11" ht="40.5" customHeight="1">
      <c r="A177" s="144" t="s">
        <v>969</v>
      </c>
      <c r="B177" s="145" t="s">
        <v>1039</v>
      </c>
      <c r="C177" s="55" t="s">
        <v>1097</v>
      </c>
      <c r="D177" s="14" t="s">
        <v>11</v>
      </c>
      <c r="E177" s="14" t="s">
        <v>25</v>
      </c>
      <c r="F177" s="14" t="s">
        <v>26</v>
      </c>
      <c r="G177" s="307">
        <f>'JULIO-18  '!I176</f>
        <v>-3.6500000000000004</v>
      </c>
      <c r="H177" s="51"/>
      <c r="I177" s="18">
        <f t="shared" si="3"/>
        <v>-3.6500000000000004</v>
      </c>
      <c r="J177" s="108"/>
      <c r="K177" s="65"/>
    </row>
    <row r="178" spans="1:11" ht="106.5">
      <c r="A178" s="144" t="s">
        <v>201</v>
      </c>
      <c r="B178" s="54" t="s">
        <v>204</v>
      </c>
      <c r="C178" s="343" t="s">
        <v>1098</v>
      </c>
      <c r="D178" s="14" t="s">
        <v>11</v>
      </c>
      <c r="E178" s="14" t="s">
        <v>25</v>
      </c>
      <c r="F178" s="14" t="s">
        <v>26</v>
      </c>
      <c r="G178" s="305">
        <f>'JULIO-18  '!I177</f>
        <v>0</v>
      </c>
      <c r="H178" s="51"/>
      <c r="I178" s="17">
        <f t="shared" si="3"/>
        <v>0</v>
      </c>
      <c r="J178" s="62"/>
      <c r="K178" s="63"/>
    </row>
    <row r="179" spans="1:11" ht="19.5" customHeight="1">
      <c r="A179" s="11" t="s">
        <v>203</v>
      </c>
      <c r="B179" s="145" t="s">
        <v>206</v>
      </c>
      <c r="C179" s="55" t="s">
        <v>1099</v>
      </c>
      <c r="D179" s="14" t="s">
        <v>11</v>
      </c>
      <c r="E179" s="14" t="s">
        <v>25</v>
      </c>
      <c r="F179" s="14" t="s">
        <v>26</v>
      </c>
      <c r="G179" s="305">
        <f>'JULIO-18  '!I178</f>
        <v>2725.4399999999991</v>
      </c>
      <c r="H179" s="51">
        <f>233.38+277.9+217.84+140+140+140+140+140+140+140+233.38</f>
        <v>1942.5</v>
      </c>
      <c r="I179" s="17">
        <f t="shared" si="3"/>
        <v>782.93999999999915</v>
      </c>
      <c r="J179" s="64"/>
      <c r="K179" s="65"/>
    </row>
    <row r="180" spans="1:11" ht="36">
      <c r="A180" s="11" t="s">
        <v>1041</v>
      </c>
      <c r="B180" s="145" t="s">
        <v>1042</v>
      </c>
      <c r="C180" s="55" t="s">
        <v>1099</v>
      </c>
      <c r="D180" s="14" t="s">
        <v>11</v>
      </c>
      <c r="E180" s="14" t="s">
        <v>25</v>
      </c>
      <c r="F180" s="14" t="s">
        <v>26</v>
      </c>
      <c r="G180" s="305">
        <f>'JULIO-18  '!I179</f>
        <v>0</v>
      </c>
      <c r="H180" s="51"/>
      <c r="I180" s="17">
        <f t="shared" si="3"/>
        <v>0</v>
      </c>
      <c r="J180" s="108"/>
      <c r="K180" s="65"/>
    </row>
    <row r="181" spans="1:11" ht="20.25" customHeight="1">
      <c r="A181" s="11" t="s">
        <v>205</v>
      </c>
      <c r="B181" s="145" t="s">
        <v>207</v>
      </c>
      <c r="C181" s="55" t="s">
        <v>1099</v>
      </c>
      <c r="D181" s="14" t="s">
        <v>11</v>
      </c>
      <c r="E181" s="14" t="s">
        <v>25</v>
      </c>
      <c r="F181" s="14" t="s">
        <v>26</v>
      </c>
      <c r="G181" s="305">
        <f>'JULIO-18  '!I180</f>
        <v>200</v>
      </c>
      <c r="H181" s="51"/>
      <c r="I181" s="17">
        <f t="shared" si="3"/>
        <v>200</v>
      </c>
      <c r="J181" s="64"/>
      <c r="K181" s="65"/>
    </row>
    <row r="182" spans="1:11" ht="36">
      <c r="A182" s="11" t="s">
        <v>208</v>
      </c>
      <c r="B182" s="145" t="s">
        <v>209</v>
      </c>
      <c r="C182" s="55" t="s">
        <v>1099</v>
      </c>
      <c r="D182" s="14" t="s">
        <v>11</v>
      </c>
      <c r="E182" s="14" t="s">
        <v>25</v>
      </c>
      <c r="F182" s="14" t="s">
        <v>26</v>
      </c>
      <c r="G182" s="305">
        <f>'JULIO-18  '!I181</f>
        <v>14633.91</v>
      </c>
      <c r="H182" s="51"/>
      <c r="I182" s="17">
        <f t="shared" si="3"/>
        <v>14633.91</v>
      </c>
      <c r="J182" s="64"/>
      <c r="K182" s="269"/>
    </row>
    <row r="183" spans="1:11" ht="24">
      <c r="A183" s="11" t="s">
        <v>210</v>
      </c>
      <c r="B183" s="145" t="s">
        <v>211</v>
      </c>
      <c r="C183" s="55" t="s">
        <v>1099</v>
      </c>
      <c r="D183" s="14" t="s">
        <v>11</v>
      </c>
      <c r="E183" s="14" t="s">
        <v>25</v>
      </c>
      <c r="F183" s="14" t="s">
        <v>26</v>
      </c>
      <c r="G183" s="305">
        <f>'JULIO-18  '!I182</f>
        <v>1428.25</v>
      </c>
      <c r="H183" s="276"/>
      <c r="I183" s="18">
        <f t="shared" si="3"/>
        <v>1428.25</v>
      </c>
      <c r="J183" s="108"/>
      <c r="K183" s="65"/>
    </row>
    <row r="184" spans="1:11" ht="34.5" customHeight="1">
      <c r="A184" s="11" t="s">
        <v>212</v>
      </c>
      <c r="B184" s="145" t="s">
        <v>213</v>
      </c>
      <c r="C184" s="55" t="s">
        <v>1099</v>
      </c>
      <c r="D184" s="3" t="s">
        <v>11</v>
      </c>
      <c r="E184" s="3" t="s">
        <v>25</v>
      </c>
      <c r="F184" s="3" t="s">
        <v>26</v>
      </c>
      <c r="G184" s="305">
        <f>'JULIO-18  '!I183</f>
        <v>85.090000000000032</v>
      </c>
      <c r="H184" s="51"/>
      <c r="I184" s="17">
        <f t="shared" si="3"/>
        <v>85.090000000000032</v>
      </c>
      <c r="J184" s="45"/>
      <c r="K184" s="46"/>
    </row>
    <row r="185" spans="1:11" ht="34.5" customHeight="1">
      <c r="A185" s="11" t="s">
        <v>1143</v>
      </c>
      <c r="B185" s="145" t="s">
        <v>1140</v>
      </c>
      <c r="C185" s="55" t="s">
        <v>1099</v>
      </c>
      <c r="D185" s="3" t="s">
        <v>11</v>
      </c>
      <c r="E185" s="3" t="s">
        <v>25</v>
      </c>
      <c r="F185" s="3" t="s">
        <v>26</v>
      </c>
      <c r="G185" s="305">
        <f>'JULIO-18  '!I184</f>
        <v>270</v>
      </c>
      <c r="H185" s="51"/>
      <c r="I185" s="17">
        <f t="shared" si="3"/>
        <v>270</v>
      </c>
      <c r="J185" s="126"/>
      <c r="K185" s="46"/>
    </row>
    <row r="186" spans="1:11" ht="37.5" customHeight="1">
      <c r="A186" s="11" t="s">
        <v>1043</v>
      </c>
      <c r="B186" s="145" t="s">
        <v>1044</v>
      </c>
      <c r="C186" s="55" t="s">
        <v>1099</v>
      </c>
      <c r="D186" s="3" t="s">
        <v>11</v>
      </c>
      <c r="E186" s="3" t="s">
        <v>25</v>
      </c>
      <c r="F186" s="3" t="s">
        <v>26</v>
      </c>
      <c r="G186" s="305">
        <f>'JULIO-18  '!I185</f>
        <v>1.8099999999999454</v>
      </c>
      <c r="H186" s="51"/>
      <c r="I186" s="17">
        <f t="shared" si="3"/>
        <v>1.8099999999999454</v>
      </c>
      <c r="J186" s="126"/>
      <c r="K186" s="46"/>
    </row>
    <row r="187" spans="1:11" ht="28.5" customHeight="1">
      <c r="A187" s="11" t="s">
        <v>215</v>
      </c>
      <c r="B187" s="145" t="s">
        <v>214</v>
      </c>
      <c r="C187" s="55" t="s">
        <v>1099</v>
      </c>
      <c r="D187" s="3" t="s">
        <v>11</v>
      </c>
      <c r="E187" s="3" t="s">
        <v>25</v>
      </c>
      <c r="F187" s="3" t="s">
        <v>26</v>
      </c>
      <c r="G187" s="305">
        <f>'JULIO-18  '!I186</f>
        <v>4915</v>
      </c>
      <c r="H187" s="51"/>
      <c r="I187" s="17">
        <f t="shared" si="3"/>
        <v>4915</v>
      </c>
      <c r="J187" s="45"/>
      <c r="K187" s="46"/>
    </row>
    <row r="188" spans="1:11" ht="27.75" customHeight="1">
      <c r="A188" s="11" t="s">
        <v>216</v>
      </c>
      <c r="B188" s="145" t="s">
        <v>217</v>
      </c>
      <c r="C188" s="55" t="s">
        <v>1099</v>
      </c>
      <c r="D188" s="3" t="s">
        <v>11</v>
      </c>
      <c r="E188" s="3" t="s">
        <v>25</v>
      </c>
      <c r="F188" s="3" t="s">
        <v>26</v>
      </c>
      <c r="G188" s="305">
        <f>'JULIO-18  '!I187</f>
        <v>7764.9</v>
      </c>
      <c r="H188" s="51"/>
      <c r="I188" s="17">
        <f t="shared" si="3"/>
        <v>7764.9</v>
      </c>
      <c r="J188" s="126"/>
      <c r="K188" s="270"/>
    </row>
    <row r="189" spans="1:11" ht="36" customHeight="1">
      <c r="A189" s="11" t="s">
        <v>218</v>
      </c>
      <c r="B189" s="145" t="s">
        <v>219</v>
      </c>
      <c r="C189" s="55" t="s">
        <v>1099</v>
      </c>
      <c r="D189" s="3" t="s">
        <v>11</v>
      </c>
      <c r="E189" s="3" t="s">
        <v>25</v>
      </c>
      <c r="F189" s="3" t="s">
        <v>26</v>
      </c>
      <c r="G189" s="305">
        <f>'JULIO-18  '!I188</f>
        <v>42.65</v>
      </c>
      <c r="H189" s="51"/>
      <c r="I189" s="17">
        <f t="shared" si="3"/>
        <v>42.65</v>
      </c>
      <c r="J189" s="45"/>
      <c r="K189" s="46"/>
    </row>
    <row r="190" spans="1:11" ht="111.75" customHeight="1">
      <c r="A190" s="144" t="s">
        <v>220</v>
      </c>
      <c r="B190" s="54" t="s">
        <v>221</v>
      </c>
      <c r="C190" s="343" t="s">
        <v>1100</v>
      </c>
      <c r="D190" s="3"/>
      <c r="E190" s="3"/>
      <c r="F190" s="3"/>
      <c r="G190" s="305">
        <f>'JULIO-18  '!I189</f>
        <v>0</v>
      </c>
      <c r="H190" s="51"/>
      <c r="I190" s="17"/>
      <c r="J190" s="45"/>
      <c r="K190" s="46"/>
    </row>
    <row r="191" spans="1:11" ht="18" customHeight="1">
      <c r="A191" s="11" t="s">
        <v>222</v>
      </c>
      <c r="B191" s="145" t="s">
        <v>223</v>
      </c>
      <c r="C191" s="55" t="s">
        <v>1101</v>
      </c>
      <c r="D191" s="3" t="s">
        <v>11</v>
      </c>
      <c r="E191" s="3" t="s">
        <v>25</v>
      </c>
      <c r="F191" s="3" t="s">
        <v>26</v>
      </c>
      <c r="G191" s="305">
        <f>'JULIO-18  '!I190</f>
        <v>7602.0599999999995</v>
      </c>
      <c r="H191" s="51">
        <f>217.84+217.84+277.9+140+140+140+140+140+140+233.38+277.9+217.84+217.84+217.84+140+140+140+140+140+140+140+233.38</f>
        <v>3931.7600000000007</v>
      </c>
      <c r="I191" s="17">
        <f t="shared" si="3"/>
        <v>3670.2999999999988</v>
      </c>
      <c r="J191" s="126"/>
      <c r="K191" s="46"/>
    </row>
    <row r="192" spans="1:11" ht="15.75" customHeight="1">
      <c r="A192" s="11" t="s">
        <v>225</v>
      </c>
      <c r="B192" s="145" t="s">
        <v>224</v>
      </c>
      <c r="C192" s="55"/>
      <c r="D192" s="3" t="s">
        <v>11</v>
      </c>
      <c r="E192" s="3" t="s">
        <v>25</v>
      </c>
      <c r="F192" s="3" t="s">
        <v>26</v>
      </c>
      <c r="G192" s="305">
        <f>'JULIO-18  '!I191</f>
        <v>100</v>
      </c>
      <c r="H192" s="51"/>
      <c r="I192" s="17">
        <f t="shared" si="3"/>
        <v>100</v>
      </c>
      <c r="J192" s="126"/>
      <c r="K192" s="46"/>
    </row>
    <row r="193" spans="1:11" ht="33.75" customHeight="1">
      <c r="A193" s="11" t="s">
        <v>226</v>
      </c>
      <c r="B193" s="145" t="s">
        <v>227</v>
      </c>
      <c r="C193" s="55" t="s">
        <v>1101</v>
      </c>
      <c r="D193" s="3" t="s">
        <v>11</v>
      </c>
      <c r="E193" s="3" t="s">
        <v>25</v>
      </c>
      <c r="F193" s="3" t="s">
        <v>26</v>
      </c>
      <c r="G193" s="305">
        <f>'JULIO-18  '!I192</f>
        <v>26000</v>
      </c>
      <c r="H193" s="51">
        <f>39.6</f>
        <v>39.6</v>
      </c>
      <c r="I193" s="17">
        <f t="shared" si="3"/>
        <v>25560.400000000001</v>
      </c>
      <c r="J193" s="126"/>
      <c r="K193" s="385">
        <v>400</v>
      </c>
    </row>
    <row r="194" spans="1:11" ht="28.5" customHeight="1">
      <c r="A194" s="11" t="s">
        <v>228</v>
      </c>
      <c r="B194" s="145" t="s">
        <v>229</v>
      </c>
      <c r="C194" s="55"/>
      <c r="D194" s="3" t="s">
        <v>11</v>
      </c>
      <c r="E194" s="3" t="s">
        <v>25</v>
      </c>
      <c r="F194" s="3" t="s">
        <v>26</v>
      </c>
      <c r="G194" s="305">
        <f>'JULIO-18  '!I193</f>
        <v>20150</v>
      </c>
      <c r="H194" s="51">
        <v>5.4</v>
      </c>
      <c r="I194" s="17">
        <f t="shared" si="3"/>
        <v>20144.599999999999</v>
      </c>
      <c r="J194" s="126"/>
      <c r="K194" s="46"/>
    </row>
    <row r="195" spans="1:11" ht="26.25" customHeight="1">
      <c r="A195" s="11" t="s">
        <v>230</v>
      </c>
      <c r="B195" s="145" t="s">
        <v>231</v>
      </c>
      <c r="C195" s="55"/>
      <c r="D195" s="3" t="s">
        <v>11</v>
      </c>
      <c r="E195" s="3" t="s">
        <v>25</v>
      </c>
      <c r="F195" s="3" t="s">
        <v>26</v>
      </c>
      <c r="G195" s="305">
        <f>'JULIO-18  '!I194</f>
        <v>100</v>
      </c>
      <c r="H195" s="51"/>
      <c r="I195" s="17">
        <f t="shared" si="3"/>
        <v>100</v>
      </c>
      <c r="J195" s="126"/>
      <c r="K195" s="46"/>
    </row>
    <row r="196" spans="1:11" ht="23.25" customHeight="1">
      <c r="A196" s="11" t="s">
        <v>232</v>
      </c>
      <c r="B196" s="145" t="s">
        <v>233</v>
      </c>
      <c r="C196" s="55"/>
      <c r="D196" s="3" t="s">
        <v>11</v>
      </c>
      <c r="E196" s="3" t="s">
        <v>25</v>
      </c>
      <c r="F196" s="3" t="s">
        <v>26</v>
      </c>
      <c r="G196" s="305">
        <f>'JULIO-18  '!I195</f>
        <v>20200</v>
      </c>
      <c r="H196" s="51"/>
      <c r="I196" s="17">
        <f t="shared" si="3"/>
        <v>20200</v>
      </c>
      <c r="J196" s="126"/>
      <c r="K196" s="46"/>
    </row>
    <row r="197" spans="1:11" ht="28.5" customHeight="1">
      <c r="A197" s="11" t="s">
        <v>234</v>
      </c>
      <c r="B197" s="145" t="s">
        <v>237</v>
      </c>
      <c r="C197" s="55"/>
      <c r="D197" s="3" t="s">
        <v>11</v>
      </c>
      <c r="E197" s="3" t="s">
        <v>25</v>
      </c>
      <c r="F197" s="3" t="s">
        <v>26</v>
      </c>
      <c r="G197" s="305">
        <f>'JULIO-18  '!I196</f>
        <v>20500</v>
      </c>
      <c r="H197" s="51"/>
      <c r="I197" s="17">
        <f t="shared" si="3"/>
        <v>20500</v>
      </c>
      <c r="J197" s="126"/>
      <c r="K197" s="46"/>
    </row>
    <row r="198" spans="1:11" ht="45" customHeight="1">
      <c r="A198" s="11" t="s">
        <v>1182</v>
      </c>
      <c r="B198" s="145" t="s">
        <v>1185</v>
      </c>
      <c r="C198" s="55"/>
      <c r="D198" s="3" t="s">
        <v>11</v>
      </c>
      <c r="E198" s="3" t="s">
        <v>25</v>
      </c>
      <c r="F198" s="3" t="s">
        <v>1181</v>
      </c>
      <c r="G198" s="305"/>
      <c r="H198" s="51">
        <v>395</v>
      </c>
      <c r="I198" s="17">
        <f>G198-H198+J198-K198</f>
        <v>5</v>
      </c>
      <c r="J198" s="126">
        <v>400</v>
      </c>
      <c r="K198" s="46"/>
    </row>
    <row r="199" spans="1:11" ht="24" customHeight="1">
      <c r="A199" s="11" t="s">
        <v>235</v>
      </c>
      <c r="B199" s="145" t="s">
        <v>236</v>
      </c>
      <c r="C199" s="55" t="s">
        <v>1101</v>
      </c>
      <c r="D199" s="3" t="s">
        <v>11</v>
      </c>
      <c r="E199" s="3" t="s">
        <v>25</v>
      </c>
      <c r="F199" s="3" t="s">
        <v>26</v>
      </c>
      <c r="G199" s="305">
        <f>'JULIO-18  '!I197</f>
        <v>40.050000000000004</v>
      </c>
      <c r="H199" s="51"/>
      <c r="I199" s="17">
        <f t="shared" si="3"/>
        <v>40.050000000000004</v>
      </c>
      <c r="J199" s="45"/>
      <c r="K199" s="46"/>
    </row>
    <row r="200" spans="1:11" ht="87" customHeight="1">
      <c r="A200" s="144" t="s">
        <v>238</v>
      </c>
      <c r="B200" s="54" t="s">
        <v>239</v>
      </c>
      <c r="C200" s="55"/>
      <c r="D200" s="3"/>
      <c r="E200" s="3"/>
      <c r="F200" s="3"/>
      <c r="G200" s="305">
        <f>'JULIO-18  '!I198</f>
        <v>0</v>
      </c>
      <c r="H200" s="51"/>
      <c r="I200" s="17"/>
      <c r="J200" s="45"/>
      <c r="K200" s="46"/>
    </row>
    <row r="201" spans="1:11" ht="24" customHeight="1">
      <c r="A201" s="11" t="s">
        <v>240</v>
      </c>
      <c r="B201" s="145" t="s">
        <v>243</v>
      </c>
      <c r="C201" s="55"/>
      <c r="D201" s="3" t="s">
        <v>11</v>
      </c>
      <c r="E201" s="3" t="s">
        <v>25</v>
      </c>
      <c r="F201" s="3" t="s">
        <v>26</v>
      </c>
      <c r="G201" s="305">
        <f>'JULIO-18  '!I199</f>
        <v>0</v>
      </c>
      <c r="H201" s="51"/>
      <c r="I201" s="17">
        <f t="shared" si="3"/>
        <v>0</v>
      </c>
      <c r="J201" s="45"/>
      <c r="K201" s="280"/>
    </row>
    <row r="202" spans="1:11" ht="24" customHeight="1">
      <c r="A202" s="11" t="s">
        <v>241</v>
      </c>
      <c r="B202" s="145" t="s">
        <v>242</v>
      </c>
      <c r="C202" s="55"/>
      <c r="D202" s="3" t="s">
        <v>11</v>
      </c>
      <c r="E202" s="3" t="s">
        <v>25</v>
      </c>
      <c r="F202" s="3" t="s">
        <v>26</v>
      </c>
      <c r="G202" s="305">
        <f>'JULIO-18  '!I200</f>
        <v>0</v>
      </c>
      <c r="H202" s="51"/>
      <c r="I202" s="17">
        <f t="shared" si="3"/>
        <v>0</v>
      </c>
      <c r="J202" s="45"/>
      <c r="K202" s="280"/>
    </row>
    <row r="203" spans="1:11" ht="40.5" customHeight="1">
      <c r="A203" s="11" t="s">
        <v>245</v>
      </c>
      <c r="B203" s="145" t="s">
        <v>244</v>
      </c>
      <c r="C203" s="55"/>
      <c r="D203" s="3" t="s">
        <v>11</v>
      </c>
      <c r="E203" s="3" t="s">
        <v>25</v>
      </c>
      <c r="F203" s="3" t="s">
        <v>26</v>
      </c>
      <c r="G203" s="305">
        <f>'JULIO-18  '!I201</f>
        <v>0</v>
      </c>
      <c r="H203" s="51"/>
      <c r="I203" s="17">
        <f t="shared" si="3"/>
        <v>0</v>
      </c>
      <c r="J203" s="45"/>
      <c r="K203" s="280"/>
    </row>
    <row r="204" spans="1:11" ht="24" customHeight="1">
      <c r="A204" s="11" t="s">
        <v>246</v>
      </c>
      <c r="B204" s="145" t="s">
        <v>247</v>
      </c>
      <c r="C204" s="55"/>
      <c r="D204" s="3" t="s">
        <v>11</v>
      </c>
      <c r="E204" s="3" t="s">
        <v>25</v>
      </c>
      <c r="F204" s="3" t="s">
        <v>26</v>
      </c>
      <c r="G204" s="305">
        <f>'JULIO-18  '!I202</f>
        <v>0</v>
      </c>
      <c r="H204" s="51"/>
      <c r="I204" s="17">
        <f t="shared" si="3"/>
        <v>0</v>
      </c>
      <c r="J204" s="45"/>
      <c r="K204" s="280"/>
    </row>
    <row r="205" spans="1:11" ht="24" customHeight="1">
      <c r="A205" s="11" t="s">
        <v>249</v>
      </c>
      <c r="B205" s="145" t="s">
        <v>248</v>
      </c>
      <c r="C205" s="55"/>
      <c r="D205" s="3" t="s">
        <v>11</v>
      </c>
      <c r="E205" s="3" t="s">
        <v>25</v>
      </c>
      <c r="F205" s="3" t="s">
        <v>26</v>
      </c>
      <c r="G205" s="305">
        <f>'JULIO-18  '!I203</f>
        <v>0</v>
      </c>
      <c r="H205" s="51"/>
      <c r="I205" s="17">
        <f t="shared" si="3"/>
        <v>0</v>
      </c>
      <c r="J205" s="45"/>
      <c r="K205" s="280"/>
    </row>
    <row r="206" spans="1:11" ht="24" customHeight="1">
      <c r="A206" s="11" t="s">
        <v>251</v>
      </c>
      <c r="B206" s="145" t="s">
        <v>252</v>
      </c>
      <c r="C206" s="55"/>
      <c r="D206" s="3" t="s">
        <v>11</v>
      </c>
      <c r="E206" s="3" t="s">
        <v>25</v>
      </c>
      <c r="F206" s="3" t="s">
        <v>26</v>
      </c>
      <c r="G206" s="305">
        <f>'JULIO-18  '!I204</f>
        <v>0</v>
      </c>
      <c r="H206" s="51"/>
      <c r="I206" s="17">
        <f t="shared" si="3"/>
        <v>0</v>
      </c>
      <c r="J206" s="45"/>
      <c r="K206" s="280"/>
    </row>
    <row r="207" spans="1:11" ht="24" customHeight="1">
      <c r="A207" s="11" t="s">
        <v>250</v>
      </c>
      <c r="B207" s="145" t="s">
        <v>253</v>
      </c>
      <c r="C207" s="55"/>
      <c r="D207" s="3" t="s">
        <v>11</v>
      </c>
      <c r="E207" s="3" t="s">
        <v>25</v>
      </c>
      <c r="F207" s="3" t="s">
        <v>26</v>
      </c>
      <c r="G207" s="305">
        <f>'JULIO-18  '!I205</f>
        <v>0</v>
      </c>
      <c r="H207" s="51"/>
      <c r="I207" s="17">
        <f t="shared" si="3"/>
        <v>0</v>
      </c>
      <c r="J207" s="45"/>
      <c r="K207" s="280"/>
    </row>
    <row r="208" spans="1:11" ht="24" customHeight="1">
      <c r="A208" s="11" t="s">
        <v>255</v>
      </c>
      <c r="B208" s="145" t="s">
        <v>254</v>
      </c>
      <c r="C208" s="55"/>
      <c r="D208" s="3" t="s">
        <v>11</v>
      </c>
      <c r="E208" s="3" t="s">
        <v>25</v>
      </c>
      <c r="F208" s="3" t="s">
        <v>26</v>
      </c>
      <c r="G208" s="305">
        <f>'JULIO-18  '!I206</f>
        <v>0</v>
      </c>
      <c r="H208" s="51"/>
      <c r="I208" s="17">
        <f t="shared" si="3"/>
        <v>0</v>
      </c>
      <c r="J208" s="45"/>
      <c r="K208" s="280"/>
    </row>
    <row r="209" spans="1:11" ht="87" customHeight="1">
      <c r="A209" s="144" t="s">
        <v>256</v>
      </c>
      <c r="B209" s="54" t="s">
        <v>257</v>
      </c>
      <c r="C209" s="55"/>
      <c r="D209" s="3"/>
      <c r="E209" s="3"/>
      <c r="F209" s="3"/>
      <c r="G209" s="305">
        <f>'JULIO-18  '!I207</f>
        <v>0</v>
      </c>
      <c r="H209" s="51"/>
      <c r="I209" s="17"/>
      <c r="J209" s="45"/>
      <c r="K209" s="46"/>
    </row>
    <row r="210" spans="1:11" ht="24" customHeight="1">
      <c r="A210" s="11" t="s">
        <v>258</v>
      </c>
      <c r="B210" s="145" t="s">
        <v>263</v>
      </c>
      <c r="C210" s="55"/>
      <c r="D210" s="3" t="s">
        <v>11</v>
      </c>
      <c r="E210" s="3" t="s">
        <v>25</v>
      </c>
      <c r="F210" s="3" t="s">
        <v>26</v>
      </c>
      <c r="G210" s="305">
        <f>'JULIO-18  '!I208</f>
        <v>0</v>
      </c>
      <c r="H210" s="51"/>
      <c r="I210" s="17">
        <f t="shared" si="3"/>
        <v>0</v>
      </c>
      <c r="J210" s="45"/>
      <c r="K210" s="280"/>
    </row>
    <row r="211" spans="1:11" ht="24" customHeight="1">
      <c r="A211" s="11" t="s">
        <v>259</v>
      </c>
      <c r="B211" s="145" t="s">
        <v>262</v>
      </c>
      <c r="C211" s="55"/>
      <c r="D211" s="3" t="s">
        <v>11</v>
      </c>
      <c r="E211" s="3" t="s">
        <v>25</v>
      </c>
      <c r="F211" s="3" t="s">
        <v>26</v>
      </c>
      <c r="G211" s="305">
        <f>'JULIO-18  '!I209</f>
        <v>0</v>
      </c>
      <c r="H211" s="51"/>
      <c r="I211" s="17">
        <f t="shared" si="3"/>
        <v>0</v>
      </c>
      <c r="J211" s="45"/>
      <c r="K211" s="280"/>
    </row>
    <row r="212" spans="1:11" ht="24" customHeight="1">
      <c r="A212" s="11" t="s">
        <v>260</v>
      </c>
      <c r="B212" s="145" t="s">
        <v>261</v>
      </c>
      <c r="C212" s="55"/>
      <c r="D212" s="3" t="s">
        <v>11</v>
      </c>
      <c r="E212" s="3" t="s">
        <v>25</v>
      </c>
      <c r="F212" s="3" t="s">
        <v>26</v>
      </c>
      <c r="G212" s="305">
        <f>'JULIO-18  '!I210</f>
        <v>0</v>
      </c>
      <c r="H212" s="51"/>
      <c r="I212" s="17">
        <f t="shared" si="3"/>
        <v>0</v>
      </c>
      <c r="J212" s="45"/>
      <c r="K212" s="280"/>
    </row>
    <row r="213" spans="1:11" ht="60" customHeight="1">
      <c r="A213" s="144" t="s">
        <v>264</v>
      </c>
      <c r="B213" s="54" t="s">
        <v>287</v>
      </c>
      <c r="C213" s="55"/>
      <c r="D213" s="3"/>
      <c r="E213" s="3"/>
      <c r="F213" s="3"/>
      <c r="G213" s="305">
        <f>'JULIO-18  '!I211</f>
        <v>0</v>
      </c>
      <c r="H213" s="51"/>
      <c r="I213" s="17"/>
      <c r="J213" s="45"/>
      <c r="K213" s="46"/>
    </row>
    <row r="214" spans="1:11" ht="24" customHeight="1">
      <c r="A214" s="11" t="s">
        <v>265</v>
      </c>
      <c r="B214" s="145" t="s">
        <v>1046</v>
      </c>
      <c r="C214" s="55"/>
      <c r="D214" s="3" t="s">
        <v>11</v>
      </c>
      <c r="E214" s="3" t="s">
        <v>25</v>
      </c>
      <c r="F214" s="3" t="s">
        <v>26</v>
      </c>
      <c r="G214" s="305">
        <f>'JULIO-18  '!I212</f>
        <v>2000</v>
      </c>
      <c r="H214" s="51"/>
      <c r="I214" s="17">
        <f t="shared" si="3"/>
        <v>0</v>
      </c>
      <c r="J214" s="45"/>
      <c r="K214" s="385">
        <v>2000</v>
      </c>
    </row>
    <row r="215" spans="1:11" ht="24" customHeight="1">
      <c r="A215" s="11" t="s">
        <v>266</v>
      </c>
      <c r="B215" s="145" t="s">
        <v>268</v>
      </c>
      <c r="C215" s="55"/>
      <c r="D215" s="3" t="s">
        <v>11</v>
      </c>
      <c r="E215" s="3" t="s">
        <v>25</v>
      </c>
      <c r="F215" s="3" t="s">
        <v>26</v>
      </c>
      <c r="G215" s="305">
        <f>'JULIO-18  '!I213</f>
        <v>3000</v>
      </c>
      <c r="H215" s="51"/>
      <c r="I215" s="17">
        <f t="shared" si="3"/>
        <v>0</v>
      </c>
      <c r="J215" s="45"/>
      <c r="K215" s="385">
        <v>3000</v>
      </c>
    </row>
    <row r="216" spans="1:11" ht="71.25" customHeight="1">
      <c r="A216" s="144" t="s">
        <v>269</v>
      </c>
      <c r="B216" s="54" t="s">
        <v>286</v>
      </c>
      <c r="C216" s="343" t="s">
        <v>1111</v>
      </c>
      <c r="D216" s="3"/>
      <c r="E216" s="3"/>
      <c r="F216" s="3"/>
      <c r="G216" s="305">
        <f>'JULIO-18  '!I214</f>
        <v>0</v>
      </c>
      <c r="H216" s="51"/>
      <c r="I216" s="17"/>
      <c r="J216" s="45"/>
      <c r="K216" s="46"/>
    </row>
    <row r="217" spans="1:11" ht="27.75" customHeight="1">
      <c r="A217" s="11" t="s">
        <v>273</v>
      </c>
      <c r="B217" s="145" t="s">
        <v>270</v>
      </c>
      <c r="C217" s="55"/>
      <c r="D217" s="3" t="s">
        <v>11</v>
      </c>
      <c r="E217" s="3" t="s">
        <v>25</v>
      </c>
      <c r="F217" s="3" t="s">
        <v>26</v>
      </c>
      <c r="G217" s="305">
        <f>'JULIO-18  '!I215</f>
        <v>2435</v>
      </c>
      <c r="H217" s="51"/>
      <c r="I217" s="17">
        <f t="shared" si="3"/>
        <v>2435</v>
      </c>
      <c r="J217" s="45"/>
      <c r="K217" s="46"/>
    </row>
    <row r="218" spans="1:11" ht="24" customHeight="1">
      <c r="A218" s="11" t="s">
        <v>272</v>
      </c>
      <c r="B218" s="145" t="s">
        <v>271</v>
      </c>
      <c r="C218" s="55"/>
      <c r="D218" s="3" t="s">
        <v>11</v>
      </c>
      <c r="E218" s="3" t="s">
        <v>25</v>
      </c>
      <c r="F218" s="3" t="s">
        <v>26</v>
      </c>
      <c r="G218" s="305">
        <f>'JULIO-18  '!I216</f>
        <v>12098.5</v>
      </c>
      <c r="H218" s="51">
        <f>1811.25+2113.12</f>
        <v>3924.37</v>
      </c>
      <c r="I218" s="17">
        <f t="shared" si="3"/>
        <v>8174.13</v>
      </c>
      <c r="J218" s="45"/>
      <c r="K218" s="126"/>
    </row>
    <row r="219" spans="1:11" ht="24" customHeight="1">
      <c r="A219" s="11" t="s">
        <v>274</v>
      </c>
      <c r="B219" s="145" t="s">
        <v>275</v>
      </c>
      <c r="C219" s="55"/>
      <c r="D219" s="3" t="s">
        <v>11</v>
      </c>
      <c r="E219" s="3" t="s">
        <v>25</v>
      </c>
      <c r="F219" s="3" t="s">
        <v>26</v>
      </c>
      <c r="G219" s="305">
        <f>'JULIO-18  '!I217</f>
        <v>1965.25</v>
      </c>
      <c r="H219" s="51">
        <f>59.38+237.5+89.06</f>
        <v>385.94</v>
      </c>
      <c r="I219" s="17">
        <f t="shared" si="3"/>
        <v>1579.31</v>
      </c>
      <c r="J219" s="45"/>
      <c r="K219" s="46"/>
    </row>
    <row r="220" spans="1:11" ht="24" customHeight="1">
      <c r="A220" s="11" t="s">
        <v>276</v>
      </c>
      <c r="B220" s="145" t="s">
        <v>277</v>
      </c>
      <c r="C220" s="55"/>
      <c r="D220" s="3" t="s">
        <v>11</v>
      </c>
      <c r="E220" s="3" t="s">
        <v>25</v>
      </c>
      <c r="F220" s="3" t="s">
        <v>26</v>
      </c>
      <c r="G220" s="305">
        <f>'JULIO-18  '!I218</f>
        <v>11514.919999999998</v>
      </c>
      <c r="H220" s="51">
        <f>166.15+431.56+107.2</f>
        <v>704.91000000000008</v>
      </c>
      <c r="I220" s="17">
        <f t="shared" si="3"/>
        <v>10810.009999999998</v>
      </c>
      <c r="J220" s="45"/>
      <c r="K220" s="279"/>
    </row>
    <row r="221" spans="1:11" ht="24" customHeight="1">
      <c r="A221" s="11" t="s">
        <v>278</v>
      </c>
      <c r="B221" s="145" t="s">
        <v>279</v>
      </c>
      <c r="C221" s="55"/>
      <c r="D221" s="3" t="s">
        <v>11</v>
      </c>
      <c r="E221" s="3" t="s">
        <v>25</v>
      </c>
      <c r="F221" s="3" t="s">
        <v>26</v>
      </c>
      <c r="G221" s="305">
        <f>'JULIO-18  '!I219</f>
        <v>980</v>
      </c>
      <c r="H221" s="51"/>
      <c r="I221" s="17">
        <f t="shared" si="3"/>
        <v>980</v>
      </c>
      <c r="J221" s="45"/>
      <c r="K221" s="46"/>
    </row>
    <row r="222" spans="1:11" ht="24" customHeight="1">
      <c r="A222" s="11" t="s">
        <v>280</v>
      </c>
      <c r="B222" s="145" t="s">
        <v>281</v>
      </c>
      <c r="C222" s="55"/>
      <c r="D222" s="3" t="s">
        <v>11</v>
      </c>
      <c r="E222" s="3" t="s">
        <v>25</v>
      </c>
      <c r="F222" s="3" t="s">
        <v>26</v>
      </c>
      <c r="G222" s="305">
        <f>'JULIO-18  '!I220</f>
        <v>1290</v>
      </c>
      <c r="H222" s="51"/>
      <c r="I222" s="17">
        <f t="shared" si="3"/>
        <v>1290</v>
      </c>
      <c r="J222" s="126"/>
      <c r="K222" s="46"/>
    </row>
    <row r="223" spans="1:11" ht="24" customHeight="1">
      <c r="A223" s="11" t="s">
        <v>282</v>
      </c>
      <c r="B223" s="145" t="s">
        <v>283</v>
      </c>
      <c r="C223" s="55"/>
      <c r="D223" s="3" t="s">
        <v>11</v>
      </c>
      <c r="E223" s="3" t="s">
        <v>25</v>
      </c>
      <c r="F223" s="3" t="s">
        <v>26</v>
      </c>
      <c r="G223" s="305">
        <f>'JULIO-18  '!I221</f>
        <v>927.06000000000029</v>
      </c>
      <c r="H223" s="51"/>
      <c r="I223" s="17">
        <f t="shared" si="3"/>
        <v>927.06000000000029</v>
      </c>
      <c r="J223" s="126"/>
      <c r="K223" s="46"/>
    </row>
    <row r="224" spans="1:11" ht="24" customHeight="1">
      <c r="A224" s="11" t="s">
        <v>284</v>
      </c>
      <c r="B224" s="145" t="s">
        <v>285</v>
      </c>
      <c r="C224" s="55"/>
      <c r="D224" s="3" t="s">
        <v>11</v>
      </c>
      <c r="E224" s="3" t="s">
        <v>25</v>
      </c>
      <c r="F224" s="3" t="s">
        <v>26</v>
      </c>
      <c r="G224" s="305">
        <f>'JULIO-18  '!I222</f>
        <v>14.17</v>
      </c>
      <c r="H224" s="51"/>
      <c r="I224" s="17">
        <f t="shared" si="3"/>
        <v>14.17</v>
      </c>
      <c r="J224" s="45"/>
      <c r="K224" s="46"/>
    </row>
    <row r="225" spans="1:11" ht="102" customHeight="1">
      <c r="A225" s="144" t="s">
        <v>289</v>
      </c>
      <c r="B225" s="54" t="s">
        <v>1198</v>
      </c>
      <c r="C225" s="55" t="s">
        <v>1057</v>
      </c>
      <c r="D225" s="3"/>
      <c r="E225" s="3"/>
      <c r="F225" s="3"/>
      <c r="G225" s="305">
        <f>'JULIO-18  '!I223</f>
        <v>0</v>
      </c>
      <c r="H225" s="275"/>
      <c r="I225" s="17"/>
      <c r="J225" s="45"/>
      <c r="K225" s="46"/>
    </row>
    <row r="226" spans="1:11" ht="24" customHeight="1">
      <c r="A226" s="11" t="s">
        <v>290</v>
      </c>
      <c r="B226" s="145" t="s">
        <v>291</v>
      </c>
      <c r="C226" s="55"/>
      <c r="D226" s="3" t="s">
        <v>11</v>
      </c>
      <c r="E226" s="3" t="s">
        <v>25</v>
      </c>
      <c r="F226" s="3" t="s">
        <v>26</v>
      </c>
      <c r="G226" s="305">
        <f>'JULIO-18  '!I224</f>
        <v>500</v>
      </c>
      <c r="H226" s="51"/>
      <c r="I226" s="17">
        <f t="shared" si="3"/>
        <v>500</v>
      </c>
      <c r="J226" s="45"/>
      <c r="K226" s="46"/>
    </row>
    <row r="227" spans="1:11" ht="24" customHeight="1">
      <c r="A227" s="11" t="s">
        <v>292</v>
      </c>
      <c r="B227" s="145" t="s">
        <v>293</v>
      </c>
      <c r="C227" s="55"/>
      <c r="D227" s="3" t="s">
        <v>11</v>
      </c>
      <c r="E227" s="3" t="s">
        <v>25</v>
      </c>
      <c r="F227" s="3" t="s">
        <v>26</v>
      </c>
      <c r="G227" s="305">
        <f>'JULIO-18  '!I225</f>
        <v>0</v>
      </c>
      <c r="H227" s="51"/>
      <c r="I227" s="17">
        <f t="shared" si="3"/>
        <v>0</v>
      </c>
      <c r="J227" s="45"/>
      <c r="K227" s="280"/>
    </row>
    <row r="228" spans="1:11" ht="18" customHeight="1">
      <c r="A228" s="11" t="s">
        <v>294</v>
      </c>
      <c r="B228" s="145" t="s">
        <v>295</v>
      </c>
      <c r="C228" s="55"/>
      <c r="D228" s="3" t="s">
        <v>11</v>
      </c>
      <c r="E228" s="3" t="s">
        <v>25</v>
      </c>
      <c r="F228" s="3" t="s">
        <v>26</v>
      </c>
      <c r="G228" s="305">
        <f>'JULIO-18  '!I226</f>
        <v>97.4</v>
      </c>
      <c r="H228" s="51"/>
      <c r="I228" s="17">
        <f t="shared" si="3"/>
        <v>97.4</v>
      </c>
      <c r="J228" s="45"/>
      <c r="K228" s="46"/>
    </row>
    <row r="229" spans="1:11" ht="19.5" customHeight="1">
      <c r="A229" s="11" t="s">
        <v>296</v>
      </c>
      <c r="B229" s="145" t="s">
        <v>297</v>
      </c>
      <c r="C229" s="55"/>
      <c r="D229" s="3" t="s">
        <v>11</v>
      </c>
      <c r="E229" s="3" t="s">
        <v>25</v>
      </c>
      <c r="F229" s="3" t="s">
        <v>26</v>
      </c>
      <c r="G229" s="305">
        <f>'JULIO-18  '!I227</f>
        <v>26160</v>
      </c>
      <c r="H229" s="51"/>
      <c r="I229" s="17">
        <f t="shared" si="3"/>
        <v>26160</v>
      </c>
      <c r="J229" s="45"/>
      <c r="K229" s="46"/>
    </row>
    <row r="230" spans="1:11" ht="21" customHeight="1">
      <c r="A230" s="11" t="s">
        <v>298</v>
      </c>
      <c r="B230" s="145" t="s">
        <v>299</v>
      </c>
      <c r="C230" s="55"/>
      <c r="D230" s="3" t="s">
        <v>11</v>
      </c>
      <c r="E230" s="3" t="s">
        <v>25</v>
      </c>
      <c r="F230" s="3" t="s">
        <v>26</v>
      </c>
      <c r="G230" s="305">
        <f>'JULIO-18  '!I228</f>
        <v>2000</v>
      </c>
      <c r="H230" s="51"/>
      <c r="I230" s="17">
        <f t="shared" si="3"/>
        <v>862.29</v>
      </c>
      <c r="J230" s="45"/>
      <c r="K230" s="385">
        <v>1137.71</v>
      </c>
    </row>
    <row r="231" spans="1:11" ht="75" customHeight="1">
      <c r="A231" s="144" t="s">
        <v>300</v>
      </c>
      <c r="B231" s="54" t="s">
        <v>301</v>
      </c>
      <c r="C231" s="343" t="s">
        <v>1112</v>
      </c>
      <c r="D231" s="3"/>
      <c r="E231" s="3"/>
      <c r="F231" s="3"/>
      <c r="G231" s="305">
        <f>'JULIO-18  '!I229</f>
        <v>0</v>
      </c>
      <c r="H231" s="51"/>
      <c r="I231" s="17"/>
      <c r="J231" s="45"/>
      <c r="K231" s="46"/>
    </row>
    <row r="232" spans="1:11" ht="18.75" customHeight="1">
      <c r="A232" s="11" t="s">
        <v>302</v>
      </c>
      <c r="B232" s="145" t="s">
        <v>309</v>
      </c>
      <c r="C232" s="55"/>
      <c r="D232" s="3" t="s">
        <v>11</v>
      </c>
      <c r="E232" s="3" t="s">
        <v>25</v>
      </c>
      <c r="F232" s="3" t="s">
        <v>26</v>
      </c>
      <c r="G232" s="305">
        <f>'JULIO-18  '!I230</f>
        <v>666.68000000000018</v>
      </c>
      <c r="H232" s="51">
        <f>166.67+166.67+166.67+166.67</f>
        <v>666.68</v>
      </c>
      <c r="I232" s="17">
        <f t="shared" si="3"/>
        <v>2.2737367544323206E-13</v>
      </c>
      <c r="J232" s="45"/>
      <c r="K232" s="321"/>
    </row>
    <row r="233" spans="1:11" ht="18.75" customHeight="1">
      <c r="A233" s="11" t="s">
        <v>303</v>
      </c>
      <c r="B233" s="145" t="s">
        <v>310</v>
      </c>
      <c r="C233" s="55"/>
      <c r="D233" s="3" t="s">
        <v>11</v>
      </c>
      <c r="E233" s="3" t="s">
        <v>25</v>
      </c>
      <c r="F233" s="3" t="s">
        <v>26</v>
      </c>
      <c r="G233" s="305">
        <f>'JULIO-18  '!I231</f>
        <v>5000</v>
      </c>
      <c r="H233" s="51"/>
      <c r="I233" s="17">
        <f t="shared" si="3"/>
        <v>5000</v>
      </c>
      <c r="J233" s="45"/>
      <c r="K233" s="321"/>
    </row>
    <row r="234" spans="1:11" ht="24.75" customHeight="1">
      <c r="A234" s="11" t="s">
        <v>304</v>
      </c>
      <c r="B234" s="145" t="s">
        <v>311</v>
      </c>
      <c r="C234" s="55"/>
      <c r="D234" s="3" t="s">
        <v>11</v>
      </c>
      <c r="E234" s="3" t="s">
        <v>25</v>
      </c>
      <c r="F234" s="3" t="s">
        <v>26</v>
      </c>
      <c r="G234" s="305">
        <f>'JULIO-18  '!I232</f>
        <v>1000</v>
      </c>
      <c r="H234" s="51"/>
      <c r="I234" s="17">
        <f t="shared" si="3"/>
        <v>1000</v>
      </c>
      <c r="J234" s="45"/>
      <c r="K234" s="322"/>
    </row>
    <row r="235" spans="1:11" ht="16.5" customHeight="1">
      <c r="A235" s="11" t="s">
        <v>305</v>
      </c>
      <c r="B235" s="145" t="s">
        <v>312</v>
      </c>
      <c r="C235" s="55"/>
      <c r="D235" s="3" t="s">
        <v>11</v>
      </c>
      <c r="E235" s="3" t="s">
        <v>25</v>
      </c>
      <c r="F235" s="3" t="s">
        <v>26</v>
      </c>
      <c r="G235" s="305">
        <f>'JULIO-18  '!I233</f>
        <v>1204.78</v>
      </c>
      <c r="H235" s="51">
        <f>100</f>
        <v>100</v>
      </c>
      <c r="I235" s="17">
        <f t="shared" si="3"/>
        <v>1104.78</v>
      </c>
      <c r="J235" s="45"/>
      <c r="K235" s="323"/>
    </row>
    <row r="236" spans="1:11" ht="22.5" customHeight="1">
      <c r="A236" s="11" t="s">
        <v>306</v>
      </c>
      <c r="B236" s="145" t="s">
        <v>313</v>
      </c>
      <c r="C236" s="55"/>
      <c r="D236" s="3" t="s">
        <v>11</v>
      </c>
      <c r="E236" s="3" t="s">
        <v>25</v>
      </c>
      <c r="F236" s="3" t="s">
        <v>26</v>
      </c>
      <c r="G236" s="305">
        <f>'JULIO-18  '!I234</f>
        <v>1918.3400000000001</v>
      </c>
      <c r="H236" s="51"/>
      <c r="I236" s="17">
        <f t="shared" si="3"/>
        <v>1918.3400000000001</v>
      </c>
      <c r="J236" s="45"/>
      <c r="K236" s="324"/>
    </row>
    <row r="237" spans="1:11" ht="19.5" customHeight="1">
      <c r="A237" s="11" t="s">
        <v>307</v>
      </c>
      <c r="B237" s="145" t="s">
        <v>314</v>
      </c>
      <c r="C237" s="55"/>
      <c r="D237" s="3" t="s">
        <v>11</v>
      </c>
      <c r="E237" s="3" t="s">
        <v>25</v>
      </c>
      <c r="F237" s="3" t="s">
        <v>26</v>
      </c>
      <c r="G237" s="305">
        <f>'JULIO-18  '!I235</f>
        <v>9.17</v>
      </c>
      <c r="H237" s="51"/>
      <c r="I237" s="17">
        <f t="shared" si="3"/>
        <v>9.17</v>
      </c>
      <c r="J237" s="45"/>
      <c r="K237" s="324"/>
    </row>
    <row r="238" spans="1:11" ht="24" customHeight="1">
      <c r="A238" s="11" t="s">
        <v>308</v>
      </c>
      <c r="B238" s="145" t="s">
        <v>315</v>
      </c>
      <c r="C238" s="55"/>
      <c r="D238" s="3" t="s">
        <v>11</v>
      </c>
      <c r="E238" s="3" t="s">
        <v>25</v>
      </c>
      <c r="F238" s="3" t="s">
        <v>26</v>
      </c>
      <c r="G238" s="305">
        <f>'JULIO-18  '!I236</f>
        <v>0</v>
      </c>
      <c r="H238" s="51"/>
      <c r="I238" s="17">
        <f t="shared" si="3"/>
        <v>0</v>
      </c>
      <c r="J238" s="45"/>
      <c r="K238" s="324"/>
    </row>
    <row r="239" spans="1:11" ht="72.75" customHeight="1">
      <c r="A239" s="144" t="s">
        <v>316</v>
      </c>
      <c r="B239" s="54" t="s">
        <v>317</v>
      </c>
      <c r="C239" s="343" t="s">
        <v>1113</v>
      </c>
      <c r="D239" s="3"/>
      <c r="E239" s="3"/>
      <c r="F239" s="3"/>
      <c r="G239" s="305">
        <f>'JULIO-18  '!I237</f>
        <v>0</v>
      </c>
      <c r="H239" s="51"/>
      <c r="I239" s="17"/>
      <c r="J239" s="45"/>
      <c r="K239" s="46"/>
    </row>
    <row r="240" spans="1:11" ht="20.25" customHeight="1">
      <c r="A240" s="11" t="s">
        <v>318</v>
      </c>
      <c r="B240" s="145" t="s">
        <v>322</v>
      </c>
      <c r="C240" s="55"/>
      <c r="D240" s="3" t="s">
        <v>11</v>
      </c>
      <c r="E240" s="3" t="s">
        <v>25</v>
      </c>
      <c r="F240" s="3" t="s">
        <v>26</v>
      </c>
      <c r="G240" s="305">
        <f>'JULIO-18  '!I238</f>
        <v>1000.0000000000002</v>
      </c>
      <c r="H240" s="51">
        <f>333.34</f>
        <v>333.34</v>
      </c>
      <c r="I240" s="17">
        <f t="shared" ref="I240:I274" si="4">G240-H240+J240-K240</f>
        <v>666.66000000000031</v>
      </c>
      <c r="J240" s="45"/>
      <c r="K240" s="46"/>
    </row>
    <row r="241" spans="1:11" ht="36.75" customHeight="1">
      <c r="A241" s="11" t="s">
        <v>1009</v>
      </c>
      <c r="B241" s="145" t="s">
        <v>1011</v>
      </c>
      <c r="C241" s="55"/>
      <c r="D241" s="3" t="s">
        <v>11</v>
      </c>
      <c r="E241" s="3" t="s">
        <v>25</v>
      </c>
      <c r="F241" s="3" t="s">
        <v>26</v>
      </c>
      <c r="G241" s="305">
        <f>'JULIO-18  '!I239</f>
        <v>400</v>
      </c>
      <c r="H241" s="51"/>
      <c r="I241" s="17">
        <f t="shared" si="4"/>
        <v>400</v>
      </c>
      <c r="J241" s="126"/>
      <c r="K241" s="46"/>
    </row>
    <row r="242" spans="1:11" ht="31.5" customHeight="1">
      <c r="A242" s="11" t="s">
        <v>319</v>
      </c>
      <c r="B242" s="145" t="s">
        <v>1010</v>
      </c>
      <c r="C242" s="55"/>
      <c r="D242" s="3" t="s">
        <v>11</v>
      </c>
      <c r="E242" s="3" t="s">
        <v>25</v>
      </c>
      <c r="F242" s="3" t="s">
        <v>26</v>
      </c>
      <c r="G242" s="305">
        <f>'JULIO-18  '!I240</f>
        <v>1728</v>
      </c>
      <c r="H242" s="51"/>
      <c r="I242" s="17">
        <f t="shared" si="4"/>
        <v>1728</v>
      </c>
      <c r="J242" s="45"/>
      <c r="K242" s="260"/>
    </row>
    <row r="243" spans="1:11" ht="20.25" customHeight="1">
      <c r="A243" s="11" t="s">
        <v>320</v>
      </c>
      <c r="B243" s="145" t="s">
        <v>324</v>
      </c>
      <c r="C243" s="55"/>
      <c r="D243" s="3" t="s">
        <v>11</v>
      </c>
      <c r="E243" s="3" t="s">
        <v>25</v>
      </c>
      <c r="F243" s="3" t="s">
        <v>26</v>
      </c>
      <c r="G243" s="305">
        <f>'JULIO-18  '!I241</f>
        <v>15.87</v>
      </c>
      <c r="H243" s="51"/>
      <c r="I243" s="17">
        <f t="shared" si="4"/>
        <v>15.87</v>
      </c>
      <c r="J243" s="45"/>
      <c r="K243" s="46"/>
    </row>
    <row r="244" spans="1:11" ht="29.25" customHeight="1">
      <c r="A244" s="11" t="s">
        <v>321</v>
      </c>
      <c r="B244" s="145" t="s">
        <v>325</v>
      </c>
      <c r="C244" s="55"/>
      <c r="D244" s="3" t="s">
        <v>11</v>
      </c>
      <c r="E244" s="3" t="s">
        <v>25</v>
      </c>
      <c r="F244" s="3" t="s">
        <v>26</v>
      </c>
      <c r="G244" s="305">
        <f>'JULIO-18  '!I242</f>
        <v>1980</v>
      </c>
      <c r="H244" s="51"/>
      <c r="I244" s="17">
        <f t="shared" si="4"/>
        <v>1980</v>
      </c>
      <c r="J244" s="45"/>
      <c r="K244" s="46"/>
    </row>
    <row r="245" spans="1:11" ht="66" customHeight="1">
      <c r="A245" s="271" t="s">
        <v>326</v>
      </c>
      <c r="B245" s="54" t="s">
        <v>327</v>
      </c>
      <c r="C245" s="55"/>
      <c r="D245" s="3"/>
      <c r="E245" s="3"/>
      <c r="F245" s="3"/>
      <c r="G245" s="305">
        <f>'JULIO-18  '!I243</f>
        <v>0</v>
      </c>
      <c r="H245" s="51"/>
      <c r="I245" s="17"/>
      <c r="J245" s="45"/>
      <c r="K245" s="46"/>
    </row>
    <row r="246" spans="1:11" ht="23.25" customHeight="1">
      <c r="A246" s="11" t="s">
        <v>328</v>
      </c>
      <c r="B246" s="145" t="s">
        <v>329</v>
      </c>
      <c r="C246" s="55"/>
      <c r="D246" s="3" t="s">
        <v>11</v>
      </c>
      <c r="E246" s="3" t="s">
        <v>25</v>
      </c>
      <c r="F246" s="3" t="s">
        <v>26</v>
      </c>
      <c r="G246" s="305">
        <f>'JULIO-18  '!I244</f>
        <v>0</v>
      </c>
      <c r="H246" s="51"/>
      <c r="I246" s="17">
        <f t="shared" si="4"/>
        <v>0</v>
      </c>
      <c r="J246" s="45"/>
      <c r="K246" s="324"/>
    </row>
    <row r="247" spans="1:11" ht="26.25" customHeight="1">
      <c r="A247" s="11" t="s">
        <v>330</v>
      </c>
      <c r="B247" s="145" t="s">
        <v>331</v>
      </c>
      <c r="C247" s="55"/>
      <c r="D247" s="3" t="s">
        <v>11</v>
      </c>
      <c r="E247" s="3" t="s">
        <v>25</v>
      </c>
      <c r="F247" s="3" t="s">
        <v>26</v>
      </c>
      <c r="G247" s="305">
        <f>'JULIO-18  '!I245</f>
        <v>0</v>
      </c>
      <c r="H247" s="51"/>
      <c r="I247" s="17">
        <f t="shared" si="4"/>
        <v>0</v>
      </c>
      <c r="J247" s="45"/>
      <c r="K247" s="324"/>
    </row>
    <row r="248" spans="1:11" ht="18.75" customHeight="1">
      <c r="A248" s="11" t="s">
        <v>332</v>
      </c>
      <c r="B248" s="145" t="s">
        <v>333</v>
      </c>
      <c r="C248" s="55"/>
      <c r="D248" s="3" t="s">
        <v>11</v>
      </c>
      <c r="E248" s="3" t="s">
        <v>25</v>
      </c>
      <c r="F248" s="3" t="s">
        <v>26</v>
      </c>
      <c r="G248" s="305">
        <f>'JULIO-18  '!I246</f>
        <v>0</v>
      </c>
      <c r="H248" s="51"/>
      <c r="I248" s="17">
        <f t="shared" si="4"/>
        <v>0</v>
      </c>
      <c r="J248" s="45"/>
      <c r="K248" s="324"/>
    </row>
    <row r="249" spans="1:11" ht="18" customHeight="1">
      <c r="A249" s="11" t="s">
        <v>334</v>
      </c>
      <c r="B249" s="145" t="s">
        <v>335</v>
      </c>
      <c r="C249" s="55"/>
      <c r="D249" s="3" t="s">
        <v>11</v>
      </c>
      <c r="E249" s="3" t="s">
        <v>25</v>
      </c>
      <c r="F249" s="3" t="s">
        <v>26</v>
      </c>
      <c r="G249" s="305">
        <f>'JULIO-18  '!I247</f>
        <v>0</v>
      </c>
      <c r="H249" s="51"/>
      <c r="I249" s="17">
        <f t="shared" si="4"/>
        <v>0</v>
      </c>
      <c r="J249" s="45"/>
      <c r="K249" s="324"/>
    </row>
    <row r="250" spans="1:11" ht="24.75" customHeight="1">
      <c r="A250" s="11" t="s">
        <v>336</v>
      </c>
      <c r="B250" s="145" t="s">
        <v>337</v>
      </c>
      <c r="C250" s="55"/>
      <c r="D250" s="3" t="s">
        <v>11</v>
      </c>
      <c r="E250" s="3" t="s">
        <v>25</v>
      </c>
      <c r="F250" s="3" t="s">
        <v>26</v>
      </c>
      <c r="G250" s="305">
        <f>'JULIO-18  '!I248</f>
        <v>0</v>
      </c>
      <c r="H250" s="51"/>
      <c r="I250" s="17">
        <f t="shared" si="4"/>
        <v>0</v>
      </c>
      <c r="J250" s="45"/>
      <c r="K250" s="324"/>
    </row>
    <row r="251" spans="1:11" ht="60.75" customHeight="1">
      <c r="A251" s="144" t="s">
        <v>338</v>
      </c>
      <c r="B251" s="54" t="s">
        <v>339</v>
      </c>
      <c r="C251" s="55" t="s">
        <v>1059</v>
      </c>
      <c r="D251" s="3"/>
      <c r="E251" s="3"/>
      <c r="F251" s="3"/>
      <c r="G251" s="305">
        <f>'JULIO-18  '!I249</f>
        <v>0</v>
      </c>
      <c r="H251" s="51"/>
      <c r="I251" s="17"/>
      <c r="J251" s="45"/>
      <c r="K251" s="46"/>
    </row>
    <row r="252" spans="1:11" ht="18.75" customHeight="1">
      <c r="A252" s="11" t="s">
        <v>340</v>
      </c>
      <c r="B252" s="145" t="s">
        <v>344</v>
      </c>
      <c r="C252" s="55"/>
      <c r="D252" s="3" t="s">
        <v>11</v>
      </c>
      <c r="E252" s="3" t="s">
        <v>25</v>
      </c>
      <c r="F252" s="3" t="s">
        <v>26</v>
      </c>
      <c r="G252" s="305">
        <f>'JULIO-18  '!I250</f>
        <v>0</v>
      </c>
      <c r="H252" s="51"/>
      <c r="I252" s="17">
        <f t="shared" si="4"/>
        <v>0</v>
      </c>
      <c r="J252" s="45"/>
      <c r="K252" s="280"/>
    </row>
    <row r="253" spans="1:11" ht="31.5" customHeight="1">
      <c r="A253" s="11" t="s">
        <v>341</v>
      </c>
      <c r="B253" s="145" t="s">
        <v>345</v>
      </c>
      <c r="C253" s="55" t="s">
        <v>1059</v>
      </c>
      <c r="D253" s="3" t="s">
        <v>11</v>
      </c>
      <c r="E253" s="3" t="s">
        <v>25</v>
      </c>
      <c r="F253" s="3" t="s">
        <v>26</v>
      </c>
      <c r="G253" s="305">
        <f>'JULIO-18  '!I251</f>
        <v>0</v>
      </c>
      <c r="H253" s="51"/>
      <c r="I253" s="17">
        <f t="shared" si="4"/>
        <v>0</v>
      </c>
      <c r="J253" s="45"/>
      <c r="K253" s="280"/>
    </row>
    <row r="254" spans="1:11" ht="20.25" customHeight="1">
      <c r="A254" s="11" t="s">
        <v>342</v>
      </c>
      <c r="B254" s="145" t="s">
        <v>346</v>
      </c>
      <c r="C254" s="55"/>
      <c r="D254" s="3" t="s">
        <v>11</v>
      </c>
      <c r="E254" s="3" t="s">
        <v>25</v>
      </c>
      <c r="F254" s="3" t="s">
        <v>26</v>
      </c>
      <c r="G254" s="305">
        <f>'JULIO-18  '!I252</f>
        <v>0</v>
      </c>
      <c r="H254" s="51"/>
      <c r="I254" s="17">
        <f t="shared" si="4"/>
        <v>0</v>
      </c>
      <c r="J254" s="45"/>
      <c r="K254" s="280"/>
    </row>
    <row r="255" spans="1:11" ht="24" customHeight="1">
      <c r="A255" s="11" t="s">
        <v>343</v>
      </c>
      <c r="B255" s="145" t="s">
        <v>347</v>
      </c>
      <c r="C255" s="55"/>
      <c r="D255" s="3" t="s">
        <v>11</v>
      </c>
      <c r="E255" s="3" t="s">
        <v>25</v>
      </c>
      <c r="F255" s="3" t="s">
        <v>26</v>
      </c>
      <c r="G255" s="305">
        <f>'JULIO-18  '!I253</f>
        <v>0</v>
      </c>
      <c r="H255" s="51"/>
      <c r="I255" s="17">
        <f t="shared" si="4"/>
        <v>0</v>
      </c>
      <c r="J255" s="45"/>
      <c r="K255" s="280"/>
    </row>
    <row r="256" spans="1:11" ht="70.5" customHeight="1">
      <c r="A256" s="144" t="s">
        <v>348</v>
      </c>
      <c r="B256" s="54" t="s">
        <v>349</v>
      </c>
      <c r="C256" s="55"/>
      <c r="D256" s="3"/>
      <c r="E256" s="3"/>
      <c r="F256" s="3"/>
      <c r="G256" s="305">
        <f>'JULIO-18  '!I254</f>
        <v>0</v>
      </c>
      <c r="H256" s="51"/>
      <c r="I256" s="17"/>
      <c r="J256" s="45"/>
      <c r="K256" s="46"/>
    </row>
    <row r="257" spans="1:11" ht="23.25" customHeight="1">
      <c r="A257" s="11" t="s">
        <v>350</v>
      </c>
      <c r="B257" s="145" t="s">
        <v>355</v>
      </c>
      <c r="C257" s="55"/>
      <c r="D257" s="3" t="s">
        <v>11</v>
      </c>
      <c r="E257" s="3" t="s">
        <v>25</v>
      </c>
      <c r="F257" s="3" t="s">
        <v>26</v>
      </c>
      <c r="G257" s="305">
        <f>'JULIO-18  '!I255</f>
        <v>3000</v>
      </c>
      <c r="H257" s="51"/>
      <c r="I257" s="17">
        <f t="shared" si="4"/>
        <v>0</v>
      </c>
      <c r="J257" s="45"/>
      <c r="K257" s="324">
        <v>3000</v>
      </c>
    </row>
    <row r="258" spans="1:11" ht="22.5" customHeight="1">
      <c r="A258" s="11" t="s">
        <v>351</v>
      </c>
      <c r="B258" s="145" t="s">
        <v>354</v>
      </c>
      <c r="C258" s="55"/>
      <c r="D258" s="3" t="s">
        <v>11</v>
      </c>
      <c r="E258" s="3" t="s">
        <v>25</v>
      </c>
      <c r="F258" s="3" t="s">
        <v>26</v>
      </c>
      <c r="G258" s="305">
        <f>'JULIO-18  '!I256</f>
        <v>1000</v>
      </c>
      <c r="H258" s="51"/>
      <c r="I258" s="17">
        <f t="shared" si="4"/>
        <v>0</v>
      </c>
      <c r="J258" s="45"/>
      <c r="K258" s="324">
        <v>1000</v>
      </c>
    </row>
    <row r="259" spans="1:11" ht="24.75" customHeight="1">
      <c r="A259" s="11" t="s">
        <v>352</v>
      </c>
      <c r="B259" s="145" t="s">
        <v>356</v>
      </c>
      <c r="C259" s="55"/>
      <c r="D259" s="3" t="s">
        <v>11</v>
      </c>
      <c r="E259" s="3" t="s">
        <v>25</v>
      </c>
      <c r="F259" s="3" t="s">
        <v>26</v>
      </c>
      <c r="G259" s="305">
        <f>'JULIO-18  '!I257</f>
        <v>18.7</v>
      </c>
      <c r="H259" s="51"/>
      <c r="I259" s="17">
        <f t="shared" si="4"/>
        <v>0</v>
      </c>
      <c r="J259" s="45"/>
      <c r="K259" s="385">
        <v>18.7</v>
      </c>
    </row>
    <row r="260" spans="1:11" ht="24.75" customHeight="1">
      <c r="A260" s="11" t="s">
        <v>353</v>
      </c>
      <c r="B260" s="145" t="s">
        <v>357</v>
      </c>
      <c r="C260" s="55"/>
      <c r="D260" s="3" t="s">
        <v>11</v>
      </c>
      <c r="E260" s="3" t="s">
        <v>25</v>
      </c>
      <c r="F260" s="3" t="s">
        <v>26</v>
      </c>
      <c r="G260" s="305">
        <f>'JULIO-18  '!I258</f>
        <v>980</v>
      </c>
      <c r="H260" s="51"/>
      <c r="I260" s="17">
        <f t="shared" si="4"/>
        <v>0</v>
      </c>
      <c r="J260" s="45"/>
      <c r="K260" s="385">
        <v>980</v>
      </c>
    </row>
    <row r="261" spans="1:11" ht="59.25" customHeight="1">
      <c r="A261" s="144" t="s">
        <v>358</v>
      </c>
      <c r="B261" s="54" t="s">
        <v>359</v>
      </c>
      <c r="C261" s="55"/>
      <c r="D261" s="3"/>
      <c r="E261" s="3"/>
      <c r="F261" s="3"/>
      <c r="G261" s="305">
        <f>'JULIO-18  '!I259</f>
        <v>0</v>
      </c>
      <c r="H261" s="51"/>
      <c r="I261" s="17"/>
      <c r="J261" s="45"/>
      <c r="K261" s="46"/>
    </row>
    <row r="262" spans="1:11" ht="18.75" customHeight="1">
      <c r="A262" s="11" t="s">
        <v>361</v>
      </c>
      <c r="B262" s="146" t="s">
        <v>360</v>
      </c>
      <c r="C262" s="55"/>
      <c r="D262" s="3" t="s">
        <v>11</v>
      </c>
      <c r="E262" s="3" t="s">
        <v>25</v>
      </c>
      <c r="F262" s="3" t="s">
        <v>26</v>
      </c>
      <c r="G262" s="305">
        <f>'JULIO-18  '!I260</f>
        <v>3000</v>
      </c>
      <c r="H262" s="51"/>
      <c r="I262" s="17">
        <f t="shared" si="4"/>
        <v>3000</v>
      </c>
      <c r="J262" s="45"/>
      <c r="K262" s="46"/>
    </row>
    <row r="263" spans="1:11" ht="18.75" customHeight="1">
      <c r="A263" s="11" t="s">
        <v>362</v>
      </c>
      <c r="B263" s="145" t="s">
        <v>365</v>
      </c>
      <c r="C263" s="55"/>
      <c r="D263" s="3" t="s">
        <v>11</v>
      </c>
      <c r="E263" s="3" t="s">
        <v>25</v>
      </c>
      <c r="F263" s="3" t="s">
        <v>26</v>
      </c>
      <c r="G263" s="305">
        <f>'JULIO-18  '!I261</f>
        <v>500</v>
      </c>
      <c r="H263" s="51"/>
      <c r="I263" s="17">
        <f t="shared" si="4"/>
        <v>500</v>
      </c>
      <c r="J263" s="45"/>
      <c r="K263" s="46"/>
    </row>
    <row r="264" spans="1:11" ht="24.75" customHeight="1">
      <c r="A264" s="11" t="s">
        <v>363</v>
      </c>
      <c r="B264" s="145" t="s">
        <v>366</v>
      </c>
      <c r="C264" s="55"/>
      <c r="D264" s="3" t="s">
        <v>11</v>
      </c>
      <c r="E264" s="3" t="s">
        <v>25</v>
      </c>
      <c r="F264" s="3" t="s">
        <v>26</v>
      </c>
      <c r="G264" s="305">
        <f>'JULIO-18  '!I262</f>
        <v>200</v>
      </c>
      <c r="H264" s="51"/>
      <c r="I264" s="17">
        <f t="shared" si="4"/>
        <v>200</v>
      </c>
      <c r="J264" s="45"/>
      <c r="K264" s="46"/>
    </row>
    <row r="265" spans="1:11" ht="28.5" customHeight="1">
      <c r="A265" s="11" t="s">
        <v>364</v>
      </c>
      <c r="B265" s="146" t="s">
        <v>367</v>
      </c>
      <c r="C265" s="55"/>
      <c r="D265" s="3" t="s">
        <v>11</v>
      </c>
      <c r="E265" s="3" t="s">
        <v>25</v>
      </c>
      <c r="F265" s="3" t="s">
        <v>26</v>
      </c>
      <c r="G265" s="305">
        <f>'JULIO-18  '!I263</f>
        <v>7280</v>
      </c>
      <c r="H265" s="51"/>
      <c r="I265" s="17">
        <f t="shared" si="4"/>
        <v>7280</v>
      </c>
      <c r="J265" s="45"/>
      <c r="K265" s="46"/>
    </row>
    <row r="266" spans="1:11" ht="27.75" customHeight="1">
      <c r="A266" s="11" t="s">
        <v>368</v>
      </c>
      <c r="B266" s="145" t="s">
        <v>369</v>
      </c>
      <c r="C266" s="55"/>
      <c r="D266" s="3" t="s">
        <v>11</v>
      </c>
      <c r="E266" s="3" t="s">
        <v>25</v>
      </c>
      <c r="F266" s="3" t="s">
        <v>26</v>
      </c>
      <c r="G266" s="305">
        <f>'JULIO-18  '!I264</f>
        <v>3000</v>
      </c>
      <c r="H266" s="51"/>
      <c r="I266" s="17">
        <f t="shared" si="4"/>
        <v>3000</v>
      </c>
      <c r="J266" s="45"/>
      <c r="K266" s="46"/>
    </row>
    <row r="267" spans="1:11" ht="23.25" customHeight="1">
      <c r="A267" s="11" t="s">
        <v>370</v>
      </c>
      <c r="B267" s="145" t="s">
        <v>371</v>
      </c>
      <c r="C267" s="55"/>
      <c r="D267" s="3" t="s">
        <v>11</v>
      </c>
      <c r="E267" s="3" t="s">
        <v>25</v>
      </c>
      <c r="F267" s="3" t="s">
        <v>26</v>
      </c>
      <c r="G267" s="305">
        <f>'JULIO-18  '!I265</f>
        <v>1000</v>
      </c>
      <c r="H267" s="51"/>
      <c r="I267" s="17">
        <f t="shared" si="4"/>
        <v>1000</v>
      </c>
      <c r="J267" s="45"/>
      <c r="K267" s="46"/>
    </row>
    <row r="268" spans="1:11" ht="24" customHeight="1">
      <c r="A268" s="11" t="s">
        <v>372</v>
      </c>
      <c r="B268" s="145" t="s">
        <v>373</v>
      </c>
      <c r="C268" s="55"/>
      <c r="D268" s="3" t="s">
        <v>11</v>
      </c>
      <c r="E268" s="3" t="s">
        <v>25</v>
      </c>
      <c r="F268" s="3" t="s">
        <v>26</v>
      </c>
      <c r="G268" s="305">
        <f>'JULIO-18  '!I266</f>
        <v>18.7</v>
      </c>
      <c r="H268" s="51"/>
      <c r="I268" s="17">
        <f t="shared" si="4"/>
        <v>18.7</v>
      </c>
      <c r="J268" s="45"/>
      <c r="K268" s="46"/>
    </row>
    <row r="269" spans="1:11" ht="69" customHeight="1">
      <c r="A269" s="144" t="s">
        <v>374</v>
      </c>
      <c r="B269" s="54" t="s">
        <v>375</v>
      </c>
      <c r="C269" s="55"/>
      <c r="D269" s="3"/>
      <c r="E269" s="3"/>
      <c r="F269" s="3"/>
      <c r="G269" s="305">
        <f>'JULIO-18  '!I267</f>
        <v>0</v>
      </c>
      <c r="H269" s="51"/>
      <c r="I269" s="17"/>
      <c r="J269" s="45"/>
      <c r="K269" s="46"/>
    </row>
    <row r="270" spans="1:11" ht="24" customHeight="1">
      <c r="A270" s="11" t="s">
        <v>376</v>
      </c>
      <c r="B270" s="146" t="s">
        <v>377</v>
      </c>
      <c r="C270" s="55"/>
      <c r="D270" s="3" t="s">
        <v>11</v>
      </c>
      <c r="E270" s="3" t="s">
        <v>25</v>
      </c>
      <c r="F270" s="3" t="s">
        <v>26</v>
      </c>
      <c r="G270" s="305">
        <f>'JULIO-18  '!I268</f>
        <v>4000</v>
      </c>
      <c r="H270" s="51"/>
      <c r="I270" s="17">
        <f t="shared" si="4"/>
        <v>0</v>
      </c>
      <c r="J270" s="45"/>
      <c r="K270" s="324">
        <v>4000</v>
      </c>
    </row>
    <row r="271" spans="1:11" ht="28.5" customHeight="1">
      <c r="A271" s="11" t="s">
        <v>383</v>
      </c>
      <c r="B271" s="145" t="s">
        <v>378</v>
      </c>
      <c r="C271" s="55"/>
      <c r="D271" s="3" t="s">
        <v>11</v>
      </c>
      <c r="E271" s="3" t="s">
        <v>25</v>
      </c>
      <c r="F271" s="3" t="s">
        <v>26</v>
      </c>
      <c r="G271" s="305">
        <f>'JULIO-18  '!I269</f>
        <v>200</v>
      </c>
      <c r="H271" s="51"/>
      <c r="I271" s="17">
        <f t="shared" si="4"/>
        <v>0</v>
      </c>
      <c r="J271" s="45"/>
      <c r="K271" s="324">
        <v>200</v>
      </c>
    </row>
    <row r="272" spans="1:11" ht="33" customHeight="1">
      <c r="A272" s="11" t="s">
        <v>384</v>
      </c>
      <c r="B272" s="146" t="s">
        <v>379</v>
      </c>
      <c r="C272" s="55"/>
      <c r="D272" s="3" t="s">
        <v>11</v>
      </c>
      <c r="E272" s="3" t="s">
        <v>25</v>
      </c>
      <c r="F272" s="3" t="s">
        <v>26</v>
      </c>
      <c r="G272" s="305">
        <f>'JULIO-18  '!I270</f>
        <v>3000</v>
      </c>
      <c r="H272" s="51"/>
      <c r="I272" s="17">
        <f t="shared" si="4"/>
        <v>0</v>
      </c>
      <c r="J272" s="45"/>
      <c r="K272" s="324">
        <v>3000</v>
      </c>
    </row>
    <row r="273" spans="1:11" ht="41.25" customHeight="1">
      <c r="A273" s="11" t="s">
        <v>385</v>
      </c>
      <c r="B273" s="145" t="s">
        <v>380</v>
      </c>
      <c r="C273" s="55"/>
      <c r="D273" s="3" t="s">
        <v>11</v>
      </c>
      <c r="E273" s="3" t="s">
        <v>25</v>
      </c>
      <c r="F273" s="3" t="s">
        <v>26</v>
      </c>
      <c r="G273" s="305">
        <f>'JULIO-18  '!I271</f>
        <v>1000</v>
      </c>
      <c r="H273" s="51"/>
      <c r="I273" s="17">
        <f t="shared" si="4"/>
        <v>0</v>
      </c>
      <c r="J273" s="45"/>
      <c r="K273" s="324">
        <v>1000</v>
      </c>
    </row>
    <row r="274" spans="1:11" ht="30" customHeight="1">
      <c r="A274" s="11" t="s">
        <v>386</v>
      </c>
      <c r="B274" s="145" t="s">
        <v>381</v>
      </c>
      <c r="C274" s="55"/>
      <c r="D274" s="3" t="s">
        <v>11</v>
      </c>
      <c r="E274" s="3" t="s">
        <v>25</v>
      </c>
      <c r="F274" s="3" t="s">
        <v>26</v>
      </c>
      <c r="G274" s="305">
        <f>'JULIO-18  '!I272</f>
        <v>1780</v>
      </c>
      <c r="H274" s="51"/>
      <c r="I274" s="17">
        <f t="shared" si="4"/>
        <v>1464.83</v>
      </c>
      <c r="J274" s="45"/>
      <c r="K274" s="324">
        <v>315.17</v>
      </c>
    </row>
    <row r="275" spans="1:11" ht="27" customHeight="1">
      <c r="A275" s="11" t="s">
        <v>387</v>
      </c>
      <c r="B275" s="145" t="s">
        <v>382</v>
      </c>
      <c r="C275" s="6"/>
      <c r="D275" s="3" t="s">
        <v>11</v>
      </c>
      <c r="E275" s="3" t="s">
        <v>25</v>
      </c>
      <c r="F275" s="3" t="s">
        <v>26</v>
      </c>
      <c r="G275" s="305">
        <f>'JULIO-18  '!I273</f>
        <v>20</v>
      </c>
      <c r="H275" s="51"/>
      <c r="I275" s="17">
        <f t="shared" si="3"/>
        <v>20</v>
      </c>
      <c r="J275" s="45"/>
      <c r="K275" s="46"/>
    </row>
    <row r="276" spans="1:11" ht="143.25" customHeight="1">
      <c r="A276" s="144" t="s">
        <v>388</v>
      </c>
      <c r="B276" s="54" t="s">
        <v>391</v>
      </c>
      <c r="C276" s="55"/>
      <c r="D276" s="14"/>
      <c r="E276" s="14"/>
      <c r="F276" s="14"/>
      <c r="G276" s="305">
        <f>'JULIO-18  '!I274</f>
        <v>0</v>
      </c>
      <c r="H276" s="51"/>
      <c r="I276" s="17"/>
      <c r="J276" s="62"/>
      <c r="K276" s="63"/>
    </row>
    <row r="277" spans="1:11" ht="29.25">
      <c r="A277" s="11" t="s">
        <v>389</v>
      </c>
      <c r="B277" s="54" t="s">
        <v>390</v>
      </c>
      <c r="C277" s="55"/>
      <c r="D277" s="14" t="s">
        <v>11</v>
      </c>
      <c r="E277" s="14" t="s">
        <v>25</v>
      </c>
      <c r="F277" s="14" t="s">
        <v>26</v>
      </c>
      <c r="G277" s="305">
        <f>'JULIO-18  '!I275</f>
        <v>5000</v>
      </c>
      <c r="H277" s="51"/>
      <c r="I277" s="17">
        <f t="shared" si="3"/>
        <v>0</v>
      </c>
      <c r="J277" s="62"/>
      <c r="K277" s="324">
        <v>5000</v>
      </c>
    </row>
    <row r="278" spans="1:11" ht="68.25" customHeight="1">
      <c r="A278" s="144" t="s">
        <v>392</v>
      </c>
      <c r="B278" s="54" t="s">
        <v>393</v>
      </c>
      <c r="C278" s="343" t="s">
        <v>1114</v>
      </c>
      <c r="D278" s="14"/>
      <c r="E278" s="14"/>
      <c r="F278" s="14"/>
      <c r="G278" s="305">
        <f>'JULIO-18  '!I276</f>
        <v>0</v>
      </c>
      <c r="H278" s="51"/>
      <c r="I278" s="17"/>
      <c r="J278" s="62"/>
      <c r="K278" s="63"/>
    </row>
    <row r="279" spans="1:11">
      <c r="A279" s="11">
        <v>51999</v>
      </c>
      <c r="B279" s="54" t="s">
        <v>394</v>
      </c>
      <c r="C279" s="55"/>
      <c r="D279" s="14" t="s">
        <v>11</v>
      </c>
      <c r="E279" s="14" t="s">
        <v>25</v>
      </c>
      <c r="F279" s="14" t="s">
        <v>26</v>
      </c>
      <c r="G279" s="305">
        <f>'JULIO-18  '!I277</f>
        <v>725</v>
      </c>
      <c r="H279" s="51"/>
      <c r="I279" s="17">
        <f t="shared" si="3"/>
        <v>725</v>
      </c>
      <c r="J279" s="108"/>
      <c r="K279" s="63"/>
    </row>
    <row r="280" spans="1:11" ht="29.25">
      <c r="A280" s="11">
        <v>54112</v>
      </c>
      <c r="B280" s="54" t="s">
        <v>395</v>
      </c>
      <c r="C280" s="55"/>
      <c r="D280" s="14" t="s">
        <v>11</v>
      </c>
      <c r="E280" s="14" t="s">
        <v>25</v>
      </c>
      <c r="F280" s="14" t="s">
        <v>26</v>
      </c>
      <c r="G280" s="305">
        <f>'JULIO-18  '!I278</f>
        <v>2000</v>
      </c>
      <c r="H280" s="51"/>
      <c r="I280" s="17">
        <f t="shared" si="3"/>
        <v>2000</v>
      </c>
      <c r="J280" s="62"/>
      <c r="K280" s="63"/>
    </row>
    <row r="281" spans="1:11" ht="29.25">
      <c r="A281" s="11">
        <v>54199</v>
      </c>
      <c r="B281" s="54" t="s">
        <v>396</v>
      </c>
      <c r="C281" s="55"/>
      <c r="D281" s="14" t="s">
        <v>11</v>
      </c>
      <c r="E281" s="14" t="s">
        <v>25</v>
      </c>
      <c r="F281" s="14" t="s">
        <v>26</v>
      </c>
      <c r="G281" s="305">
        <f>'JULIO-18  '!I279</f>
        <v>1000</v>
      </c>
      <c r="H281" s="51"/>
      <c r="I281" s="17">
        <f t="shared" ref="I281:I338" si="5">G281-H281+J281-K281</f>
        <v>1000</v>
      </c>
      <c r="J281" s="62"/>
      <c r="K281" s="63"/>
    </row>
    <row r="282" spans="1:11">
      <c r="A282" s="11">
        <v>54305</v>
      </c>
      <c r="B282" s="54" t="s">
        <v>397</v>
      </c>
      <c r="C282" s="55"/>
      <c r="D282" s="14" t="s">
        <v>11</v>
      </c>
      <c r="E282" s="14" t="s">
        <v>25</v>
      </c>
      <c r="F282" s="14" t="s">
        <v>26</v>
      </c>
      <c r="G282" s="305">
        <f>'JULIO-18  '!I280</f>
        <v>5091.2</v>
      </c>
      <c r="H282" s="51"/>
      <c r="I282" s="17">
        <f t="shared" si="5"/>
        <v>5091.2</v>
      </c>
      <c r="J282" s="62"/>
      <c r="K282" s="108"/>
    </row>
    <row r="283" spans="1:11" ht="30">
      <c r="A283" s="11">
        <v>54313</v>
      </c>
      <c r="B283" s="54" t="s">
        <v>398</v>
      </c>
      <c r="C283" s="55" t="s">
        <v>1064</v>
      </c>
      <c r="D283" s="14" t="s">
        <v>11</v>
      </c>
      <c r="E283" s="14" t="s">
        <v>25</v>
      </c>
      <c r="F283" s="14" t="s">
        <v>26</v>
      </c>
      <c r="G283" s="305">
        <f>'JULIO-18  '!I281</f>
        <v>267</v>
      </c>
      <c r="H283" s="51"/>
      <c r="I283" s="17">
        <f t="shared" si="5"/>
        <v>267</v>
      </c>
      <c r="J283" s="62"/>
      <c r="K283" s="63"/>
    </row>
    <row r="284" spans="1:11" ht="30">
      <c r="A284" s="11">
        <v>54399</v>
      </c>
      <c r="B284" s="54" t="s">
        <v>399</v>
      </c>
      <c r="C284" s="55"/>
      <c r="D284" s="14" t="s">
        <v>11</v>
      </c>
      <c r="E284" s="14" t="s">
        <v>25</v>
      </c>
      <c r="F284" s="14" t="s">
        <v>26</v>
      </c>
      <c r="G284" s="305">
        <f>'JULIO-18  '!I282</f>
        <v>2000</v>
      </c>
      <c r="H284" s="51"/>
      <c r="I284" s="17">
        <f t="shared" si="5"/>
        <v>440</v>
      </c>
      <c r="J284" s="62"/>
      <c r="K284" s="387">
        <v>1560</v>
      </c>
    </row>
    <row r="285" spans="1:11" ht="30">
      <c r="A285" s="11">
        <v>55603</v>
      </c>
      <c r="B285" s="54" t="s">
        <v>400</v>
      </c>
      <c r="C285" s="55"/>
      <c r="D285" s="14" t="s">
        <v>11</v>
      </c>
      <c r="E285" s="14" t="s">
        <v>25</v>
      </c>
      <c r="F285" s="14" t="s">
        <v>26</v>
      </c>
      <c r="G285" s="305">
        <f>'JULIO-18  '!I283</f>
        <v>14.17</v>
      </c>
      <c r="H285" s="51"/>
      <c r="I285" s="17">
        <f t="shared" si="5"/>
        <v>14.17</v>
      </c>
      <c r="J285" s="62"/>
      <c r="K285" s="63"/>
    </row>
    <row r="286" spans="1:11" ht="29.25">
      <c r="A286" s="11">
        <v>61101</v>
      </c>
      <c r="B286" s="54" t="s">
        <v>1183</v>
      </c>
      <c r="C286" s="55"/>
      <c r="D286" s="14" t="s">
        <v>11</v>
      </c>
      <c r="E286" s="14" t="s">
        <v>25</v>
      </c>
      <c r="F286" s="14" t="s">
        <v>1181</v>
      </c>
      <c r="G286" s="305">
        <f>'JULIO-18  '!I284</f>
        <v>0</v>
      </c>
      <c r="H286" s="51">
        <v>1560</v>
      </c>
      <c r="I286" s="17">
        <f>G286-H286+J286-K286</f>
        <v>0</v>
      </c>
      <c r="J286" s="108">
        <v>1560</v>
      </c>
      <c r="K286" s="63"/>
    </row>
    <row r="287" spans="1:11" ht="75.75" customHeight="1">
      <c r="A287" s="144" t="s">
        <v>401</v>
      </c>
      <c r="B287" s="54" t="s">
        <v>402</v>
      </c>
      <c r="C287" s="55" t="s">
        <v>1063</v>
      </c>
      <c r="D287" s="14"/>
      <c r="E287" s="14"/>
      <c r="F287" s="14"/>
      <c r="G287" s="305">
        <f>'JULIO-18  '!I284</f>
        <v>0</v>
      </c>
      <c r="H287" s="51"/>
      <c r="I287" s="17"/>
      <c r="J287" s="62"/>
      <c r="K287" s="63"/>
    </row>
    <row r="288" spans="1:11" ht="20.25" customHeight="1">
      <c r="A288" s="147">
        <v>54119</v>
      </c>
      <c r="B288" s="145" t="s">
        <v>403</v>
      </c>
      <c r="C288" s="55" t="s">
        <v>1063</v>
      </c>
      <c r="D288" s="14" t="s">
        <v>11</v>
      </c>
      <c r="E288" s="14" t="s">
        <v>25</v>
      </c>
      <c r="F288" s="14" t="s">
        <v>26</v>
      </c>
      <c r="G288" s="305">
        <f>'JULIO-18  '!I285</f>
        <v>751.02999999999884</v>
      </c>
      <c r="H288" s="51">
        <f>7250</f>
        <v>7250</v>
      </c>
      <c r="I288" s="386">
        <f t="shared" si="5"/>
        <v>-9.0949470177292824E-13</v>
      </c>
      <c r="J288" s="108">
        <v>6498.97</v>
      </c>
      <c r="K288" s="63"/>
    </row>
    <row r="289" spans="1:11" ht="39.75" customHeight="1">
      <c r="A289" s="147">
        <v>51999</v>
      </c>
      <c r="B289" s="145" t="s">
        <v>1051</v>
      </c>
      <c r="C289" s="55" t="s">
        <v>1063</v>
      </c>
      <c r="D289" s="14" t="s">
        <v>11</v>
      </c>
      <c r="E289" s="14" t="s">
        <v>25</v>
      </c>
      <c r="F289" s="14" t="s">
        <v>26</v>
      </c>
      <c r="G289" s="305">
        <f>'JULIO-18  '!I286</f>
        <v>3.6700000000000728</v>
      </c>
      <c r="H289" s="51"/>
      <c r="I289" s="17">
        <f t="shared" si="5"/>
        <v>7.2830630415410269E-14</v>
      </c>
      <c r="J289" s="108"/>
      <c r="K289" s="387">
        <v>3.67</v>
      </c>
    </row>
    <row r="290" spans="1:11" ht="24">
      <c r="A290" s="147">
        <v>54112</v>
      </c>
      <c r="B290" s="145" t="s">
        <v>404</v>
      </c>
      <c r="C290" s="55"/>
      <c r="D290" s="14" t="s">
        <v>11</v>
      </c>
      <c r="E290" s="14" t="s">
        <v>25</v>
      </c>
      <c r="F290" s="14" t="s">
        <v>26</v>
      </c>
      <c r="G290" s="305">
        <f>'JULIO-18  '!I287</f>
        <v>0</v>
      </c>
      <c r="H290" s="51"/>
      <c r="I290" s="17">
        <f t="shared" si="5"/>
        <v>0</v>
      </c>
      <c r="J290" s="62"/>
      <c r="K290" s="387"/>
    </row>
    <row r="291" spans="1:11" ht="22.5" customHeight="1">
      <c r="A291" s="147">
        <v>54199</v>
      </c>
      <c r="B291" s="145" t="s">
        <v>405</v>
      </c>
      <c r="C291" s="55"/>
      <c r="D291" s="14" t="s">
        <v>11</v>
      </c>
      <c r="E291" s="14" t="s">
        <v>25</v>
      </c>
      <c r="F291" s="14" t="s">
        <v>26</v>
      </c>
      <c r="G291" s="305">
        <f>'JULIO-18  '!I288</f>
        <v>0</v>
      </c>
      <c r="H291" s="51"/>
      <c r="I291" s="17">
        <f t="shared" si="5"/>
        <v>0</v>
      </c>
      <c r="J291" s="62"/>
      <c r="K291" s="387"/>
    </row>
    <row r="292" spans="1:11" ht="24">
      <c r="A292" s="147">
        <v>54399</v>
      </c>
      <c r="B292" s="145" t="s">
        <v>406</v>
      </c>
      <c r="C292" s="55"/>
      <c r="D292" s="14" t="s">
        <v>11</v>
      </c>
      <c r="E292" s="14" t="s">
        <v>25</v>
      </c>
      <c r="F292" s="14" t="s">
        <v>26</v>
      </c>
      <c r="G292" s="305">
        <f>'JULIO-18  '!I289</f>
        <v>180</v>
      </c>
      <c r="H292" s="51"/>
      <c r="I292" s="17">
        <f t="shared" si="5"/>
        <v>0</v>
      </c>
      <c r="J292" s="62"/>
      <c r="K292" s="387">
        <v>180</v>
      </c>
    </row>
    <row r="293" spans="1:11" ht="23.25" customHeight="1">
      <c r="A293" s="147">
        <v>55603</v>
      </c>
      <c r="B293" s="145" t="s">
        <v>407</v>
      </c>
      <c r="C293" s="55"/>
      <c r="D293" s="14" t="s">
        <v>11</v>
      </c>
      <c r="E293" s="14" t="s">
        <v>25</v>
      </c>
      <c r="F293" s="14" t="s">
        <v>26</v>
      </c>
      <c r="G293" s="305">
        <f>'JULIO-18  '!I290</f>
        <v>6.9999999999999991</v>
      </c>
      <c r="H293" s="309"/>
      <c r="I293" s="17">
        <f t="shared" si="5"/>
        <v>0</v>
      </c>
      <c r="J293" s="62"/>
      <c r="K293" s="387">
        <v>7</v>
      </c>
    </row>
    <row r="294" spans="1:11" s="213" customFormat="1" ht="66.75" customHeight="1">
      <c r="A294" s="144" t="s">
        <v>408</v>
      </c>
      <c r="B294" s="54" t="s">
        <v>409</v>
      </c>
      <c r="C294" s="378" t="s">
        <v>1141</v>
      </c>
      <c r="D294" s="14"/>
      <c r="E294" s="14"/>
      <c r="F294" s="14"/>
      <c r="G294" s="305">
        <f>'JULIO-18  '!I291</f>
        <v>0</v>
      </c>
      <c r="H294" s="51"/>
      <c r="I294" s="17"/>
      <c r="J294" s="62"/>
      <c r="K294" s="63"/>
    </row>
    <row r="295" spans="1:11" ht="29.25">
      <c r="A295" s="11">
        <v>51999</v>
      </c>
      <c r="B295" s="54" t="s">
        <v>410</v>
      </c>
      <c r="C295" s="55"/>
      <c r="D295" s="14" t="s">
        <v>11</v>
      </c>
      <c r="E295" s="14" t="s">
        <v>25</v>
      </c>
      <c r="F295" s="14" t="s">
        <v>26</v>
      </c>
      <c r="G295" s="305">
        <f>'JULIO-18  '!I292</f>
        <v>1973.33</v>
      </c>
      <c r="H295" s="51">
        <f>505</f>
        <v>505</v>
      </c>
      <c r="I295" s="17">
        <f t="shared" si="5"/>
        <v>1468.33</v>
      </c>
      <c r="J295" s="62"/>
      <c r="K295" s="63"/>
    </row>
    <row r="296" spans="1:11" ht="29.25">
      <c r="A296" s="11">
        <v>54111</v>
      </c>
      <c r="B296" s="54" t="s">
        <v>411</v>
      </c>
      <c r="C296" s="55" t="s">
        <v>1142</v>
      </c>
      <c r="D296" s="14" t="s">
        <v>11</v>
      </c>
      <c r="E296" s="14" t="s">
        <v>25</v>
      </c>
      <c r="F296" s="14" t="s">
        <v>26</v>
      </c>
      <c r="G296" s="305">
        <f>'JULIO-18  '!I293</f>
        <v>2294.33</v>
      </c>
      <c r="H296" s="51">
        <f>19</f>
        <v>19</v>
      </c>
      <c r="I296" s="17">
        <f t="shared" si="5"/>
        <v>2275.33</v>
      </c>
      <c r="J296" s="62"/>
      <c r="K296" s="320"/>
    </row>
    <row r="297" spans="1:11" ht="29.25">
      <c r="A297" s="11">
        <v>54112</v>
      </c>
      <c r="B297" s="54" t="s">
        <v>412</v>
      </c>
      <c r="C297" s="55"/>
      <c r="D297" s="14" t="s">
        <v>11</v>
      </c>
      <c r="E297" s="14" t="s">
        <v>25</v>
      </c>
      <c r="F297" s="14" t="s">
        <v>26</v>
      </c>
      <c r="G297" s="305">
        <f>'JULIO-18  '!I294</f>
        <v>1969.55</v>
      </c>
      <c r="H297" s="51">
        <f>8.75</f>
        <v>8.75</v>
      </c>
      <c r="I297" s="17">
        <f t="shared" si="5"/>
        <v>1960.8</v>
      </c>
      <c r="J297" s="62"/>
      <c r="K297" s="320"/>
    </row>
    <row r="298" spans="1:11" ht="30">
      <c r="A298" s="11">
        <v>54118</v>
      </c>
      <c r="B298" s="54" t="s">
        <v>413</v>
      </c>
      <c r="C298" s="55" t="s">
        <v>1142</v>
      </c>
      <c r="D298" s="14" t="s">
        <v>11</v>
      </c>
      <c r="E298" s="14" t="s">
        <v>25</v>
      </c>
      <c r="F298" s="14" t="s">
        <v>26</v>
      </c>
      <c r="G298" s="305">
        <f>'JULIO-18  '!I295</f>
        <v>2097.9499999999998</v>
      </c>
      <c r="H298" s="51">
        <f>10</f>
        <v>10</v>
      </c>
      <c r="I298" s="17">
        <f t="shared" si="5"/>
        <v>2087.9499999999998</v>
      </c>
      <c r="J298" s="62"/>
      <c r="K298" s="320"/>
    </row>
    <row r="299" spans="1:11" ht="29.25">
      <c r="A299" s="11">
        <v>54199</v>
      </c>
      <c r="B299" s="54" t="s">
        <v>414</v>
      </c>
      <c r="C299" s="55"/>
      <c r="D299" s="14" t="s">
        <v>11</v>
      </c>
      <c r="E299" s="14" t="s">
        <v>25</v>
      </c>
      <c r="F299" s="14" t="s">
        <v>26</v>
      </c>
      <c r="G299" s="305">
        <f>'JULIO-18  '!I296</f>
        <v>987</v>
      </c>
      <c r="H299" s="51">
        <f>305.12</f>
        <v>305.12</v>
      </c>
      <c r="I299" s="17">
        <f t="shared" si="5"/>
        <v>681.88</v>
      </c>
      <c r="J299" s="62"/>
      <c r="K299" s="320"/>
    </row>
    <row r="300" spans="1:11" ht="30">
      <c r="A300" s="11">
        <v>54301</v>
      </c>
      <c r="B300" s="54" t="s">
        <v>415</v>
      </c>
      <c r="C300" s="55" t="s">
        <v>1142</v>
      </c>
      <c r="D300" s="14" t="s">
        <v>11</v>
      </c>
      <c r="E300" s="14" t="s">
        <v>25</v>
      </c>
      <c r="F300" s="14" t="s">
        <v>26</v>
      </c>
      <c r="G300" s="305">
        <f>'JULIO-18  '!I297</f>
        <v>493.25000000000023</v>
      </c>
      <c r="H300" s="51"/>
      <c r="I300" s="17">
        <f t="shared" si="5"/>
        <v>493.25000000000023</v>
      </c>
      <c r="J300" s="62"/>
      <c r="K300" s="320"/>
    </row>
    <row r="301" spans="1:11" ht="29.25">
      <c r="A301" s="11">
        <v>54316</v>
      </c>
      <c r="B301" s="54" t="s">
        <v>1146</v>
      </c>
      <c r="C301" s="55" t="s">
        <v>1142</v>
      </c>
      <c r="D301" s="14" t="s">
        <v>11</v>
      </c>
      <c r="E301" s="14" t="s">
        <v>25</v>
      </c>
      <c r="F301" s="14" t="s">
        <v>26</v>
      </c>
      <c r="G301" s="305">
        <f>'JULIO-18  '!I298</f>
        <v>410</v>
      </c>
      <c r="H301" s="51"/>
      <c r="I301" s="17">
        <f t="shared" si="5"/>
        <v>410</v>
      </c>
      <c r="J301" s="108"/>
      <c r="K301" s="320"/>
    </row>
    <row r="302" spans="1:11" ht="30">
      <c r="A302" s="11">
        <v>54399</v>
      </c>
      <c r="B302" s="54" t="s">
        <v>416</v>
      </c>
      <c r="C302" s="55"/>
      <c r="D302" s="14" t="s">
        <v>11</v>
      </c>
      <c r="E302" s="14" t="s">
        <v>25</v>
      </c>
      <c r="F302" s="14" t="s">
        <v>26</v>
      </c>
      <c r="G302" s="305">
        <f>'JULIO-18  '!I299</f>
        <v>241.5</v>
      </c>
      <c r="H302" s="51"/>
      <c r="I302" s="17">
        <f t="shared" si="5"/>
        <v>241.5</v>
      </c>
      <c r="J302" s="62"/>
      <c r="K302" s="320"/>
    </row>
    <row r="303" spans="1:11" ht="29.25">
      <c r="A303" s="11">
        <v>55603</v>
      </c>
      <c r="B303" s="54" t="s">
        <v>417</v>
      </c>
      <c r="C303" s="55"/>
      <c r="D303" s="14" t="s">
        <v>11</v>
      </c>
      <c r="E303" s="14" t="s">
        <v>25</v>
      </c>
      <c r="F303" s="14" t="s">
        <v>26</v>
      </c>
      <c r="G303" s="305">
        <f>'JULIO-18  '!I300</f>
        <v>1.7499999999999991</v>
      </c>
      <c r="H303" s="51"/>
      <c r="I303" s="17">
        <f t="shared" si="5"/>
        <v>1.7499999999999991</v>
      </c>
      <c r="J303" s="62"/>
      <c r="K303" s="63"/>
    </row>
    <row r="304" spans="1:11" ht="64.5" customHeight="1">
      <c r="A304" s="144" t="s">
        <v>418</v>
      </c>
      <c r="B304" s="54" t="s">
        <v>419</v>
      </c>
      <c r="C304" s="344" t="s">
        <v>1144</v>
      </c>
      <c r="D304" s="14"/>
      <c r="E304" s="14"/>
      <c r="F304" s="14"/>
      <c r="G304" s="305">
        <f>'JULIO-18  '!I301</f>
        <v>0</v>
      </c>
      <c r="H304" s="51"/>
      <c r="I304" s="17"/>
      <c r="J304" s="62"/>
      <c r="K304" s="63"/>
    </row>
    <row r="305" spans="1:11" ht="20.25" customHeight="1">
      <c r="A305" s="11">
        <v>51202</v>
      </c>
      <c r="B305" s="54" t="s">
        <v>420</v>
      </c>
      <c r="C305" s="55"/>
      <c r="D305" s="14" t="s">
        <v>11</v>
      </c>
      <c r="E305" s="14" t="s">
        <v>25</v>
      </c>
      <c r="F305" s="14" t="s">
        <v>26</v>
      </c>
      <c r="G305" s="305">
        <f>'JULIO-18  '!I302</f>
        <v>2500</v>
      </c>
      <c r="H305" s="51">
        <f>186.72+120+120+120+120+210+140+140+140+140+210+60+60+140+140</f>
        <v>2046.72</v>
      </c>
      <c r="I305" s="17">
        <f t="shared" si="5"/>
        <v>453.28</v>
      </c>
      <c r="J305" s="62"/>
      <c r="K305" s="320"/>
    </row>
    <row r="306" spans="1:11" ht="25.5" customHeight="1">
      <c r="A306" s="11">
        <v>54110</v>
      </c>
      <c r="B306" s="54" t="s">
        <v>421</v>
      </c>
      <c r="C306" s="55"/>
      <c r="D306" s="14" t="s">
        <v>11</v>
      </c>
      <c r="E306" s="14" t="s">
        <v>25</v>
      </c>
      <c r="F306" s="14" t="s">
        <v>26</v>
      </c>
      <c r="G306" s="305">
        <f>'JULIO-18  '!I303</f>
        <v>4972.3999999999996</v>
      </c>
      <c r="H306" s="51"/>
      <c r="I306" s="17">
        <f t="shared" si="5"/>
        <v>4972.3999999999996</v>
      </c>
      <c r="J306" s="62"/>
      <c r="K306" s="320"/>
    </row>
    <row r="307" spans="1:11" ht="29.25">
      <c r="A307" s="11">
        <v>54111</v>
      </c>
      <c r="B307" s="54" t="s">
        <v>422</v>
      </c>
      <c r="C307" s="55" t="s">
        <v>1145</v>
      </c>
      <c r="D307" s="14" t="s">
        <v>11</v>
      </c>
      <c r="E307" s="14" t="s">
        <v>25</v>
      </c>
      <c r="F307" s="14" t="s">
        <v>26</v>
      </c>
      <c r="G307" s="305">
        <f>'JULIO-18  '!I304</f>
        <v>3010.7799999999997</v>
      </c>
      <c r="H307" s="51"/>
      <c r="I307" s="17">
        <f t="shared" si="5"/>
        <v>3010.7799999999997</v>
      </c>
      <c r="J307" s="108"/>
      <c r="K307" s="320"/>
    </row>
    <row r="308" spans="1:11" ht="29.25">
      <c r="A308" s="11">
        <v>54112</v>
      </c>
      <c r="B308" s="54" t="s">
        <v>423</v>
      </c>
      <c r="C308" s="55" t="s">
        <v>1145</v>
      </c>
      <c r="D308" s="14" t="s">
        <v>11</v>
      </c>
      <c r="E308" s="14" t="s">
        <v>25</v>
      </c>
      <c r="F308" s="14" t="s">
        <v>26</v>
      </c>
      <c r="G308" s="305">
        <f>'JULIO-18  '!I305</f>
        <v>1861.25</v>
      </c>
      <c r="H308" s="51"/>
      <c r="I308" s="17">
        <f t="shared" si="5"/>
        <v>1861.25</v>
      </c>
      <c r="J308" s="62"/>
      <c r="K308" s="320"/>
    </row>
    <row r="309" spans="1:11" ht="29.25">
      <c r="A309" s="11">
        <v>54313</v>
      </c>
      <c r="B309" s="54" t="s">
        <v>424</v>
      </c>
      <c r="C309" s="55"/>
      <c r="D309" s="14" t="s">
        <v>11</v>
      </c>
      <c r="E309" s="14" t="s">
        <v>25</v>
      </c>
      <c r="F309" s="14" t="s">
        <v>26</v>
      </c>
      <c r="G309" s="305">
        <f>'JULIO-18  '!I306</f>
        <v>490</v>
      </c>
      <c r="H309" s="51"/>
      <c r="I309" s="17">
        <f t="shared" si="5"/>
        <v>490</v>
      </c>
      <c r="J309" s="62"/>
      <c r="K309" s="63"/>
    </row>
    <row r="310" spans="1:11" ht="29.25">
      <c r="A310" s="11">
        <v>54316</v>
      </c>
      <c r="B310" s="54" t="s">
        <v>425</v>
      </c>
      <c r="C310" s="55"/>
      <c r="D310" s="14" t="s">
        <v>11</v>
      </c>
      <c r="E310" s="14" t="s">
        <v>25</v>
      </c>
      <c r="F310" s="14" t="s">
        <v>26</v>
      </c>
      <c r="G310" s="305">
        <f>'JULIO-18  '!I307</f>
        <v>270</v>
      </c>
      <c r="H310" s="51"/>
      <c r="I310" s="17">
        <f t="shared" si="5"/>
        <v>270</v>
      </c>
      <c r="J310" s="108"/>
      <c r="K310" s="63"/>
    </row>
    <row r="311" spans="1:11" ht="30">
      <c r="A311" s="11">
        <v>54399</v>
      </c>
      <c r="B311" s="54" t="s">
        <v>426</v>
      </c>
      <c r="C311" s="55"/>
      <c r="D311" s="14" t="s">
        <v>11</v>
      </c>
      <c r="E311" s="14" t="s">
        <v>25</v>
      </c>
      <c r="F311" s="14" t="s">
        <v>26</v>
      </c>
      <c r="G311" s="305">
        <f>'JULIO-18  '!I308</f>
        <v>5000</v>
      </c>
      <c r="H311" s="51"/>
      <c r="I311" s="17">
        <f t="shared" si="5"/>
        <v>5000</v>
      </c>
      <c r="J311" s="62"/>
      <c r="K311" s="63"/>
    </row>
    <row r="312" spans="1:11">
      <c r="A312" s="11">
        <v>55603</v>
      </c>
      <c r="B312" s="54" t="s">
        <v>427</v>
      </c>
      <c r="C312" s="55"/>
      <c r="D312" s="14" t="s">
        <v>11</v>
      </c>
      <c r="E312" s="14" t="s">
        <v>25</v>
      </c>
      <c r="F312" s="14" t="s">
        <v>26</v>
      </c>
      <c r="G312" s="305">
        <f>'JULIO-18  '!I309</f>
        <v>7.3999999999999995</v>
      </c>
      <c r="H312" s="51">
        <f>2.83</f>
        <v>2.83</v>
      </c>
      <c r="I312" s="17">
        <f t="shared" si="5"/>
        <v>4.5699999999999994</v>
      </c>
      <c r="J312" s="62"/>
      <c r="K312" s="63"/>
    </row>
    <row r="313" spans="1:11" ht="20.25" customHeight="1">
      <c r="A313" s="11">
        <v>55799</v>
      </c>
      <c r="B313" s="54" t="s">
        <v>428</v>
      </c>
      <c r="C313" s="55"/>
      <c r="D313" s="14" t="s">
        <v>11</v>
      </c>
      <c r="E313" s="14" t="s">
        <v>25</v>
      </c>
      <c r="F313" s="14" t="s">
        <v>26</v>
      </c>
      <c r="G313" s="305">
        <f>'JULIO-18  '!I310</f>
        <v>10000</v>
      </c>
      <c r="H313" s="51"/>
      <c r="I313" s="17">
        <f t="shared" si="5"/>
        <v>10000</v>
      </c>
      <c r="J313" s="62"/>
      <c r="K313" s="63"/>
    </row>
    <row r="314" spans="1:11" ht="77.25" customHeight="1">
      <c r="A314" s="144" t="s">
        <v>429</v>
      </c>
      <c r="B314" s="399" t="s">
        <v>430</v>
      </c>
      <c r="C314" s="343" t="s">
        <v>1102</v>
      </c>
      <c r="D314" s="14"/>
      <c r="E314" s="14"/>
      <c r="F314" s="14"/>
      <c r="G314" s="305">
        <f>'JULIO-18  '!I311</f>
        <v>0</v>
      </c>
      <c r="H314" s="51"/>
      <c r="I314" s="17"/>
      <c r="J314" s="62"/>
      <c r="K314" s="63"/>
    </row>
    <row r="315" spans="1:11" ht="33.75" customHeight="1">
      <c r="A315" s="148">
        <v>54199</v>
      </c>
      <c r="B315" s="54" t="s">
        <v>431</v>
      </c>
      <c r="C315" s="55" t="s">
        <v>1103</v>
      </c>
      <c r="D315" s="14" t="s">
        <v>11</v>
      </c>
      <c r="E315" s="14" t="s">
        <v>25</v>
      </c>
      <c r="F315" s="14" t="s">
        <v>26</v>
      </c>
      <c r="G315" s="305">
        <f>'JULIO-18  '!I312</f>
        <v>2675</v>
      </c>
      <c r="H315" s="51"/>
      <c r="I315" s="17">
        <f t="shared" si="5"/>
        <v>2675</v>
      </c>
      <c r="J315" s="62"/>
      <c r="K315" s="63"/>
    </row>
    <row r="316" spans="1:11" ht="73.5" customHeight="1">
      <c r="A316" s="148">
        <v>54314</v>
      </c>
      <c r="B316" s="402" t="s">
        <v>1202</v>
      </c>
      <c r="C316" s="55" t="s">
        <v>1103</v>
      </c>
      <c r="D316" s="14" t="s">
        <v>11</v>
      </c>
      <c r="E316" s="14" t="s">
        <v>25</v>
      </c>
      <c r="F316" s="14" t="s">
        <v>26</v>
      </c>
      <c r="G316" s="305">
        <f>'JULIO-18  '!I313</f>
        <v>7968.5599999999995</v>
      </c>
      <c r="H316" s="403">
        <f>184</f>
        <v>184</v>
      </c>
      <c r="I316" s="17">
        <f t="shared" si="5"/>
        <v>7784.5599999999995</v>
      </c>
      <c r="J316" s="62"/>
      <c r="K316" s="63"/>
    </row>
    <row r="317" spans="1:11" ht="30.75" customHeight="1">
      <c r="A317" s="148">
        <v>54399</v>
      </c>
      <c r="B317" s="54" t="s">
        <v>433</v>
      </c>
      <c r="C317" s="55"/>
      <c r="D317" s="14" t="s">
        <v>11</v>
      </c>
      <c r="E317" s="14" t="s">
        <v>25</v>
      </c>
      <c r="F317" s="14" t="s">
        <v>26</v>
      </c>
      <c r="G317" s="305">
        <f>'JULIO-18  '!I314</f>
        <v>5000</v>
      </c>
      <c r="H317" s="51"/>
      <c r="I317" s="17">
        <f t="shared" si="5"/>
        <v>5000</v>
      </c>
      <c r="J317" s="62"/>
      <c r="K317" s="63"/>
    </row>
    <row r="318" spans="1:11" ht="33" customHeight="1">
      <c r="A318" s="148">
        <v>55603</v>
      </c>
      <c r="B318" s="54" t="s">
        <v>434</v>
      </c>
      <c r="C318" s="55"/>
      <c r="D318" s="14" t="s">
        <v>11</v>
      </c>
      <c r="E318" s="14" t="s">
        <v>25</v>
      </c>
      <c r="F318" s="14" t="s">
        <v>26</v>
      </c>
      <c r="G318" s="305">
        <f>'JULIO-18  '!I315</f>
        <v>4.169999999999999</v>
      </c>
      <c r="H318" s="51"/>
      <c r="I318" s="17">
        <f t="shared" si="5"/>
        <v>4.169999999999999</v>
      </c>
      <c r="J318" s="62"/>
      <c r="K318" s="63"/>
    </row>
    <row r="319" spans="1:11" ht="31.5" customHeight="1">
      <c r="A319" s="148">
        <v>56303</v>
      </c>
      <c r="B319" s="54" t="s">
        <v>986</v>
      </c>
      <c r="C319" s="55"/>
      <c r="D319" s="14" t="s">
        <v>11</v>
      </c>
      <c r="E319" s="14" t="s">
        <v>25</v>
      </c>
      <c r="F319" s="14" t="s">
        <v>26</v>
      </c>
      <c r="G319" s="305">
        <f>'JULIO-18  '!I316</f>
        <v>9990</v>
      </c>
      <c r="H319" s="108"/>
      <c r="I319" s="17">
        <f t="shared" si="5"/>
        <v>9990</v>
      </c>
      <c r="J319" s="62"/>
      <c r="K319" s="63"/>
    </row>
    <row r="320" spans="1:11" ht="77.25" customHeight="1">
      <c r="A320" s="144" t="s">
        <v>437</v>
      </c>
      <c r="B320" s="54" t="s">
        <v>436</v>
      </c>
      <c r="C320" s="55"/>
      <c r="D320" s="14" t="s">
        <v>11</v>
      </c>
      <c r="E320" s="14" t="s">
        <v>25</v>
      </c>
      <c r="F320" s="14" t="s">
        <v>26</v>
      </c>
      <c r="G320" s="305">
        <f>'JULIO-18  '!I317</f>
        <v>0</v>
      </c>
      <c r="H320" s="51"/>
      <c r="I320" s="17"/>
      <c r="J320" s="62"/>
      <c r="K320" s="63"/>
    </row>
    <row r="321" spans="1:11" ht="28.5" customHeight="1">
      <c r="A321" s="148">
        <v>54199</v>
      </c>
      <c r="B321" s="54" t="s">
        <v>438</v>
      </c>
      <c r="C321" s="55"/>
      <c r="D321" s="14" t="s">
        <v>11</v>
      </c>
      <c r="E321" s="14" t="s">
        <v>25</v>
      </c>
      <c r="F321" s="14" t="s">
        <v>26</v>
      </c>
      <c r="G321" s="305">
        <f>'JULIO-18  '!I318</f>
        <v>0</v>
      </c>
      <c r="H321" s="51"/>
      <c r="I321" s="17">
        <f t="shared" si="5"/>
        <v>0</v>
      </c>
      <c r="J321" s="62"/>
      <c r="K321" s="281"/>
    </row>
    <row r="322" spans="1:11" ht="15" customHeight="1">
      <c r="A322" s="148">
        <v>54314</v>
      </c>
      <c r="B322" s="54" t="s">
        <v>439</v>
      </c>
      <c r="C322" s="55"/>
      <c r="D322" s="14" t="s">
        <v>11</v>
      </c>
      <c r="E322" s="14" t="s">
        <v>25</v>
      </c>
      <c r="F322" s="14" t="s">
        <v>26</v>
      </c>
      <c r="G322" s="305">
        <f>'JULIO-18  '!I319</f>
        <v>0</v>
      </c>
      <c r="H322" s="51"/>
      <c r="I322" s="17">
        <f t="shared" si="5"/>
        <v>0</v>
      </c>
      <c r="J322" s="62"/>
      <c r="K322" s="281"/>
    </row>
    <row r="323" spans="1:11" ht="27.75" customHeight="1">
      <c r="A323" s="148">
        <v>54399</v>
      </c>
      <c r="B323" s="54" t="s">
        <v>440</v>
      </c>
      <c r="C323" s="55"/>
      <c r="D323" s="14" t="s">
        <v>11</v>
      </c>
      <c r="E323" s="14" t="s">
        <v>25</v>
      </c>
      <c r="F323" s="14" t="s">
        <v>26</v>
      </c>
      <c r="G323" s="305">
        <f>'JULIO-18  '!I320</f>
        <v>0</v>
      </c>
      <c r="H323" s="51"/>
      <c r="I323" s="17">
        <f t="shared" si="5"/>
        <v>0</v>
      </c>
      <c r="J323" s="62"/>
      <c r="K323" s="281"/>
    </row>
    <row r="324" spans="1:11" ht="29.25" customHeight="1">
      <c r="A324" s="148">
        <v>55603</v>
      </c>
      <c r="B324" s="54" t="s">
        <v>441</v>
      </c>
      <c r="C324" s="55"/>
      <c r="D324" s="14" t="s">
        <v>11</v>
      </c>
      <c r="E324" s="14" t="s">
        <v>25</v>
      </c>
      <c r="F324" s="14" t="s">
        <v>26</v>
      </c>
      <c r="G324" s="305">
        <f>'JULIO-18  '!I321</f>
        <v>0</v>
      </c>
      <c r="H324" s="51"/>
      <c r="I324" s="17">
        <f t="shared" si="5"/>
        <v>0</v>
      </c>
      <c r="J324" s="62"/>
      <c r="K324" s="281"/>
    </row>
    <row r="325" spans="1:11" ht="18" customHeight="1">
      <c r="A325" s="148">
        <v>55799</v>
      </c>
      <c r="B325" s="54" t="s">
        <v>442</v>
      </c>
      <c r="C325" s="55"/>
      <c r="D325" s="14" t="s">
        <v>11</v>
      </c>
      <c r="E325" s="14" t="s">
        <v>25</v>
      </c>
      <c r="F325" s="14" t="s">
        <v>26</v>
      </c>
      <c r="G325" s="305">
        <f>'JULIO-18  '!I322</f>
        <v>0</v>
      </c>
      <c r="H325" s="51"/>
      <c r="I325" s="17">
        <f t="shared" si="5"/>
        <v>0</v>
      </c>
      <c r="J325" s="62"/>
      <c r="K325" s="281"/>
    </row>
    <row r="326" spans="1:11" ht="68.25" customHeight="1">
      <c r="A326" s="144" t="s">
        <v>443</v>
      </c>
      <c r="B326" s="339" t="s">
        <v>1136</v>
      </c>
      <c r="C326" s="343" t="s">
        <v>1122</v>
      </c>
      <c r="D326" s="14"/>
      <c r="E326" s="14"/>
      <c r="F326" s="14"/>
      <c r="G326" s="305">
        <f>'JULIO-18  '!I323</f>
        <v>0</v>
      </c>
      <c r="H326" s="51"/>
      <c r="I326" s="17"/>
      <c r="J326" s="62"/>
      <c r="K326" s="63"/>
    </row>
    <row r="327" spans="1:11" ht="27.75" customHeight="1">
      <c r="A327" s="148">
        <v>54199</v>
      </c>
      <c r="B327" s="54" t="s">
        <v>445</v>
      </c>
      <c r="C327" s="55"/>
      <c r="D327" s="14" t="s">
        <v>11</v>
      </c>
      <c r="E327" s="14" t="s">
        <v>25</v>
      </c>
      <c r="F327" s="14" t="s">
        <v>26</v>
      </c>
      <c r="G327" s="305">
        <f>'JULIO-18  '!I324</f>
        <v>0</v>
      </c>
      <c r="H327" s="51"/>
      <c r="I327" s="17">
        <f t="shared" si="5"/>
        <v>0</v>
      </c>
      <c r="J327" s="62"/>
      <c r="K327" s="320"/>
    </row>
    <row r="328" spans="1:11" ht="24.75" customHeight="1">
      <c r="A328" s="148">
        <v>54314</v>
      </c>
      <c r="B328" s="54" t="s">
        <v>446</v>
      </c>
      <c r="C328" s="55"/>
      <c r="D328" s="14" t="s">
        <v>11</v>
      </c>
      <c r="E328" s="14" t="s">
        <v>25</v>
      </c>
      <c r="F328" s="14" t="s">
        <v>26</v>
      </c>
      <c r="G328" s="305">
        <f>'JULIO-18  '!I325</f>
        <v>2.7284841053187847E-12</v>
      </c>
      <c r="H328" s="51"/>
      <c r="I328" s="18">
        <f t="shared" si="5"/>
        <v>2.7284841053187847E-12</v>
      </c>
      <c r="J328" s="108"/>
      <c r="K328" s="320"/>
    </row>
    <row r="329" spans="1:11" ht="33.75" customHeight="1">
      <c r="A329" s="148">
        <v>54313</v>
      </c>
      <c r="B329" s="54" t="s">
        <v>447</v>
      </c>
      <c r="C329" s="55"/>
      <c r="D329" s="14" t="s">
        <v>11</v>
      </c>
      <c r="E329" s="14" t="s">
        <v>25</v>
      </c>
      <c r="F329" s="14" t="s">
        <v>26</v>
      </c>
      <c r="G329" s="305">
        <f>'JULIO-18  '!I326</f>
        <v>0</v>
      </c>
      <c r="H329" s="51"/>
      <c r="I329" s="17">
        <f t="shared" si="5"/>
        <v>0</v>
      </c>
      <c r="J329" s="62"/>
      <c r="K329" s="320"/>
    </row>
    <row r="330" spans="1:11" ht="28.5" customHeight="1">
      <c r="A330" s="148">
        <v>55399</v>
      </c>
      <c r="B330" s="149" t="s">
        <v>450</v>
      </c>
      <c r="C330" s="55"/>
      <c r="D330" s="14" t="s">
        <v>11</v>
      </c>
      <c r="E330" s="14" t="s">
        <v>25</v>
      </c>
      <c r="F330" s="14" t="s">
        <v>26</v>
      </c>
      <c r="G330" s="305">
        <f>'JULIO-18  '!I327</f>
        <v>0</v>
      </c>
      <c r="H330" s="51"/>
      <c r="I330" s="18">
        <f t="shared" si="5"/>
        <v>0</v>
      </c>
      <c r="J330" s="108"/>
      <c r="K330" s="320"/>
    </row>
    <row r="331" spans="1:11" ht="30.75" customHeight="1">
      <c r="A331" s="148">
        <v>55603</v>
      </c>
      <c r="B331" s="54" t="s">
        <v>448</v>
      </c>
      <c r="C331" s="55"/>
      <c r="D331" s="14" t="s">
        <v>11</v>
      </c>
      <c r="E331" s="14" t="s">
        <v>25</v>
      </c>
      <c r="F331" s="14" t="s">
        <v>26</v>
      </c>
      <c r="G331" s="305">
        <f>'JULIO-18  '!I328</f>
        <v>0</v>
      </c>
      <c r="H331" s="51"/>
      <c r="I331" s="17">
        <f t="shared" si="5"/>
        <v>0</v>
      </c>
      <c r="J331" s="62"/>
      <c r="K331" s="320"/>
    </row>
    <row r="332" spans="1:11" ht="31.5" customHeight="1">
      <c r="A332" s="148">
        <v>56303</v>
      </c>
      <c r="B332" s="54" t="s">
        <v>449</v>
      </c>
      <c r="C332" s="55"/>
      <c r="D332" s="14" t="s">
        <v>11</v>
      </c>
      <c r="E332" s="14" t="s">
        <v>25</v>
      </c>
      <c r="F332" s="14" t="s">
        <v>26</v>
      </c>
      <c r="G332" s="305">
        <f>'JULIO-18  '!I329</f>
        <v>0</v>
      </c>
      <c r="H332" s="51"/>
      <c r="I332" s="17">
        <f t="shared" si="5"/>
        <v>0</v>
      </c>
      <c r="J332" s="62"/>
      <c r="K332" s="320"/>
    </row>
    <row r="333" spans="1:11" ht="74.25" customHeight="1">
      <c r="A333" s="144" t="s">
        <v>451</v>
      </c>
      <c r="B333" s="54" t="s">
        <v>452</v>
      </c>
      <c r="C333" s="55"/>
      <c r="D333" s="14"/>
      <c r="E333" s="14"/>
      <c r="F333" s="14"/>
      <c r="G333" s="305">
        <f>'JULIO-18  '!I330</f>
        <v>0</v>
      </c>
      <c r="H333" s="51"/>
      <c r="I333" s="17"/>
      <c r="J333" s="52"/>
      <c r="K333" s="52"/>
    </row>
    <row r="334" spans="1:11" ht="30.75" customHeight="1">
      <c r="A334" s="4">
        <v>54199</v>
      </c>
      <c r="B334" s="5" t="s">
        <v>453</v>
      </c>
      <c r="C334" s="10"/>
      <c r="D334" s="14" t="s">
        <v>11</v>
      </c>
      <c r="E334" s="14" t="s">
        <v>25</v>
      </c>
      <c r="F334" s="14" t="s">
        <v>26</v>
      </c>
      <c r="G334" s="305">
        <f>'JULIO-18  '!I331</f>
        <v>3000</v>
      </c>
      <c r="H334" s="51"/>
      <c r="I334" s="17">
        <f t="shared" si="5"/>
        <v>3000</v>
      </c>
      <c r="J334" s="44"/>
      <c r="K334" s="44"/>
    </row>
    <row r="335" spans="1:11" ht="40.5" customHeight="1">
      <c r="A335" s="11">
        <v>54314</v>
      </c>
      <c r="B335" s="150" t="s">
        <v>454</v>
      </c>
      <c r="C335" s="55"/>
      <c r="D335" s="14" t="s">
        <v>11</v>
      </c>
      <c r="E335" s="14" t="s">
        <v>25</v>
      </c>
      <c r="F335" s="14" t="s">
        <v>26</v>
      </c>
      <c r="G335" s="305">
        <f>'JULIO-18  '!I332</f>
        <v>6000</v>
      </c>
      <c r="H335" s="51"/>
      <c r="I335" s="17">
        <f t="shared" si="5"/>
        <v>6000</v>
      </c>
      <c r="J335" s="62"/>
      <c r="K335" s="63"/>
    </row>
    <row r="336" spans="1:11" ht="43.5" customHeight="1">
      <c r="A336" s="11">
        <v>54399</v>
      </c>
      <c r="B336" s="150" t="s">
        <v>455</v>
      </c>
      <c r="C336" s="13"/>
      <c r="D336" s="14" t="s">
        <v>11</v>
      </c>
      <c r="E336" s="14" t="s">
        <v>25</v>
      </c>
      <c r="F336" s="14" t="s">
        <v>26</v>
      </c>
      <c r="G336" s="305">
        <f>'JULIO-18  '!I333</f>
        <v>0</v>
      </c>
      <c r="H336" s="51"/>
      <c r="I336" s="17">
        <f t="shared" si="5"/>
        <v>0</v>
      </c>
      <c r="J336" s="52"/>
      <c r="K336" s="52"/>
    </row>
    <row r="337" spans="1:11" ht="29.25">
      <c r="A337" s="4">
        <v>55603</v>
      </c>
      <c r="B337" s="150" t="s">
        <v>456</v>
      </c>
      <c r="C337" s="9"/>
      <c r="D337" s="14" t="s">
        <v>11</v>
      </c>
      <c r="E337" s="14" t="s">
        <v>25</v>
      </c>
      <c r="F337" s="14" t="s">
        <v>26</v>
      </c>
      <c r="G337" s="305">
        <f>'JULIO-18  '!I334</f>
        <v>10</v>
      </c>
      <c r="H337" s="51"/>
      <c r="I337" s="17">
        <f t="shared" si="5"/>
        <v>10</v>
      </c>
      <c r="J337" s="44"/>
      <c r="K337" s="44"/>
    </row>
    <row r="338" spans="1:11" ht="37.5" customHeight="1">
      <c r="A338" s="4">
        <v>55799</v>
      </c>
      <c r="B338" s="150" t="s">
        <v>457</v>
      </c>
      <c r="C338" s="9"/>
      <c r="D338" s="14" t="s">
        <v>11</v>
      </c>
      <c r="E338" s="14" t="s">
        <v>25</v>
      </c>
      <c r="F338" s="14" t="s">
        <v>26</v>
      </c>
      <c r="G338" s="305">
        <f>'JULIO-18  '!I335</f>
        <v>1269.74</v>
      </c>
      <c r="H338" s="51"/>
      <c r="I338" s="17">
        <f t="shared" si="5"/>
        <v>1269.74</v>
      </c>
      <c r="J338" s="44"/>
      <c r="K338" s="44"/>
    </row>
    <row r="339" spans="1:11" ht="68.25" customHeight="1">
      <c r="A339" s="144" t="s">
        <v>459</v>
      </c>
      <c r="B339" s="54" t="s">
        <v>458</v>
      </c>
      <c r="C339" s="9"/>
      <c r="D339" s="3"/>
      <c r="E339" s="3"/>
      <c r="F339" s="3"/>
      <c r="G339" s="305">
        <f>'JULIO-18  '!I336</f>
        <v>0</v>
      </c>
      <c r="H339" s="51"/>
      <c r="I339" s="17"/>
      <c r="J339" s="44"/>
      <c r="K339" s="44"/>
    </row>
    <row r="340" spans="1:11" ht="25.5" customHeight="1">
      <c r="A340" s="4">
        <v>54314</v>
      </c>
      <c r="B340" s="70" t="s">
        <v>460</v>
      </c>
      <c r="C340" s="5"/>
      <c r="D340" s="14" t="s">
        <v>11</v>
      </c>
      <c r="E340" s="14" t="s">
        <v>25</v>
      </c>
      <c r="F340" s="14" t="s">
        <v>26</v>
      </c>
      <c r="G340" s="305">
        <f>'JULIO-18  '!I337</f>
        <v>1370.1399999999999</v>
      </c>
      <c r="H340" s="51"/>
      <c r="I340" s="17">
        <f>G340-H340+J340-K340</f>
        <v>1370.1399999999999</v>
      </c>
      <c r="J340" s="44"/>
      <c r="K340" s="285"/>
    </row>
    <row r="341" spans="1:11" ht="63.75" customHeight="1">
      <c r="A341" s="144" t="s">
        <v>461</v>
      </c>
      <c r="B341" s="54" t="s">
        <v>470</v>
      </c>
      <c r="C341" s="55"/>
      <c r="D341" s="14"/>
      <c r="E341" s="14"/>
      <c r="F341" s="14"/>
      <c r="G341" s="305">
        <f>'JULIO-18  '!I338</f>
        <v>0</v>
      </c>
      <c r="H341" s="51"/>
      <c r="I341" s="17"/>
      <c r="J341" s="62"/>
      <c r="K341" s="63"/>
    </row>
    <row r="342" spans="1:11" ht="33" customHeight="1">
      <c r="A342" s="11">
        <v>54199</v>
      </c>
      <c r="B342" s="70" t="s">
        <v>462</v>
      </c>
      <c r="C342" s="55"/>
      <c r="D342" s="14" t="s">
        <v>11</v>
      </c>
      <c r="E342" s="14" t="s">
        <v>25</v>
      </c>
      <c r="F342" s="14" t="s">
        <v>26</v>
      </c>
      <c r="G342" s="305">
        <f>'JULIO-18  '!I339</f>
        <v>2000</v>
      </c>
      <c r="H342" s="51"/>
      <c r="I342" s="17">
        <f>G342-H342+J342-K342</f>
        <v>2000</v>
      </c>
      <c r="J342" s="62"/>
      <c r="K342" s="63"/>
    </row>
    <row r="343" spans="1:11" ht="36.75" customHeight="1">
      <c r="A343" s="11">
        <v>54314</v>
      </c>
      <c r="B343" s="151" t="s">
        <v>463</v>
      </c>
      <c r="C343" s="55"/>
      <c r="D343" s="14" t="s">
        <v>11</v>
      </c>
      <c r="E343" s="14" t="s">
        <v>25</v>
      </c>
      <c r="F343" s="14" t="s">
        <v>26</v>
      </c>
      <c r="G343" s="305">
        <f>'JULIO-18  '!I340</f>
        <v>22000</v>
      </c>
      <c r="H343" s="51"/>
      <c r="I343" s="17">
        <f t="shared" ref="I343:I409" si="6">G343-H343+J343-K343</f>
        <v>22000</v>
      </c>
      <c r="J343" s="62"/>
      <c r="K343" s="63"/>
    </row>
    <row r="344" spans="1:11" ht="39" customHeight="1">
      <c r="A344" s="11">
        <v>54313</v>
      </c>
      <c r="B344" s="151" t="s">
        <v>464</v>
      </c>
      <c r="C344" s="55"/>
      <c r="D344" s="14" t="s">
        <v>11</v>
      </c>
      <c r="E344" s="14" t="s">
        <v>25</v>
      </c>
      <c r="F344" s="14" t="s">
        <v>26</v>
      </c>
      <c r="G344" s="305">
        <f>'JULIO-18  '!I341</f>
        <v>5000</v>
      </c>
      <c r="H344" s="51"/>
      <c r="I344" s="17">
        <f t="shared" si="6"/>
        <v>5000</v>
      </c>
      <c r="J344" s="62"/>
      <c r="K344" s="63"/>
    </row>
    <row r="345" spans="1:11" ht="33.75" customHeight="1">
      <c r="A345" s="11">
        <v>54399</v>
      </c>
      <c r="B345" s="151" t="s">
        <v>465</v>
      </c>
      <c r="C345" s="13"/>
      <c r="D345" s="14" t="s">
        <v>11</v>
      </c>
      <c r="E345" s="14" t="s">
        <v>25</v>
      </c>
      <c r="F345" s="14" t="s">
        <v>26</v>
      </c>
      <c r="G345" s="305">
        <f>'JULIO-18  '!I342</f>
        <v>990</v>
      </c>
      <c r="H345" s="51"/>
      <c r="I345" s="17">
        <f t="shared" si="6"/>
        <v>990</v>
      </c>
      <c r="J345" s="52"/>
      <c r="K345" s="52"/>
    </row>
    <row r="346" spans="1:11" ht="35.25" customHeight="1">
      <c r="A346" s="11">
        <v>55603</v>
      </c>
      <c r="B346" s="151" t="s">
        <v>466</v>
      </c>
      <c r="C346" s="13"/>
      <c r="D346" s="14" t="s">
        <v>11</v>
      </c>
      <c r="E346" s="14" t="s">
        <v>25</v>
      </c>
      <c r="F346" s="14" t="s">
        <v>26</v>
      </c>
      <c r="G346" s="305">
        <f>'JULIO-18  '!I343</f>
        <v>10</v>
      </c>
      <c r="H346" s="51"/>
      <c r="I346" s="17">
        <f t="shared" si="6"/>
        <v>10</v>
      </c>
      <c r="J346" s="52"/>
      <c r="K346" s="52"/>
    </row>
    <row r="347" spans="1:11" ht="34.5" customHeight="1">
      <c r="A347" s="11">
        <v>56603</v>
      </c>
      <c r="B347" s="151" t="s">
        <v>467</v>
      </c>
      <c r="C347" s="61"/>
      <c r="D347" s="14" t="s">
        <v>11</v>
      </c>
      <c r="E347" s="14" t="s">
        <v>25</v>
      </c>
      <c r="F347" s="14" t="s">
        <v>26</v>
      </c>
      <c r="G347" s="305">
        <f>'JULIO-18  '!I344</f>
        <v>5000</v>
      </c>
      <c r="H347" s="51"/>
      <c r="I347" s="17">
        <f t="shared" si="6"/>
        <v>5000</v>
      </c>
      <c r="J347" s="11"/>
      <c r="K347" s="54"/>
    </row>
    <row r="348" spans="1:11" ht="68.25" customHeight="1">
      <c r="A348" s="144" t="s">
        <v>468</v>
      </c>
      <c r="B348" s="54" t="s">
        <v>987</v>
      </c>
      <c r="C348" s="344" t="s">
        <v>1115</v>
      </c>
      <c r="D348" s="14"/>
      <c r="E348" s="14"/>
      <c r="F348" s="14"/>
      <c r="G348" s="305">
        <f>'JULIO-18  '!I345</f>
        <v>0</v>
      </c>
      <c r="H348" s="51"/>
      <c r="I348" s="17"/>
      <c r="J348" s="52"/>
      <c r="K348" s="52"/>
    </row>
    <row r="349" spans="1:11" ht="33" customHeight="1">
      <c r="A349" s="11">
        <v>51202</v>
      </c>
      <c r="B349" s="70" t="s">
        <v>471</v>
      </c>
      <c r="C349" s="61"/>
      <c r="D349" s="14" t="s">
        <v>11</v>
      </c>
      <c r="E349" s="14" t="s">
        <v>25</v>
      </c>
      <c r="F349" s="14" t="s">
        <v>26</v>
      </c>
      <c r="G349" s="305">
        <f>'JULIO-18  '!I346</f>
        <v>170.58999999999946</v>
      </c>
      <c r="H349" s="51"/>
      <c r="I349" s="17">
        <f t="shared" si="6"/>
        <v>-5.4001247917767614E-13</v>
      </c>
      <c r="J349" s="237"/>
      <c r="K349" s="392">
        <v>170.59</v>
      </c>
    </row>
    <row r="350" spans="1:11" ht="34.5" customHeight="1">
      <c r="A350" s="11">
        <v>54111</v>
      </c>
      <c r="B350" s="70" t="s">
        <v>472</v>
      </c>
      <c r="C350" s="61"/>
      <c r="D350" s="14" t="s">
        <v>11</v>
      </c>
      <c r="E350" s="14" t="s">
        <v>25</v>
      </c>
      <c r="F350" s="14" t="s">
        <v>26</v>
      </c>
      <c r="G350" s="305">
        <f>'JULIO-18  '!I347</f>
        <v>0</v>
      </c>
      <c r="H350" s="51"/>
      <c r="I350" s="17">
        <f t="shared" si="6"/>
        <v>0</v>
      </c>
      <c r="J350" s="44"/>
      <c r="K350" s="316"/>
    </row>
    <row r="351" spans="1:11" ht="41.25" customHeight="1">
      <c r="A351" s="11">
        <v>54112</v>
      </c>
      <c r="B351" s="70" t="s">
        <v>473</v>
      </c>
      <c r="C351" s="12"/>
      <c r="D351" s="14" t="s">
        <v>11</v>
      </c>
      <c r="E351" s="14" t="s">
        <v>25</v>
      </c>
      <c r="F351" s="14" t="s">
        <v>26</v>
      </c>
      <c r="G351" s="305">
        <f>'JULIO-18  '!I348</f>
        <v>0</v>
      </c>
      <c r="H351" s="51"/>
      <c r="I351" s="17">
        <f t="shared" si="6"/>
        <v>0</v>
      </c>
      <c r="J351" s="44"/>
      <c r="K351" s="316"/>
    </row>
    <row r="352" spans="1:11" ht="29.25">
      <c r="A352" s="11">
        <v>54118</v>
      </c>
      <c r="B352" s="151" t="s">
        <v>474</v>
      </c>
      <c r="C352" s="61"/>
      <c r="D352" s="14" t="s">
        <v>11</v>
      </c>
      <c r="E352" s="14" t="s">
        <v>25</v>
      </c>
      <c r="F352" s="14" t="s">
        <v>26</v>
      </c>
      <c r="G352" s="305">
        <f>'JULIO-18  '!I349</f>
        <v>0</v>
      </c>
      <c r="H352" s="51"/>
      <c r="I352" s="17">
        <f t="shared" si="6"/>
        <v>0</v>
      </c>
      <c r="J352" s="44"/>
      <c r="K352" s="316"/>
    </row>
    <row r="353" spans="1:11" ht="29.25">
      <c r="A353" s="11">
        <v>54313</v>
      </c>
      <c r="B353" s="151" t="s">
        <v>475</v>
      </c>
      <c r="C353" s="12"/>
      <c r="D353" s="14" t="s">
        <v>11</v>
      </c>
      <c r="E353" s="14" t="s">
        <v>25</v>
      </c>
      <c r="F353" s="14" t="s">
        <v>26</v>
      </c>
      <c r="G353" s="305">
        <f>'JULIO-18  '!I350</f>
        <v>0</v>
      </c>
      <c r="H353" s="51"/>
      <c r="I353" s="17">
        <f t="shared" si="6"/>
        <v>0</v>
      </c>
      <c r="J353" s="44"/>
      <c r="K353" s="316"/>
    </row>
    <row r="354" spans="1:11" ht="29.25">
      <c r="A354" s="152">
        <v>55603</v>
      </c>
      <c r="B354" s="151" t="s">
        <v>476</v>
      </c>
      <c r="C354" s="154"/>
      <c r="D354" s="14" t="s">
        <v>11</v>
      </c>
      <c r="E354" s="14" t="s">
        <v>25</v>
      </c>
      <c r="F354" s="14" t="s">
        <v>26</v>
      </c>
      <c r="G354" s="305">
        <f>'JULIO-18  '!I351</f>
        <v>0</v>
      </c>
      <c r="H354" s="157"/>
      <c r="I354" s="17">
        <f t="shared" si="6"/>
        <v>0</v>
      </c>
      <c r="J354" s="159"/>
      <c r="K354" s="381"/>
    </row>
    <row r="355" spans="1:11" ht="85.5">
      <c r="A355" s="144" t="s">
        <v>477</v>
      </c>
      <c r="B355" s="54" t="s">
        <v>1085</v>
      </c>
      <c r="C355" s="154"/>
      <c r="D355" s="155"/>
      <c r="E355" s="155"/>
      <c r="F355" s="155"/>
      <c r="G355" s="305">
        <f>'JULIO-18  '!I352</f>
        <v>0</v>
      </c>
      <c r="H355" s="157"/>
      <c r="I355" s="158"/>
      <c r="J355" s="159"/>
      <c r="K355" s="159"/>
    </row>
    <row r="356" spans="1:11" ht="29.25">
      <c r="A356" s="152">
        <v>51202</v>
      </c>
      <c r="B356" s="164" t="s">
        <v>479</v>
      </c>
      <c r="C356" s="154"/>
      <c r="D356" s="14" t="s">
        <v>11</v>
      </c>
      <c r="E356" s="14" t="s">
        <v>25</v>
      </c>
      <c r="F356" s="14" t="s">
        <v>26</v>
      </c>
      <c r="G356" s="305">
        <f>'JULIO-18  '!I353</f>
        <v>0</v>
      </c>
      <c r="H356" s="157"/>
      <c r="I356" s="17">
        <f t="shared" si="6"/>
        <v>0</v>
      </c>
      <c r="J356" s="159"/>
      <c r="K356" s="325"/>
    </row>
    <row r="357" spans="1:11" ht="44.25">
      <c r="A357" s="152">
        <v>54111</v>
      </c>
      <c r="B357" s="164" t="s">
        <v>480</v>
      </c>
      <c r="C357" s="154"/>
      <c r="D357" s="14" t="s">
        <v>11</v>
      </c>
      <c r="E357" s="14" t="s">
        <v>25</v>
      </c>
      <c r="F357" s="14" t="s">
        <v>26</v>
      </c>
      <c r="G357" s="305">
        <f>'JULIO-18  '!I354</f>
        <v>0</v>
      </c>
      <c r="H357" s="157"/>
      <c r="I357" s="17">
        <f t="shared" si="6"/>
        <v>0</v>
      </c>
      <c r="J357" s="159"/>
      <c r="K357" s="325"/>
    </row>
    <row r="358" spans="1:11" ht="30">
      <c r="A358" s="152">
        <v>54112</v>
      </c>
      <c r="B358" s="164" t="s">
        <v>481</v>
      </c>
      <c r="C358" s="154"/>
      <c r="D358" s="14" t="s">
        <v>11</v>
      </c>
      <c r="E358" s="14" t="s">
        <v>25</v>
      </c>
      <c r="F358" s="14" t="s">
        <v>26</v>
      </c>
      <c r="G358" s="305">
        <f>'JULIO-18  '!I355</f>
        <v>0</v>
      </c>
      <c r="H358" s="157"/>
      <c r="I358" s="17">
        <f t="shared" si="6"/>
        <v>0</v>
      </c>
      <c r="J358" s="159"/>
      <c r="K358" s="325"/>
    </row>
    <row r="359" spans="1:11" ht="29.25">
      <c r="A359" s="152">
        <v>54118</v>
      </c>
      <c r="B359" s="164" t="s">
        <v>482</v>
      </c>
      <c r="C359" s="154"/>
      <c r="D359" s="14" t="s">
        <v>11</v>
      </c>
      <c r="E359" s="14" t="s">
        <v>25</v>
      </c>
      <c r="F359" s="14" t="s">
        <v>26</v>
      </c>
      <c r="G359" s="305">
        <f>'JULIO-18  '!I356</f>
        <v>0</v>
      </c>
      <c r="H359" s="157"/>
      <c r="I359" s="17">
        <f t="shared" si="6"/>
        <v>0</v>
      </c>
      <c r="J359" s="159"/>
      <c r="K359" s="325"/>
    </row>
    <row r="360" spans="1:11" ht="30">
      <c r="A360" s="152">
        <v>54313</v>
      </c>
      <c r="B360" s="164" t="s">
        <v>483</v>
      </c>
      <c r="C360" s="154"/>
      <c r="D360" s="14" t="s">
        <v>11</v>
      </c>
      <c r="E360" s="14" t="s">
        <v>25</v>
      </c>
      <c r="F360" s="14" t="s">
        <v>26</v>
      </c>
      <c r="G360" s="305">
        <f>'JULIO-18  '!I357</f>
        <v>0</v>
      </c>
      <c r="H360" s="157"/>
      <c r="I360" s="17">
        <f t="shared" si="6"/>
        <v>0</v>
      </c>
      <c r="J360" s="159"/>
      <c r="K360" s="325"/>
    </row>
    <row r="361" spans="1:11" ht="30">
      <c r="A361" s="152">
        <v>54399</v>
      </c>
      <c r="B361" s="164" t="s">
        <v>484</v>
      </c>
      <c r="C361" s="154"/>
      <c r="D361" s="14" t="s">
        <v>11</v>
      </c>
      <c r="E361" s="14" t="s">
        <v>25</v>
      </c>
      <c r="F361" s="14" t="s">
        <v>26</v>
      </c>
      <c r="G361" s="305">
        <f>'JULIO-18  '!I358</f>
        <v>0</v>
      </c>
      <c r="H361" s="157"/>
      <c r="I361" s="17">
        <f t="shared" si="6"/>
        <v>0</v>
      </c>
      <c r="J361" s="159"/>
      <c r="K361" s="325"/>
    </row>
    <row r="362" spans="1:11" ht="29.25">
      <c r="A362" s="152">
        <v>55603</v>
      </c>
      <c r="B362" s="164" t="s">
        <v>485</v>
      </c>
      <c r="C362" s="154"/>
      <c r="D362" s="14" t="s">
        <v>11</v>
      </c>
      <c r="E362" s="14" t="s">
        <v>25</v>
      </c>
      <c r="F362" s="14" t="s">
        <v>26</v>
      </c>
      <c r="G362" s="305">
        <f>'JULIO-18  '!I359</f>
        <v>0</v>
      </c>
      <c r="H362" s="157"/>
      <c r="I362" s="17">
        <f t="shared" si="6"/>
        <v>0</v>
      </c>
      <c r="J362" s="159"/>
      <c r="K362" s="325"/>
    </row>
    <row r="363" spans="1:11" ht="80.25" customHeight="1">
      <c r="A363" s="144" t="s">
        <v>486</v>
      </c>
      <c r="B363" s="54" t="s">
        <v>487</v>
      </c>
      <c r="C363" s="154"/>
      <c r="D363" s="155"/>
      <c r="E363" s="155"/>
      <c r="F363" s="155"/>
      <c r="G363" s="305">
        <f>'JULIO-18  '!I360</f>
        <v>0</v>
      </c>
      <c r="H363" s="157"/>
      <c r="I363" s="158"/>
      <c r="J363" s="159"/>
      <c r="K363" s="159"/>
    </row>
    <row r="364" spans="1:11" ht="29.25">
      <c r="A364" s="152">
        <v>51202</v>
      </c>
      <c r="B364" s="164" t="s">
        <v>488</v>
      </c>
      <c r="C364" s="154"/>
      <c r="D364" s="14" t="s">
        <v>11</v>
      </c>
      <c r="E364" s="14" t="s">
        <v>25</v>
      </c>
      <c r="F364" s="14" t="s">
        <v>26</v>
      </c>
      <c r="G364" s="305">
        <f>'JULIO-18  '!I361</f>
        <v>0</v>
      </c>
      <c r="H364" s="157"/>
      <c r="I364" s="17">
        <f t="shared" si="6"/>
        <v>8800</v>
      </c>
      <c r="J364" s="326">
        <v>8800</v>
      </c>
      <c r="K364" s="326"/>
    </row>
    <row r="365" spans="1:11" ht="29.25">
      <c r="A365" s="152">
        <v>51999</v>
      </c>
      <c r="B365" s="164" t="s">
        <v>489</v>
      </c>
      <c r="C365" s="154"/>
      <c r="D365" s="14" t="s">
        <v>11</v>
      </c>
      <c r="E365" s="14" t="s">
        <v>25</v>
      </c>
      <c r="F365" s="14" t="s">
        <v>26</v>
      </c>
      <c r="G365" s="305">
        <f>'JULIO-18  '!I362</f>
        <v>0</v>
      </c>
      <c r="H365" s="157"/>
      <c r="I365" s="17">
        <f t="shared" si="6"/>
        <v>2000</v>
      </c>
      <c r="J365" s="326">
        <v>2000</v>
      </c>
      <c r="K365" s="326"/>
    </row>
    <row r="366" spans="1:11" ht="29.25">
      <c r="A366" s="152">
        <v>54111</v>
      </c>
      <c r="B366" s="164" t="s">
        <v>490</v>
      </c>
      <c r="C366" s="154"/>
      <c r="D366" s="14" t="s">
        <v>11</v>
      </c>
      <c r="E366" s="14" t="s">
        <v>25</v>
      </c>
      <c r="F366" s="14" t="s">
        <v>26</v>
      </c>
      <c r="G366" s="305">
        <f>'JULIO-18  '!I363</f>
        <v>0</v>
      </c>
      <c r="H366" s="157"/>
      <c r="I366" s="17">
        <f t="shared" si="6"/>
        <v>15000</v>
      </c>
      <c r="J366" s="326">
        <v>15000</v>
      </c>
      <c r="K366" s="326"/>
    </row>
    <row r="367" spans="1:11" ht="29.25">
      <c r="A367" s="152">
        <v>54112</v>
      </c>
      <c r="B367" s="164" t="s">
        <v>491</v>
      </c>
      <c r="C367" s="154"/>
      <c r="D367" s="14" t="s">
        <v>11</v>
      </c>
      <c r="E367" s="14" t="s">
        <v>25</v>
      </c>
      <c r="F367" s="14" t="s">
        <v>26</v>
      </c>
      <c r="G367" s="305">
        <f>'JULIO-18  '!I364</f>
        <v>0</v>
      </c>
      <c r="H367" s="157"/>
      <c r="I367" s="17">
        <f t="shared" si="6"/>
        <v>8990</v>
      </c>
      <c r="J367" s="326">
        <v>8990</v>
      </c>
      <c r="K367" s="326"/>
    </row>
    <row r="368" spans="1:11" ht="29.25">
      <c r="A368" s="152">
        <v>54118</v>
      </c>
      <c r="B368" s="164" t="s">
        <v>492</v>
      </c>
      <c r="C368" s="154"/>
      <c r="D368" s="14" t="s">
        <v>11</v>
      </c>
      <c r="E368" s="14" t="s">
        <v>25</v>
      </c>
      <c r="F368" s="14" t="s">
        <v>26</v>
      </c>
      <c r="G368" s="305">
        <f>'JULIO-18  '!I365</f>
        <v>0</v>
      </c>
      <c r="H368" s="157"/>
      <c r="I368" s="17">
        <f t="shared" si="6"/>
        <v>5000</v>
      </c>
      <c r="J368" s="326">
        <v>5000</v>
      </c>
      <c r="K368" s="326"/>
    </row>
    <row r="369" spans="1:11" ht="29.25">
      <c r="A369" s="152">
        <v>54199</v>
      </c>
      <c r="B369" s="164" t="s">
        <v>493</v>
      </c>
      <c r="C369" s="154"/>
      <c r="D369" s="14" t="s">
        <v>11</v>
      </c>
      <c r="E369" s="14" t="s">
        <v>25</v>
      </c>
      <c r="F369" s="14" t="s">
        <v>26</v>
      </c>
      <c r="G369" s="305">
        <f>'JULIO-18  '!I366</f>
        <v>0</v>
      </c>
      <c r="H369" s="157"/>
      <c r="I369" s="17">
        <f t="shared" si="6"/>
        <v>100</v>
      </c>
      <c r="J369" s="326">
        <v>100</v>
      </c>
      <c r="K369" s="326"/>
    </row>
    <row r="370" spans="1:11" ht="29.25">
      <c r="A370" s="152">
        <v>54399</v>
      </c>
      <c r="B370" s="164" t="s">
        <v>494</v>
      </c>
      <c r="C370" s="154"/>
      <c r="D370" s="14" t="s">
        <v>11</v>
      </c>
      <c r="E370" s="14" t="s">
        <v>25</v>
      </c>
      <c r="F370" s="14" t="s">
        <v>26</v>
      </c>
      <c r="G370" s="305">
        <f>'JULIO-18  '!I367</f>
        <v>0</v>
      </c>
      <c r="H370" s="157"/>
      <c r="I370" s="17">
        <f t="shared" si="6"/>
        <v>100</v>
      </c>
      <c r="J370" s="326">
        <v>100</v>
      </c>
      <c r="K370" s="326"/>
    </row>
    <row r="371" spans="1:11" ht="29.25">
      <c r="A371" s="152">
        <v>55603</v>
      </c>
      <c r="B371" s="164" t="s">
        <v>495</v>
      </c>
      <c r="C371" s="154"/>
      <c r="D371" s="14" t="s">
        <v>11</v>
      </c>
      <c r="E371" s="14" t="s">
        <v>25</v>
      </c>
      <c r="F371" s="14" t="s">
        <v>26</v>
      </c>
      <c r="G371" s="305">
        <f>'JULIO-18  '!I368</f>
        <v>0</v>
      </c>
      <c r="H371" s="157"/>
      <c r="I371" s="17">
        <f t="shared" si="6"/>
        <v>10</v>
      </c>
      <c r="J371" s="326">
        <v>10</v>
      </c>
      <c r="K371" s="326"/>
    </row>
    <row r="372" spans="1:11" ht="55.5">
      <c r="A372" s="144" t="s">
        <v>504</v>
      </c>
      <c r="B372" s="54" t="s">
        <v>496</v>
      </c>
      <c r="C372" s="154" t="s">
        <v>1066</v>
      </c>
      <c r="D372" s="155"/>
      <c r="E372" s="155"/>
      <c r="F372" s="155"/>
      <c r="G372" s="305">
        <f>'JULIO-18  '!I369</f>
        <v>0</v>
      </c>
      <c r="H372" s="157"/>
      <c r="I372" s="158"/>
      <c r="J372" s="159"/>
      <c r="K372" s="159"/>
    </row>
    <row r="373" spans="1:11" ht="29.25">
      <c r="A373" s="152">
        <v>51202</v>
      </c>
      <c r="B373" s="164" t="s">
        <v>500</v>
      </c>
      <c r="C373" s="154"/>
      <c r="D373" s="14" t="s">
        <v>11</v>
      </c>
      <c r="E373" s="14" t="s">
        <v>25</v>
      </c>
      <c r="F373" s="14" t="s">
        <v>26</v>
      </c>
      <c r="G373" s="305">
        <f>'JULIO-18  '!I370</f>
        <v>2000</v>
      </c>
      <c r="H373" s="157"/>
      <c r="I373" s="17">
        <f t="shared" si="6"/>
        <v>2000</v>
      </c>
      <c r="J373" s="159"/>
      <c r="K373" s="326"/>
    </row>
    <row r="374" spans="1:11" ht="29.25">
      <c r="A374" s="152">
        <v>54111</v>
      </c>
      <c r="B374" s="164" t="s">
        <v>499</v>
      </c>
      <c r="C374" s="154" t="s">
        <v>1066</v>
      </c>
      <c r="D374" s="14" t="s">
        <v>11</v>
      </c>
      <c r="E374" s="14" t="s">
        <v>25</v>
      </c>
      <c r="F374" s="14" t="s">
        <v>26</v>
      </c>
      <c r="G374" s="305">
        <f>'JULIO-18  '!I371</f>
        <v>3124</v>
      </c>
      <c r="H374" s="157">
        <f>48</f>
        <v>48</v>
      </c>
      <c r="I374" s="17">
        <f t="shared" si="6"/>
        <v>3076</v>
      </c>
      <c r="J374" s="159"/>
      <c r="K374" s="326"/>
    </row>
    <row r="375" spans="1:11" ht="29.25">
      <c r="A375" s="152">
        <v>54112</v>
      </c>
      <c r="B375" s="164" t="s">
        <v>497</v>
      </c>
      <c r="C375" s="154" t="s">
        <v>1066</v>
      </c>
      <c r="D375" s="14" t="s">
        <v>11</v>
      </c>
      <c r="E375" s="14" t="s">
        <v>25</v>
      </c>
      <c r="F375" s="14" t="s">
        <v>26</v>
      </c>
      <c r="G375" s="305">
        <f>'JULIO-18  '!I372</f>
        <v>3545.2999999999993</v>
      </c>
      <c r="H375" s="157"/>
      <c r="I375" s="17">
        <f t="shared" si="6"/>
        <v>3545.2999999999993</v>
      </c>
      <c r="J375" s="159"/>
      <c r="K375" s="327"/>
    </row>
    <row r="376" spans="1:11" ht="29.25">
      <c r="A376" s="152">
        <v>54118</v>
      </c>
      <c r="B376" s="164" t="s">
        <v>498</v>
      </c>
      <c r="C376" s="154"/>
      <c r="D376" s="14" t="s">
        <v>11</v>
      </c>
      <c r="E376" s="14" t="s">
        <v>25</v>
      </c>
      <c r="F376" s="14" t="s">
        <v>26</v>
      </c>
      <c r="G376" s="305">
        <f>'JULIO-18  '!I373</f>
        <v>1700</v>
      </c>
      <c r="H376" s="157"/>
      <c r="I376" s="17">
        <f t="shared" si="6"/>
        <v>1700</v>
      </c>
      <c r="J376" s="159"/>
      <c r="K376" s="327"/>
    </row>
    <row r="377" spans="1:11" ht="29.25">
      <c r="A377" s="152">
        <v>54313</v>
      </c>
      <c r="B377" s="164" t="s">
        <v>501</v>
      </c>
      <c r="C377" s="154"/>
      <c r="D377" s="14" t="s">
        <v>11</v>
      </c>
      <c r="E377" s="14" t="s">
        <v>25</v>
      </c>
      <c r="F377" s="14" t="s">
        <v>26</v>
      </c>
      <c r="G377" s="305">
        <f>'JULIO-18  '!I374</f>
        <v>0</v>
      </c>
      <c r="H377" s="157"/>
      <c r="I377" s="17">
        <f t="shared" si="6"/>
        <v>0</v>
      </c>
      <c r="J377" s="159"/>
      <c r="K377" s="326"/>
    </row>
    <row r="378" spans="1:11" ht="29.25">
      <c r="A378" s="152">
        <v>54399</v>
      </c>
      <c r="B378" s="164" t="s">
        <v>502</v>
      </c>
      <c r="C378" s="154"/>
      <c r="D378" s="14" t="s">
        <v>11</v>
      </c>
      <c r="E378" s="14" t="s">
        <v>25</v>
      </c>
      <c r="F378" s="14" t="s">
        <v>26</v>
      </c>
      <c r="G378" s="305">
        <f>'JULIO-18  '!I375</f>
        <v>0</v>
      </c>
      <c r="H378" s="157"/>
      <c r="I378" s="17">
        <f t="shared" si="6"/>
        <v>0</v>
      </c>
      <c r="J378" s="159"/>
      <c r="K378" s="326"/>
    </row>
    <row r="379" spans="1:11" ht="29.25">
      <c r="A379" s="152">
        <v>55603</v>
      </c>
      <c r="B379" s="164" t="s">
        <v>503</v>
      </c>
      <c r="C379" s="154"/>
      <c r="D379" s="14" t="s">
        <v>11</v>
      </c>
      <c r="E379" s="14" t="s">
        <v>25</v>
      </c>
      <c r="F379" s="14" t="s">
        <v>26</v>
      </c>
      <c r="G379" s="305">
        <f>'JULIO-18  '!I376</f>
        <v>5.6999999999999993</v>
      </c>
      <c r="H379" s="157"/>
      <c r="I379" s="17">
        <f t="shared" si="6"/>
        <v>5.6999999999999993</v>
      </c>
      <c r="J379" s="159"/>
      <c r="K379" s="159"/>
    </row>
    <row r="380" spans="1:11" ht="84.75">
      <c r="A380" s="144" t="s">
        <v>505</v>
      </c>
      <c r="B380" s="53" t="s">
        <v>510</v>
      </c>
      <c r="C380" s="154"/>
      <c r="D380" s="155"/>
      <c r="E380" s="155"/>
      <c r="F380" s="155"/>
      <c r="G380" s="305">
        <f>'JULIO-18  '!I377</f>
        <v>0</v>
      </c>
      <c r="H380" s="157"/>
      <c r="I380" s="158"/>
      <c r="J380" s="159"/>
      <c r="K380" s="159"/>
    </row>
    <row r="381" spans="1:11" ht="29.25">
      <c r="A381" s="152">
        <v>51999</v>
      </c>
      <c r="B381" s="153" t="s">
        <v>506</v>
      </c>
      <c r="C381" s="154"/>
      <c r="D381" s="14" t="s">
        <v>11</v>
      </c>
      <c r="E381" s="14" t="s">
        <v>25</v>
      </c>
      <c r="F381" s="14" t="s">
        <v>26</v>
      </c>
      <c r="G381" s="305">
        <f>'JULIO-18  '!I378</f>
        <v>0</v>
      </c>
      <c r="H381" s="157"/>
      <c r="I381" s="17">
        <f t="shared" si="6"/>
        <v>0</v>
      </c>
      <c r="J381" s="159"/>
      <c r="K381" s="326"/>
    </row>
    <row r="382" spans="1:11" ht="29.25">
      <c r="A382" s="152">
        <v>54199</v>
      </c>
      <c r="B382" s="153" t="s">
        <v>507</v>
      </c>
      <c r="C382" s="154"/>
      <c r="D382" s="14" t="s">
        <v>11</v>
      </c>
      <c r="E382" s="14" t="s">
        <v>25</v>
      </c>
      <c r="F382" s="14" t="s">
        <v>26</v>
      </c>
      <c r="G382" s="305">
        <f>'JULIO-18  '!I379</f>
        <v>0</v>
      </c>
      <c r="H382" s="157"/>
      <c r="I382" s="17">
        <f t="shared" si="6"/>
        <v>0</v>
      </c>
      <c r="J382" s="159"/>
      <c r="K382" s="326"/>
    </row>
    <row r="383" spans="1:11" ht="43.5">
      <c r="A383" s="152">
        <v>54399</v>
      </c>
      <c r="B383" s="153" t="s">
        <v>508</v>
      </c>
      <c r="C383" s="154"/>
      <c r="D383" s="14" t="s">
        <v>11</v>
      </c>
      <c r="E383" s="14" t="s">
        <v>25</v>
      </c>
      <c r="F383" s="14" t="s">
        <v>26</v>
      </c>
      <c r="G383" s="305">
        <f>'JULIO-18  '!I380</f>
        <v>0</v>
      </c>
      <c r="H383" s="157"/>
      <c r="I383" s="17">
        <f t="shared" si="6"/>
        <v>0</v>
      </c>
      <c r="J383" s="159"/>
      <c r="K383" s="326"/>
    </row>
    <row r="384" spans="1:11" ht="29.25">
      <c r="A384" s="152">
        <v>55603</v>
      </c>
      <c r="B384" s="153" t="s">
        <v>509</v>
      </c>
      <c r="C384" s="154"/>
      <c r="D384" s="14" t="s">
        <v>11</v>
      </c>
      <c r="E384" s="14" t="s">
        <v>25</v>
      </c>
      <c r="F384" s="14" t="s">
        <v>26</v>
      </c>
      <c r="G384" s="305">
        <f>'JULIO-18  '!I381</f>
        <v>0</v>
      </c>
      <c r="H384" s="157"/>
      <c r="I384" s="17">
        <f t="shared" si="6"/>
        <v>0</v>
      </c>
      <c r="J384" s="159"/>
      <c r="K384" s="326"/>
    </row>
    <row r="385" spans="1:11" ht="94.5" customHeight="1">
      <c r="A385" s="144" t="s">
        <v>511</v>
      </c>
      <c r="B385" s="53" t="s">
        <v>512</v>
      </c>
      <c r="C385" s="154"/>
      <c r="D385" s="155"/>
      <c r="E385" s="155"/>
      <c r="F385" s="155"/>
      <c r="G385" s="305">
        <f>'JULIO-18  '!I382</f>
        <v>0</v>
      </c>
      <c r="H385" s="157"/>
      <c r="I385" s="158"/>
      <c r="J385" s="159"/>
      <c r="K385" s="159"/>
    </row>
    <row r="386" spans="1:11" ht="29.25">
      <c r="A386" s="152">
        <v>51999</v>
      </c>
      <c r="B386" s="164" t="s">
        <v>513</v>
      </c>
      <c r="C386" s="154"/>
      <c r="D386" s="14" t="s">
        <v>11</v>
      </c>
      <c r="E386" s="14" t="s">
        <v>25</v>
      </c>
      <c r="F386" s="14" t="s">
        <v>26</v>
      </c>
      <c r="G386" s="305">
        <f>'JULIO-18  '!I383</f>
        <v>1000</v>
      </c>
      <c r="H386" s="157"/>
      <c r="I386" s="17">
        <f t="shared" si="6"/>
        <v>1000</v>
      </c>
      <c r="J386" s="159"/>
      <c r="K386" s="159"/>
    </row>
    <row r="387" spans="1:11" ht="29.25">
      <c r="A387" s="152">
        <v>54115</v>
      </c>
      <c r="B387" s="164" t="s">
        <v>514</v>
      </c>
      <c r="C387" s="154"/>
      <c r="D387" s="14" t="s">
        <v>11</v>
      </c>
      <c r="E387" s="14" t="s">
        <v>25</v>
      </c>
      <c r="F387" s="14" t="s">
        <v>26</v>
      </c>
      <c r="G387" s="305">
        <f>'JULIO-18  '!I384</f>
        <v>1990</v>
      </c>
      <c r="H387" s="157"/>
      <c r="I387" s="17">
        <f t="shared" si="6"/>
        <v>1990</v>
      </c>
      <c r="J387" s="159"/>
      <c r="K387" s="159"/>
    </row>
    <row r="388" spans="1:11" ht="29.25">
      <c r="A388" s="152">
        <v>61104</v>
      </c>
      <c r="B388" s="164" t="s">
        <v>515</v>
      </c>
      <c r="C388" s="154"/>
      <c r="D388" s="14" t="s">
        <v>11</v>
      </c>
      <c r="E388" s="14" t="s">
        <v>25</v>
      </c>
      <c r="F388" s="14" t="s">
        <v>26</v>
      </c>
      <c r="G388" s="305">
        <f>'JULIO-18  '!I385</f>
        <v>2000</v>
      </c>
      <c r="H388" s="157"/>
      <c r="I388" s="17">
        <f t="shared" si="6"/>
        <v>2000</v>
      </c>
      <c r="J388" s="159"/>
      <c r="K388" s="159"/>
    </row>
    <row r="389" spans="1:11" ht="29.25">
      <c r="A389" s="152">
        <v>55603</v>
      </c>
      <c r="B389" s="164" t="s">
        <v>516</v>
      </c>
      <c r="C389" s="154"/>
      <c r="D389" s="14" t="s">
        <v>11</v>
      </c>
      <c r="E389" s="14" t="s">
        <v>25</v>
      </c>
      <c r="F389" s="14" t="s">
        <v>26</v>
      </c>
      <c r="G389" s="305">
        <f>'JULIO-18  '!I386</f>
        <v>10</v>
      </c>
      <c r="H389" s="157"/>
      <c r="I389" s="17">
        <f t="shared" si="6"/>
        <v>10</v>
      </c>
      <c r="J389" s="159"/>
      <c r="K389" s="159"/>
    </row>
    <row r="390" spans="1:11" ht="63" customHeight="1">
      <c r="A390" s="144" t="s">
        <v>517</v>
      </c>
      <c r="B390" s="53" t="s">
        <v>518</v>
      </c>
      <c r="C390" s="154"/>
      <c r="D390" s="155"/>
      <c r="E390" s="155"/>
      <c r="F390" s="155"/>
      <c r="G390" s="305">
        <f>'JULIO-18  '!I387</f>
        <v>0</v>
      </c>
      <c r="H390" s="157"/>
      <c r="I390" s="158"/>
      <c r="J390" s="159"/>
      <c r="K390" s="159"/>
    </row>
    <row r="391" spans="1:11" ht="29.25">
      <c r="A391" s="152">
        <v>51999</v>
      </c>
      <c r="B391" s="164" t="s">
        <v>519</v>
      </c>
      <c r="C391" s="154"/>
      <c r="D391" s="14" t="s">
        <v>11</v>
      </c>
      <c r="E391" s="14" t="s">
        <v>25</v>
      </c>
      <c r="F391" s="14" t="s">
        <v>26</v>
      </c>
      <c r="G391" s="305">
        <f>'JULIO-18  '!I388</f>
        <v>10000</v>
      </c>
      <c r="H391" s="157"/>
      <c r="I391" s="17">
        <f t="shared" si="6"/>
        <v>10000</v>
      </c>
      <c r="J391" s="159"/>
      <c r="K391" s="159"/>
    </row>
    <row r="392" spans="1:11" ht="30">
      <c r="A392" s="152">
        <v>54313</v>
      </c>
      <c r="B392" s="164" t="s">
        <v>520</v>
      </c>
      <c r="C392" s="154"/>
      <c r="D392" s="14" t="s">
        <v>11</v>
      </c>
      <c r="E392" s="14" t="s">
        <v>25</v>
      </c>
      <c r="F392" s="14" t="s">
        <v>26</v>
      </c>
      <c r="G392" s="305">
        <f>'JULIO-18  '!I389</f>
        <v>500</v>
      </c>
      <c r="H392" s="157"/>
      <c r="I392" s="17">
        <f t="shared" si="6"/>
        <v>500</v>
      </c>
      <c r="J392" s="159"/>
      <c r="K392" s="159"/>
    </row>
    <row r="393" spans="1:11" ht="30">
      <c r="A393" s="152">
        <v>54399</v>
      </c>
      <c r="B393" s="164" t="s">
        <v>521</v>
      </c>
      <c r="C393" s="154"/>
      <c r="D393" s="14" t="s">
        <v>11</v>
      </c>
      <c r="E393" s="14" t="s">
        <v>25</v>
      </c>
      <c r="F393" s="14" t="s">
        <v>26</v>
      </c>
      <c r="G393" s="305">
        <f>'JULIO-18  '!I390</f>
        <v>990</v>
      </c>
      <c r="H393" s="157"/>
      <c r="I393" s="17">
        <f t="shared" si="6"/>
        <v>990</v>
      </c>
      <c r="J393" s="159"/>
      <c r="K393" s="159"/>
    </row>
    <row r="394" spans="1:11" ht="29.25">
      <c r="A394" s="152">
        <v>54599</v>
      </c>
      <c r="B394" s="164" t="s">
        <v>522</v>
      </c>
      <c r="C394" s="154"/>
      <c r="D394" s="14" t="s">
        <v>11</v>
      </c>
      <c r="E394" s="14" t="s">
        <v>25</v>
      </c>
      <c r="F394" s="14" t="s">
        <v>26</v>
      </c>
      <c r="G394" s="305">
        <f>'JULIO-18  '!I391</f>
        <v>13500</v>
      </c>
      <c r="H394" s="157"/>
      <c r="I394" s="17">
        <f t="shared" si="6"/>
        <v>13500</v>
      </c>
      <c r="J394" s="159"/>
      <c r="K394" s="159"/>
    </row>
    <row r="395" spans="1:11" ht="29.25">
      <c r="A395" s="152">
        <v>55603</v>
      </c>
      <c r="B395" s="164" t="s">
        <v>523</v>
      </c>
      <c r="C395" s="154"/>
      <c r="D395" s="14" t="s">
        <v>11</v>
      </c>
      <c r="E395" s="14" t="s">
        <v>25</v>
      </c>
      <c r="F395" s="14" t="s">
        <v>26</v>
      </c>
      <c r="G395" s="305">
        <f>'JULIO-18  '!I392</f>
        <v>10</v>
      </c>
      <c r="H395" s="157"/>
      <c r="I395" s="17">
        <f t="shared" si="6"/>
        <v>10</v>
      </c>
      <c r="J395" s="159"/>
      <c r="K395" s="159"/>
    </row>
    <row r="396" spans="1:11" ht="69.75">
      <c r="A396" s="144" t="s">
        <v>524</v>
      </c>
      <c r="B396" s="53" t="s">
        <v>525</v>
      </c>
      <c r="C396" s="154"/>
      <c r="D396" s="14" t="s">
        <v>11</v>
      </c>
      <c r="E396" s="14" t="s">
        <v>25</v>
      </c>
      <c r="F396" s="14" t="s">
        <v>26</v>
      </c>
      <c r="G396" s="305">
        <f>'JULIO-18  '!I393</f>
        <v>0</v>
      </c>
      <c r="H396" s="157"/>
      <c r="I396" s="158">
        <f t="shared" si="6"/>
        <v>0</v>
      </c>
      <c r="J396" s="159"/>
      <c r="K396" s="328"/>
    </row>
    <row r="397" spans="1:11" ht="44.25">
      <c r="A397" s="144" t="s">
        <v>526</v>
      </c>
      <c r="B397" s="53" t="s">
        <v>527</v>
      </c>
      <c r="C397" s="154"/>
      <c r="D397" s="14" t="s">
        <v>11</v>
      </c>
      <c r="E397" s="14" t="s">
        <v>25</v>
      </c>
      <c r="F397" s="14" t="s">
        <v>26</v>
      </c>
      <c r="G397" s="305">
        <f>'JULIO-18  '!I394</f>
        <v>0</v>
      </c>
      <c r="H397" s="157"/>
      <c r="I397" s="158">
        <f t="shared" si="6"/>
        <v>15000</v>
      </c>
      <c r="J397" s="381">
        <v>15000</v>
      </c>
      <c r="K397" s="329"/>
    </row>
    <row r="398" spans="1:11" ht="39.75">
      <c r="A398" s="144" t="s">
        <v>528</v>
      </c>
      <c r="B398" s="53" t="s">
        <v>529</v>
      </c>
      <c r="C398" s="154"/>
      <c r="D398" s="14" t="s">
        <v>11</v>
      </c>
      <c r="E398" s="14" t="s">
        <v>25</v>
      </c>
      <c r="F398" s="14" t="s">
        <v>26</v>
      </c>
      <c r="G398" s="305">
        <f>'JULIO-18  '!I395</f>
        <v>0</v>
      </c>
      <c r="H398" s="157"/>
      <c r="I398" s="158">
        <f t="shared" si="6"/>
        <v>8000</v>
      </c>
      <c r="J398" s="381">
        <v>8000</v>
      </c>
      <c r="K398" s="329"/>
    </row>
    <row r="399" spans="1:11" ht="39.75">
      <c r="A399" s="144" t="s">
        <v>530</v>
      </c>
      <c r="B399" s="53" t="s">
        <v>531</v>
      </c>
      <c r="C399" s="154"/>
      <c r="D399" s="14" t="s">
        <v>11</v>
      </c>
      <c r="E399" s="14" t="s">
        <v>25</v>
      </c>
      <c r="F399" s="14" t="s">
        <v>26</v>
      </c>
      <c r="G399" s="305">
        <f>'JULIO-18  '!I396</f>
        <v>0</v>
      </c>
      <c r="H399" s="157"/>
      <c r="I399" s="158">
        <f t="shared" si="6"/>
        <v>15000</v>
      </c>
      <c r="J399" s="381">
        <v>15000</v>
      </c>
      <c r="K399" s="329"/>
    </row>
    <row r="400" spans="1:11" ht="55.5">
      <c r="A400" s="144" t="s">
        <v>532</v>
      </c>
      <c r="B400" s="53" t="s">
        <v>533</v>
      </c>
      <c r="C400" s="154"/>
      <c r="D400" s="155"/>
      <c r="E400" s="155"/>
      <c r="F400" s="155"/>
      <c r="G400" s="305">
        <f>'JULIO-18  '!I397</f>
        <v>0</v>
      </c>
      <c r="H400" s="157"/>
      <c r="I400" s="158">
        <f t="shared" si="6"/>
        <v>0</v>
      </c>
      <c r="J400" s="159"/>
      <c r="K400" s="159"/>
    </row>
    <row r="401" spans="1:27" ht="29.25">
      <c r="A401" s="152">
        <v>51202</v>
      </c>
      <c r="B401" s="153" t="s">
        <v>534</v>
      </c>
      <c r="C401" s="154"/>
      <c r="D401" s="14" t="s">
        <v>11</v>
      </c>
      <c r="E401" s="14" t="s">
        <v>25</v>
      </c>
      <c r="F401" s="14" t="s">
        <v>26</v>
      </c>
      <c r="G401" s="305">
        <f>'JULIO-18  '!I398</f>
        <v>8000</v>
      </c>
      <c r="H401" s="157"/>
      <c r="I401" s="158">
        <f t="shared" si="6"/>
        <v>8000</v>
      </c>
      <c r="J401" s="159"/>
      <c r="K401" s="159"/>
    </row>
    <row r="402" spans="1:27" ht="29.25">
      <c r="A402" s="152">
        <v>54111</v>
      </c>
      <c r="B402" s="153" t="s">
        <v>535</v>
      </c>
      <c r="C402" s="154"/>
      <c r="D402" s="14" t="s">
        <v>11</v>
      </c>
      <c r="E402" s="14" t="s">
        <v>25</v>
      </c>
      <c r="F402" s="14" t="s">
        <v>26</v>
      </c>
      <c r="G402" s="305">
        <f>'JULIO-18  '!I399</f>
        <v>5500</v>
      </c>
      <c r="H402" s="157"/>
      <c r="I402" s="158">
        <f t="shared" si="6"/>
        <v>5500</v>
      </c>
      <c r="J402" s="159"/>
      <c r="K402" s="159"/>
    </row>
    <row r="403" spans="1:27" ht="29.25">
      <c r="A403" s="152">
        <v>54112</v>
      </c>
      <c r="B403" s="153" t="s">
        <v>536</v>
      </c>
      <c r="C403" s="154"/>
      <c r="D403" s="14" t="s">
        <v>11</v>
      </c>
      <c r="E403" s="14" t="s">
        <v>25</v>
      </c>
      <c r="F403" s="14" t="s">
        <v>26</v>
      </c>
      <c r="G403" s="305">
        <f>'JULIO-18  '!I400</f>
        <v>5000</v>
      </c>
      <c r="H403" s="157"/>
      <c r="I403" s="158">
        <f t="shared" si="6"/>
        <v>5000</v>
      </c>
      <c r="J403" s="159"/>
      <c r="K403" s="159"/>
    </row>
    <row r="404" spans="1:27" ht="30">
      <c r="A404" s="152">
        <v>54313</v>
      </c>
      <c r="B404" s="153" t="s">
        <v>537</v>
      </c>
      <c r="C404" s="154"/>
      <c r="D404" s="14" t="s">
        <v>11</v>
      </c>
      <c r="E404" s="14" t="s">
        <v>25</v>
      </c>
      <c r="F404" s="14" t="s">
        <v>26</v>
      </c>
      <c r="G404" s="305">
        <f>'JULIO-18  '!I401</f>
        <v>500</v>
      </c>
      <c r="H404" s="157"/>
      <c r="I404" s="158">
        <f t="shared" si="6"/>
        <v>500</v>
      </c>
      <c r="J404" s="159"/>
      <c r="K404" s="159"/>
    </row>
    <row r="405" spans="1:27" ht="30">
      <c r="A405" s="152">
        <v>54399</v>
      </c>
      <c r="B405" s="153" t="s">
        <v>538</v>
      </c>
      <c r="C405" s="154"/>
      <c r="D405" s="14" t="s">
        <v>11</v>
      </c>
      <c r="E405" s="14" t="s">
        <v>25</v>
      </c>
      <c r="F405" s="14" t="s">
        <v>26</v>
      </c>
      <c r="G405" s="305">
        <f>'JULIO-18  '!I402</f>
        <v>990</v>
      </c>
      <c r="H405" s="157"/>
      <c r="I405" s="158">
        <f t="shared" si="6"/>
        <v>990</v>
      </c>
      <c r="J405" s="159"/>
      <c r="K405" s="159"/>
    </row>
    <row r="406" spans="1:27" ht="29.25">
      <c r="A406" s="152">
        <v>55603</v>
      </c>
      <c r="B406" s="153" t="s">
        <v>539</v>
      </c>
      <c r="C406" s="154"/>
      <c r="D406" s="14" t="s">
        <v>11</v>
      </c>
      <c r="E406" s="14" t="s">
        <v>25</v>
      </c>
      <c r="F406" s="14" t="s">
        <v>26</v>
      </c>
      <c r="G406" s="305">
        <f>'JULIO-18  '!I403</f>
        <v>10</v>
      </c>
      <c r="H406" s="157"/>
      <c r="I406" s="158">
        <f t="shared" si="6"/>
        <v>10</v>
      </c>
      <c r="J406" s="159"/>
      <c r="K406" s="159"/>
    </row>
    <row r="407" spans="1:27" ht="55.5">
      <c r="A407" s="384" t="s">
        <v>540</v>
      </c>
      <c r="B407" s="53" t="s">
        <v>541</v>
      </c>
      <c r="C407" s="154"/>
      <c r="D407" s="155"/>
      <c r="E407" s="155"/>
      <c r="F407" s="155"/>
      <c r="G407" s="305">
        <f>'JULIO-18  '!I404</f>
        <v>0</v>
      </c>
      <c r="H407" s="157"/>
      <c r="I407" s="158"/>
      <c r="J407" s="159"/>
      <c r="K407" s="159"/>
    </row>
    <row r="408" spans="1:27" ht="29.25">
      <c r="A408" s="152">
        <v>51202</v>
      </c>
      <c r="B408" s="153" t="s">
        <v>542</v>
      </c>
      <c r="C408" s="154"/>
      <c r="D408" s="14" t="s">
        <v>11</v>
      </c>
      <c r="E408" s="14" t="s">
        <v>25</v>
      </c>
      <c r="F408" s="14" t="s">
        <v>26</v>
      </c>
      <c r="G408" s="305">
        <f>'JULIO-18  '!I405</f>
        <v>0</v>
      </c>
      <c r="H408" s="157"/>
      <c r="I408" s="158">
        <f t="shared" si="6"/>
        <v>0</v>
      </c>
      <c r="J408" s="159"/>
      <c r="K408" s="326"/>
    </row>
    <row r="409" spans="1:27" ht="46.5" customHeight="1">
      <c r="A409" s="152">
        <v>54111</v>
      </c>
      <c r="B409" s="153" t="s">
        <v>543</v>
      </c>
      <c r="C409" s="154"/>
      <c r="D409" s="14" t="s">
        <v>11</v>
      </c>
      <c r="E409" s="14" t="s">
        <v>25</v>
      </c>
      <c r="F409" s="14" t="s">
        <v>26</v>
      </c>
      <c r="G409" s="305">
        <f>'JULIO-18  '!I406</f>
        <v>0</v>
      </c>
      <c r="H409" s="157"/>
      <c r="I409" s="158">
        <f t="shared" si="6"/>
        <v>0</v>
      </c>
      <c r="J409" s="159"/>
      <c r="K409" s="326"/>
    </row>
    <row r="410" spans="1:27" ht="35.25" customHeight="1">
      <c r="A410" s="152">
        <v>54112</v>
      </c>
      <c r="B410" s="153" t="s">
        <v>544</v>
      </c>
      <c r="C410" s="154"/>
      <c r="D410" s="14" t="s">
        <v>11</v>
      </c>
      <c r="E410" s="14" t="s">
        <v>25</v>
      </c>
      <c r="F410" s="14" t="s">
        <v>26</v>
      </c>
      <c r="G410" s="305">
        <f>'JULIO-18  '!I407</f>
        <v>0</v>
      </c>
      <c r="H410" s="157"/>
      <c r="I410" s="158">
        <f t="shared" ref="I410:I425" si="7">G410-H410+J410-K410</f>
        <v>0</v>
      </c>
      <c r="J410" s="159"/>
      <c r="K410" s="326"/>
    </row>
    <row r="411" spans="1:27" ht="36.75" customHeight="1">
      <c r="A411" s="152">
        <v>54313</v>
      </c>
      <c r="B411" s="153" t="s">
        <v>545</v>
      </c>
      <c r="C411" s="154"/>
      <c r="D411" s="14" t="s">
        <v>11</v>
      </c>
      <c r="E411" s="14" t="s">
        <v>25</v>
      </c>
      <c r="F411" s="14" t="s">
        <v>26</v>
      </c>
      <c r="G411" s="305">
        <f>'JULIO-18  '!I408</f>
        <v>0</v>
      </c>
      <c r="H411" s="157"/>
      <c r="I411" s="158">
        <f t="shared" si="7"/>
        <v>0</v>
      </c>
      <c r="J411" s="159"/>
      <c r="K411" s="326"/>
      <c r="M411" s="167"/>
      <c r="N411" s="167"/>
      <c r="O411" s="167"/>
      <c r="P411" s="167"/>
      <c r="Q411" s="167"/>
    </row>
    <row r="412" spans="1:27" ht="34.5" customHeight="1">
      <c r="A412" s="152">
        <v>54399</v>
      </c>
      <c r="B412" s="153" t="s">
        <v>546</v>
      </c>
      <c r="C412" s="154"/>
      <c r="D412" s="14" t="s">
        <v>11</v>
      </c>
      <c r="E412" s="14" t="s">
        <v>25</v>
      </c>
      <c r="F412" s="14" t="s">
        <v>26</v>
      </c>
      <c r="G412" s="305">
        <f>'JULIO-18  '!I409</f>
        <v>0</v>
      </c>
      <c r="H412" s="157"/>
      <c r="I412" s="158">
        <f t="shared" si="7"/>
        <v>0</v>
      </c>
      <c r="J412" s="159"/>
      <c r="K412" s="326"/>
      <c r="M412" s="167"/>
      <c r="N412" s="167"/>
      <c r="O412" s="167"/>
      <c r="P412" s="167"/>
      <c r="Q412" s="167"/>
    </row>
    <row r="413" spans="1:27" s="47" customFormat="1" ht="29.25">
      <c r="A413" s="11">
        <v>55603</v>
      </c>
      <c r="B413" s="153" t="s">
        <v>547</v>
      </c>
      <c r="C413" s="12"/>
      <c r="D413" s="14" t="s">
        <v>11</v>
      </c>
      <c r="E413" s="14" t="s">
        <v>25</v>
      </c>
      <c r="F413" s="14" t="s">
        <v>26</v>
      </c>
      <c r="G413" s="305">
        <f>'JULIO-18  '!I410</f>
        <v>0</v>
      </c>
      <c r="H413" s="51"/>
      <c r="I413" s="158">
        <f t="shared" si="7"/>
        <v>0</v>
      </c>
      <c r="J413" s="44"/>
      <c r="K413" s="330"/>
      <c r="L413" s="167"/>
      <c r="M413" s="167"/>
      <c r="N413" s="167"/>
      <c r="O413" s="167"/>
      <c r="P413" s="167"/>
      <c r="Q413" s="167"/>
      <c r="R413" s="167"/>
      <c r="S413" s="167"/>
      <c r="T413" s="167"/>
      <c r="U413" s="167"/>
      <c r="V413" s="167"/>
      <c r="W413" s="167"/>
      <c r="X413" s="167"/>
      <c r="Y413" s="167"/>
      <c r="Z413" s="167"/>
      <c r="AA413" s="166"/>
    </row>
    <row r="414" spans="1:27" s="47" customFormat="1" ht="28.5">
      <c r="A414" s="144" t="s">
        <v>548</v>
      </c>
      <c r="B414" s="53" t="s">
        <v>549</v>
      </c>
      <c r="C414" s="12"/>
      <c r="D414" s="14" t="s">
        <v>11</v>
      </c>
      <c r="E414" s="14" t="s">
        <v>25</v>
      </c>
      <c r="F414" s="14" t="s">
        <v>26</v>
      </c>
      <c r="G414" s="305">
        <f>'JULIO-18  '!I411</f>
        <v>5000</v>
      </c>
      <c r="H414" s="51"/>
      <c r="I414" s="17">
        <f t="shared" si="7"/>
        <v>5000</v>
      </c>
      <c r="J414" s="44"/>
      <c r="K414" s="44"/>
      <c r="L414" s="167"/>
      <c r="M414" s="167"/>
      <c r="N414" s="167"/>
      <c r="O414" s="167"/>
      <c r="P414" s="167"/>
      <c r="Q414" s="167"/>
      <c r="R414" s="167"/>
      <c r="S414" s="167"/>
      <c r="T414" s="167"/>
      <c r="U414" s="167"/>
      <c r="V414" s="167"/>
      <c r="W414" s="167"/>
      <c r="X414" s="167"/>
      <c r="Y414" s="167"/>
      <c r="Z414" s="167"/>
      <c r="AA414" s="166"/>
    </row>
    <row r="415" spans="1:27" s="47" customFormat="1" ht="40.5">
      <c r="A415" s="144" t="s">
        <v>550</v>
      </c>
      <c r="B415" s="53" t="s">
        <v>1026</v>
      </c>
      <c r="C415" s="12"/>
      <c r="D415" s="3"/>
      <c r="E415" s="3"/>
      <c r="F415" s="3"/>
      <c r="G415" s="305">
        <f>'JULIO-18  '!I412</f>
        <v>0</v>
      </c>
      <c r="H415" s="51"/>
      <c r="I415" s="17"/>
      <c r="J415" s="44"/>
      <c r="K415" s="52"/>
      <c r="L415" s="167"/>
      <c r="M415" s="167"/>
      <c r="N415" s="167"/>
      <c r="O415" s="167"/>
      <c r="P415" s="167"/>
      <c r="Q415" s="167"/>
      <c r="R415" s="167"/>
      <c r="S415" s="167"/>
      <c r="T415" s="167"/>
      <c r="U415" s="167"/>
      <c r="V415" s="167"/>
      <c r="W415" s="167"/>
      <c r="X415" s="167"/>
      <c r="Y415" s="167"/>
      <c r="Z415" s="167"/>
      <c r="AA415" s="166"/>
    </row>
    <row r="416" spans="1:27" s="47" customFormat="1" ht="20.25" customHeight="1">
      <c r="A416" s="11">
        <v>51999</v>
      </c>
      <c r="B416" s="70" t="s">
        <v>552</v>
      </c>
      <c r="C416" s="12"/>
      <c r="D416" s="14" t="s">
        <v>11</v>
      </c>
      <c r="E416" s="14" t="s">
        <v>25</v>
      </c>
      <c r="F416" s="14" t="s">
        <v>26</v>
      </c>
      <c r="G416" s="305">
        <f>'JULIO-18  '!I413</f>
        <v>0</v>
      </c>
      <c r="H416" s="51"/>
      <c r="I416" s="17">
        <f t="shared" si="7"/>
        <v>0</v>
      </c>
      <c r="J416" s="44"/>
      <c r="K416" s="266"/>
      <c r="L416" s="167"/>
      <c r="M416" s="167"/>
      <c r="N416" s="167"/>
      <c r="O416" s="167"/>
      <c r="P416" s="167"/>
      <c r="Q416" s="167"/>
      <c r="R416" s="167"/>
      <c r="S416" s="167"/>
      <c r="T416" s="167"/>
      <c r="U416" s="167"/>
      <c r="V416" s="167"/>
      <c r="W416" s="167"/>
      <c r="X416" s="167"/>
      <c r="Y416" s="167"/>
      <c r="Z416" s="167"/>
    </row>
    <row r="417" spans="1:26" s="47" customFormat="1" ht="23.25" customHeight="1">
      <c r="A417" s="11">
        <v>54399</v>
      </c>
      <c r="B417" s="70" t="s">
        <v>553</v>
      </c>
      <c r="C417" s="12"/>
      <c r="D417" s="14" t="s">
        <v>11</v>
      </c>
      <c r="E417" s="14" t="s">
        <v>25</v>
      </c>
      <c r="F417" s="14" t="s">
        <v>26</v>
      </c>
      <c r="G417" s="305">
        <f>'JULIO-18  '!I414</f>
        <v>0</v>
      </c>
      <c r="H417" s="51"/>
      <c r="I417" s="17">
        <f t="shared" si="7"/>
        <v>0</v>
      </c>
      <c r="J417" s="44"/>
      <c r="K417" s="266"/>
      <c r="L417" s="167"/>
      <c r="M417" s="167"/>
      <c r="N417" s="167"/>
      <c r="O417" s="167"/>
      <c r="P417" s="167"/>
      <c r="Q417" s="167"/>
      <c r="R417" s="167"/>
      <c r="S417" s="167"/>
      <c r="T417" s="167"/>
      <c r="U417" s="167"/>
      <c r="V417" s="167"/>
      <c r="W417" s="167"/>
      <c r="X417" s="167"/>
      <c r="Y417" s="167"/>
      <c r="Z417" s="167"/>
    </row>
    <row r="418" spans="1:26" s="47" customFormat="1" ht="20.25" customHeight="1">
      <c r="A418" s="11">
        <v>54599</v>
      </c>
      <c r="B418" s="70" t="s">
        <v>554</v>
      </c>
      <c r="C418" s="12"/>
      <c r="D418" s="14" t="s">
        <v>11</v>
      </c>
      <c r="E418" s="14" t="s">
        <v>25</v>
      </c>
      <c r="F418" s="14" t="s">
        <v>26</v>
      </c>
      <c r="G418" s="305">
        <f>'JULIO-18  '!I415</f>
        <v>0</v>
      </c>
      <c r="H418" s="51"/>
      <c r="I418" s="17">
        <f t="shared" si="7"/>
        <v>0</v>
      </c>
      <c r="J418" s="44"/>
      <c r="K418" s="266"/>
      <c r="L418" s="167"/>
      <c r="M418" s="167"/>
      <c r="N418" s="167"/>
      <c r="O418" s="167"/>
      <c r="P418" s="167"/>
      <c r="Q418" s="167"/>
      <c r="R418" s="167"/>
      <c r="S418" s="167"/>
      <c r="T418" s="167"/>
      <c r="U418" s="167"/>
      <c r="V418" s="167"/>
      <c r="W418" s="167"/>
      <c r="X418" s="167"/>
      <c r="Y418" s="167"/>
      <c r="Z418" s="167"/>
    </row>
    <row r="419" spans="1:26" s="47" customFormat="1" ht="44.25" customHeight="1">
      <c r="A419" s="144" t="s">
        <v>909</v>
      </c>
      <c r="B419" s="349" t="s">
        <v>1089</v>
      </c>
      <c r="C419" s="12"/>
      <c r="D419" s="14"/>
      <c r="E419" s="14"/>
      <c r="F419" s="14"/>
      <c r="G419" s="305">
        <f>'JULIO-18  '!I416</f>
        <v>0</v>
      </c>
      <c r="H419" s="51"/>
      <c r="I419" s="17"/>
      <c r="J419" s="44"/>
      <c r="K419" s="266"/>
      <c r="L419" s="167"/>
      <c r="M419" s="167"/>
      <c r="N419" s="167"/>
      <c r="O419" s="167"/>
      <c r="P419" s="167"/>
      <c r="Q419" s="167"/>
      <c r="R419" s="167"/>
      <c r="S419" s="167"/>
      <c r="T419" s="167"/>
      <c r="U419" s="167"/>
      <c r="V419" s="167"/>
      <c r="W419" s="167"/>
      <c r="X419" s="167"/>
      <c r="Y419" s="167"/>
      <c r="Z419" s="167"/>
    </row>
    <row r="420" spans="1:26" s="47" customFormat="1" ht="45" customHeight="1">
      <c r="A420" s="11">
        <v>54314</v>
      </c>
      <c r="B420" s="70" t="s">
        <v>1125</v>
      </c>
      <c r="C420" s="12"/>
      <c r="D420" s="14" t="s">
        <v>11</v>
      </c>
      <c r="E420" s="14" t="s">
        <v>25</v>
      </c>
      <c r="F420" s="14" t="s">
        <v>26</v>
      </c>
      <c r="G420" s="305">
        <f>'JULIO-18  '!I417</f>
        <v>600</v>
      </c>
      <c r="H420" s="51"/>
      <c r="I420" s="17">
        <f t="shared" si="7"/>
        <v>0</v>
      </c>
      <c r="J420" s="347"/>
      <c r="K420" s="266">
        <v>600</v>
      </c>
      <c r="L420" s="167"/>
      <c r="M420" s="167"/>
      <c r="N420" s="167"/>
      <c r="O420" s="167"/>
      <c r="P420" s="167"/>
      <c r="Q420" s="167"/>
      <c r="R420" s="167"/>
      <c r="S420" s="167"/>
      <c r="T420" s="167"/>
      <c r="U420" s="167"/>
      <c r="V420" s="167"/>
      <c r="W420" s="167"/>
      <c r="X420" s="167"/>
      <c r="Y420" s="167"/>
      <c r="Z420" s="167"/>
    </row>
    <row r="421" spans="1:26" s="47" customFormat="1" ht="30">
      <c r="A421" s="47">
        <v>55603</v>
      </c>
      <c r="B421" s="5" t="s">
        <v>1091</v>
      </c>
      <c r="C421" s="12"/>
      <c r="D421" s="14" t="s">
        <v>11</v>
      </c>
      <c r="E421" s="14" t="s">
        <v>25</v>
      </c>
      <c r="F421" s="14" t="s">
        <v>26</v>
      </c>
      <c r="G421" s="305">
        <f>'JULIO-18  '!I418</f>
        <v>0</v>
      </c>
      <c r="H421" s="375"/>
      <c r="I421" s="17">
        <f t="shared" si="7"/>
        <v>0</v>
      </c>
      <c r="J421" s="316"/>
      <c r="K421" s="44"/>
      <c r="L421" s="167"/>
      <c r="M421" s="167"/>
      <c r="N421" s="167"/>
      <c r="O421" s="167"/>
      <c r="P421" s="167"/>
      <c r="Q421" s="167"/>
      <c r="R421" s="167"/>
      <c r="S421" s="167"/>
      <c r="T421" s="167"/>
      <c r="U421" s="167"/>
      <c r="V421" s="167"/>
      <c r="W421" s="167"/>
      <c r="X421" s="167"/>
      <c r="Y421" s="167"/>
      <c r="Z421" s="167"/>
    </row>
    <row r="422" spans="1:26" s="47" customFormat="1">
      <c r="B422" s="5"/>
      <c r="C422" s="12"/>
      <c r="D422" s="14"/>
      <c r="E422" s="14"/>
      <c r="F422" s="14"/>
      <c r="G422" s="305">
        <f>'JULIO-18  '!I419</f>
        <v>0</v>
      </c>
      <c r="H422" s="51"/>
      <c r="I422" s="17"/>
      <c r="J422" s="316"/>
      <c r="K422" s="44"/>
      <c r="L422" s="167"/>
      <c r="M422" s="167"/>
      <c r="N422" s="167"/>
      <c r="O422" s="167"/>
      <c r="P422" s="167"/>
      <c r="Q422" s="167"/>
      <c r="R422" s="167"/>
      <c r="S422" s="167"/>
      <c r="T422" s="167"/>
      <c r="U422" s="167"/>
      <c r="V422" s="167"/>
      <c r="W422" s="167"/>
      <c r="X422" s="167"/>
      <c r="Y422" s="167"/>
      <c r="Z422" s="167"/>
    </row>
    <row r="423" spans="1:26" s="47" customFormat="1" ht="75" customHeight="1">
      <c r="A423" s="317" t="s">
        <v>1213</v>
      </c>
      <c r="B423" s="338" t="s">
        <v>1186</v>
      </c>
      <c r="C423" s="318"/>
      <c r="D423" s="14" t="s">
        <v>11</v>
      </c>
      <c r="E423" s="14" t="s">
        <v>25</v>
      </c>
      <c r="F423" s="14" t="s">
        <v>26</v>
      </c>
      <c r="G423" s="305">
        <f>'JULIO-18  '!I420</f>
        <v>212262.09</v>
      </c>
      <c r="H423" s="51"/>
      <c r="I423" s="17">
        <f t="shared" si="7"/>
        <v>48166.890000000014</v>
      </c>
      <c r="J423" s="316"/>
      <c r="K423" s="388">
        <f>162262.09+1833.11</f>
        <v>164095.19999999998</v>
      </c>
      <c r="L423" s="167"/>
      <c r="M423" s="167"/>
      <c r="N423" s="167"/>
      <c r="O423" s="167"/>
      <c r="P423" s="167"/>
      <c r="Q423" s="167"/>
      <c r="R423" s="167"/>
      <c r="S423" s="167"/>
      <c r="T423" s="167"/>
      <c r="U423" s="167"/>
      <c r="V423" s="167"/>
      <c r="W423" s="167"/>
      <c r="X423" s="167"/>
      <c r="Y423" s="167"/>
      <c r="Z423" s="167"/>
    </row>
    <row r="424" spans="1:26" s="47" customFormat="1" ht="79.5" customHeight="1">
      <c r="A424" s="47">
        <v>61599</v>
      </c>
      <c r="B424" s="179" t="s">
        <v>1187</v>
      </c>
      <c r="C424" s="12"/>
      <c r="D424" s="14" t="s">
        <v>11</v>
      </c>
      <c r="E424" s="14" t="s">
        <v>25</v>
      </c>
      <c r="F424" s="14" t="s">
        <v>1181</v>
      </c>
      <c r="G424" s="305">
        <f>'JULIO-18  '!I421</f>
        <v>0</v>
      </c>
      <c r="H424" s="51">
        <v>1833.11</v>
      </c>
      <c r="I424" s="386">
        <f>G424-H424+J424-K424</f>
        <v>0</v>
      </c>
      <c r="J424" s="389">
        <v>1833.11</v>
      </c>
      <c r="K424" s="347"/>
      <c r="L424" s="167"/>
      <c r="M424" s="167"/>
      <c r="N424" s="167"/>
      <c r="O424" s="167"/>
      <c r="P424" s="167"/>
      <c r="Q424" s="167"/>
      <c r="R424" s="167"/>
      <c r="S424" s="167"/>
      <c r="T424" s="167"/>
      <c r="U424" s="167"/>
      <c r="V424" s="167"/>
      <c r="W424" s="167"/>
      <c r="X424" s="167"/>
      <c r="Y424" s="167"/>
      <c r="Z424" s="167"/>
    </row>
    <row r="425" spans="1:26" s="47" customFormat="1" ht="48" customHeight="1">
      <c r="A425" s="47" t="s">
        <v>1150</v>
      </c>
      <c r="B425" s="340" t="s">
        <v>1116</v>
      </c>
      <c r="C425" s="319"/>
      <c r="D425" s="14" t="s">
        <v>11</v>
      </c>
      <c r="E425" s="14" t="s">
        <v>25</v>
      </c>
      <c r="F425" s="14" t="s">
        <v>26</v>
      </c>
      <c r="G425" s="305">
        <f>'JULIO-18  '!I422</f>
        <v>120000</v>
      </c>
      <c r="H425" s="51">
        <f>49999.95</f>
        <v>49999.95</v>
      </c>
      <c r="I425" s="17">
        <f t="shared" si="7"/>
        <v>60000.05</v>
      </c>
      <c r="J425" s="347"/>
      <c r="K425" s="389">
        <v>10000</v>
      </c>
      <c r="L425" s="167"/>
      <c r="M425" s="167"/>
      <c r="N425" s="167"/>
      <c r="O425" s="167"/>
      <c r="P425" s="167"/>
      <c r="Q425" s="167"/>
      <c r="R425" s="167"/>
      <c r="S425" s="167"/>
      <c r="T425" s="167"/>
      <c r="U425" s="167"/>
      <c r="V425" s="167"/>
      <c r="W425" s="167"/>
      <c r="X425" s="167"/>
      <c r="Y425" s="167"/>
      <c r="Z425" s="167"/>
    </row>
    <row r="426" spans="1:26" s="47" customFormat="1" ht="51.75" customHeight="1">
      <c r="A426" s="47">
        <v>54107</v>
      </c>
      <c r="B426" s="5" t="s">
        <v>1148</v>
      </c>
      <c r="C426" s="12"/>
      <c r="D426" s="14"/>
      <c r="E426" s="14"/>
      <c r="F426" s="14"/>
      <c r="G426" s="305">
        <f>'JULIO-18  '!I423</f>
        <v>0</v>
      </c>
      <c r="H426" s="51"/>
      <c r="I426" s="17"/>
      <c r="J426" s="316"/>
      <c r="K426" s="44"/>
      <c r="L426" s="167"/>
      <c r="M426" s="167"/>
      <c r="N426" s="167"/>
      <c r="O426" s="167"/>
      <c r="P426" s="167"/>
      <c r="Q426" s="167"/>
      <c r="R426" s="167"/>
      <c r="S426" s="167"/>
      <c r="T426" s="167"/>
      <c r="U426" s="167"/>
      <c r="V426" s="167"/>
      <c r="W426" s="167"/>
      <c r="X426" s="167"/>
      <c r="Y426" s="167"/>
      <c r="Z426" s="167"/>
    </row>
    <row r="427" spans="1:26" s="47" customFormat="1" ht="81.75">
      <c r="A427" s="379" t="s">
        <v>1151</v>
      </c>
      <c r="B427" s="53" t="s">
        <v>1170</v>
      </c>
      <c r="C427" s="344" t="s">
        <v>1157</v>
      </c>
      <c r="D427" s="14"/>
      <c r="E427" s="14"/>
      <c r="F427" s="14"/>
      <c r="G427" s="305">
        <f>'JULIO-18  '!I424</f>
        <v>0</v>
      </c>
      <c r="H427" s="51"/>
      <c r="I427" s="17"/>
      <c r="J427" s="316"/>
      <c r="K427" s="44"/>
      <c r="L427" s="167"/>
      <c r="M427" s="167"/>
      <c r="N427" s="167"/>
      <c r="O427" s="167"/>
      <c r="P427" s="167"/>
      <c r="Q427" s="167"/>
      <c r="R427" s="167"/>
      <c r="S427" s="167"/>
      <c r="T427" s="167"/>
      <c r="U427" s="167"/>
      <c r="V427" s="167"/>
      <c r="W427" s="167"/>
      <c r="X427" s="167"/>
      <c r="Y427" s="167"/>
      <c r="Z427" s="167"/>
    </row>
    <row r="428" spans="1:26" s="47" customFormat="1" ht="29.25">
      <c r="A428" s="152">
        <v>51202</v>
      </c>
      <c r="B428" s="153" t="s">
        <v>1152</v>
      </c>
      <c r="C428" s="12" t="s">
        <v>1158</v>
      </c>
      <c r="D428" s="14" t="s">
        <v>11</v>
      </c>
      <c r="E428" s="14" t="s">
        <v>25</v>
      </c>
      <c r="F428" s="14" t="s">
        <v>26</v>
      </c>
      <c r="G428" s="305">
        <f>'JULIO-18  '!I425</f>
        <v>4720</v>
      </c>
      <c r="H428" s="51">
        <f>155.6+111.2+100+100+100+195+168+70+140+130</f>
        <v>1269.8</v>
      </c>
      <c r="I428" s="17">
        <f t="shared" ref="I428:I439" si="8">G428-H428+J428-K428</f>
        <v>3450.2</v>
      </c>
      <c r="J428" s="347"/>
      <c r="K428" s="44"/>
      <c r="L428" s="167"/>
      <c r="M428" s="167"/>
      <c r="N428" s="167"/>
      <c r="O428" s="167"/>
      <c r="P428" s="167"/>
      <c r="Q428" s="167"/>
      <c r="R428" s="167"/>
      <c r="S428" s="167"/>
      <c r="T428" s="167"/>
      <c r="U428" s="167"/>
      <c r="V428" s="167"/>
      <c r="W428" s="167"/>
      <c r="X428" s="167"/>
      <c r="Y428" s="167"/>
      <c r="Z428" s="167"/>
    </row>
    <row r="429" spans="1:26" s="47" customFormat="1" ht="59.25">
      <c r="A429" s="152">
        <v>54107</v>
      </c>
      <c r="B429" s="164" t="s">
        <v>1188</v>
      </c>
      <c r="C429" s="12"/>
      <c r="D429" s="14" t="s">
        <v>11</v>
      </c>
      <c r="E429" s="14" t="s">
        <v>25</v>
      </c>
      <c r="F429" s="14" t="s">
        <v>1181</v>
      </c>
      <c r="G429" s="305">
        <v>0</v>
      </c>
      <c r="H429" s="51">
        <v>406</v>
      </c>
      <c r="I429" s="386">
        <f>G429-H429+J429-K429</f>
        <v>0</v>
      </c>
      <c r="J429" s="347">
        <v>406</v>
      </c>
      <c r="K429" s="44"/>
      <c r="L429" s="167"/>
      <c r="M429" s="167"/>
      <c r="N429" s="167"/>
      <c r="O429" s="167"/>
      <c r="P429" s="167"/>
      <c r="Q429" s="167"/>
      <c r="R429" s="167"/>
      <c r="S429" s="167"/>
      <c r="T429" s="167"/>
      <c r="U429" s="167"/>
      <c r="V429" s="167"/>
      <c r="W429" s="167"/>
      <c r="X429" s="167"/>
      <c r="Y429" s="167"/>
      <c r="Z429" s="167"/>
    </row>
    <row r="430" spans="1:26" s="47" customFormat="1" ht="44.25">
      <c r="A430" s="152">
        <v>54111</v>
      </c>
      <c r="B430" s="153" t="s">
        <v>1154</v>
      </c>
      <c r="C430" s="12"/>
      <c r="D430" s="14" t="s">
        <v>11</v>
      </c>
      <c r="E430" s="14" t="s">
        <v>25</v>
      </c>
      <c r="F430" s="14" t="s">
        <v>26</v>
      </c>
      <c r="G430" s="305">
        <f>'JULIO-18  '!I426</f>
        <v>6000</v>
      </c>
      <c r="H430" s="51">
        <f>98+309.6</f>
        <v>407.6</v>
      </c>
      <c r="I430" s="17">
        <f t="shared" si="8"/>
        <v>5592.4</v>
      </c>
      <c r="J430" s="347"/>
      <c r="K430" s="44"/>
      <c r="L430" s="167"/>
      <c r="M430" s="167"/>
      <c r="N430" s="167"/>
      <c r="O430" s="167"/>
      <c r="P430" s="167"/>
      <c r="Q430" s="167"/>
      <c r="R430" s="167"/>
      <c r="S430" s="167"/>
      <c r="T430" s="167"/>
      <c r="U430" s="167"/>
      <c r="V430" s="167"/>
      <c r="W430" s="167"/>
      <c r="X430" s="167"/>
      <c r="Y430" s="167"/>
      <c r="Z430" s="167"/>
    </row>
    <row r="431" spans="1:26" s="47" customFormat="1" ht="44.25">
      <c r="A431" s="152">
        <v>54112</v>
      </c>
      <c r="B431" s="153" t="s">
        <v>1153</v>
      </c>
      <c r="C431" s="12"/>
      <c r="D431" s="14" t="s">
        <v>11</v>
      </c>
      <c r="E431" s="14" t="s">
        <v>25</v>
      </c>
      <c r="F431" s="14" t="s">
        <v>26</v>
      </c>
      <c r="G431" s="305">
        <f>'JULIO-18  '!I427</f>
        <v>4000</v>
      </c>
      <c r="H431" s="51">
        <f>15</f>
        <v>15</v>
      </c>
      <c r="I431" s="17">
        <f t="shared" si="8"/>
        <v>3985</v>
      </c>
      <c r="J431" s="347"/>
      <c r="K431" s="44"/>
      <c r="L431" s="167"/>
      <c r="M431" s="167"/>
      <c r="N431" s="167"/>
      <c r="O431" s="167"/>
      <c r="P431" s="167"/>
      <c r="Q431" s="167"/>
      <c r="R431" s="167"/>
      <c r="S431" s="167"/>
      <c r="T431" s="167"/>
      <c r="U431" s="167"/>
      <c r="V431" s="167"/>
      <c r="W431" s="167"/>
      <c r="X431" s="167"/>
      <c r="Y431" s="167"/>
      <c r="Z431" s="167"/>
    </row>
    <row r="432" spans="1:26" s="47" customFormat="1" ht="43.5">
      <c r="A432" s="152">
        <v>54118</v>
      </c>
      <c r="B432" s="153" t="s">
        <v>1155</v>
      </c>
      <c r="C432" s="12"/>
      <c r="D432" s="14" t="s">
        <v>11</v>
      </c>
      <c r="E432" s="14" t="s">
        <v>25</v>
      </c>
      <c r="F432" s="14" t="s">
        <v>26</v>
      </c>
      <c r="G432" s="305">
        <f>'JULIO-18  '!I428</f>
        <v>2384.41</v>
      </c>
      <c r="H432" s="51">
        <f>10.5</f>
        <v>10.5</v>
      </c>
      <c r="I432" s="17">
        <f t="shared" si="8"/>
        <v>1967.9099999999999</v>
      </c>
      <c r="J432" s="347"/>
      <c r="K432" s="390">
        <v>406</v>
      </c>
      <c r="L432" s="167"/>
      <c r="M432" s="167"/>
      <c r="N432" s="167"/>
      <c r="O432" s="167"/>
      <c r="P432" s="167"/>
      <c r="Q432" s="167"/>
      <c r="R432" s="167"/>
      <c r="S432" s="167"/>
      <c r="T432" s="167"/>
      <c r="U432" s="167"/>
      <c r="V432" s="167"/>
      <c r="W432" s="167"/>
      <c r="X432" s="167"/>
      <c r="Y432" s="167"/>
      <c r="Z432" s="167"/>
    </row>
    <row r="433" spans="1:26" s="47" customFormat="1" ht="43.5">
      <c r="A433" s="152">
        <v>55603</v>
      </c>
      <c r="B433" s="153" t="s">
        <v>1156</v>
      </c>
      <c r="C433" s="12"/>
      <c r="D433" s="14" t="s">
        <v>11</v>
      </c>
      <c r="E433" s="14" t="s">
        <v>25</v>
      </c>
      <c r="F433" s="14" t="s">
        <v>26</v>
      </c>
      <c r="G433" s="305">
        <f>'JULIO-18  '!I429</f>
        <v>8.6999999999999993</v>
      </c>
      <c r="H433" s="51">
        <v>2.83</v>
      </c>
      <c r="I433" s="17">
        <f t="shared" si="8"/>
        <v>5.8699999999999992</v>
      </c>
      <c r="J433" s="347"/>
      <c r="K433" s="44"/>
      <c r="L433" s="167"/>
      <c r="M433" s="167"/>
      <c r="N433" s="167"/>
      <c r="O433" s="167"/>
      <c r="P433" s="167"/>
      <c r="Q433" s="167"/>
      <c r="R433" s="167"/>
      <c r="S433" s="167"/>
      <c r="T433" s="167"/>
      <c r="U433" s="167"/>
      <c r="V433" s="167"/>
      <c r="W433" s="167"/>
      <c r="X433" s="167"/>
      <c r="Y433" s="167"/>
      <c r="Z433" s="167"/>
    </row>
    <row r="434" spans="1:26" s="47" customFormat="1" ht="67.5">
      <c r="A434" s="379" t="s">
        <v>1190</v>
      </c>
      <c r="B434" s="53" t="s">
        <v>1191</v>
      </c>
      <c r="C434" s="12"/>
      <c r="D434" s="14"/>
      <c r="E434" s="14"/>
      <c r="F434" s="14"/>
      <c r="G434" s="305"/>
      <c r="H434" s="51"/>
      <c r="I434" s="17"/>
      <c r="J434" s="347"/>
      <c r="K434" s="44"/>
      <c r="L434" s="167"/>
      <c r="M434" s="167"/>
      <c r="N434" s="167"/>
      <c r="O434" s="167"/>
      <c r="P434" s="167"/>
      <c r="Q434" s="167"/>
      <c r="R434" s="167"/>
      <c r="S434" s="167"/>
      <c r="T434" s="167"/>
      <c r="U434" s="167"/>
      <c r="V434" s="167"/>
      <c r="W434" s="167"/>
      <c r="X434" s="167"/>
      <c r="Y434" s="167"/>
      <c r="Z434" s="167"/>
    </row>
    <row r="435" spans="1:26" s="47" customFormat="1" ht="29.25">
      <c r="A435" s="152">
        <v>51202</v>
      </c>
      <c r="B435" s="153" t="s">
        <v>1192</v>
      </c>
      <c r="C435" s="12"/>
      <c r="D435" s="14" t="s">
        <v>11</v>
      </c>
      <c r="E435" s="14" t="s">
        <v>25</v>
      </c>
      <c r="F435" s="14" t="s">
        <v>26</v>
      </c>
      <c r="G435" s="305"/>
      <c r="H435" s="51"/>
      <c r="I435" s="17">
        <f t="shared" si="8"/>
        <v>2500</v>
      </c>
      <c r="J435" s="347">
        <v>2500</v>
      </c>
      <c r="K435" s="44"/>
      <c r="L435" s="167"/>
      <c r="M435" s="167"/>
      <c r="N435" s="167"/>
      <c r="O435" s="167"/>
      <c r="P435" s="167"/>
      <c r="Q435" s="167"/>
      <c r="R435" s="167"/>
      <c r="S435" s="167"/>
      <c r="T435" s="167"/>
      <c r="U435" s="167"/>
      <c r="V435" s="167"/>
      <c r="W435" s="167"/>
      <c r="X435" s="167"/>
      <c r="Y435" s="167"/>
      <c r="Z435" s="167"/>
    </row>
    <row r="436" spans="1:26" s="47" customFormat="1" ht="44.25">
      <c r="A436" s="152">
        <v>54111</v>
      </c>
      <c r="B436" s="153" t="s">
        <v>1193</v>
      </c>
      <c r="C436" s="12"/>
      <c r="D436" s="14" t="s">
        <v>11</v>
      </c>
      <c r="E436" s="14" t="s">
        <v>25</v>
      </c>
      <c r="F436" s="14" t="s">
        <v>26</v>
      </c>
      <c r="G436" s="305"/>
      <c r="H436" s="51"/>
      <c r="I436" s="17">
        <f t="shared" si="8"/>
        <v>3000</v>
      </c>
      <c r="J436" s="347">
        <v>3000</v>
      </c>
      <c r="K436" s="44"/>
      <c r="L436" s="167"/>
      <c r="M436" s="167"/>
      <c r="N436" s="167"/>
      <c r="O436" s="167"/>
      <c r="P436" s="167"/>
      <c r="Q436" s="167"/>
      <c r="R436" s="167"/>
      <c r="S436" s="167"/>
      <c r="T436" s="167"/>
      <c r="U436" s="167"/>
      <c r="V436" s="167"/>
      <c r="W436" s="167"/>
      <c r="X436" s="167"/>
      <c r="Y436" s="167"/>
      <c r="Z436" s="167"/>
    </row>
    <row r="437" spans="1:26" s="47" customFormat="1" ht="44.25">
      <c r="A437" s="152">
        <v>54112</v>
      </c>
      <c r="B437" s="153" t="s">
        <v>1194</v>
      </c>
      <c r="C437" s="12"/>
      <c r="D437" s="14" t="s">
        <v>11</v>
      </c>
      <c r="E437" s="14" t="s">
        <v>25</v>
      </c>
      <c r="F437" s="14" t="s">
        <v>26</v>
      </c>
      <c r="G437" s="305"/>
      <c r="H437" s="51"/>
      <c r="I437" s="17">
        <f t="shared" si="8"/>
        <v>1500</v>
      </c>
      <c r="J437" s="347">
        <v>1500</v>
      </c>
      <c r="K437" s="44"/>
      <c r="L437" s="167"/>
      <c r="M437" s="167"/>
      <c r="N437" s="167"/>
      <c r="O437" s="167"/>
      <c r="P437" s="167"/>
      <c r="Q437" s="167"/>
      <c r="R437" s="167"/>
      <c r="S437" s="167"/>
      <c r="T437" s="167"/>
      <c r="U437" s="167"/>
      <c r="V437" s="167"/>
      <c r="W437" s="167"/>
      <c r="X437" s="167"/>
      <c r="Y437" s="167"/>
      <c r="Z437" s="167"/>
    </row>
    <row r="438" spans="1:26" s="47" customFormat="1" ht="29.25">
      <c r="A438" s="152">
        <v>54118</v>
      </c>
      <c r="B438" s="153" t="s">
        <v>1195</v>
      </c>
      <c r="C438" s="12"/>
      <c r="D438" s="14" t="s">
        <v>11</v>
      </c>
      <c r="E438" s="14" t="s">
        <v>25</v>
      </c>
      <c r="F438" s="14" t="s">
        <v>26</v>
      </c>
      <c r="G438" s="305"/>
      <c r="H438" s="51"/>
      <c r="I438" s="17">
        <f t="shared" si="8"/>
        <v>1505.17</v>
      </c>
      <c r="J438" s="347">
        <v>1505.17</v>
      </c>
      <c r="K438" s="44"/>
      <c r="L438" s="167"/>
      <c r="M438" s="167"/>
      <c r="N438" s="167"/>
      <c r="O438" s="167"/>
      <c r="P438" s="167"/>
      <c r="Q438" s="167"/>
      <c r="R438" s="167"/>
      <c r="S438" s="167"/>
      <c r="T438" s="167"/>
      <c r="U438" s="167"/>
      <c r="V438" s="167"/>
      <c r="W438" s="167"/>
      <c r="X438" s="167"/>
      <c r="Y438" s="167"/>
      <c r="Z438" s="167"/>
    </row>
    <row r="439" spans="1:26" s="47" customFormat="1" ht="29.25">
      <c r="A439" s="152">
        <v>55603</v>
      </c>
      <c r="B439" s="153" t="s">
        <v>1196</v>
      </c>
      <c r="C439" s="12"/>
      <c r="D439" s="14" t="s">
        <v>11</v>
      </c>
      <c r="E439" s="14" t="s">
        <v>25</v>
      </c>
      <c r="F439" s="14" t="s">
        <v>26</v>
      </c>
      <c r="G439" s="305"/>
      <c r="H439" s="51"/>
      <c r="I439" s="17">
        <f t="shared" si="8"/>
        <v>10</v>
      </c>
      <c r="J439" s="347">
        <v>10</v>
      </c>
      <c r="K439" s="44"/>
      <c r="L439" s="167"/>
      <c r="M439" s="167"/>
      <c r="N439" s="167"/>
      <c r="O439" s="167"/>
      <c r="P439" s="167"/>
      <c r="Q439" s="167"/>
      <c r="R439" s="167"/>
      <c r="S439" s="167"/>
      <c r="T439" s="167"/>
      <c r="U439" s="167"/>
      <c r="V439" s="167"/>
      <c r="W439" s="167"/>
      <c r="X439" s="167"/>
      <c r="Y439" s="167"/>
      <c r="Z439" s="167"/>
    </row>
    <row r="440" spans="1:26" s="47" customFormat="1">
      <c r="A440" s="152"/>
      <c r="B440" s="153"/>
      <c r="C440" s="12"/>
      <c r="D440" s="14"/>
      <c r="E440" s="14"/>
      <c r="F440" s="14"/>
      <c r="G440" s="305"/>
      <c r="H440" s="51"/>
      <c r="I440" s="17"/>
      <c r="J440" s="347"/>
      <c r="K440" s="44"/>
      <c r="L440" s="167"/>
      <c r="M440" s="167"/>
      <c r="N440" s="167"/>
      <c r="O440" s="167"/>
      <c r="P440" s="167"/>
      <c r="Q440" s="167"/>
      <c r="R440" s="167"/>
      <c r="S440" s="167"/>
      <c r="T440" s="167"/>
      <c r="U440" s="167"/>
      <c r="V440" s="167"/>
      <c r="W440" s="167"/>
      <c r="X440" s="167"/>
      <c r="Y440" s="167"/>
      <c r="Z440" s="167"/>
    </row>
    <row r="441" spans="1:26" s="47" customFormat="1">
      <c r="B441" s="5"/>
      <c r="C441" s="12"/>
      <c r="D441" s="14"/>
      <c r="E441" s="14"/>
      <c r="F441" s="14"/>
      <c r="G441" s="305">
        <f>'JULIO-18  '!I430</f>
        <v>0</v>
      </c>
      <c r="H441" s="51"/>
      <c r="I441" s="17"/>
      <c r="J441" s="316"/>
      <c r="K441" s="44"/>
      <c r="L441" s="167"/>
      <c r="M441" s="167"/>
      <c r="N441" s="167"/>
      <c r="O441" s="167"/>
      <c r="P441" s="167"/>
      <c r="Q441" s="167"/>
      <c r="R441" s="167"/>
      <c r="S441" s="167"/>
      <c r="T441" s="167"/>
      <c r="U441" s="167"/>
      <c r="V441" s="167"/>
      <c r="W441" s="167"/>
      <c r="X441" s="167"/>
      <c r="Y441" s="167"/>
      <c r="Z441" s="167"/>
    </row>
    <row r="442" spans="1:26" s="47" customFormat="1">
      <c r="A442" s="11"/>
      <c r="B442" s="5"/>
      <c r="C442" s="12"/>
      <c r="D442" s="3"/>
      <c r="E442" s="3"/>
      <c r="F442" s="3"/>
      <c r="G442" s="305">
        <f>'JULIO-18  '!I431</f>
        <v>0</v>
      </c>
      <c r="H442" s="51"/>
      <c r="I442" s="17"/>
      <c r="J442" s="44"/>
      <c r="K442" s="44"/>
      <c r="L442" s="167"/>
      <c r="M442" s="167"/>
      <c r="N442" s="167"/>
      <c r="O442" s="167"/>
      <c r="P442" s="167"/>
      <c r="Q442" s="167"/>
      <c r="R442" s="167"/>
      <c r="S442" s="167"/>
      <c r="T442" s="167"/>
      <c r="U442" s="167"/>
      <c r="V442" s="167"/>
      <c r="W442" s="167"/>
      <c r="X442" s="167"/>
      <c r="Y442" s="167"/>
      <c r="Z442" s="167"/>
    </row>
    <row r="443" spans="1:26">
      <c r="A443" s="160"/>
      <c r="B443" s="161" t="s">
        <v>17</v>
      </c>
      <c r="C443" s="161"/>
      <c r="D443" s="161"/>
      <c r="E443" s="161"/>
      <c r="F443" s="161"/>
      <c r="G443" s="305">
        <f>'JULIO-18  '!I432</f>
        <v>848298.76</v>
      </c>
      <c r="H443" s="163">
        <f>SUM(H160:H442)</f>
        <v>85163.400000000009</v>
      </c>
      <c r="I443" s="162">
        <f>SUM(I160:I442)</f>
        <v>658122.16000000027</v>
      </c>
      <c r="J443" s="162">
        <f>SUM(J160:J442)</f>
        <v>100504.25</v>
      </c>
      <c r="K443" s="162">
        <f>SUM(K160:K442)</f>
        <v>205517.44999999998</v>
      </c>
      <c r="M443" s="167"/>
      <c r="N443" s="167"/>
      <c r="O443" s="167"/>
      <c r="P443" s="167"/>
      <c r="Q443" s="167"/>
      <c r="R443" s="167"/>
      <c r="S443" s="167"/>
      <c r="T443" s="167"/>
      <c r="U443" s="167"/>
      <c r="V443" s="167"/>
      <c r="W443" s="167"/>
      <c r="X443" s="167"/>
      <c r="Y443" s="167"/>
      <c r="Z443" s="167"/>
    </row>
    <row r="444" spans="1:26" ht="58.5">
      <c r="A444" s="11" t="s">
        <v>555</v>
      </c>
      <c r="B444" s="57" t="s">
        <v>557</v>
      </c>
      <c r="C444" s="344" t="s">
        <v>1159</v>
      </c>
      <c r="D444" s="14" t="s">
        <v>18</v>
      </c>
      <c r="E444" s="14" t="s">
        <v>28</v>
      </c>
      <c r="F444" s="14" t="s">
        <v>26</v>
      </c>
      <c r="G444" s="305">
        <f>'JULIO-18  '!I433</f>
        <v>0</v>
      </c>
      <c r="H444" s="51"/>
      <c r="I444" s="17">
        <f t="shared" ref="I444:I515" si="9">G444-H444+J444-K444</f>
        <v>0</v>
      </c>
      <c r="J444" s="52"/>
      <c r="K444" s="143"/>
      <c r="M444" s="167"/>
      <c r="N444" s="167"/>
      <c r="O444" s="167"/>
      <c r="P444" s="167"/>
      <c r="Q444" s="167"/>
      <c r="R444" s="167"/>
      <c r="S444" s="167"/>
      <c r="T444" s="167"/>
      <c r="U444" s="167"/>
      <c r="V444" s="167"/>
      <c r="W444" s="167"/>
      <c r="X444" s="167"/>
      <c r="Y444" s="167"/>
      <c r="Z444" s="167"/>
    </row>
    <row r="445" spans="1:26" ht="58.5">
      <c r="A445" s="11" t="s">
        <v>556</v>
      </c>
      <c r="B445" s="57" t="s">
        <v>558</v>
      </c>
      <c r="C445" s="58"/>
      <c r="D445" s="14" t="s">
        <v>18</v>
      </c>
      <c r="E445" s="14" t="s">
        <v>28</v>
      </c>
      <c r="F445" s="14" t="s">
        <v>26</v>
      </c>
      <c r="G445" s="305">
        <f>'JULIO-18  '!I434</f>
        <v>2833.0699999999988</v>
      </c>
      <c r="H445" s="51">
        <f>155.6+155.6+111.2+111.2+100+100+100+100+100+100+111.2+72+72+72+60+60+60+48+48+48+48+48+48+48+195+210+210+168+84+140+140+70+140+70+140+70+70+210+210+210+12+140+140+60+140</f>
        <v>4805.8</v>
      </c>
      <c r="I445" s="17">
        <f t="shared" si="9"/>
        <v>27.269999999998618</v>
      </c>
      <c r="J445" s="420">
        <v>2000</v>
      </c>
      <c r="K445" s="137"/>
      <c r="M445" s="167"/>
      <c r="N445" s="167"/>
      <c r="O445" s="167"/>
      <c r="P445" s="167"/>
      <c r="Q445" s="167"/>
    </row>
    <row r="446" spans="1:26" ht="72.75">
      <c r="A446" s="11" t="s">
        <v>560</v>
      </c>
      <c r="B446" s="57" t="s">
        <v>559</v>
      </c>
      <c r="C446" s="59"/>
      <c r="D446" s="14" t="s">
        <v>18</v>
      </c>
      <c r="E446" s="14" t="s">
        <v>28</v>
      </c>
      <c r="F446" s="14" t="s">
        <v>26</v>
      </c>
      <c r="G446" s="305">
        <f>'JULIO-18  '!I435</f>
        <v>0</v>
      </c>
      <c r="H446" s="51"/>
      <c r="I446" s="17">
        <f t="shared" si="9"/>
        <v>0</v>
      </c>
      <c r="J446" s="52"/>
      <c r="K446" s="143"/>
    </row>
    <row r="447" spans="1:26" ht="72.75">
      <c r="A447" s="11" t="s">
        <v>561</v>
      </c>
      <c r="B447" s="57" t="s">
        <v>562</v>
      </c>
      <c r="C447" s="59"/>
      <c r="D447" s="14" t="s">
        <v>18</v>
      </c>
      <c r="E447" s="14" t="s">
        <v>28</v>
      </c>
      <c r="F447" s="14" t="s">
        <v>26</v>
      </c>
      <c r="G447" s="305">
        <f>'JULIO-18  '!I436</f>
        <v>990</v>
      </c>
      <c r="H447" s="51"/>
      <c r="I447" s="17">
        <f t="shared" si="9"/>
        <v>0</v>
      </c>
      <c r="J447" s="56"/>
      <c r="K447" s="391">
        <v>990</v>
      </c>
    </row>
    <row r="448" spans="1:26" ht="72.75">
      <c r="A448" s="11" t="s">
        <v>1160</v>
      </c>
      <c r="B448" s="57" t="s">
        <v>1161</v>
      </c>
      <c r="C448" s="59"/>
      <c r="D448" s="14" t="s">
        <v>18</v>
      </c>
      <c r="E448" s="14" t="s">
        <v>28</v>
      </c>
      <c r="F448" s="14" t="s">
        <v>26</v>
      </c>
      <c r="G448" s="305">
        <f>'JULIO-18  '!I437</f>
        <v>260</v>
      </c>
      <c r="H448" s="51"/>
      <c r="I448" s="17">
        <f t="shared" si="9"/>
        <v>0</v>
      </c>
      <c r="J448" s="137"/>
      <c r="K448" s="392">
        <v>260</v>
      </c>
    </row>
    <row r="449" spans="1:510" ht="72.75">
      <c r="A449" s="11" t="s">
        <v>564</v>
      </c>
      <c r="B449" s="57" t="s">
        <v>563</v>
      </c>
      <c r="C449" s="59"/>
      <c r="D449" s="14" t="s">
        <v>18</v>
      </c>
      <c r="E449" s="14" t="s">
        <v>28</v>
      </c>
      <c r="F449" s="14" t="s">
        <v>26</v>
      </c>
      <c r="G449" s="305">
        <f>'JULIO-18  '!I438</f>
        <v>2000</v>
      </c>
      <c r="H449" s="51"/>
      <c r="I449" s="17">
        <f t="shared" si="9"/>
        <v>0</v>
      </c>
      <c r="J449" s="52"/>
      <c r="K449" s="391">
        <v>2000</v>
      </c>
    </row>
    <row r="450" spans="1:510" ht="72.75">
      <c r="A450" s="11" t="s">
        <v>566</v>
      </c>
      <c r="B450" s="57" t="s">
        <v>567</v>
      </c>
      <c r="C450" s="380" t="s">
        <v>1162</v>
      </c>
      <c r="D450" s="14" t="s">
        <v>18</v>
      </c>
      <c r="E450" s="14" t="s">
        <v>28</v>
      </c>
      <c r="F450" s="14" t="s">
        <v>26</v>
      </c>
      <c r="G450" s="305">
        <f>'JULIO-18  '!I439</f>
        <v>4146.4500000000044</v>
      </c>
      <c r="H450" s="51">
        <f>1143+884+98</f>
        <v>2125</v>
      </c>
      <c r="I450" s="134">
        <f t="shared" si="9"/>
        <v>1994.1800000000044</v>
      </c>
      <c r="J450" s="143"/>
      <c r="K450" s="421">
        <v>27.27</v>
      </c>
    </row>
    <row r="451" spans="1:510" ht="72.75">
      <c r="A451" s="11" t="s">
        <v>565</v>
      </c>
      <c r="B451" s="57" t="s">
        <v>568</v>
      </c>
      <c r="C451" s="59"/>
      <c r="D451" s="14" t="s">
        <v>18</v>
      </c>
      <c r="E451" s="14" t="s">
        <v>28</v>
      </c>
      <c r="F451" s="14" t="s">
        <v>26</v>
      </c>
      <c r="G451" s="305">
        <f>'JULIO-18  '!I440</f>
        <v>484.01999999999953</v>
      </c>
      <c r="H451" s="51"/>
      <c r="I451" s="17">
        <f t="shared" si="9"/>
        <v>-4.5474735088646412E-13</v>
      </c>
      <c r="J451" s="52"/>
      <c r="K451" s="393">
        <v>484.02</v>
      </c>
    </row>
    <row r="452" spans="1:510" ht="87">
      <c r="A452" s="11" t="s">
        <v>1117</v>
      </c>
      <c r="B452" s="57" t="s">
        <v>1118</v>
      </c>
      <c r="C452" s="59"/>
      <c r="D452" s="14" t="s">
        <v>18</v>
      </c>
      <c r="E452" s="14" t="s">
        <v>28</v>
      </c>
      <c r="F452" s="14" t="s">
        <v>26</v>
      </c>
      <c r="G452" s="305">
        <f>'JULIO-18  '!I441</f>
        <v>4027.1000000000004</v>
      </c>
      <c r="H452" s="51"/>
      <c r="I452" s="134">
        <f>G452-H452+J452-K452</f>
        <v>0</v>
      </c>
      <c r="J452" s="137"/>
      <c r="K452" s="393">
        <v>4027.1</v>
      </c>
    </row>
    <row r="453" spans="1:510" ht="87">
      <c r="A453" s="11" t="s">
        <v>1163</v>
      </c>
      <c r="B453" s="57" t="s">
        <v>1164</v>
      </c>
      <c r="C453" s="59"/>
      <c r="D453" s="14" t="s">
        <v>18</v>
      </c>
      <c r="E453" s="14" t="s">
        <v>28</v>
      </c>
      <c r="F453" s="14" t="s">
        <v>26</v>
      </c>
      <c r="G453" s="305">
        <f>'JULIO-18  '!I442</f>
        <v>208.33999999999997</v>
      </c>
      <c r="H453" s="51"/>
      <c r="I453" s="134">
        <f>G453-H453+J453-K453</f>
        <v>0</v>
      </c>
      <c r="J453" s="137"/>
      <c r="K453" s="393">
        <v>208.34</v>
      </c>
    </row>
    <row r="454" spans="1:510" ht="72.75">
      <c r="A454" s="11" t="s">
        <v>569</v>
      </c>
      <c r="B454" s="57" t="s">
        <v>570</v>
      </c>
      <c r="C454" s="286" t="s">
        <v>1072</v>
      </c>
      <c r="D454" s="14" t="s">
        <v>18</v>
      </c>
      <c r="E454" s="14" t="s">
        <v>28</v>
      </c>
      <c r="F454" s="14" t="s">
        <v>26</v>
      </c>
      <c r="G454" s="305">
        <f>'JULIO-18  '!I443</f>
        <v>4000</v>
      </c>
      <c r="H454" s="51"/>
      <c r="I454" s="17">
        <f t="shared" si="9"/>
        <v>4000</v>
      </c>
      <c r="J454" s="52"/>
      <c r="K454" s="137"/>
    </row>
    <row r="455" spans="1:510" ht="72.75">
      <c r="A455" s="11" t="s">
        <v>571</v>
      </c>
      <c r="B455" s="57" t="s">
        <v>572</v>
      </c>
      <c r="C455" s="286"/>
      <c r="D455" s="14" t="s">
        <v>18</v>
      </c>
      <c r="E455" s="14" t="s">
        <v>28</v>
      </c>
      <c r="F455" s="14" t="s">
        <v>26</v>
      </c>
      <c r="G455" s="305">
        <f>'JULIO-18  '!I444</f>
        <v>3365</v>
      </c>
      <c r="H455" s="51">
        <f>8940</f>
        <v>8940</v>
      </c>
      <c r="I455" s="17">
        <f t="shared" si="9"/>
        <v>425</v>
      </c>
      <c r="J455" s="391">
        <v>6000</v>
      </c>
      <c r="K455" s="137"/>
    </row>
    <row r="456" spans="1:510" ht="72.75">
      <c r="A456" s="11" t="s">
        <v>969</v>
      </c>
      <c r="B456" s="57" t="s">
        <v>970</v>
      </c>
      <c r="C456" s="59"/>
      <c r="D456" s="14" t="s">
        <v>18</v>
      </c>
      <c r="E456" s="14" t="s">
        <v>28</v>
      </c>
      <c r="F456" s="14" t="s">
        <v>26</v>
      </c>
      <c r="G456" s="305">
        <f>'JULIO-18  '!I445</f>
        <v>8.6999999999999993</v>
      </c>
      <c r="H456" s="51"/>
      <c r="I456" s="17">
        <f t="shared" si="9"/>
        <v>5.43</v>
      </c>
      <c r="J456" s="137"/>
      <c r="K456" s="392">
        <v>3.27</v>
      </c>
    </row>
    <row r="457" spans="1:510" ht="39" customHeight="1">
      <c r="A457" s="11">
        <v>54109</v>
      </c>
      <c r="B457" s="54" t="s">
        <v>1180</v>
      </c>
      <c r="C457" s="13" t="s">
        <v>1165</v>
      </c>
      <c r="D457" s="14" t="s">
        <v>18</v>
      </c>
      <c r="E457" s="14" t="s">
        <v>28</v>
      </c>
      <c r="F457" s="14" t="s">
        <v>26</v>
      </c>
      <c r="G457" s="305">
        <f>'JULIO-18  '!I446</f>
        <v>1719.9799999999996</v>
      </c>
      <c r="H457" s="51"/>
      <c r="I457" s="17">
        <f t="shared" si="9"/>
        <v>1719.9799999999996</v>
      </c>
      <c r="J457" s="52"/>
      <c r="K457" s="52"/>
    </row>
    <row r="458" spans="1:510" ht="60">
      <c r="A458" s="11" t="s">
        <v>574</v>
      </c>
      <c r="B458" s="54" t="s">
        <v>575</v>
      </c>
      <c r="C458" s="61" t="s">
        <v>1167</v>
      </c>
      <c r="D458" s="14" t="s">
        <v>18</v>
      </c>
      <c r="E458" s="14" t="s">
        <v>28</v>
      </c>
      <c r="F458" s="14" t="s">
        <v>26</v>
      </c>
      <c r="G458" s="305">
        <f>'JULIO-18  '!I447</f>
        <v>2494.3500000000004</v>
      </c>
      <c r="H458" s="51">
        <f>240.8+396.5</f>
        <v>637.29999999999995</v>
      </c>
      <c r="I458" s="17">
        <f t="shared" si="9"/>
        <v>1857.0500000000004</v>
      </c>
      <c r="J458" s="52"/>
      <c r="K458" s="300"/>
    </row>
    <row r="459" spans="1:510" ht="75">
      <c r="A459" s="11" t="s">
        <v>212</v>
      </c>
      <c r="B459" s="54" t="s">
        <v>576</v>
      </c>
      <c r="C459" s="61" t="s">
        <v>1167</v>
      </c>
      <c r="D459" s="14" t="s">
        <v>18</v>
      </c>
      <c r="E459" s="14" t="s">
        <v>28</v>
      </c>
      <c r="F459" s="14" t="s">
        <v>26</v>
      </c>
      <c r="G459" s="305">
        <f>'JULIO-18  '!I448</f>
        <v>6856.5000000000009</v>
      </c>
      <c r="H459" s="51">
        <f>68.6+60+323</f>
        <v>451.6</v>
      </c>
      <c r="I459" s="17">
        <f t="shared" si="9"/>
        <v>6404.9000000000005</v>
      </c>
      <c r="J459" s="52"/>
      <c r="K459" s="300"/>
    </row>
    <row r="460" spans="1:510" ht="75">
      <c r="A460" s="11" t="s">
        <v>577</v>
      </c>
      <c r="B460" s="54" t="s">
        <v>1094</v>
      </c>
      <c r="C460" s="13"/>
      <c r="D460" s="14" t="s">
        <v>18</v>
      </c>
      <c r="E460" s="14" t="s">
        <v>28</v>
      </c>
      <c r="F460" s="14" t="s">
        <v>26</v>
      </c>
      <c r="G460" s="305">
        <f>'JULIO-18  '!I449</f>
        <v>11255.38</v>
      </c>
      <c r="H460" s="51">
        <f>24+656.53+20</f>
        <v>700.53</v>
      </c>
      <c r="I460" s="17">
        <f t="shared" si="9"/>
        <v>10554.849999999999</v>
      </c>
      <c r="J460" s="56"/>
      <c r="K460" s="300"/>
    </row>
    <row r="461" spans="1:510" s="220" customFormat="1" ht="30">
      <c r="A461" s="11" t="s">
        <v>218</v>
      </c>
      <c r="B461" s="54" t="s">
        <v>579</v>
      </c>
      <c r="C461" s="13"/>
      <c r="D461" s="14" t="s">
        <v>18</v>
      </c>
      <c r="E461" s="14" t="s">
        <v>28</v>
      </c>
      <c r="F461" s="14" t="s">
        <v>26</v>
      </c>
      <c r="G461" s="305">
        <f>'JULIO-18  '!I450</f>
        <v>5.7</v>
      </c>
      <c r="H461" s="51">
        <f>2.83</f>
        <v>2.83</v>
      </c>
      <c r="I461" s="17">
        <f t="shared" si="9"/>
        <v>2.87</v>
      </c>
      <c r="J461" s="56"/>
      <c r="K461" s="56"/>
      <c r="L461" s="167"/>
      <c r="M461" s="167"/>
      <c r="N461" s="167"/>
      <c r="O461" s="167"/>
      <c r="P461" s="167"/>
      <c r="Q461" s="167"/>
      <c r="R461" s="167"/>
      <c r="S461" s="167"/>
      <c r="T461" s="167"/>
      <c r="U461" s="167"/>
      <c r="V461" s="167"/>
      <c r="W461" s="167"/>
      <c r="X461" s="167"/>
      <c r="Y461" s="167"/>
      <c r="Z461" s="167"/>
      <c r="AA461" s="167"/>
      <c r="AB461" s="167"/>
      <c r="AC461" s="167"/>
      <c r="AD461" s="167"/>
      <c r="AE461" s="167"/>
      <c r="AF461" s="167"/>
      <c r="AG461" s="167"/>
      <c r="AH461" s="167"/>
      <c r="AI461" s="167"/>
      <c r="AJ461" s="167"/>
      <c r="AK461" s="167"/>
      <c r="AL461" s="167"/>
      <c r="AM461" s="167"/>
      <c r="AN461" s="167"/>
      <c r="AO461" s="167"/>
      <c r="AP461" s="167"/>
      <c r="AQ461" s="167"/>
      <c r="AR461" s="167"/>
      <c r="AS461" s="167"/>
      <c r="AT461" s="167"/>
      <c r="AU461" s="167"/>
      <c r="AV461" s="167"/>
      <c r="AW461" s="167"/>
      <c r="AX461" s="167"/>
      <c r="AY461" s="167"/>
      <c r="AZ461" s="167"/>
      <c r="BA461" s="167"/>
      <c r="BB461" s="167"/>
      <c r="BC461" s="167"/>
      <c r="BD461" s="167"/>
      <c r="BE461" s="167"/>
      <c r="BF461" s="167"/>
      <c r="BG461" s="167"/>
      <c r="BH461" s="167"/>
      <c r="BI461" s="167"/>
      <c r="BJ461" s="167"/>
      <c r="BK461" s="167"/>
      <c r="BL461" s="167"/>
      <c r="BM461" s="167"/>
      <c r="BN461" s="167"/>
      <c r="BO461" s="167"/>
      <c r="BP461" s="167"/>
      <c r="BQ461" s="167"/>
      <c r="BR461" s="167"/>
      <c r="BS461" s="167"/>
      <c r="BT461" s="167"/>
      <c r="BU461" s="167"/>
      <c r="BV461" s="167"/>
      <c r="BW461" s="167"/>
      <c r="BX461" s="167"/>
      <c r="BY461" s="167"/>
      <c r="BZ461" s="167"/>
      <c r="CA461" s="167"/>
      <c r="CB461" s="167"/>
      <c r="CC461" s="167"/>
      <c r="CD461" s="167"/>
      <c r="CE461" s="167"/>
      <c r="CF461" s="167"/>
      <c r="CG461" s="167"/>
      <c r="CH461" s="167"/>
      <c r="CI461" s="167"/>
      <c r="CJ461" s="167"/>
      <c r="CK461" s="167"/>
      <c r="CL461" s="167"/>
      <c r="CM461" s="167"/>
      <c r="CN461" s="167"/>
      <c r="CO461" s="167"/>
      <c r="CP461" s="167"/>
      <c r="CQ461" s="167"/>
      <c r="CR461" s="167"/>
      <c r="CS461" s="167"/>
      <c r="CT461" s="167"/>
      <c r="CU461" s="167"/>
      <c r="CV461" s="167"/>
      <c r="CW461" s="167"/>
      <c r="CX461" s="167"/>
      <c r="CY461" s="167"/>
      <c r="CZ461" s="167"/>
      <c r="DA461" s="167"/>
      <c r="DB461" s="167"/>
      <c r="DC461" s="167"/>
      <c r="DD461" s="167"/>
      <c r="DE461" s="167"/>
      <c r="DF461" s="167"/>
      <c r="DG461" s="167"/>
      <c r="DH461" s="167"/>
      <c r="DI461" s="167"/>
      <c r="DJ461" s="167"/>
      <c r="DK461" s="167"/>
      <c r="DL461" s="167"/>
      <c r="DM461" s="167"/>
      <c r="DN461" s="167"/>
      <c r="DO461" s="167"/>
      <c r="DP461" s="167"/>
      <c r="DQ461" s="167"/>
      <c r="DR461" s="167"/>
      <c r="DS461" s="167"/>
      <c r="DT461" s="167"/>
      <c r="DU461" s="167"/>
      <c r="DV461" s="167"/>
      <c r="DW461" s="167"/>
      <c r="DX461" s="167"/>
      <c r="DY461" s="167"/>
      <c r="DZ461" s="167"/>
      <c r="EA461" s="167"/>
      <c r="EB461" s="167"/>
      <c r="EC461" s="167"/>
      <c r="ED461" s="167"/>
      <c r="EE461" s="167"/>
      <c r="EF461" s="167"/>
      <c r="EG461" s="167"/>
      <c r="EH461" s="167"/>
      <c r="EI461" s="167"/>
      <c r="EJ461" s="167"/>
      <c r="EK461" s="167"/>
      <c r="EL461" s="167"/>
      <c r="EM461" s="167"/>
      <c r="EN461" s="167"/>
      <c r="EO461" s="167"/>
      <c r="EP461" s="167"/>
      <c r="EQ461" s="167"/>
      <c r="ER461" s="167"/>
      <c r="ES461" s="167"/>
      <c r="ET461" s="167"/>
      <c r="EU461" s="167"/>
      <c r="EV461" s="167"/>
      <c r="EW461" s="167"/>
      <c r="EX461" s="167"/>
      <c r="EY461" s="167"/>
      <c r="EZ461" s="167"/>
      <c r="FA461" s="167"/>
      <c r="FB461" s="167"/>
      <c r="FC461" s="167"/>
      <c r="FD461" s="167"/>
      <c r="FE461" s="167"/>
      <c r="FF461" s="167"/>
      <c r="FG461" s="167"/>
      <c r="FH461" s="167"/>
      <c r="FI461" s="167"/>
      <c r="FJ461" s="167"/>
      <c r="FK461" s="167"/>
      <c r="FL461" s="167"/>
      <c r="FM461" s="167"/>
      <c r="FN461" s="167"/>
      <c r="FO461" s="167"/>
      <c r="FP461" s="167"/>
      <c r="FQ461" s="167"/>
      <c r="FR461" s="167"/>
      <c r="FS461" s="167"/>
      <c r="FT461" s="167"/>
      <c r="FU461" s="167"/>
      <c r="FV461" s="167"/>
      <c r="FW461" s="167"/>
      <c r="FX461" s="167"/>
      <c r="FY461" s="167"/>
      <c r="FZ461" s="167"/>
      <c r="GA461" s="167"/>
      <c r="GB461" s="167"/>
      <c r="GC461" s="167"/>
      <c r="GD461" s="167"/>
      <c r="GE461" s="167"/>
      <c r="GF461" s="167"/>
      <c r="GG461" s="167"/>
      <c r="GH461" s="167"/>
      <c r="GI461" s="167"/>
      <c r="GJ461" s="167"/>
      <c r="GK461" s="167"/>
      <c r="GL461" s="167"/>
      <c r="GM461" s="167"/>
      <c r="GN461" s="167"/>
      <c r="GO461" s="167"/>
      <c r="GP461" s="167"/>
      <c r="GQ461" s="167"/>
      <c r="GR461" s="167"/>
      <c r="GS461" s="167"/>
      <c r="GT461" s="167"/>
      <c r="GU461" s="167"/>
      <c r="GV461" s="167"/>
      <c r="GW461" s="167"/>
      <c r="GX461" s="167"/>
      <c r="GY461" s="167"/>
      <c r="GZ461" s="167"/>
      <c r="HA461" s="167"/>
      <c r="HB461" s="167"/>
      <c r="HC461" s="167"/>
      <c r="HD461" s="167"/>
      <c r="HE461" s="167"/>
      <c r="HF461" s="167"/>
      <c r="HG461" s="167"/>
      <c r="HH461" s="167"/>
      <c r="HI461" s="167"/>
      <c r="HJ461" s="167"/>
      <c r="HK461" s="167"/>
      <c r="HL461" s="167"/>
      <c r="HM461" s="167"/>
      <c r="HN461" s="167"/>
      <c r="HO461" s="167"/>
      <c r="HP461" s="167"/>
      <c r="HQ461" s="167"/>
      <c r="HR461" s="167"/>
      <c r="HS461" s="167"/>
      <c r="HT461" s="167"/>
      <c r="HU461" s="167"/>
      <c r="HV461" s="167"/>
      <c r="HW461" s="167"/>
      <c r="HX461" s="167"/>
      <c r="HY461" s="167"/>
      <c r="HZ461" s="167"/>
      <c r="IA461" s="167"/>
      <c r="IB461" s="167"/>
      <c r="IC461" s="167"/>
      <c r="ID461" s="167"/>
      <c r="IE461" s="167"/>
      <c r="IF461" s="167"/>
      <c r="IG461" s="167"/>
      <c r="IH461" s="167"/>
      <c r="II461" s="167"/>
      <c r="IJ461" s="167"/>
      <c r="IK461" s="167"/>
      <c r="IL461" s="167"/>
      <c r="IM461" s="167"/>
      <c r="IN461" s="167"/>
      <c r="IO461" s="167"/>
      <c r="IP461" s="167"/>
      <c r="IQ461" s="167"/>
      <c r="IR461" s="167"/>
      <c r="IS461" s="167"/>
      <c r="IT461" s="167"/>
      <c r="IU461" s="167"/>
      <c r="IV461" s="167"/>
      <c r="IW461" s="167"/>
      <c r="IX461" s="167"/>
      <c r="IY461" s="167"/>
      <c r="IZ461" s="167"/>
      <c r="JA461" s="167"/>
      <c r="JB461" s="167"/>
      <c r="JC461" s="167"/>
      <c r="JD461" s="167"/>
      <c r="JE461" s="167"/>
      <c r="JF461" s="167"/>
      <c r="JG461" s="167"/>
      <c r="JH461" s="167"/>
      <c r="JI461" s="167"/>
      <c r="JJ461" s="167"/>
      <c r="JK461" s="167"/>
      <c r="JL461" s="167"/>
      <c r="JM461" s="167"/>
      <c r="JN461" s="167"/>
      <c r="JO461" s="167"/>
      <c r="JP461" s="167"/>
      <c r="JQ461" s="167"/>
      <c r="JR461" s="167"/>
      <c r="JS461" s="167"/>
      <c r="JT461" s="167"/>
      <c r="JU461" s="167"/>
      <c r="JV461" s="167"/>
      <c r="JW461" s="167"/>
      <c r="JX461" s="167"/>
      <c r="JY461" s="167"/>
      <c r="JZ461" s="167"/>
      <c r="KA461" s="167"/>
      <c r="KB461" s="167"/>
      <c r="KC461" s="167"/>
      <c r="KD461" s="167"/>
      <c r="KE461" s="167"/>
      <c r="KF461" s="167"/>
      <c r="KG461" s="167"/>
      <c r="KH461" s="167"/>
      <c r="KI461" s="167"/>
      <c r="KJ461" s="167"/>
      <c r="KK461" s="167"/>
      <c r="KL461" s="167"/>
      <c r="KM461" s="167"/>
      <c r="KN461" s="167"/>
      <c r="KO461" s="167"/>
      <c r="KP461" s="167"/>
      <c r="KQ461" s="167"/>
      <c r="KR461" s="167"/>
      <c r="KS461" s="167"/>
      <c r="KT461" s="167"/>
      <c r="KU461" s="167"/>
      <c r="KV461" s="167"/>
      <c r="KW461" s="167"/>
      <c r="KX461" s="167"/>
      <c r="KY461" s="167"/>
      <c r="KZ461" s="167"/>
      <c r="LA461" s="167"/>
      <c r="LB461" s="167"/>
      <c r="LC461" s="167"/>
      <c r="LD461" s="167"/>
      <c r="LE461" s="167"/>
      <c r="LF461" s="167"/>
      <c r="LG461" s="167"/>
      <c r="LH461" s="167"/>
      <c r="LI461" s="167"/>
      <c r="LJ461" s="167"/>
      <c r="LK461" s="167"/>
      <c r="LL461" s="167"/>
      <c r="LM461" s="167"/>
      <c r="LN461" s="167"/>
      <c r="LO461" s="167"/>
      <c r="LP461" s="167"/>
      <c r="LQ461" s="167"/>
      <c r="LR461" s="167"/>
      <c r="LS461" s="167"/>
      <c r="LT461" s="167"/>
      <c r="LU461" s="167"/>
      <c r="LV461" s="167"/>
      <c r="LW461" s="167"/>
      <c r="LX461" s="167"/>
      <c r="LY461" s="167"/>
      <c r="LZ461" s="167"/>
      <c r="MA461" s="167"/>
      <c r="MB461" s="167"/>
      <c r="MC461" s="167"/>
      <c r="MD461" s="167"/>
      <c r="ME461" s="167"/>
      <c r="MF461" s="167"/>
      <c r="MG461" s="167"/>
      <c r="MH461" s="167"/>
      <c r="MI461" s="167"/>
      <c r="MJ461" s="167"/>
      <c r="MK461" s="167"/>
      <c r="ML461" s="167"/>
      <c r="MM461" s="167"/>
      <c r="MN461" s="167"/>
      <c r="MO461" s="167"/>
      <c r="MP461" s="167"/>
      <c r="MQ461" s="167"/>
      <c r="MR461" s="167"/>
      <c r="MS461" s="167"/>
      <c r="MT461" s="167"/>
      <c r="MU461" s="167"/>
      <c r="MV461" s="167"/>
      <c r="MW461" s="167"/>
      <c r="MX461" s="167"/>
      <c r="MY461" s="167"/>
      <c r="MZ461" s="167"/>
      <c r="NA461" s="167"/>
      <c r="NB461" s="167"/>
      <c r="NC461" s="167"/>
      <c r="ND461" s="167"/>
      <c r="NE461" s="167"/>
      <c r="NF461" s="167"/>
      <c r="NG461" s="167"/>
      <c r="NH461" s="167"/>
      <c r="NI461" s="167"/>
      <c r="NJ461" s="167"/>
      <c r="NK461" s="167"/>
      <c r="NL461" s="167"/>
      <c r="NM461" s="167"/>
      <c r="NN461" s="167"/>
      <c r="NO461" s="167"/>
      <c r="NP461" s="167"/>
      <c r="NQ461" s="167"/>
      <c r="NR461" s="167"/>
      <c r="NS461" s="167"/>
      <c r="NT461" s="167"/>
      <c r="NU461" s="167"/>
      <c r="NV461" s="167"/>
      <c r="NW461" s="167"/>
      <c r="NX461" s="167"/>
      <c r="NY461" s="167"/>
      <c r="NZ461" s="167"/>
      <c r="OA461" s="167"/>
      <c r="OB461" s="167"/>
      <c r="OC461" s="167"/>
      <c r="OD461" s="167"/>
      <c r="OE461" s="167"/>
      <c r="OF461" s="167"/>
      <c r="OG461" s="167"/>
      <c r="OH461" s="167"/>
      <c r="OI461" s="167"/>
      <c r="OJ461" s="167"/>
      <c r="OK461" s="167"/>
      <c r="OL461" s="167"/>
      <c r="OM461" s="167"/>
      <c r="ON461" s="167"/>
      <c r="OO461" s="167"/>
      <c r="OP461" s="167"/>
      <c r="OQ461" s="167"/>
      <c r="OR461" s="167"/>
      <c r="OS461" s="167"/>
      <c r="OT461" s="167"/>
      <c r="OU461" s="167"/>
      <c r="OV461" s="167"/>
      <c r="OW461" s="167"/>
      <c r="OX461" s="167"/>
      <c r="OY461" s="167"/>
      <c r="OZ461" s="167"/>
      <c r="PA461" s="167"/>
      <c r="PB461" s="167"/>
      <c r="PC461" s="167"/>
      <c r="PD461" s="167"/>
      <c r="PE461" s="167"/>
      <c r="PF461" s="167"/>
      <c r="PG461" s="167"/>
      <c r="PH461" s="167"/>
      <c r="PI461" s="167"/>
      <c r="PJ461" s="167"/>
      <c r="PK461" s="167"/>
      <c r="PL461" s="167"/>
      <c r="PM461" s="167"/>
      <c r="PN461" s="167"/>
      <c r="PO461" s="167"/>
      <c r="PP461" s="167"/>
      <c r="PQ461" s="167"/>
      <c r="PR461" s="167"/>
      <c r="PS461" s="167"/>
      <c r="PT461" s="167"/>
      <c r="PU461" s="167"/>
      <c r="PV461" s="167"/>
      <c r="PW461" s="167"/>
      <c r="PX461" s="167"/>
      <c r="PY461" s="167"/>
      <c r="PZ461" s="167"/>
      <c r="QA461" s="167"/>
      <c r="QB461" s="167"/>
      <c r="QC461" s="167"/>
      <c r="QD461" s="167"/>
      <c r="QE461" s="167"/>
      <c r="QF461" s="167"/>
      <c r="QG461" s="167"/>
      <c r="QH461" s="167"/>
      <c r="QI461" s="167"/>
      <c r="QJ461" s="167"/>
      <c r="QK461" s="167"/>
      <c r="QL461" s="167"/>
      <c r="QM461" s="167"/>
      <c r="QN461" s="167"/>
      <c r="QO461" s="167"/>
      <c r="QP461" s="167"/>
      <c r="QQ461" s="167"/>
      <c r="QR461" s="167"/>
      <c r="QS461" s="167"/>
      <c r="QT461" s="167"/>
      <c r="QU461" s="167"/>
      <c r="QV461" s="167"/>
      <c r="QW461" s="167"/>
      <c r="QX461" s="167"/>
      <c r="QY461" s="167"/>
      <c r="QZ461" s="167"/>
      <c r="RA461" s="167"/>
      <c r="RB461" s="167"/>
      <c r="RC461" s="167"/>
      <c r="RD461" s="167"/>
      <c r="RE461" s="167"/>
      <c r="RF461" s="167"/>
      <c r="RG461" s="167"/>
      <c r="RH461" s="167"/>
      <c r="RI461" s="167"/>
      <c r="RJ461" s="167"/>
      <c r="RK461" s="167"/>
      <c r="RL461" s="167"/>
      <c r="RM461" s="167"/>
      <c r="RN461" s="167"/>
      <c r="RO461" s="167"/>
      <c r="RP461" s="167"/>
      <c r="RQ461" s="167"/>
      <c r="RR461" s="167"/>
      <c r="RS461" s="167"/>
      <c r="RT461" s="167"/>
      <c r="RU461" s="167"/>
      <c r="RV461" s="167"/>
      <c r="RW461" s="167"/>
      <c r="RX461" s="167"/>
      <c r="RY461" s="167"/>
      <c r="RZ461" s="167"/>
      <c r="SA461" s="167"/>
      <c r="SB461" s="167"/>
      <c r="SC461" s="167"/>
      <c r="SD461" s="167"/>
      <c r="SE461" s="167"/>
      <c r="SF461" s="167"/>
      <c r="SG461" s="167"/>
      <c r="SH461" s="167"/>
      <c r="SI461" s="167"/>
      <c r="SJ461" s="167"/>
      <c r="SK461" s="167"/>
      <c r="SL461" s="167"/>
      <c r="SM461" s="167"/>
      <c r="SN461" s="167"/>
      <c r="SO461" s="167"/>
      <c r="SP461" s="167"/>
    </row>
    <row r="462" spans="1:510" s="229" customFormat="1" ht="9.75" customHeight="1">
      <c r="A462" s="221"/>
      <c r="B462" s="222"/>
      <c r="C462" s="223"/>
      <c r="D462" s="224"/>
      <c r="E462" s="224"/>
      <c r="F462" s="224"/>
      <c r="G462" s="305">
        <f>'JULIO-18  '!I451</f>
        <v>0</v>
      </c>
      <c r="H462" s="226"/>
      <c r="I462" s="227"/>
      <c r="J462" s="228"/>
      <c r="K462" s="397"/>
      <c r="L462" s="199"/>
      <c r="M462" s="199"/>
      <c r="N462" s="199"/>
      <c r="O462" s="199"/>
      <c r="P462" s="199"/>
      <c r="Q462" s="199"/>
      <c r="R462" s="199"/>
      <c r="S462" s="199"/>
      <c r="T462" s="199"/>
      <c r="U462" s="199"/>
      <c r="V462" s="199"/>
      <c r="W462" s="199"/>
      <c r="X462" s="199"/>
      <c r="Y462" s="199"/>
      <c r="Z462" s="199"/>
      <c r="AA462" s="199"/>
      <c r="AB462" s="199"/>
      <c r="AC462" s="199"/>
      <c r="AD462" s="199"/>
      <c r="AE462" s="199"/>
      <c r="AF462" s="199"/>
      <c r="AG462" s="199"/>
      <c r="AH462" s="199"/>
      <c r="AI462" s="199"/>
      <c r="AJ462" s="199"/>
      <c r="AK462" s="199"/>
      <c r="AL462" s="199"/>
      <c r="AM462" s="199"/>
      <c r="AN462" s="199"/>
      <c r="AO462" s="199"/>
      <c r="AP462" s="199"/>
      <c r="AQ462" s="199"/>
      <c r="AR462" s="199"/>
      <c r="AS462" s="199"/>
      <c r="AT462" s="199"/>
      <c r="AU462" s="199"/>
      <c r="AV462" s="199"/>
      <c r="AW462" s="199"/>
      <c r="AX462" s="199"/>
      <c r="AY462" s="199"/>
      <c r="AZ462" s="199"/>
      <c r="BA462" s="199"/>
      <c r="BB462" s="199"/>
      <c r="BC462" s="199"/>
      <c r="BD462" s="199"/>
      <c r="BE462" s="199"/>
      <c r="BF462" s="199"/>
      <c r="BG462" s="199"/>
      <c r="BH462" s="199"/>
      <c r="BI462" s="199"/>
      <c r="BJ462" s="199"/>
      <c r="BK462" s="199"/>
      <c r="BL462" s="199"/>
      <c r="BM462" s="199"/>
      <c r="BN462" s="199"/>
      <c r="BO462" s="199"/>
      <c r="BP462" s="199"/>
      <c r="BQ462" s="199"/>
      <c r="BR462" s="199"/>
      <c r="BS462" s="199"/>
      <c r="BT462" s="199"/>
      <c r="BU462" s="199"/>
      <c r="BV462" s="199"/>
      <c r="BW462" s="199"/>
      <c r="BX462" s="199"/>
      <c r="BY462" s="199"/>
      <c r="BZ462" s="199"/>
      <c r="CA462" s="199"/>
      <c r="CB462" s="199"/>
      <c r="CC462" s="199"/>
      <c r="CD462" s="199"/>
      <c r="CE462" s="199"/>
      <c r="CF462" s="199"/>
      <c r="CG462" s="199"/>
      <c r="CH462" s="199"/>
      <c r="CI462" s="199"/>
      <c r="CJ462" s="199"/>
      <c r="CK462" s="199"/>
      <c r="CL462" s="199"/>
      <c r="CM462" s="199"/>
      <c r="CN462" s="199"/>
      <c r="CO462" s="199"/>
      <c r="CP462" s="199"/>
      <c r="CQ462" s="199"/>
      <c r="CR462" s="199"/>
      <c r="CS462" s="199"/>
      <c r="CT462" s="199"/>
      <c r="CU462" s="199"/>
      <c r="CV462" s="199"/>
      <c r="CW462" s="199"/>
      <c r="CX462" s="199"/>
      <c r="CY462" s="199"/>
      <c r="CZ462" s="199"/>
      <c r="DA462" s="199"/>
      <c r="DB462" s="199"/>
      <c r="DC462" s="199"/>
      <c r="DD462" s="199"/>
      <c r="DE462" s="199"/>
      <c r="DF462" s="199"/>
      <c r="DG462" s="199"/>
      <c r="DH462" s="199"/>
      <c r="DI462" s="199"/>
      <c r="DJ462" s="199"/>
      <c r="DK462" s="199"/>
      <c r="DL462" s="199"/>
      <c r="DM462" s="199"/>
      <c r="DN462" s="199"/>
      <c r="DO462" s="199"/>
      <c r="DP462" s="199"/>
      <c r="DQ462" s="199"/>
      <c r="DR462" s="199"/>
      <c r="DS462" s="199"/>
      <c r="DT462" s="199"/>
      <c r="DU462" s="199"/>
      <c r="DV462" s="199"/>
      <c r="DW462" s="199"/>
      <c r="DX462" s="199"/>
      <c r="DY462" s="199"/>
      <c r="DZ462" s="199"/>
      <c r="EA462" s="199"/>
      <c r="EB462" s="199"/>
      <c r="EC462" s="199"/>
      <c r="ED462" s="199"/>
      <c r="EE462" s="199"/>
      <c r="EF462" s="199"/>
      <c r="EG462" s="199"/>
      <c r="EH462" s="199"/>
      <c r="EI462" s="199"/>
      <c r="EJ462" s="199"/>
      <c r="EK462" s="199"/>
      <c r="EL462" s="199"/>
      <c r="EM462" s="199"/>
      <c r="EN462" s="199"/>
      <c r="EO462" s="199"/>
      <c r="EP462" s="199"/>
      <c r="EQ462" s="199"/>
      <c r="ER462" s="199"/>
      <c r="ES462" s="199"/>
      <c r="ET462" s="199"/>
      <c r="EU462" s="199"/>
      <c r="EV462" s="199"/>
      <c r="EW462" s="199"/>
      <c r="EX462" s="199"/>
      <c r="EY462" s="199"/>
      <c r="EZ462" s="199"/>
      <c r="FA462" s="199"/>
      <c r="FB462" s="199"/>
      <c r="FC462" s="199"/>
      <c r="FD462" s="199"/>
      <c r="FE462" s="199"/>
      <c r="FF462" s="199"/>
      <c r="FG462" s="199"/>
      <c r="FH462" s="199"/>
      <c r="FI462" s="199"/>
      <c r="FJ462" s="199"/>
      <c r="FK462" s="199"/>
      <c r="FL462" s="199"/>
      <c r="FM462" s="199"/>
      <c r="FN462" s="199"/>
      <c r="FO462" s="199"/>
      <c r="FP462" s="199"/>
      <c r="FQ462" s="199"/>
      <c r="FR462" s="199"/>
      <c r="FS462" s="199"/>
      <c r="FT462" s="199"/>
      <c r="FU462" s="199"/>
      <c r="FV462" s="199"/>
      <c r="FW462" s="199"/>
      <c r="FX462" s="199"/>
      <c r="FY462" s="199"/>
      <c r="FZ462" s="199"/>
      <c r="GA462" s="199"/>
      <c r="GB462" s="199"/>
      <c r="GC462" s="199"/>
      <c r="GD462" s="199"/>
      <c r="GE462" s="199"/>
      <c r="GF462" s="199"/>
      <c r="GG462" s="199"/>
      <c r="GH462" s="199"/>
      <c r="GI462" s="199"/>
      <c r="GJ462" s="199"/>
      <c r="GK462" s="199"/>
      <c r="GL462" s="199"/>
      <c r="GM462" s="199"/>
      <c r="GN462" s="199"/>
      <c r="GO462" s="199"/>
      <c r="GP462" s="199"/>
      <c r="GQ462" s="199"/>
      <c r="GR462" s="199"/>
      <c r="GS462" s="199"/>
      <c r="GT462" s="199"/>
      <c r="GU462" s="199"/>
      <c r="GV462" s="199"/>
      <c r="GW462" s="199"/>
      <c r="GX462" s="199"/>
      <c r="GY462" s="199"/>
      <c r="GZ462" s="199"/>
      <c r="HA462" s="199"/>
      <c r="HB462" s="199"/>
      <c r="HC462" s="199"/>
      <c r="HD462" s="199"/>
      <c r="HE462" s="199"/>
      <c r="HF462" s="199"/>
      <c r="HG462" s="199"/>
      <c r="HH462" s="199"/>
      <c r="HI462" s="199"/>
      <c r="HJ462" s="199"/>
      <c r="HK462" s="199"/>
      <c r="HL462" s="199"/>
      <c r="HM462" s="199"/>
      <c r="HN462" s="199"/>
      <c r="HO462" s="199"/>
      <c r="HP462" s="199"/>
      <c r="HQ462" s="199"/>
      <c r="HR462" s="199"/>
      <c r="HS462" s="199"/>
      <c r="HT462" s="199"/>
      <c r="HU462" s="199"/>
      <c r="HV462" s="199"/>
      <c r="HW462" s="199"/>
      <c r="HX462" s="199"/>
      <c r="HY462" s="199"/>
      <c r="HZ462" s="199"/>
      <c r="IA462" s="199"/>
      <c r="IB462" s="199"/>
      <c r="IC462" s="199"/>
      <c r="ID462" s="199"/>
      <c r="IE462" s="199"/>
      <c r="IF462" s="199"/>
      <c r="IG462" s="199"/>
      <c r="IH462" s="199"/>
      <c r="II462" s="199"/>
      <c r="IJ462" s="199"/>
      <c r="IK462" s="199"/>
      <c r="IL462" s="199"/>
      <c r="IM462" s="199"/>
      <c r="IN462" s="199"/>
      <c r="IO462" s="199"/>
      <c r="IP462" s="199"/>
      <c r="IQ462" s="199"/>
      <c r="IR462" s="199"/>
      <c r="IS462" s="199"/>
      <c r="IT462" s="199"/>
      <c r="IU462" s="199"/>
      <c r="IV462" s="199"/>
      <c r="IW462" s="199"/>
      <c r="IX462" s="199"/>
      <c r="IY462" s="199"/>
      <c r="IZ462" s="199"/>
      <c r="JA462" s="199"/>
      <c r="JB462" s="199"/>
      <c r="JC462" s="199"/>
      <c r="JD462" s="199"/>
      <c r="JE462" s="199"/>
      <c r="JF462" s="199"/>
      <c r="JG462" s="199"/>
      <c r="JH462" s="199"/>
      <c r="JI462" s="199"/>
      <c r="JJ462" s="199"/>
      <c r="JK462" s="199"/>
      <c r="JL462" s="199"/>
      <c r="JM462" s="199"/>
      <c r="JN462" s="199"/>
      <c r="JO462" s="199"/>
      <c r="JP462" s="199"/>
      <c r="JQ462" s="199"/>
      <c r="JR462" s="199"/>
      <c r="JS462" s="199"/>
      <c r="JT462" s="199"/>
      <c r="JU462" s="199"/>
      <c r="JV462" s="199"/>
      <c r="JW462" s="199"/>
      <c r="JX462" s="199"/>
      <c r="JY462" s="199"/>
      <c r="JZ462" s="199"/>
      <c r="KA462" s="199"/>
      <c r="KB462" s="199"/>
      <c r="KC462" s="199"/>
      <c r="KD462" s="199"/>
      <c r="KE462" s="199"/>
      <c r="KF462" s="199"/>
      <c r="KG462" s="199"/>
      <c r="KH462" s="199"/>
      <c r="KI462" s="199"/>
      <c r="KJ462" s="199"/>
      <c r="KK462" s="199"/>
      <c r="KL462" s="199"/>
      <c r="KM462" s="199"/>
      <c r="KN462" s="199"/>
      <c r="KO462" s="199"/>
      <c r="KP462" s="199"/>
      <c r="KQ462" s="199"/>
      <c r="KR462" s="199"/>
      <c r="KS462" s="199"/>
      <c r="KT462" s="199"/>
      <c r="KU462" s="199"/>
      <c r="KV462" s="199"/>
      <c r="KW462" s="199"/>
      <c r="KX462" s="199"/>
      <c r="KY462" s="199"/>
      <c r="KZ462" s="199"/>
      <c r="LA462" s="199"/>
      <c r="LB462" s="199"/>
      <c r="LC462" s="199"/>
      <c r="LD462" s="199"/>
      <c r="LE462" s="199"/>
      <c r="LF462" s="199"/>
      <c r="LG462" s="199"/>
      <c r="LH462" s="199"/>
      <c r="LI462" s="199"/>
      <c r="LJ462" s="199"/>
      <c r="LK462" s="199"/>
      <c r="LL462" s="199"/>
      <c r="LM462" s="199"/>
      <c r="LN462" s="199"/>
      <c r="LO462" s="199"/>
      <c r="LP462" s="199"/>
      <c r="LQ462" s="199"/>
      <c r="LR462" s="199"/>
      <c r="LS462" s="199"/>
      <c r="LT462" s="199"/>
      <c r="LU462" s="199"/>
      <c r="LV462" s="199"/>
      <c r="LW462" s="199"/>
      <c r="LX462" s="199"/>
      <c r="LY462" s="199"/>
      <c r="LZ462" s="199"/>
      <c r="MA462" s="199"/>
      <c r="MB462" s="199"/>
      <c r="MC462" s="199"/>
      <c r="MD462" s="199"/>
      <c r="ME462" s="199"/>
      <c r="MF462" s="199"/>
      <c r="MG462" s="199"/>
      <c r="MH462" s="199"/>
      <c r="MI462" s="199"/>
      <c r="MJ462" s="199"/>
      <c r="MK462" s="199"/>
      <c r="ML462" s="199"/>
      <c r="MM462" s="199"/>
      <c r="MN462" s="199"/>
      <c r="MO462" s="199"/>
      <c r="MP462" s="199"/>
      <c r="MQ462" s="199"/>
      <c r="MR462" s="199"/>
      <c r="MS462" s="199"/>
      <c r="MT462" s="199"/>
      <c r="MU462" s="199"/>
      <c r="MV462" s="199"/>
      <c r="MW462" s="199"/>
      <c r="MX462" s="199"/>
      <c r="MY462" s="199"/>
      <c r="MZ462" s="199"/>
      <c r="NA462" s="199"/>
      <c r="NB462" s="199"/>
      <c r="NC462" s="199"/>
      <c r="ND462" s="199"/>
      <c r="NE462" s="199"/>
      <c r="NF462" s="199"/>
      <c r="NG462" s="199"/>
      <c r="NH462" s="199"/>
      <c r="NI462" s="199"/>
      <c r="NJ462" s="199"/>
      <c r="NK462" s="199"/>
      <c r="NL462" s="199"/>
      <c r="NM462" s="199"/>
      <c r="NN462" s="199"/>
      <c r="NO462" s="199"/>
      <c r="NP462" s="199"/>
      <c r="NQ462" s="199"/>
      <c r="NR462" s="199"/>
      <c r="NS462" s="199"/>
      <c r="NT462" s="199"/>
      <c r="NU462" s="199"/>
      <c r="NV462" s="199"/>
      <c r="NW462" s="199"/>
      <c r="NX462" s="199"/>
      <c r="NY462" s="199"/>
      <c r="NZ462" s="199"/>
      <c r="OA462" s="199"/>
      <c r="OB462" s="199"/>
      <c r="OC462" s="199"/>
      <c r="OD462" s="199"/>
      <c r="OE462" s="199"/>
      <c r="OF462" s="199"/>
      <c r="OG462" s="199"/>
      <c r="OH462" s="199"/>
      <c r="OI462" s="199"/>
      <c r="OJ462" s="199"/>
      <c r="OK462" s="199"/>
      <c r="OL462" s="199"/>
      <c r="OM462" s="199"/>
      <c r="ON462" s="199"/>
      <c r="OO462" s="199"/>
      <c r="OP462" s="199"/>
      <c r="OQ462" s="199"/>
      <c r="OR462" s="199"/>
      <c r="OS462" s="199"/>
      <c r="OT462" s="199"/>
      <c r="OU462" s="199"/>
      <c r="OV462" s="199"/>
      <c r="OW462" s="199"/>
      <c r="OX462" s="199"/>
      <c r="OY462" s="199"/>
      <c r="OZ462" s="199"/>
      <c r="PA462" s="199"/>
      <c r="PB462" s="199"/>
      <c r="PC462" s="199"/>
      <c r="PD462" s="199"/>
      <c r="PE462" s="199"/>
      <c r="PF462" s="199"/>
      <c r="PG462" s="199"/>
      <c r="PH462" s="199"/>
      <c r="PI462" s="199"/>
      <c r="PJ462" s="199"/>
      <c r="PK462" s="199"/>
      <c r="PL462" s="199"/>
      <c r="PM462" s="199"/>
      <c r="PN462" s="199"/>
      <c r="PO462" s="199"/>
      <c r="PP462" s="199"/>
      <c r="PQ462" s="199"/>
      <c r="PR462" s="199"/>
      <c r="PS462" s="199"/>
      <c r="PT462" s="199"/>
      <c r="PU462" s="199"/>
      <c r="PV462" s="199"/>
      <c r="PW462" s="199"/>
      <c r="PX462" s="199"/>
      <c r="PY462" s="199"/>
      <c r="PZ462" s="199"/>
      <c r="QA462" s="199"/>
      <c r="QB462" s="199"/>
      <c r="QC462" s="199"/>
      <c r="QD462" s="199"/>
      <c r="QE462" s="199"/>
      <c r="QF462" s="199"/>
      <c r="QG462" s="199"/>
      <c r="QH462" s="199"/>
      <c r="QI462" s="199"/>
      <c r="QJ462" s="199"/>
      <c r="QK462" s="199"/>
      <c r="QL462" s="199"/>
      <c r="QM462" s="199"/>
      <c r="QN462" s="199"/>
      <c r="QO462" s="199"/>
      <c r="QP462" s="199"/>
      <c r="QQ462" s="199"/>
      <c r="QR462" s="199"/>
      <c r="QS462" s="199"/>
      <c r="QT462" s="199"/>
      <c r="QU462" s="199"/>
      <c r="QV462" s="199"/>
      <c r="QW462" s="199"/>
      <c r="QX462" s="199"/>
      <c r="QY462" s="199"/>
      <c r="QZ462" s="199"/>
      <c r="RA462" s="199"/>
      <c r="RB462" s="199"/>
      <c r="RC462" s="199"/>
      <c r="RD462" s="199"/>
      <c r="RE462" s="199"/>
      <c r="RF462" s="199"/>
      <c r="RG462" s="199"/>
      <c r="RH462" s="199"/>
      <c r="RI462" s="199"/>
      <c r="RJ462" s="199"/>
      <c r="RK462" s="199"/>
      <c r="RL462" s="199"/>
      <c r="RM462" s="199"/>
      <c r="RN462" s="199"/>
      <c r="RO462" s="199"/>
      <c r="RP462" s="199"/>
      <c r="RQ462" s="199"/>
      <c r="RR462" s="199"/>
      <c r="RS462" s="199"/>
      <c r="RT462" s="199"/>
      <c r="RU462" s="199"/>
      <c r="RV462" s="199"/>
      <c r="RW462" s="199"/>
      <c r="RX462" s="199"/>
      <c r="RY462" s="199"/>
      <c r="RZ462" s="199"/>
      <c r="SA462" s="199"/>
      <c r="SB462" s="199"/>
      <c r="SC462" s="199"/>
      <c r="SD462" s="199"/>
      <c r="SE462" s="199"/>
      <c r="SF462" s="199"/>
      <c r="SG462" s="199"/>
      <c r="SH462" s="199"/>
      <c r="SI462" s="199"/>
      <c r="SJ462" s="199"/>
      <c r="SK462" s="199"/>
      <c r="SL462" s="199"/>
      <c r="SM462" s="199"/>
      <c r="SN462" s="199"/>
      <c r="SO462" s="199"/>
      <c r="SP462" s="199"/>
    </row>
    <row r="463" spans="1:510" ht="52.5">
      <c r="A463" s="214" t="s">
        <v>988</v>
      </c>
      <c r="B463" s="215" t="s">
        <v>581</v>
      </c>
      <c r="C463" s="344" t="s">
        <v>1104</v>
      </c>
      <c r="D463" s="187" t="s">
        <v>18</v>
      </c>
      <c r="E463" s="187" t="s">
        <v>28</v>
      </c>
      <c r="F463" s="187" t="s">
        <v>27</v>
      </c>
      <c r="G463" s="305">
        <f>'JULIO-18  '!I452</f>
        <v>9167.83</v>
      </c>
      <c r="H463" s="348">
        <f>1238.19+1092.07</f>
        <v>2330.2600000000002</v>
      </c>
      <c r="I463" s="189">
        <f t="shared" si="9"/>
        <v>6837.57</v>
      </c>
      <c r="J463" s="219"/>
      <c r="K463" s="219"/>
    </row>
    <row r="464" spans="1:510" ht="30">
      <c r="A464" s="11" t="s">
        <v>235</v>
      </c>
      <c r="B464" s="54" t="s">
        <v>582</v>
      </c>
      <c r="C464" s="13"/>
      <c r="D464" s="14" t="s">
        <v>18</v>
      </c>
      <c r="E464" s="14" t="s">
        <v>28</v>
      </c>
      <c r="F464" s="14" t="s">
        <v>27</v>
      </c>
      <c r="G464" s="305">
        <f>'JULIO-18  '!I453</f>
        <v>2.8699999999999992</v>
      </c>
      <c r="H464" s="276"/>
      <c r="I464" s="17">
        <f t="shared" si="9"/>
        <v>2.8699999999999992</v>
      </c>
      <c r="J464" s="56"/>
      <c r="K464" s="56"/>
    </row>
    <row r="465" spans="1:11" ht="96" customHeight="1">
      <c r="A465" s="11" t="s">
        <v>200</v>
      </c>
      <c r="B465" s="53" t="s">
        <v>584</v>
      </c>
      <c r="C465" s="61"/>
      <c r="D465" s="14"/>
      <c r="E465" s="14"/>
      <c r="F465" s="14"/>
      <c r="G465" s="305">
        <f>'JULIO-18  '!I454</f>
        <v>0</v>
      </c>
      <c r="H465" s="51"/>
      <c r="I465" s="17"/>
      <c r="J465" s="56"/>
      <c r="K465" s="56"/>
    </row>
    <row r="466" spans="1:11" ht="30">
      <c r="A466" s="11">
        <v>54111</v>
      </c>
      <c r="B466" s="54" t="s">
        <v>583</v>
      </c>
      <c r="C466" s="13"/>
      <c r="D466" s="14" t="s">
        <v>18</v>
      </c>
      <c r="E466" s="14" t="s">
        <v>28</v>
      </c>
      <c r="F466" s="14" t="s">
        <v>27</v>
      </c>
      <c r="G466" s="305">
        <f>'JULIO-18  '!I455</f>
        <v>0</v>
      </c>
      <c r="H466" s="51"/>
      <c r="I466" s="17">
        <f t="shared" si="9"/>
        <v>0</v>
      </c>
      <c r="J466" s="56"/>
      <c r="K466" s="300"/>
    </row>
    <row r="467" spans="1:11" ht="75">
      <c r="A467" s="141" t="s">
        <v>201</v>
      </c>
      <c r="B467" s="53" t="s">
        <v>585</v>
      </c>
      <c r="C467" s="13"/>
      <c r="D467" s="14"/>
      <c r="E467" s="14"/>
      <c r="F467" s="14"/>
      <c r="G467" s="305">
        <f>'JULIO-18  '!I456</f>
        <v>0</v>
      </c>
      <c r="H467" s="51"/>
      <c r="I467" s="17"/>
      <c r="J467" s="56"/>
      <c r="K467" s="56"/>
    </row>
    <row r="468" spans="1:11" ht="29.25">
      <c r="A468" s="11">
        <v>54110</v>
      </c>
      <c r="B468" s="54" t="s">
        <v>586</v>
      </c>
      <c r="C468" s="13"/>
      <c r="D468" s="14" t="s">
        <v>18</v>
      </c>
      <c r="E468" s="14" t="s">
        <v>28</v>
      </c>
      <c r="F468" s="14" t="s">
        <v>27</v>
      </c>
      <c r="G468" s="305">
        <f>'JULIO-18  '!I457</f>
        <v>0</v>
      </c>
      <c r="H468" s="51"/>
      <c r="I468" s="17">
        <f t="shared" si="9"/>
        <v>0</v>
      </c>
      <c r="J468" s="56"/>
      <c r="K468" s="300"/>
    </row>
    <row r="469" spans="1:11" ht="30">
      <c r="A469" s="11">
        <v>54111</v>
      </c>
      <c r="B469" s="54" t="s">
        <v>587</v>
      </c>
      <c r="C469" s="13"/>
      <c r="D469" s="14" t="s">
        <v>18</v>
      </c>
      <c r="E469" s="14" t="s">
        <v>28</v>
      </c>
      <c r="F469" s="14" t="s">
        <v>27</v>
      </c>
      <c r="G469" s="305">
        <f>'JULIO-18  '!I458</f>
        <v>0</v>
      </c>
      <c r="H469" s="51"/>
      <c r="I469" s="17">
        <f t="shared" si="9"/>
        <v>0</v>
      </c>
      <c r="J469" s="56"/>
      <c r="K469" s="300"/>
    </row>
    <row r="470" spans="1:11" ht="29.25">
      <c r="A470" s="11">
        <v>54112</v>
      </c>
      <c r="B470" s="54" t="s">
        <v>588</v>
      </c>
      <c r="C470" s="59"/>
      <c r="D470" s="14" t="s">
        <v>18</v>
      </c>
      <c r="E470" s="14" t="s">
        <v>28</v>
      </c>
      <c r="F470" s="14" t="s">
        <v>27</v>
      </c>
      <c r="G470" s="305">
        <f>'JULIO-18  '!I459</f>
        <v>0</v>
      </c>
      <c r="H470" s="51"/>
      <c r="I470" s="17">
        <f t="shared" si="9"/>
        <v>0</v>
      </c>
      <c r="J470" s="56"/>
      <c r="K470" s="300"/>
    </row>
    <row r="471" spans="1:11" ht="29.25">
      <c r="A471" s="11">
        <v>55603</v>
      </c>
      <c r="B471" s="54" t="s">
        <v>974</v>
      </c>
      <c r="C471" s="55"/>
      <c r="D471" s="14" t="s">
        <v>18</v>
      </c>
      <c r="E471" s="14" t="s">
        <v>28</v>
      </c>
      <c r="F471" s="14" t="s">
        <v>27</v>
      </c>
      <c r="G471" s="305">
        <f>'JULIO-18  '!I460</f>
        <v>0</v>
      </c>
      <c r="H471" s="51"/>
      <c r="I471" s="17">
        <f t="shared" si="9"/>
        <v>0</v>
      </c>
      <c r="J471" s="11"/>
      <c r="K471" s="129"/>
    </row>
    <row r="472" spans="1:11" ht="90">
      <c r="A472" s="11" t="s">
        <v>220</v>
      </c>
      <c r="B472" s="53" t="s">
        <v>966</v>
      </c>
      <c r="C472" s="55"/>
      <c r="D472" s="14"/>
      <c r="E472" s="14"/>
      <c r="F472" s="14"/>
      <c r="G472" s="305">
        <f>'JULIO-18  '!I461</f>
        <v>0</v>
      </c>
      <c r="H472" s="51"/>
      <c r="I472" s="17"/>
      <c r="J472" s="11"/>
      <c r="K472" s="54"/>
    </row>
    <row r="473" spans="1:11" ht="29.25">
      <c r="A473" s="11">
        <v>51202</v>
      </c>
      <c r="B473" s="54" t="s">
        <v>589</v>
      </c>
      <c r="C473" s="55"/>
      <c r="D473" s="14" t="s">
        <v>18</v>
      </c>
      <c r="E473" s="14" t="s">
        <v>28</v>
      </c>
      <c r="F473" s="14" t="s">
        <v>27</v>
      </c>
      <c r="G473" s="305">
        <f>'JULIO-18  '!I462</f>
        <v>0</v>
      </c>
      <c r="H473" s="51"/>
      <c r="I473" s="17">
        <f t="shared" si="9"/>
        <v>0</v>
      </c>
      <c r="J473" s="11"/>
      <c r="K473" s="251"/>
    </row>
    <row r="474" spans="1:11" ht="29.25" customHeight="1">
      <c r="A474" s="11">
        <v>54110</v>
      </c>
      <c r="B474" s="54" t="s">
        <v>590</v>
      </c>
      <c r="C474" s="55"/>
      <c r="D474" s="14" t="s">
        <v>18</v>
      </c>
      <c r="E474" s="14" t="s">
        <v>28</v>
      </c>
      <c r="F474" s="14" t="s">
        <v>27</v>
      </c>
      <c r="G474" s="305">
        <f>'JULIO-18  '!I463</f>
        <v>0</v>
      </c>
      <c r="H474" s="51"/>
      <c r="I474" s="17">
        <f t="shared" si="9"/>
        <v>0</v>
      </c>
      <c r="J474" s="11"/>
      <c r="K474" s="251"/>
    </row>
    <row r="475" spans="1:11" ht="30">
      <c r="A475" s="11">
        <v>54111</v>
      </c>
      <c r="B475" s="54" t="s">
        <v>591</v>
      </c>
      <c r="C475" s="55"/>
      <c r="D475" s="14" t="s">
        <v>18</v>
      </c>
      <c r="E475" s="14" t="s">
        <v>28</v>
      </c>
      <c r="F475" s="14" t="s">
        <v>27</v>
      </c>
      <c r="G475" s="305">
        <f>'JULIO-18  '!I464</f>
        <v>-6.3726801613483985E-14</v>
      </c>
      <c r="H475" s="51"/>
      <c r="I475" s="17">
        <f t="shared" si="9"/>
        <v>-6.3726801613483985E-14</v>
      </c>
      <c r="J475" s="252"/>
      <c r="K475" s="251"/>
    </row>
    <row r="476" spans="1:11" ht="29.25">
      <c r="A476" s="11">
        <v>54112</v>
      </c>
      <c r="B476" s="54" t="s">
        <v>592</v>
      </c>
      <c r="C476" s="55"/>
      <c r="D476" s="14" t="s">
        <v>18</v>
      </c>
      <c r="E476" s="14" t="s">
        <v>28</v>
      </c>
      <c r="F476" s="14" t="s">
        <v>27</v>
      </c>
      <c r="G476" s="305">
        <f>'JULIO-18  '!I465</f>
        <v>0</v>
      </c>
      <c r="H476" s="51"/>
      <c r="I476" s="17">
        <f t="shared" si="9"/>
        <v>0</v>
      </c>
      <c r="J476" s="11"/>
      <c r="K476" s="251"/>
    </row>
    <row r="477" spans="1:11" ht="29.25">
      <c r="A477" s="11">
        <v>54313</v>
      </c>
      <c r="B477" s="54" t="s">
        <v>593</v>
      </c>
      <c r="C477" s="55"/>
      <c r="D477" s="14" t="s">
        <v>18</v>
      </c>
      <c r="E477" s="14" t="s">
        <v>28</v>
      </c>
      <c r="F477" s="14" t="s">
        <v>27</v>
      </c>
      <c r="G477" s="305">
        <f>'JULIO-18  '!I466</f>
        <v>0</v>
      </c>
      <c r="H477" s="51"/>
      <c r="I477" s="17">
        <f t="shared" si="9"/>
        <v>0</v>
      </c>
      <c r="J477" s="11"/>
      <c r="K477" s="251"/>
    </row>
    <row r="478" spans="1:11" ht="105" customHeight="1">
      <c r="A478" s="11" t="s">
        <v>238</v>
      </c>
      <c r="B478" s="53" t="s">
        <v>595</v>
      </c>
      <c r="C478" s="343" t="s">
        <v>1105</v>
      </c>
      <c r="D478" s="14"/>
      <c r="E478" s="14"/>
      <c r="F478" s="14"/>
      <c r="G478" s="305">
        <f>'JULIO-18  '!I467</f>
        <v>0</v>
      </c>
      <c r="H478" s="51"/>
      <c r="I478" s="17"/>
      <c r="J478" s="11"/>
      <c r="K478" s="54"/>
    </row>
    <row r="479" spans="1:11" ht="29.25">
      <c r="A479" s="11">
        <v>51202</v>
      </c>
      <c r="B479" s="54" t="s">
        <v>594</v>
      </c>
      <c r="C479" s="55"/>
      <c r="D479" s="14" t="s">
        <v>18</v>
      </c>
      <c r="E479" s="14" t="s">
        <v>28</v>
      </c>
      <c r="F479" s="14" t="s">
        <v>27</v>
      </c>
      <c r="G479" s="305">
        <f>'JULIO-18  '!I468</f>
        <v>1391.1099999999997</v>
      </c>
      <c r="H479" s="51"/>
      <c r="I479" s="17">
        <f t="shared" si="9"/>
        <v>0</v>
      </c>
      <c r="J479" s="272"/>
      <c r="K479" s="129">
        <v>1391.11</v>
      </c>
    </row>
    <row r="480" spans="1:11" ht="29.25">
      <c r="A480" s="11">
        <v>54110</v>
      </c>
      <c r="B480" s="54" t="s">
        <v>596</v>
      </c>
      <c r="C480" s="55"/>
      <c r="D480" s="14" t="s">
        <v>18</v>
      </c>
      <c r="E480" s="14" t="s">
        <v>28</v>
      </c>
      <c r="F480" s="14" t="s">
        <v>27</v>
      </c>
      <c r="G480" s="305">
        <f>'JULIO-18  '!I469</f>
        <v>240.85000000000002</v>
      </c>
      <c r="H480" s="51"/>
      <c r="I480" s="17">
        <f t="shared" si="9"/>
        <v>0</v>
      </c>
      <c r="J480" s="272"/>
      <c r="K480" s="129">
        <v>240.85</v>
      </c>
    </row>
    <row r="481" spans="1:11" ht="29.25">
      <c r="A481" s="11">
        <v>54111</v>
      </c>
      <c r="B481" s="54" t="s">
        <v>597</v>
      </c>
      <c r="C481" s="55"/>
      <c r="D481" s="14" t="s">
        <v>18</v>
      </c>
      <c r="E481" s="14" t="s">
        <v>28</v>
      </c>
      <c r="F481" s="14" t="s">
        <v>27</v>
      </c>
      <c r="G481" s="305">
        <f>'JULIO-18  '!I470</f>
        <v>65</v>
      </c>
      <c r="H481" s="51"/>
      <c r="I481" s="17">
        <f t="shared" si="9"/>
        <v>0</v>
      </c>
      <c r="J481" s="128"/>
      <c r="K481" s="129">
        <v>65</v>
      </c>
    </row>
    <row r="482" spans="1:11" ht="29.25">
      <c r="A482" s="11">
        <v>54112</v>
      </c>
      <c r="B482" s="54" t="s">
        <v>598</v>
      </c>
      <c r="C482" s="55"/>
      <c r="D482" s="14" t="s">
        <v>18</v>
      </c>
      <c r="E482" s="14" t="s">
        <v>28</v>
      </c>
      <c r="F482" s="14" t="s">
        <v>27</v>
      </c>
      <c r="G482" s="305">
        <f>'JULIO-18  '!I471</f>
        <v>490.64000000000033</v>
      </c>
      <c r="H482" s="51"/>
      <c r="I482" s="17">
        <f t="shared" si="9"/>
        <v>0</v>
      </c>
      <c r="J482" s="128"/>
      <c r="K482" s="129">
        <v>490.64</v>
      </c>
    </row>
    <row r="483" spans="1:11" ht="29.25">
      <c r="A483" s="11">
        <v>54118</v>
      </c>
      <c r="B483" s="54" t="s">
        <v>599</v>
      </c>
      <c r="C483" s="55"/>
      <c r="D483" s="14" t="s">
        <v>18</v>
      </c>
      <c r="E483" s="14" t="s">
        <v>28</v>
      </c>
      <c r="F483" s="14" t="s">
        <v>27</v>
      </c>
      <c r="G483" s="305">
        <f>'JULIO-18  '!I472</f>
        <v>0</v>
      </c>
      <c r="H483" s="51"/>
      <c r="I483" s="17">
        <f t="shared" si="9"/>
        <v>0</v>
      </c>
      <c r="J483" s="142"/>
      <c r="K483" s="142"/>
    </row>
    <row r="484" spans="1:11" ht="29.25">
      <c r="A484" s="11">
        <v>54304</v>
      </c>
      <c r="B484" s="54" t="s">
        <v>600</v>
      </c>
      <c r="C484" s="55"/>
      <c r="D484" s="14" t="s">
        <v>18</v>
      </c>
      <c r="E484" s="14" t="s">
        <v>28</v>
      </c>
      <c r="F484" s="14" t="s">
        <v>27</v>
      </c>
      <c r="G484" s="305">
        <f>'JULIO-18  '!I473</f>
        <v>0</v>
      </c>
      <c r="H484" s="51"/>
      <c r="I484" s="17">
        <f t="shared" si="9"/>
        <v>0</v>
      </c>
      <c r="J484" s="56"/>
      <c r="K484" s="237"/>
    </row>
    <row r="485" spans="1:11" ht="29.25">
      <c r="A485" s="11">
        <v>54313</v>
      </c>
      <c r="B485" s="54" t="s">
        <v>601</v>
      </c>
      <c r="C485" s="55"/>
      <c r="D485" s="14" t="s">
        <v>18</v>
      </c>
      <c r="E485" s="14" t="s">
        <v>28</v>
      </c>
      <c r="F485" s="14" t="s">
        <v>27</v>
      </c>
      <c r="G485" s="305">
        <f>'JULIO-18  '!I474</f>
        <v>0</v>
      </c>
      <c r="H485" s="51"/>
      <c r="I485" s="17">
        <f t="shared" si="9"/>
        <v>0</v>
      </c>
      <c r="J485" s="56"/>
      <c r="K485" s="237"/>
    </row>
    <row r="486" spans="1:11" ht="57.75">
      <c r="A486" s="11">
        <v>54316</v>
      </c>
      <c r="B486" s="54" t="s">
        <v>1047</v>
      </c>
      <c r="C486" s="55"/>
      <c r="D486" s="14" t="s">
        <v>18</v>
      </c>
      <c r="E486" s="14" t="s">
        <v>28</v>
      </c>
      <c r="F486" s="14" t="s">
        <v>27</v>
      </c>
      <c r="G486" s="305">
        <f>'JULIO-18  '!I475</f>
        <v>0</v>
      </c>
      <c r="H486" s="51"/>
      <c r="I486" s="17">
        <f t="shared" si="9"/>
        <v>0</v>
      </c>
      <c r="J486" s="137"/>
      <c r="K486" s="237"/>
    </row>
    <row r="487" spans="1:11" ht="29.25">
      <c r="A487" s="11">
        <v>54399</v>
      </c>
      <c r="B487" s="54" t="s">
        <v>602</v>
      </c>
      <c r="C487" s="13"/>
      <c r="D487" s="14" t="s">
        <v>18</v>
      </c>
      <c r="E487" s="14" t="s">
        <v>28</v>
      </c>
      <c r="F487" s="14" t="s">
        <v>27</v>
      </c>
      <c r="G487" s="305">
        <f>'JULIO-18  '!I476</f>
        <v>0</v>
      </c>
      <c r="H487" s="51"/>
      <c r="I487" s="17">
        <f t="shared" si="9"/>
        <v>0</v>
      </c>
      <c r="J487" s="56"/>
      <c r="K487" s="300"/>
    </row>
    <row r="488" spans="1:11" ht="29.25">
      <c r="A488" s="11">
        <v>55603</v>
      </c>
      <c r="B488" s="54" t="s">
        <v>603</v>
      </c>
      <c r="C488" s="55"/>
      <c r="D488" s="14" t="s">
        <v>18</v>
      </c>
      <c r="E488" s="14" t="s">
        <v>28</v>
      </c>
      <c r="F488" s="14" t="s">
        <v>27</v>
      </c>
      <c r="G488" s="305">
        <f>'JULIO-18  '!I477</f>
        <v>0</v>
      </c>
      <c r="H488" s="51"/>
      <c r="I488" s="17">
        <f t="shared" si="9"/>
        <v>0</v>
      </c>
      <c r="J488" s="56"/>
      <c r="K488" s="300"/>
    </row>
    <row r="489" spans="1:11" ht="102.75" customHeight="1">
      <c r="A489" s="141" t="s">
        <v>256</v>
      </c>
      <c r="B489" s="53" t="s">
        <v>982</v>
      </c>
      <c r="C489" s="13"/>
      <c r="D489" s="14"/>
      <c r="E489" s="14"/>
      <c r="F489" s="14"/>
      <c r="G489" s="305">
        <f>'JULIO-18  '!I478</f>
        <v>0</v>
      </c>
      <c r="H489" s="51"/>
      <c r="I489" s="17"/>
      <c r="J489" s="56"/>
      <c r="K489" s="56"/>
    </row>
    <row r="490" spans="1:11" ht="29.25">
      <c r="A490" s="11">
        <v>51202</v>
      </c>
      <c r="B490" s="53" t="s">
        <v>605</v>
      </c>
      <c r="C490" s="13"/>
      <c r="D490" s="14" t="s">
        <v>18</v>
      </c>
      <c r="E490" s="14" t="s">
        <v>28</v>
      </c>
      <c r="F490" s="14" t="s">
        <v>27</v>
      </c>
      <c r="G490" s="305">
        <f>'JULIO-18  '!I479</f>
        <v>0</v>
      </c>
      <c r="H490" s="51"/>
      <c r="I490" s="17">
        <f t="shared" si="9"/>
        <v>0</v>
      </c>
      <c r="J490" s="237"/>
      <c r="K490" s="333"/>
    </row>
    <row r="491" spans="1:11" ht="29.25">
      <c r="A491" s="11">
        <v>54110</v>
      </c>
      <c r="B491" s="53" t="s">
        <v>606</v>
      </c>
      <c r="C491" s="13"/>
      <c r="D491" s="14" t="s">
        <v>18</v>
      </c>
      <c r="E491" s="14" t="s">
        <v>28</v>
      </c>
      <c r="F491" s="14" t="s">
        <v>27</v>
      </c>
      <c r="G491" s="305">
        <f>'JULIO-18  '!I480</f>
        <v>0</v>
      </c>
      <c r="H491" s="51"/>
      <c r="I491" s="17">
        <f t="shared" si="9"/>
        <v>0</v>
      </c>
      <c r="J491" s="237"/>
      <c r="K491" s="333"/>
    </row>
    <row r="492" spans="1:11" ht="30">
      <c r="A492" s="11">
        <v>54111</v>
      </c>
      <c r="B492" s="53" t="s">
        <v>607</v>
      </c>
      <c r="C492" s="13"/>
      <c r="D492" s="14" t="s">
        <v>18</v>
      </c>
      <c r="E492" s="14" t="s">
        <v>28</v>
      </c>
      <c r="F492" s="14" t="s">
        <v>27</v>
      </c>
      <c r="G492" s="305">
        <f>'JULIO-18  '!I481</f>
        <v>0</v>
      </c>
      <c r="H492" s="212"/>
      <c r="I492" s="17">
        <f t="shared" si="9"/>
        <v>0</v>
      </c>
      <c r="J492" s="253"/>
      <c r="K492" s="333"/>
    </row>
    <row r="493" spans="1:11" ht="29.25">
      <c r="A493" s="11">
        <v>54112</v>
      </c>
      <c r="B493" s="53" t="s">
        <v>608</v>
      </c>
      <c r="C493" s="13"/>
      <c r="D493" s="14" t="s">
        <v>18</v>
      </c>
      <c r="E493" s="14" t="s">
        <v>28</v>
      </c>
      <c r="F493" s="14" t="s">
        <v>27</v>
      </c>
      <c r="G493" s="305">
        <f>'JULIO-18  '!I482</f>
        <v>0</v>
      </c>
      <c r="H493" s="51"/>
      <c r="I493" s="17">
        <f t="shared" si="9"/>
        <v>0</v>
      </c>
      <c r="J493" s="237"/>
      <c r="K493" s="334"/>
    </row>
    <row r="494" spans="1:11" ht="29.25">
      <c r="A494" s="11">
        <v>54118</v>
      </c>
      <c r="B494" s="53" t="s">
        <v>609</v>
      </c>
      <c r="C494" s="13"/>
      <c r="D494" s="14" t="s">
        <v>18</v>
      </c>
      <c r="E494" s="14" t="s">
        <v>28</v>
      </c>
      <c r="F494" s="14" t="s">
        <v>27</v>
      </c>
      <c r="G494" s="305">
        <f>'JULIO-18  '!I483</f>
        <v>0</v>
      </c>
      <c r="H494" s="51"/>
      <c r="I494" s="17">
        <f t="shared" si="9"/>
        <v>0</v>
      </c>
      <c r="J494" s="237"/>
      <c r="K494" s="333"/>
    </row>
    <row r="495" spans="1:11" ht="29.25">
      <c r="A495" s="11">
        <v>54304</v>
      </c>
      <c r="B495" s="53" t="s">
        <v>610</v>
      </c>
      <c r="C495" s="13"/>
      <c r="D495" s="14" t="s">
        <v>18</v>
      </c>
      <c r="E495" s="14" t="s">
        <v>28</v>
      </c>
      <c r="F495" s="14" t="s">
        <v>27</v>
      </c>
      <c r="G495" s="305">
        <f>'JULIO-18  '!I484</f>
        <v>0</v>
      </c>
      <c r="H495" s="51"/>
      <c r="I495" s="17">
        <f t="shared" si="9"/>
        <v>0</v>
      </c>
      <c r="J495" s="56"/>
      <c r="K495" s="300"/>
    </row>
    <row r="496" spans="1:11" ht="29.25">
      <c r="A496" s="11">
        <v>54313</v>
      </c>
      <c r="B496" s="53" t="s">
        <v>611</v>
      </c>
      <c r="C496" s="13"/>
      <c r="D496" s="14" t="s">
        <v>18</v>
      </c>
      <c r="E496" s="14" t="s">
        <v>28</v>
      </c>
      <c r="F496" s="14" t="s">
        <v>27</v>
      </c>
      <c r="G496" s="305">
        <f>'JULIO-18  '!I485</f>
        <v>0</v>
      </c>
      <c r="H496" s="51"/>
      <c r="I496" s="17">
        <f t="shared" si="9"/>
        <v>0</v>
      </c>
      <c r="J496" s="56"/>
      <c r="K496" s="300"/>
    </row>
    <row r="497" spans="1:11" ht="105">
      <c r="A497" s="141" t="s">
        <v>264</v>
      </c>
      <c r="B497" s="53" t="s">
        <v>981</v>
      </c>
      <c r="C497" s="13"/>
      <c r="D497" s="14"/>
      <c r="E497" s="14"/>
      <c r="F497" s="14"/>
      <c r="G497" s="305">
        <f>'JULIO-18  '!I486</f>
        <v>0</v>
      </c>
      <c r="H497" s="51"/>
      <c r="I497" s="17"/>
      <c r="J497" s="56"/>
      <c r="K497" s="331"/>
    </row>
    <row r="498" spans="1:11" ht="29.25">
      <c r="A498" s="11">
        <v>51202</v>
      </c>
      <c r="B498" s="53" t="s">
        <v>613</v>
      </c>
      <c r="C498" s="13"/>
      <c r="D498" s="14" t="s">
        <v>18</v>
      </c>
      <c r="E498" s="14" t="s">
        <v>28</v>
      </c>
      <c r="F498" s="14" t="s">
        <v>27</v>
      </c>
      <c r="G498" s="305">
        <f>'JULIO-18  '!I487</f>
        <v>0</v>
      </c>
      <c r="H498" s="51"/>
      <c r="I498" s="17">
        <f t="shared" si="9"/>
        <v>0</v>
      </c>
      <c r="J498" s="56"/>
      <c r="K498" s="335"/>
    </row>
    <row r="499" spans="1:11" ht="29.25">
      <c r="A499" s="11">
        <v>54110</v>
      </c>
      <c r="B499" s="53" t="s">
        <v>614</v>
      </c>
      <c r="C499" s="13"/>
      <c r="D499" s="14" t="s">
        <v>18</v>
      </c>
      <c r="E499" s="14" t="s">
        <v>28</v>
      </c>
      <c r="F499" s="14" t="s">
        <v>27</v>
      </c>
      <c r="G499" s="305">
        <f>'JULIO-18  '!I488</f>
        <v>0</v>
      </c>
      <c r="H499" s="51"/>
      <c r="I499" s="17">
        <f t="shared" si="9"/>
        <v>0</v>
      </c>
      <c r="J499" s="56"/>
      <c r="K499" s="336"/>
    </row>
    <row r="500" spans="1:11" ht="43.5">
      <c r="A500" s="11">
        <v>54111</v>
      </c>
      <c r="B500" s="53" t="s">
        <v>615</v>
      </c>
      <c r="C500" s="13"/>
      <c r="D500" s="14" t="s">
        <v>18</v>
      </c>
      <c r="E500" s="14" t="s">
        <v>28</v>
      </c>
      <c r="F500" s="14" t="s">
        <v>27</v>
      </c>
      <c r="G500" s="305">
        <f>'JULIO-18  '!I489</f>
        <v>0</v>
      </c>
      <c r="H500" s="51"/>
      <c r="I500" s="17">
        <f t="shared" si="9"/>
        <v>0</v>
      </c>
      <c r="J500" s="239"/>
      <c r="K500" s="333"/>
    </row>
    <row r="501" spans="1:11" ht="43.5">
      <c r="A501" s="11">
        <v>54112</v>
      </c>
      <c r="B501" s="53" t="s">
        <v>616</v>
      </c>
      <c r="C501" s="13"/>
      <c r="D501" s="14" t="s">
        <v>18</v>
      </c>
      <c r="E501" s="14" t="s">
        <v>28</v>
      </c>
      <c r="F501" s="14" t="s">
        <v>27</v>
      </c>
      <c r="G501" s="305">
        <f>'JULIO-18  '!I490</f>
        <v>0</v>
      </c>
      <c r="H501" s="51"/>
      <c r="I501" s="17">
        <f t="shared" si="9"/>
        <v>0</v>
      </c>
      <c r="J501" s="56"/>
      <c r="K501" s="336"/>
    </row>
    <row r="502" spans="1:11" ht="43.5">
      <c r="A502" s="11">
        <v>54118</v>
      </c>
      <c r="B502" s="53" t="s">
        <v>617</v>
      </c>
      <c r="C502" s="13"/>
      <c r="D502" s="14" t="s">
        <v>18</v>
      </c>
      <c r="E502" s="14" t="s">
        <v>28</v>
      </c>
      <c r="F502" s="14" t="s">
        <v>27</v>
      </c>
      <c r="G502" s="305">
        <f>'JULIO-18  '!I491</f>
        <v>-9.9920072216264089E-16</v>
      </c>
      <c r="H502" s="51"/>
      <c r="I502" s="17">
        <f t="shared" si="9"/>
        <v>-9.9920072216264089E-16</v>
      </c>
      <c r="J502" s="56"/>
      <c r="K502" s="301"/>
    </row>
    <row r="503" spans="1:11" ht="43.5">
      <c r="A503" s="11">
        <v>54304</v>
      </c>
      <c r="B503" s="53" t="s">
        <v>618</v>
      </c>
      <c r="C503" s="13"/>
      <c r="D503" s="14" t="s">
        <v>18</v>
      </c>
      <c r="E503" s="14" t="s">
        <v>28</v>
      </c>
      <c r="F503" s="14" t="s">
        <v>27</v>
      </c>
      <c r="G503" s="305">
        <f>'JULIO-18  '!I492</f>
        <v>0</v>
      </c>
      <c r="H503" s="51"/>
      <c r="I503" s="17">
        <f t="shared" si="9"/>
        <v>0</v>
      </c>
      <c r="J503" s="56"/>
      <c r="K503" s="142"/>
    </row>
    <row r="504" spans="1:11" ht="43.5">
      <c r="A504" s="11">
        <v>54313</v>
      </c>
      <c r="B504" s="53" t="s">
        <v>619</v>
      </c>
      <c r="C504" s="13"/>
      <c r="D504" s="14" t="s">
        <v>18</v>
      </c>
      <c r="E504" s="14" t="s">
        <v>28</v>
      </c>
      <c r="F504" s="14" t="s">
        <v>27</v>
      </c>
      <c r="G504" s="305">
        <f>'JULIO-18  '!I493</f>
        <v>0</v>
      </c>
      <c r="H504" s="51"/>
      <c r="I504" s="17">
        <f t="shared" si="9"/>
        <v>0</v>
      </c>
      <c r="J504" s="237"/>
      <c r="K504" s="137"/>
    </row>
    <row r="505" spans="1:11" ht="105">
      <c r="A505" s="144" t="s">
        <v>269</v>
      </c>
      <c r="B505" s="53" t="s">
        <v>983</v>
      </c>
      <c r="C505" s="13"/>
      <c r="D505" s="14"/>
      <c r="E505" s="14"/>
      <c r="F505" s="14"/>
      <c r="G505" s="305">
        <f>'JULIO-18  '!I494</f>
        <v>0</v>
      </c>
      <c r="H505" s="51"/>
      <c r="I505" s="17"/>
      <c r="J505" s="331"/>
      <c r="K505" s="56"/>
    </row>
    <row r="506" spans="1:11" ht="29.25">
      <c r="A506" s="11">
        <v>51202</v>
      </c>
      <c r="B506" s="54" t="s">
        <v>620</v>
      </c>
      <c r="C506" s="13"/>
      <c r="D506" s="14" t="s">
        <v>18</v>
      </c>
      <c r="E506" s="14" t="s">
        <v>28</v>
      </c>
      <c r="F506" s="14" t="s">
        <v>27</v>
      </c>
      <c r="G506" s="305">
        <f>'JULIO-18  '!I495</f>
        <v>0</v>
      </c>
      <c r="H506" s="51"/>
      <c r="I506" s="17">
        <f t="shared" si="9"/>
        <v>6000</v>
      </c>
      <c r="J506" s="142">
        <v>6000</v>
      </c>
      <c r="K506" s="300"/>
    </row>
    <row r="507" spans="1:11" ht="35.25" customHeight="1">
      <c r="A507" s="11">
        <v>54110</v>
      </c>
      <c r="B507" s="54" t="s">
        <v>622</v>
      </c>
      <c r="C507" s="13"/>
      <c r="D507" s="14" t="s">
        <v>18</v>
      </c>
      <c r="E507" s="14" t="s">
        <v>28</v>
      </c>
      <c r="F507" s="14" t="s">
        <v>27</v>
      </c>
      <c r="G507" s="305">
        <f>'JULIO-18  '!I496</f>
        <v>0</v>
      </c>
      <c r="H507" s="51"/>
      <c r="I507" s="17">
        <f t="shared" si="9"/>
        <v>300</v>
      </c>
      <c r="J507" s="142">
        <v>300</v>
      </c>
      <c r="K507" s="300"/>
    </row>
    <row r="508" spans="1:11" ht="43.5">
      <c r="A508" s="11">
        <v>54111</v>
      </c>
      <c r="B508" s="54" t="s">
        <v>621</v>
      </c>
      <c r="C508" s="13"/>
      <c r="D508" s="14" t="s">
        <v>18</v>
      </c>
      <c r="E508" s="14" t="s">
        <v>28</v>
      </c>
      <c r="F508" s="14" t="s">
        <v>27</v>
      </c>
      <c r="G508" s="305">
        <f>'JULIO-18  '!I497</f>
        <v>0</v>
      </c>
      <c r="H508" s="51"/>
      <c r="I508" s="17">
        <f t="shared" si="9"/>
        <v>7095.87</v>
      </c>
      <c r="J508" s="142">
        <v>7095.87</v>
      </c>
      <c r="K508" s="300"/>
    </row>
    <row r="509" spans="1:11" ht="43.5">
      <c r="A509" s="11">
        <v>54112</v>
      </c>
      <c r="B509" s="54" t="s">
        <v>623</v>
      </c>
      <c r="C509" s="13"/>
      <c r="D509" s="14" t="s">
        <v>18</v>
      </c>
      <c r="E509" s="14" t="s">
        <v>28</v>
      </c>
      <c r="F509" s="14" t="s">
        <v>27</v>
      </c>
      <c r="G509" s="305">
        <f>'JULIO-18  '!I498</f>
        <v>0</v>
      </c>
      <c r="H509" s="51"/>
      <c r="I509" s="17">
        <f t="shared" si="9"/>
        <v>5000</v>
      </c>
      <c r="J509" s="142">
        <v>5000</v>
      </c>
      <c r="K509" s="300"/>
    </row>
    <row r="510" spans="1:11" ht="43.5">
      <c r="A510" s="11">
        <v>54118</v>
      </c>
      <c r="B510" s="54" t="s">
        <v>624</v>
      </c>
      <c r="C510" s="13"/>
      <c r="D510" s="14" t="s">
        <v>18</v>
      </c>
      <c r="E510" s="14" t="s">
        <v>28</v>
      </c>
      <c r="F510" s="14" t="s">
        <v>27</v>
      </c>
      <c r="G510" s="305">
        <f>'JULIO-18  '!I499</f>
        <v>0</v>
      </c>
      <c r="H510" s="51"/>
      <c r="I510" s="17">
        <f t="shared" si="9"/>
        <v>1000</v>
      </c>
      <c r="J510" s="142">
        <v>1000</v>
      </c>
      <c r="K510" s="300"/>
    </row>
    <row r="511" spans="1:11" ht="43.5">
      <c r="A511" s="11">
        <v>54304</v>
      </c>
      <c r="B511" s="54" t="s">
        <v>625</v>
      </c>
      <c r="C511" s="13"/>
      <c r="D511" s="14" t="s">
        <v>18</v>
      </c>
      <c r="E511" s="14" t="s">
        <v>28</v>
      </c>
      <c r="F511" s="14" t="s">
        <v>27</v>
      </c>
      <c r="G511" s="305">
        <f>'JULIO-18  '!I500</f>
        <v>0</v>
      </c>
      <c r="H511" s="51"/>
      <c r="I511" s="17">
        <f t="shared" si="9"/>
        <v>300</v>
      </c>
      <c r="J511" s="142">
        <v>300</v>
      </c>
      <c r="K511" s="300"/>
    </row>
    <row r="512" spans="1:11" ht="43.5">
      <c r="A512" s="11">
        <v>54313</v>
      </c>
      <c r="B512" s="54" t="s">
        <v>626</v>
      </c>
      <c r="C512" s="13"/>
      <c r="D512" s="14" t="s">
        <v>18</v>
      </c>
      <c r="E512" s="14" t="s">
        <v>28</v>
      </c>
      <c r="F512" s="14" t="s">
        <v>27</v>
      </c>
      <c r="G512" s="305">
        <f>'JULIO-18  '!I501</f>
        <v>0</v>
      </c>
      <c r="H512" s="51"/>
      <c r="I512" s="17">
        <f t="shared" si="9"/>
        <v>300</v>
      </c>
      <c r="J512" s="142">
        <v>300</v>
      </c>
      <c r="K512" s="300"/>
    </row>
    <row r="513" spans="1:11" ht="105">
      <c r="A513" s="144" t="s">
        <v>289</v>
      </c>
      <c r="B513" s="53" t="s">
        <v>984</v>
      </c>
      <c r="C513" s="13"/>
      <c r="D513" s="14"/>
      <c r="E513" s="14"/>
      <c r="F513" s="14"/>
      <c r="G513" s="305">
        <f>'JULIO-18  '!I502</f>
        <v>0</v>
      </c>
      <c r="H513" s="51"/>
      <c r="I513" s="17"/>
      <c r="J513" s="56"/>
      <c r="K513" s="56"/>
    </row>
    <row r="514" spans="1:11" ht="29.25">
      <c r="A514" s="11">
        <v>51202</v>
      </c>
      <c r="B514" s="53" t="s">
        <v>628</v>
      </c>
      <c r="C514" s="13"/>
      <c r="D514" s="14" t="s">
        <v>18</v>
      </c>
      <c r="E514" s="14" t="s">
        <v>28</v>
      </c>
      <c r="F514" s="14" t="s">
        <v>27</v>
      </c>
      <c r="G514" s="305">
        <f>'JULIO-18  '!I503</f>
        <v>0</v>
      </c>
      <c r="H514" s="108"/>
      <c r="I514" s="17">
        <f t="shared" si="9"/>
        <v>0</v>
      </c>
      <c r="J514" s="56"/>
      <c r="K514" s="142"/>
    </row>
    <row r="515" spans="1:11" ht="29.25">
      <c r="A515" s="11">
        <v>54110</v>
      </c>
      <c r="B515" s="53" t="s">
        <v>629</v>
      </c>
      <c r="C515" s="13"/>
      <c r="D515" s="14" t="s">
        <v>18</v>
      </c>
      <c r="E515" s="14" t="s">
        <v>28</v>
      </c>
      <c r="F515" s="14" t="s">
        <v>27</v>
      </c>
      <c r="G515" s="305">
        <f>'JULIO-18  '!I504</f>
        <v>0</v>
      </c>
      <c r="H515" s="51"/>
      <c r="I515" s="17">
        <f t="shared" si="9"/>
        <v>0</v>
      </c>
      <c r="J515" s="56"/>
      <c r="K515" s="142"/>
    </row>
    <row r="516" spans="1:11" ht="29.25">
      <c r="A516" s="11">
        <v>54111</v>
      </c>
      <c r="B516" s="53" t="s">
        <v>630</v>
      </c>
      <c r="C516" s="13"/>
      <c r="D516" s="14" t="s">
        <v>18</v>
      </c>
      <c r="E516" s="14" t="s">
        <v>28</v>
      </c>
      <c r="F516" s="14" t="s">
        <v>27</v>
      </c>
      <c r="G516" s="305">
        <f>'JULIO-18  '!I505</f>
        <v>0</v>
      </c>
      <c r="H516" s="51"/>
      <c r="I516" s="17">
        <f t="shared" ref="I516:I579" si="10">G516-H516+J516-K516</f>
        <v>0</v>
      </c>
      <c r="J516" s="142"/>
      <c r="K516" s="142"/>
    </row>
    <row r="517" spans="1:11" ht="29.25">
      <c r="A517" s="11">
        <v>54112</v>
      </c>
      <c r="B517" s="53" t="s">
        <v>631</v>
      </c>
      <c r="C517" s="13"/>
      <c r="D517" s="14" t="s">
        <v>18</v>
      </c>
      <c r="E517" s="14" t="s">
        <v>28</v>
      </c>
      <c r="F517" s="14" t="s">
        <v>27</v>
      </c>
      <c r="G517" s="305">
        <f>'JULIO-18  '!I506</f>
        <v>0</v>
      </c>
      <c r="H517" s="51"/>
      <c r="I517" s="17">
        <f t="shared" si="10"/>
        <v>0</v>
      </c>
      <c r="J517" s="56"/>
      <c r="K517" s="142"/>
    </row>
    <row r="518" spans="1:11" ht="29.25">
      <c r="A518" s="11">
        <v>54118</v>
      </c>
      <c r="B518" s="53" t="s">
        <v>632</v>
      </c>
      <c r="C518" s="13"/>
      <c r="D518" s="14" t="s">
        <v>18</v>
      </c>
      <c r="E518" s="14" t="s">
        <v>28</v>
      </c>
      <c r="F518" s="14" t="s">
        <v>27</v>
      </c>
      <c r="G518" s="305">
        <f>'JULIO-18  '!I507</f>
        <v>0</v>
      </c>
      <c r="H518" s="51"/>
      <c r="I518" s="17">
        <f t="shared" si="10"/>
        <v>0</v>
      </c>
      <c r="J518" s="56"/>
      <c r="K518" s="137"/>
    </row>
    <row r="519" spans="1:11" ht="29.25">
      <c r="A519" s="11">
        <v>54304</v>
      </c>
      <c r="B519" s="53" t="s">
        <v>633</v>
      </c>
      <c r="C519" s="13"/>
      <c r="D519" s="14" t="s">
        <v>18</v>
      </c>
      <c r="E519" s="14" t="s">
        <v>28</v>
      </c>
      <c r="F519" s="14" t="s">
        <v>27</v>
      </c>
      <c r="G519" s="305">
        <f>'JULIO-18  '!I508</f>
        <v>0</v>
      </c>
      <c r="H519" s="51"/>
      <c r="I519" s="17">
        <f t="shared" si="10"/>
        <v>0</v>
      </c>
      <c r="J519" s="56"/>
      <c r="K519" s="137"/>
    </row>
    <row r="520" spans="1:11" ht="29.25">
      <c r="A520" s="11">
        <v>54313</v>
      </c>
      <c r="B520" s="53" t="s">
        <v>634</v>
      </c>
      <c r="C520" s="13"/>
      <c r="D520" s="14" t="s">
        <v>18</v>
      </c>
      <c r="E520" s="14" t="s">
        <v>28</v>
      </c>
      <c r="F520" s="14" t="s">
        <v>27</v>
      </c>
      <c r="G520" s="305">
        <f>'JULIO-18  '!I509</f>
        <v>0</v>
      </c>
      <c r="H520" s="51"/>
      <c r="I520" s="17">
        <f t="shared" si="10"/>
        <v>0</v>
      </c>
      <c r="J520" s="56"/>
      <c r="K520" s="142"/>
    </row>
    <row r="521" spans="1:11" ht="90">
      <c r="A521" s="141" t="s">
        <v>300</v>
      </c>
      <c r="B521" s="53" t="s">
        <v>635</v>
      </c>
      <c r="C521" s="13"/>
      <c r="D521" s="14"/>
      <c r="E521" s="14"/>
      <c r="F521" s="14"/>
      <c r="G521" s="305">
        <f>'JULIO-18  '!I510</f>
        <v>0</v>
      </c>
      <c r="H521" s="51"/>
      <c r="I521" s="17"/>
      <c r="J521" s="56"/>
      <c r="K521" s="56"/>
    </row>
    <row r="522" spans="1:11" ht="29.25">
      <c r="A522" s="11">
        <v>51202</v>
      </c>
      <c r="B522" s="53" t="s">
        <v>636</v>
      </c>
      <c r="C522" s="13"/>
      <c r="D522" s="14" t="s">
        <v>18</v>
      </c>
      <c r="E522" s="14" t="s">
        <v>28</v>
      </c>
      <c r="F522" s="14" t="s">
        <v>27</v>
      </c>
      <c r="G522" s="305">
        <f>'JULIO-18  '!I511</f>
        <v>0</v>
      </c>
      <c r="H522" s="51"/>
      <c r="I522" s="17">
        <f t="shared" si="10"/>
        <v>0</v>
      </c>
      <c r="J522" s="56"/>
      <c r="K522" s="142"/>
    </row>
    <row r="523" spans="1:11" ht="29.25">
      <c r="A523" s="11">
        <v>54110</v>
      </c>
      <c r="B523" s="53" t="s">
        <v>637</v>
      </c>
      <c r="C523" s="13"/>
      <c r="D523" s="14" t="s">
        <v>18</v>
      </c>
      <c r="E523" s="14" t="s">
        <v>28</v>
      </c>
      <c r="F523" s="14" t="s">
        <v>27</v>
      </c>
      <c r="G523" s="305">
        <f>'JULIO-18  '!I512</f>
        <v>0</v>
      </c>
      <c r="H523" s="51"/>
      <c r="I523" s="17">
        <f t="shared" si="10"/>
        <v>0</v>
      </c>
      <c r="J523" s="56"/>
      <c r="K523" s="142"/>
    </row>
    <row r="524" spans="1:11" ht="29.25">
      <c r="A524" s="11">
        <v>54111</v>
      </c>
      <c r="B524" s="53" t="s">
        <v>638</v>
      </c>
      <c r="C524" s="13"/>
      <c r="D524" s="14" t="s">
        <v>18</v>
      </c>
      <c r="E524" s="14" t="s">
        <v>28</v>
      </c>
      <c r="F524" s="14" t="s">
        <v>27</v>
      </c>
      <c r="G524" s="305">
        <f>'JULIO-18  '!I513</f>
        <v>1.8207657603852567E-13</v>
      </c>
      <c r="H524" s="211"/>
      <c r="I524" s="17">
        <f t="shared" si="10"/>
        <v>1.8207657603852567E-13</v>
      </c>
      <c r="J524" s="142"/>
      <c r="K524" s="137"/>
    </row>
    <row r="525" spans="1:11" ht="29.25">
      <c r="A525" s="11">
        <v>54304</v>
      </c>
      <c r="B525" s="53" t="s">
        <v>639</v>
      </c>
      <c r="C525" s="55"/>
      <c r="D525" s="14" t="s">
        <v>18</v>
      </c>
      <c r="E525" s="14" t="s">
        <v>28</v>
      </c>
      <c r="F525" s="14" t="s">
        <v>27</v>
      </c>
      <c r="G525" s="305">
        <f>'JULIO-18  '!I514</f>
        <v>0</v>
      </c>
      <c r="H525" s="51"/>
      <c r="I525" s="17">
        <f t="shared" si="10"/>
        <v>0</v>
      </c>
      <c r="J525" s="56"/>
      <c r="K525" s="142"/>
    </row>
    <row r="526" spans="1:11" ht="38.25" customHeight="1">
      <c r="A526" s="11">
        <v>54313</v>
      </c>
      <c r="B526" s="53" t="s">
        <v>640</v>
      </c>
      <c r="C526" s="60"/>
      <c r="D526" s="14" t="s">
        <v>18</v>
      </c>
      <c r="E526" s="14" t="s">
        <v>28</v>
      </c>
      <c r="F526" s="14" t="s">
        <v>27</v>
      </c>
      <c r="G526" s="305">
        <f>'JULIO-18  '!I515</f>
        <v>0</v>
      </c>
      <c r="H526" s="51"/>
      <c r="I526" s="17">
        <f t="shared" si="10"/>
        <v>0</v>
      </c>
      <c r="J526" s="56"/>
      <c r="K526" s="142"/>
    </row>
    <row r="527" spans="1:11" ht="106.5" customHeight="1">
      <c r="A527" s="141" t="s">
        <v>316</v>
      </c>
      <c r="B527" s="53" t="s">
        <v>641</v>
      </c>
      <c r="C527" s="60" t="s">
        <v>1013</v>
      </c>
      <c r="D527" s="14"/>
      <c r="E527" s="14"/>
      <c r="F527" s="14"/>
      <c r="G527" s="305">
        <f>'JULIO-18  '!I516</f>
        <v>0</v>
      </c>
      <c r="H527" s="51"/>
      <c r="I527" s="17"/>
      <c r="J527" s="56"/>
      <c r="K527" s="56"/>
    </row>
    <row r="528" spans="1:11" ht="38.25" customHeight="1">
      <c r="A528" s="11">
        <v>51202</v>
      </c>
      <c r="B528" s="53" t="s">
        <v>642</v>
      </c>
      <c r="C528" s="60"/>
      <c r="D528" s="14" t="s">
        <v>18</v>
      </c>
      <c r="E528" s="14" t="s">
        <v>28</v>
      </c>
      <c r="F528" s="14" t="s">
        <v>27</v>
      </c>
      <c r="G528" s="305">
        <f>'JULIO-18  '!I517</f>
        <v>7.2830630415410269E-14</v>
      </c>
      <c r="H528" s="51"/>
      <c r="I528" s="17">
        <f t="shared" si="10"/>
        <v>7.2830630415410269E-14</v>
      </c>
      <c r="J528" s="56"/>
      <c r="K528" s="142"/>
    </row>
    <row r="529" spans="1:11" ht="38.25" customHeight="1">
      <c r="A529" s="11">
        <v>54110</v>
      </c>
      <c r="B529" s="53" t="s">
        <v>643</v>
      </c>
      <c r="C529" s="60"/>
      <c r="D529" s="14" t="s">
        <v>18</v>
      </c>
      <c r="E529" s="14" t="s">
        <v>28</v>
      </c>
      <c r="F529" s="14" t="s">
        <v>27</v>
      </c>
      <c r="G529" s="305">
        <f>'JULIO-18  '!I518</f>
        <v>0</v>
      </c>
      <c r="H529" s="51"/>
      <c r="I529" s="17">
        <f t="shared" si="10"/>
        <v>0</v>
      </c>
      <c r="J529" s="56"/>
      <c r="K529" s="142"/>
    </row>
    <row r="530" spans="1:11" ht="38.25" customHeight="1">
      <c r="A530" s="11">
        <v>54111</v>
      </c>
      <c r="B530" s="53" t="s">
        <v>644</v>
      </c>
      <c r="C530" s="60"/>
      <c r="D530" s="14" t="s">
        <v>18</v>
      </c>
      <c r="E530" s="14" t="s">
        <v>28</v>
      </c>
      <c r="F530" s="14" t="s">
        <v>27</v>
      </c>
      <c r="G530" s="305">
        <f>'JULIO-18  '!I519</f>
        <v>2.2737367544323206E-13</v>
      </c>
      <c r="H530" s="51"/>
      <c r="I530" s="17">
        <f t="shared" si="10"/>
        <v>2.2737367544323206E-13</v>
      </c>
      <c r="J530" s="137"/>
      <c r="K530" s="142"/>
    </row>
    <row r="531" spans="1:11" ht="38.25" customHeight="1">
      <c r="A531" s="11">
        <v>54304</v>
      </c>
      <c r="B531" s="53" t="s">
        <v>645</v>
      </c>
      <c r="C531" s="60"/>
      <c r="D531" s="14" t="s">
        <v>18</v>
      </c>
      <c r="E531" s="14" t="s">
        <v>28</v>
      </c>
      <c r="F531" s="14" t="s">
        <v>27</v>
      </c>
      <c r="G531" s="305">
        <f>'JULIO-18  '!I520</f>
        <v>0</v>
      </c>
      <c r="H531" s="51"/>
      <c r="I531" s="17">
        <f t="shared" si="10"/>
        <v>0</v>
      </c>
      <c r="J531" s="56"/>
      <c r="K531" s="142"/>
    </row>
    <row r="532" spans="1:11" ht="38.25" customHeight="1">
      <c r="A532" s="11">
        <v>54313</v>
      </c>
      <c r="B532" s="53" t="s">
        <v>646</v>
      </c>
      <c r="C532" s="60"/>
      <c r="D532" s="14" t="s">
        <v>18</v>
      </c>
      <c r="E532" s="14" t="s">
        <v>28</v>
      </c>
      <c r="F532" s="14" t="s">
        <v>27</v>
      </c>
      <c r="G532" s="305">
        <f>'JULIO-18  '!I521</f>
        <v>0</v>
      </c>
      <c r="H532" s="51"/>
      <c r="I532" s="17">
        <f t="shared" si="10"/>
        <v>0</v>
      </c>
      <c r="J532" s="56"/>
      <c r="K532" s="142"/>
    </row>
    <row r="533" spans="1:11" ht="99" customHeight="1">
      <c r="A533" s="240" t="s">
        <v>326</v>
      </c>
      <c r="B533" s="53" t="s">
        <v>647</v>
      </c>
      <c r="C533" s="345" t="s">
        <v>1106</v>
      </c>
      <c r="D533" s="14"/>
      <c r="E533" s="14"/>
      <c r="F533" s="14"/>
      <c r="G533" s="305">
        <f>'JULIO-18  '!I522</f>
        <v>0</v>
      </c>
      <c r="H533" s="51"/>
      <c r="I533" s="17"/>
      <c r="J533" s="56"/>
      <c r="K533" s="56"/>
    </row>
    <row r="534" spans="1:11" ht="38.25" customHeight="1">
      <c r="A534" s="11">
        <v>51202</v>
      </c>
      <c r="B534" s="53" t="s">
        <v>648</v>
      </c>
      <c r="C534" s="60"/>
      <c r="D534" s="14" t="s">
        <v>18</v>
      </c>
      <c r="E534" s="14" t="s">
        <v>28</v>
      </c>
      <c r="F534" s="14" t="s">
        <v>27</v>
      </c>
      <c r="G534" s="305">
        <f>'JULIO-18  '!I523</f>
        <v>0</v>
      </c>
      <c r="H534" s="51"/>
      <c r="I534" s="17">
        <f t="shared" si="10"/>
        <v>0</v>
      </c>
      <c r="J534" s="301"/>
      <c r="K534" s="237"/>
    </row>
    <row r="535" spans="1:11" ht="38.25" customHeight="1">
      <c r="A535" s="11">
        <v>54110</v>
      </c>
      <c r="B535" s="53" t="s">
        <v>649</v>
      </c>
      <c r="C535" s="60"/>
      <c r="D535" s="14" t="s">
        <v>18</v>
      </c>
      <c r="E535" s="14" t="s">
        <v>28</v>
      </c>
      <c r="F535" s="14" t="s">
        <v>27</v>
      </c>
      <c r="G535" s="305">
        <f>'JULIO-18  '!I524</f>
        <v>0</v>
      </c>
      <c r="H535" s="51"/>
      <c r="I535" s="17">
        <f t="shared" si="10"/>
        <v>0</v>
      </c>
      <c r="J535" s="237"/>
      <c r="K535" s="237"/>
    </row>
    <row r="536" spans="1:11" ht="38.25" customHeight="1">
      <c r="A536" s="11">
        <v>54111</v>
      </c>
      <c r="B536" s="53" t="s">
        <v>650</v>
      </c>
      <c r="C536" s="60" t="s">
        <v>1107</v>
      </c>
      <c r="D536" s="14" t="s">
        <v>18</v>
      </c>
      <c r="E536" s="14" t="s">
        <v>28</v>
      </c>
      <c r="F536" s="14" t="s">
        <v>27</v>
      </c>
      <c r="G536" s="305">
        <f>'JULIO-18  '!I525</f>
        <v>0</v>
      </c>
      <c r="H536" s="51"/>
      <c r="I536" s="134">
        <f t="shared" si="10"/>
        <v>0</v>
      </c>
      <c r="J536" s="346"/>
      <c r="K536" s="237"/>
    </row>
    <row r="537" spans="1:11" ht="29.25">
      <c r="A537" s="11">
        <v>54112</v>
      </c>
      <c r="B537" s="53" t="s">
        <v>651</v>
      </c>
      <c r="C537" s="13"/>
      <c r="D537" s="14" t="s">
        <v>18</v>
      </c>
      <c r="E537" s="14" t="s">
        <v>28</v>
      </c>
      <c r="F537" s="14" t="s">
        <v>27</v>
      </c>
      <c r="G537" s="305">
        <f>'JULIO-18  '!I526</f>
        <v>0</v>
      </c>
      <c r="H537" s="51"/>
      <c r="I537" s="17">
        <f t="shared" si="10"/>
        <v>0</v>
      </c>
      <c r="J537" s="237"/>
      <c r="K537" s="237"/>
    </row>
    <row r="538" spans="1:11" ht="29.25">
      <c r="A538" s="11">
        <v>54118</v>
      </c>
      <c r="B538" s="53" t="s">
        <v>652</v>
      </c>
      <c r="C538" s="13"/>
      <c r="D538" s="14" t="s">
        <v>18</v>
      </c>
      <c r="E538" s="14" t="s">
        <v>28</v>
      </c>
      <c r="F538" s="14" t="s">
        <v>27</v>
      </c>
      <c r="G538" s="305">
        <f>'JULIO-18  '!I527</f>
        <v>0</v>
      </c>
      <c r="H538" s="51"/>
      <c r="I538" s="17">
        <f t="shared" si="10"/>
        <v>0</v>
      </c>
      <c r="J538" s="237"/>
      <c r="K538" s="237"/>
    </row>
    <row r="539" spans="1:11" ht="29.25">
      <c r="A539" s="11">
        <v>54304</v>
      </c>
      <c r="B539" s="53" t="s">
        <v>653</v>
      </c>
      <c r="C539" s="13"/>
      <c r="D539" s="14" t="s">
        <v>18</v>
      </c>
      <c r="E539" s="14" t="s">
        <v>28</v>
      </c>
      <c r="F539" s="14" t="s">
        <v>27</v>
      </c>
      <c r="G539" s="305">
        <f>'JULIO-18  '!I528</f>
        <v>0</v>
      </c>
      <c r="H539" s="51"/>
      <c r="I539" s="17">
        <f t="shared" si="10"/>
        <v>0</v>
      </c>
      <c r="J539" s="237"/>
      <c r="K539" s="237"/>
    </row>
    <row r="540" spans="1:11" ht="29.25">
      <c r="A540" s="11">
        <v>54313</v>
      </c>
      <c r="B540" s="53" t="s">
        <v>654</v>
      </c>
      <c r="C540" s="13"/>
      <c r="D540" s="14" t="s">
        <v>18</v>
      </c>
      <c r="E540" s="14" t="s">
        <v>28</v>
      </c>
      <c r="F540" s="14" t="s">
        <v>27</v>
      </c>
      <c r="G540" s="305">
        <f>'JULIO-18  '!I529</f>
        <v>0</v>
      </c>
      <c r="H540" s="51"/>
      <c r="I540" s="17">
        <f t="shared" si="10"/>
        <v>0</v>
      </c>
      <c r="J540" s="237"/>
      <c r="K540" s="346"/>
    </row>
    <row r="541" spans="1:11" ht="29.25">
      <c r="A541" s="11">
        <v>54399</v>
      </c>
      <c r="B541" s="53" t="s">
        <v>655</v>
      </c>
      <c r="C541" s="13"/>
      <c r="D541" s="14" t="s">
        <v>18</v>
      </c>
      <c r="E541" s="14" t="s">
        <v>28</v>
      </c>
      <c r="F541" s="14" t="s">
        <v>27</v>
      </c>
      <c r="G541" s="305">
        <f>'JULIO-18  '!I530</f>
        <v>0</v>
      </c>
      <c r="H541" s="51"/>
      <c r="I541" s="17">
        <f t="shared" si="10"/>
        <v>0</v>
      </c>
      <c r="J541" s="237"/>
      <c r="K541" s="237"/>
    </row>
    <row r="542" spans="1:11" ht="75">
      <c r="A542" s="141" t="s">
        <v>338</v>
      </c>
      <c r="B542" s="53" t="s">
        <v>656</v>
      </c>
      <c r="C542" s="13"/>
      <c r="D542" s="14"/>
      <c r="E542" s="14"/>
      <c r="F542" s="14"/>
      <c r="G542" s="305">
        <f>'JULIO-18  '!I531</f>
        <v>0</v>
      </c>
      <c r="H542" s="51"/>
      <c r="I542" s="17"/>
      <c r="J542" s="56"/>
      <c r="K542" s="56"/>
    </row>
    <row r="543" spans="1:11" ht="29.25">
      <c r="A543" s="11">
        <v>51202</v>
      </c>
      <c r="B543" s="54" t="s">
        <v>657</v>
      </c>
      <c r="C543" s="13"/>
      <c r="D543" s="14" t="s">
        <v>18</v>
      </c>
      <c r="E543" s="14" t="s">
        <v>28</v>
      </c>
      <c r="F543" s="14" t="s">
        <v>27</v>
      </c>
      <c r="G543" s="305">
        <f>'JULIO-18  '!I532</f>
        <v>0</v>
      </c>
      <c r="H543" s="51"/>
      <c r="I543" s="17">
        <f t="shared" si="10"/>
        <v>0</v>
      </c>
      <c r="J543" s="56"/>
      <c r="K543" s="137"/>
    </row>
    <row r="544" spans="1:11" ht="29.25">
      <c r="A544" s="11">
        <v>54110</v>
      </c>
      <c r="B544" s="54" t="s">
        <v>658</v>
      </c>
      <c r="C544" s="13"/>
      <c r="D544" s="14" t="s">
        <v>18</v>
      </c>
      <c r="E544" s="14" t="s">
        <v>28</v>
      </c>
      <c r="F544" s="14" t="s">
        <v>27</v>
      </c>
      <c r="G544" s="305">
        <f>'JULIO-18  '!I533</f>
        <v>0</v>
      </c>
      <c r="H544" s="51"/>
      <c r="I544" s="17">
        <f t="shared" si="10"/>
        <v>0</v>
      </c>
      <c r="J544" s="56"/>
      <c r="K544" s="137"/>
    </row>
    <row r="545" spans="1:11" ht="44.25">
      <c r="A545" s="11">
        <v>54111</v>
      </c>
      <c r="B545" s="54" t="s">
        <v>659</v>
      </c>
      <c r="C545" s="13"/>
      <c r="D545" s="14" t="s">
        <v>18</v>
      </c>
      <c r="E545" s="14" t="s">
        <v>28</v>
      </c>
      <c r="F545" s="14" t="s">
        <v>27</v>
      </c>
      <c r="G545" s="305">
        <f>'JULIO-18  '!I534</f>
        <v>0</v>
      </c>
      <c r="H545" s="51"/>
      <c r="I545" s="17">
        <f t="shared" si="10"/>
        <v>0</v>
      </c>
      <c r="J545" s="56"/>
      <c r="K545" s="137"/>
    </row>
    <row r="546" spans="1:11" ht="44.25">
      <c r="A546" s="11">
        <v>54112</v>
      </c>
      <c r="B546" s="54" t="s">
        <v>660</v>
      </c>
      <c r="C546" s="13"/>
      <c r="D546" s="14" t="s">
        <v>18</v>
      </c>
      <c r="E546" s="14" t="s">
        <v>28</v>
      </c>
      <c r="F546" s="14" t="s">
        <v>27</v>
      </c>
      <c r="G546" s="305">
        <f>'JULIO-18  '!I535</f>
        <v>0</v>
      </c>
      <c r="H546" s="51"/>
      <c r="I546" s="17">
        <f t="shared" si="10"/>
        <v>0</v>
      </c>
      <c r="J546" s="56"/>
      <c r="K546" s="137"/>
    </row>
    <row r="547" spans="1:11" ht="44.25">
      <c r="A547" s="11">
        <v>54304</v>
      </c>
      <c r="B547" s="54" t="s">
        <v>661</v>
      </c>
      <c r="C547" s="13"/>
      <c r="D547" s="14" t="s">
        <v>18</v>
      </c>
      <c r="E547" s="14" t="s">
        <v>28</v>
      </c>
      <c r="F547" s="14" t="s">
        <v>27</v>
      </c>
      <c r="G547" s="305">
        <f>'JULIO-18  '!I536</f>
        <v>0</v>
      </c>
      <c r="H547" s="51"/>
      <c r="I547" s="17">
        <f t="shared" si="10"/>
        <v>0</v>
      </c>
      <c r="J547" s="56"/>
      <c r="K547" s="137"/>
    </row>
    <row r="548" spans="1:11" ht="44.25">
      <c r="A548" s="11">
        <v>54313</v>
      </c>
      <c r="B548" s="54" t="s">
        <v>662</v>
      </c>
      <c r="C548" s="13"/>
      <c r="D548" s="14" t="s">
        <v>18</v>
      </c>
      <c r="E548" s="14" t="s">
        <v>28</v>
      </c>
      <c r="F548" s="14" t="s">
        <v>27</v>
      </c>
      <c r="G548" s="305">
        <f>'JULIO-18  '!I537</f>
        <v>0</v>
      </c>
      <c r="H548" s="51"/>
      <c r="I548" s="17">
        <f t="shared" si="10"/>
        <v>0</v>
      </c>
      <c r="J548" s="56"/>
      <c r="K548" s="137"/>
    </row>
    <row r="549" spans="1:11" ht="44.25">
      <c r="A549" s="11">
        <v>54399</v>
      </c>
      <c r="B549" s="54" t="s">
        <v>663</v>
      </c>
      <c r="C549" s="13"/>
      <c r="D549" s="14" t="s">
        <v>18</v>
      </c>
      <c r="E549" s="14" t="s">
        <v>28</v>
      </c>
      <c r="F549" s="14" t="s">
        <v>27</v>
      </c>
      <c r="G549" s="305">
        <f>'JULIO-18  '!I538</f>
        <v>0</v>
      </c>
      <c r="H549" s="51"/>
      <c r="I549" s="17">
        <f t="shared" si="10"/>
        <v>0</v>
      </c>
      <c r="J549" s="56"/>
      <c r="K549" s="137"/>
    </row>
    <row r="550" spans="1:11" ht="29.25">
      <c r="A550" s="11">
        <v>55603</v>
      </c>
      <c r="B550" s="54" t="s">
        <v>664</v>
      </c>
      <c r="C550" s="13"/>
      <c r="D550" s="14" t="s">
        <v>18</v>
      </c>
      <c r="E550" s="14" t="s">
        <v>28</v>
      </c>
      <c r="F550" s="14" t="s">
        <v>27</v>
      </c>
      <c r="G550" s="305">
        <f>'JULIO-18  '!I539</f>
        <v>0</v>
      </c>
      <c r="H550" s="51"/>
      <c r="I550" s="17">
        <f t="shared" si="10"/>
        <v>0</v>
      </c>
      <c r="J550" s="56"/>
      <c r="K550" s="137"/>
    </row>
    <row r="551" spans="1:11" ht="90">
      <c r="A551" s="141" t="s">
        <v>348</v>
      </c>
      <c r="B551" s="53" t="s">
        <v>665</v>
      </c>
      <c r="C551" s="13"/>
      <c r="D551" s="14"/>
      <c r="E551" s="14"/>
      <c r="F551" s="14"/>
      <c r="G551" s="305">
        <f>'JULIO-18  '!I540</f>
        <v>0</v>
      </c>
      <c r="H551" s="51"/>
      <c r="I551" s="17"/>
      <c r="J551" s="56"/>
      <c r="K551" s="56"/>
    </row>
    <row r="552" spans="1:11" ht="29.25">
      <c r="A552" s="11">
        <v>51202</v>
      </c>
      <c r="B552" s="54" t="s">
        <v>666</v>
      </c>
      <c r="C552" s="13"/>
      <c r="D552" s="14" t="s">
        <v>18</v>
      </c>
      <c r="E552" s="14" t="s">
        <v>28</v>
      </c>
      <c r="F552" s="14" t="s">
        <v>27</v>
      </c>
      <c r="G552" s="305">
        <f>'JULIO-18  '!I541</f>
        <v>0</v>
      </c>
      <c r="H552" s="51"/>
      <c r="I552" s="17">
        <f t="shared" si="10"/>
        <v>0</v>
      </c>
      <c r="J552" s="56"/>
      <c r="K552" s="300"/>
    </row>
    <row r="553" spans="1:11" ht="29.25">
      <c r="A553" s="11">
        <v>54110</v>
      </c>
      <c r="B553" s="54" t="s">
        <v>667</v>
      </c>
      <c r="C553" s="13"/>
      <c r="D553" s="14" t="s">
        <v>18</v>
      </c>
      <c r="E553" s="14" t="s">
        <v>28</v>
      </c>
      <c r="F553" s="14" t="s">
        <v>27</v>
      </c>
      <c r="G553" s="305">
        <f>'JULIO-18  '!I542</f>
        <v>0</v>
      </c>
      <c r="H553" s="51"/>
      <c r="I553" s="17">
        <f t="shared" si="10"/>
        <v>0</v>
      </c>
      <c r="J553" s="56"/>
      <c r="K553" s="300"/>
    </row>
    <row r="554" spans="1:11" ht="44.25">
      <c r="A554" s="11">
        <v>54111</v>
      </c>
      <c r="B554" s="54" t="s">
        <v>668</v>
      </c>
      <c r="C554" s="13"/>
      <c r="D554" s="14" t="s">
        <v>18</v>
      </c>
      <c r="E554" s="14" t="s">
        <v>28</v>
      </c>
      <c r="F554" s="14" t="s">
        <v>27</v>
      </c>
      <c r="G554" s="305">
        <f>'JULIO-18  '!I543</f>
        <v>0</v>
      </c>
      <c r="H554" s="51"/>
      <c r="I554" s="17">
        <f t="shared" si="10"/>
        <v>0</v>
      </c>
      <c r="J554" s="56"/>
      <c r="K554" s="300"/>
    </row>
    <row r="555" spans="1:11" ht="44.25">
      <c r="A555" s="11">
        <v>54112</v>
      </c>
      <c r="B555" s="54" t="s">
        <v>669</v>
      </c>
      <c r="C555" s="13"/>
      <c r="D555" s="14" t="s">
        <v>18</v>
      </c>
      <c r="E555" s="14" t="s">
        <v>28</v>
      </c>
      <c r="F555" s="14" t="s">
        <v>27</v>
      </c>
      <c r="G555" s="305">
        <f>'JULIO-18  '!I544</f>
        <v>0</v>
      </c>
      <c r="H555" s="51"/>
      <c r="I555" s="17">
        <f t="shared" si="10"/>
        <v>0</v>
      </c>
      <c r="J555" s="56"/>
      <c r="K555" s="300"/>
    </row>
    <row r="556" spans="1:11" ht="44.25">
      <c r="A556" s="11">
        <v>54313</v>
      </c>
      <c r="B556" s="54" t="s">
        <v>670</v>
      </c>
      <c r="C556" s="13"/>
      <c r="D556" s="14" t="s">
        <v>18</v>
      </c>
      <c r="E556" s="14" t="s">
        <v>28</v>
      </c>
      <c r="F556" s="14" t="s">
        <v>27</v>
      </c>
      <c r="G556" s="305">
        <f>'JULIO-18  '!I545</f>
        <v>0</v>
      </c>
      <c r="H556" s="51"/>
      <c r="I556" s="17">
        <f t="shared" si="10"/>
        <v>0</v>
      </c>
      <c r="J556" s="56"/>
      <c r="K556" s="300"/>
    </row>
    <row r="557" spans="1:11" ht="44.25">
      <c r="A557" s="11">
        <v>54399</v>
      </c>
      <c r="B557" s="54" t="s">
        <v>671</v>
      </c>
      <c r="C557" s="13"/>
      <c r="D557" s="14" t="s">
        <v>18</v>
      </c>
      <c r="E557" s="14" t="s">
        <v>28</v>
      </c>
      <c r="F557" s="14" t="s">
        <v>27</v>
      </c>
      <c r="G557" s="305">
        <f>'JULIO-18  '!I546</f>
        <v>0</v>
      </c>
      <c r="H557" s="51"/>
      <c r="I557" s="17">
        <f t="shared" si="10"/>
        <v>0</v>
      </c>
      <c r="J557" s="56"/>
      <c r="K557" s="300"/>
    </row>
    <row r="558" spans="1:11" ht="29.25">
      <c r="A558" s="11">
        <v>55603</v>
      </c>
      <c r="B558" s="54" t="s">
        <v>672</v>
      </c>
      <c r="C558" s="13"/>
      <c r="D558" s="14" t="s">
        <v>18</v>
      </c>
      <c r="E558" s="14" t="s">
        <v>28</v>
      </c>
      <c r="F558" s="14" t="s">
        <v>27</v>
      </c>
      <c r="G558" s="305">
        <f>'JULIO-18  '!I547</f>
        <v>0</v>
      </c>
      <c r="H558" s="51"/>
      <c r="I558" s="17">
        <f t="shared" si="10"/>
        <v>0</v>
      </c>
      <c r="J558" s="56"/>
      <c r="K558" s="300"/>
    </row>
    <row r="559" spans="1:11" ht="119.25" customHeight="1">
      <c r="A559" s="141" t="s">
        <v>358</v>
      </c>
      <c r="B559" s="53" t="s">
        <v>673</v>
      </c>
      <c r="C559" s="13"/>
      <c r="D559" s="14"/>
      <c r="E559" s="14"/>
      <c r="F559" s="14"/>
      <c r="G559" s="305">
        <f>'JULIO-18  '!I548</f>
        <v>0</v>
      </c>
      <c r="H559" s="51"/>
      <c r="I559" s="17"/>
      <c r="J559" s="56"/>
      <c r="K559" s="56"/>
    </row>
    <row r="560" spans="1:11" ht="29.25">
      <c r="A560" s="11">
        <v>51202</v>
      </c>
      <c r="B560" s="54" t="s">
        <v>674</v>
      </c>
      <c r="C560" s="13"/>
      <c r="D560" s="14" t="s">
        <v>18</v>
      </c>
      <c r="E560" s="14" t="s">
        <v>28</v>
      </c>
      <c r="F560" s="14" t="s">
        <v>27</v>
      </c>
      <c r="G560" s="305">
        <f>'JULIO-18  '!I549</f>
        <v>0</v>
      </c>
      <c r="H560" s="51"/>
      <c r="I560" s="17">
        <f t="shared" si="10"/>
        <v>0</v>
      </c>
      <c r="J560" s="56"/>
      <c r="K560" s="300"/>
    </row>
    <row r="561" spans="1:11" ht="29.25">
      <c r="A561" s="11">
        <v>54110</v>
      </c>
      <c r="B561" s="54" t="s">
        <v>675</v>
      </c>
      <c r="C561" s="13"/>
      <c r="D561" s="14" t="s">
        <v>18</v>
      </c>
      <c r="E561" s="14" t="s">
        <v>28</v>
      </c>
      <c r="F561" s="14" t="s">
        <v>27</v>
      </c>
      <c r="G561" s="305">
        <f>'JULIO-18  '!I550</f>
        <v>0</v>
      </c>
      <c r="H561" s="51"/>
      <c r="I561" s="17">
        <f t="shared" si="10"/>
        <v>0</v>
      </c>
      <c r="J561" s="56"/>
      <c r="K561" s="300"/>
    </row>
    <row r="562" spans="1:11" ht="29.25">
      <c r="A562" s="11">
        <v>54111</v>
      </c>
      <c r="B562" s="54" t="s">
        <v>677</v>
      </c>
      <c r="C562" s="13"/>
      <c r="D562" s="14" t="s">
        <v>18</v>
      </c>
      <c r="E562" s="14" t="s">
        <v>28</v>
      </c>
      <c r="F562" s="14" t="s">
        <v>27</v>
      </c>
      <c r="G562" s="305">
        <f>'JULIO-18  '!I551</f>
        <v>0</v>
      </c>
      <c r="H562" s="51"/>
      <c r="I562" s="17">
        <f t="shared" si="10"/>
        <v>0</v>
      </c>
      <c r="J562" s="56"/>
      <c r="K562" s="300"/>
    </row>
    <row r="563" spans="1:11" ht="29.25">
      <c r="A563" s="11">
        <v>54112</v>
      </c>
      <c r="B563" s="54" t="s">
        <v>676</v>
      </c>
      <c r="C563" s="13"/>
      <c r="D563" s="14" t="s">
        <v>18</v>
      </c>
      <c r="E563" s="14" t="s">
        <v>28</v>
      </c>
      <c r="F563" s="14" t="s">
        <v>27</v>
      </c>
      <c r="G563" s="305">
        <f>'JULIO-18  '!I552</f>
        <v>0</v>
      </c>
      <c r="H563" s="51"/>
      <c r="I563" s="17">
        <f t="shared" si="10"/>
        <v>0</v>
      </c>
      <c r="J563" s="56"/>
      <c r="K563" s="300"/>
    </row>
    <row r="564" spans="1:11" ht="29.25">
      <c r="A564" s="11">
        <v>54118</v>
      </c>
      <c r="B564" s="54" t="s">
        <v>678</v>
      </c>
      <c r="C564" s="13"/>
      <c r="D564" s="14" t="s">
        <v>18</v>
      </c>
      <c r="E564" s="14" t="s">
        <v>28</v>
      </c>
      <c r="F564" s="14" t="s">
        <v>27</v>
      </c>
      <c r="G564" s="305">
        <f>'JULIO-18  '!I553</f>
        <v>0</v>
      </c>
      <c r="H564" s="51"/>
      <c r="I564" s="17">
        <f t="shared" si="10"/>
        <v>0</v>
      </c>
      <c r="J564" s="56"/>
      <c r="K564" s="300"/>
    </row>
    <row r="565" spans="1:11" ht="29.25">
      <c r="A565" s="11">
        <v>54313</v>
      </c>
      <c r="B565" s="54" t="s">
        <v>679</v>
      </c>
      <c r="C565" s="13"/>
      <c r="D565" s="14" t="s">
        <v>18</v>
      </c>
      <c r="E565" s="14" t="s">
        <v>28</v>
      </c>
      <c r="F565" s="14" t="s">
        <v>27</v>
      </c>
      <c r="G565" s="305">
        <f>'JULIO-18  '!I554</f>
        <v>0</v>
      </c>
      <c r="H565" s="51"/>
      <c r="I565" s="17">
        <f t="shared" si="10"/>
        <v>0</v>
      </c>
      <c r="J565" s="56"/>
      <c r="K565" s="300"/>
    </row>
    <row r="566" spans="1:11" ht="36.75" customHeight="1">
      <c r="A566" s="11">
        <v>54399</v>
      </c>
      <c r="B566" s="54" t="s">
        <v>680</v>
      </c>
      <c r="C566" s="13"/>
      <c r="D566" s="14" t="s">
        <v>18</v>
      </c>
      <c r="E566" s="14" t="s">
        <v>28</v>
      </c>
      <c r="F566" s="14" t="s">
        <v>27</v>
      </c>
      <c r="G566" s="305">
        <f>'JULIO-18  '!I555</f>
        <v>0</v>
      </c>
      <c r="H566" s="51"/>
      <c r="I566" s="17">
        <f t="shared" si="10"/>
        <v>0</v>
      </c>
      <c r="J566" s="56"/>
      <c r="K566" s="300"/>
    </row>
    <row r="567" spans="1:11" ht="29.25">
      <c r="A567" s="11">
        <v>55603</v>
      </c>
      <c r="B567" s="54" t="s">
        <v>681</v>
      </c>
      <c r="C567" s="13"/>
      <c r="D567" s="14" t="s">
        <v>18</v>
      </c>
      <c r="E567" s="14" t="s">
        <v>28</v>
      </c>
      <c r="F567" s="14" t="s">
        <v>27</v>
      </c>
      <c r="G567" s="305">
        <f>'JULIO-18  '!I556</f>
        <v>0</v>
      </c>
      <c r="H567" s="51"/>
      <c r="I567" s="17">
        <f t="shared" si="10"/>
        <v>0</v>
      </c>
      <c r="J567" s="56"/>
      <c r="K567" s="300"/>
    </row>
    <row r="568" spans="1:11" ht="74.25">
      <c r="A568" s="141" t="s">
        <v>374</v>
      </c>
      <c r="B568" s="53" t="s">
        <v>690</v>
      </c>
      <c r="C568" s="13"/>
      <c r="D568" s="14"/>
      <c r="E568" s="14"/>
      <c r="F568" s="14"/>
      <c r="G568" s="305">
        <f>'JULIO-18  '!I557</f>
        <v>0</v>
      </c>
      <c r="H568" s="51"/>
      <c r="I568" s="17"/>
      <c r="J568" s="56"/>
      <c r="K568" s="56"/>
    </row>
    <row r="569" spans="1:11">
      <c r="A569" s="11">
        <v>51202</v>
      </c>
      <c r="B569" s="54" t="s">
        <v>682</v>
      </c>
      <c r="C569" s="13"/>
      <c r="D569" s="14" t="s">
        <v>18</v>
      </c>
      <c r="E569" s="14" t="s">
        <v>28</v>
      </c>
      <c r="F569" s="14" t="s">
        <v>27</v>
      </c>
      <c r="G569" s="305">
        <f>'JULIO-18  '!I558</f>
        <v>0</v>
      </c>
      <c r="H569" s="51"/>
      <c r="I569" s="17">
        <f t="shared" si="10"/>
        <v>7000</v>
      </c>
      <c r="J569" s="142">
        <v>7000</v>
      </c>
      <c r="K569" s="300"/>
    </row>
    <row r="570" spans="1:11" ht="29.25">
      <c r="A570" s="11">
        <v>54110</v>
      </c>
      <c r="B570" s="54" t="s">
        <v>683</v>
      </c>
      <c r="C570" s="13"/>
      <c r="D570" s="14" t="s">
        <v>18</v>
      </c>
      <c r="E570" s="14" t="s">
        <v>28</v>
      </c>
      <c r="F570" s="14" t="s">
        <v>27</v>
      </c>
      <c r="G570" s="305">
        <f>'JULIO-18  '!I559</f>
        <v>0</v>
      </c>
      <c r="H570" s="51"/>
      <c r="I570" s="17">
        <f t="shared" si="10"/>
        <v>300</v>
      </c>
      <c r="J570" s="142">
        <v>300</v>
      </c>
      <c r="K570" s="300"/>
    </row>
    <row r="571" spans="1:11" ht="30">
      <c r="A571" s="11">
        <v>54111</v>
      </c>
      <c r="B571" s="53" t="s">
        <v>689</v>
      </c>
      <c r="C571" s="13"/>
      <c r="D571" s="14" t="s">
        <v>18</v>
      </c>
      <c r="E571" s="14" t="s">
        <v>28</v>
      </c>
      <c r="F571" s="14" t="s">
        <v>27</v>
      </c>
      <c r="G571" s="305">
        <f>'JULIO-18  '!I560</f>
        <v>0</v>
      </c>
      <c r="H571" s="51"/>
      <c r="I571" s="17">
        <f t="shared" si="10"/>
        <v>8000</v>
      </c>
      <c r="J571" s="142">
        <v>8000</v>
      </c>
      <c r="K571" s="300"/>
    </row>
    <row r="572" spans="1:11" ht="29.25">
      <c r="A572" s="11">
        <v>54112</v>
      </c>
      <c r="B572" s="53" t="s">
        <v>684</v>
      </c>
      <c r="C572" s="13"/>
      <c r="D572" s="14" t="s">
        <v>18</v>
      </c>
      <c r="E572" s="14" t="s">
        <v>28</v>
      </c>
      <c r="F572" s="14" t="s">
        <v>27</v>
      </c>
      <c r="G572" s="305">
        <f>'JULIO-18  '!I561</f>
        <v>0</v>
      </c>
      <c r="H572" s="51"/>
      <c r="I572" s="17">
        <f t="shared" si="10"/>
        <v>6000</v>
      </c>
      <c r="J572" s="142">
        <v>6000</v>
      </c>
      <c r="K572" s="300"/>
    </row>
    <row r="573" spans="1:11" ht="29.25">
      <c r="A573" s="11">
        <v>54118</v>
      </c>
      <c r="B573" s="53" t="s">
        <v>685</v>
      </c>
      <c r="C573" s="13"/>
      <c r="D573" s="14" t="s">
        <v>18</v>
      </c>
      <c r="E573" s="14" t="s">
        <v>28</v>
      </c>
      <c r="F573" s="14" t="s">
        <v>27</v>
      </c>
      <c r="G573" s="305">
        <f>'JULIO-18  '!I562</f>
        <v>0</v>
      </c>
      <c r="H573" s="51"/>
      <c r="I573" s="17">
        <f t="shared" si="10"/>
        <v>3000</v>
      </c>
      <c r="J573" s="142">
        <v>3000</v>
      </c>
      <c r="K573" s="300"/>
    </row>
    <row r="574" spans="1:11" ht="29.25">
      <c r="A574" s="11">
        <v>54313</v>
      </c>
      <c r="B574" s="53" t="s">
        <v>686</v>
      </c>
      <c r="C574" s="13"/>
      <c r="D574" s="14" t="s">
        <v>18</v>
      </c>
      <c r="E574" s="14" t="s">
        <v>28</v>
      </c>
      <c r="F574" s="14" t="s">
        <v>27</v>
      </c>
      <c r="G574" s="305">
        <f>'JULIO-18  '!I563</f>
        <v>0</v>
      </c>
      <c r="H574" s="51"/>
      <c r="I574" s="17">
        <f t="shared" si="10"/>
        <v>200</v>
      </c>
      <c r="J574" s="142">
        <v>200</v>
      </c>
      <c r="K574" s="300"/>
    </row>
    <row r="575" spans="1:11" ht="29.25">
      <c r="A575" s="11">
        <v>54399</v>
      </c>
      <c r="B575" s="54" t="s">
        <v>687</v>
      </c>
      <c r="C575" s="13"/>
      <c r="D575" s="14" t="s">
        <v>18</v>
      </c>
      <c r="E575" s="14" t="s">
        <v>28</v>
      </c>
      <c r="F575" s="14" t="s">
        <v>27</v>
      </c>
      <c r="G575" s="305">
        <f>'JULIO-18  '!I564</f>
        <v>0</v>
      </c>
      <c r="H575" s="51"/>
      <c r="I575" s="17">
        <f t="shared" si="10"/>
        <v>490</v>
      </c>
      <c r="J575" s="142">
        <v>490</v>
      </c>
      <c r="K575" s="300"/>
    </row>
    <row r="576" spans="1:11" ht="29.25">
      <c r="A576" s="11">
        <v>55603</v>
      </c>
      <c r="B576" s="53" t="s">
        <v>688</v>
      </c>
      <c r="C576" s="13"/>
      <c r="D576" s="14" t="s">
        <v>18</v>
      </c>
      <c r="E576" s="14" t="s">
        <v>28</v>
      </c>
      <c r="F576" s="14" t="s">
        <v>27</v>
      </c>
      <c r="G576" s="305">
        <f>'JULIO-18  '!I565</f>
        <v>0</v>
      </c>
      <c r="H576" s="51"/>
      <c r="I576" s="17">
        <f t="shared" si="10"/>
        <v>10</v>
      </c>
      <c r="J576" s="142">
        <v>10</v>
      </c>
      <c r="K576" s="300"/>
    </row>
    <row r="577" spans="1:11" ht="60">
      <c r="A577" s="141" t="s">
        <v>388</v>
      </c>
      <c r="B577" s="53" t="s">
        <v>699</v>
      </c>
      <c r="C577" s="13"/>
      <c r="D577" s="14"/>
      <c r="E577" s="14"/>
      <c r="F577" s="14"/>
      <c r="G577" s="305">
        <f>'JULIO-18  '!I566</f>
        <v>0</v>
      </c>
      <c r="H577" s="51"/>
      <c r="I577" s="17"/>
      <c r="J577" s="56"/>
      <c r="K577" s="56"/>
    </row>
    <row r="578" spans="1:11" ht="29.25">
      <c r="A578" s="11">
        <v>51202</v>
      </c>
      <c r="B578" s="54" t="s">
        <v>691</v>
      </c>
      <c r="C578" s="13"/>
      <c r="D578" s="14" t="s">
        <v>18</v>
      </c>
      <c r="E578" s="14" t="s">
        <v>28</v>
      </c>
      <c r="F578" s="14" t="s">
        <v>27</v>
      </c>
      <c r="G578" s="305">
        <f>'JULIO-18  '!I567</f>
        <v>0</v>
      </c>
      <c r="H578" s="51"/>
      <c r="I578" s="17">
        <f t="shared" si="10"/>
        <v>7000</v>
      </c>
      <c r="J578" s="142">
        <v>7000</v>
      </c>
      <c r="K578" s="300"/>
    </row>
    <row r="579" spans="1:11" ht="29.25">
      <c r="A579" s="11">
        <v>54110</v>
      </c>
      <c r="B579" s="54" t="s">
        <v>692</v>
      </c>
      <c r="C579" s="13"/>
      <c r="D579" s="14" t="s">
        <v>18</v>
      </c>
      <c r="E579" s="14" t="s">
        <v>28</v>
      </c>
      <c r="F579" s="14" t="s">
        <v>27</v>
      </c>
      <c r="G579" s="305">
        <f>'JULIO-18  '!I568</f>
        <v>0</v>
      </c>
      <c r="H579" s="51"/>
      <c r="I579" s="17">
        <f t="shared" si="10"/>
        <v>300</v>
      </c>
      <c r="J579" s="142">
        <v>300</v>
      </c>
      <c r="K579" s="300"/>
    </row>
    <row r="580" spans="1:11" ht="44.25">
      <c r="A580" s="11">
        <v>54111</v>
      </c>
      <c r="B580" s="53" t="s">
        <v>693</v>
      </c>
      <c r="C580" s="13"/>
      <c r="D580" s="14" t="s">
        <v>18</v>
      </c>
      <c r="E580" s="14" t="s">
        <v>28</v>
      </c>
      <c r="F580" s="14" t="s">
        <v>27</v>
      </c>
      <c r="G580" s="305">
        <f>'JULIO-18  '!I569</f>
        <v>0</v>
      </c>
      <c r="H580" s="51"/>
      <c r="I580" s="17">
        <f t="shared" ref="I580:I590" si="11">G580-H580+J580-K580</f>
        <v>8000</v>
      </c>
      <c r="J580" s="142">
        <v>8000</v>
      </c>
      <c r="K580" s="300"/>
    </row>
    <row r="581" spans="1:11" ht="29.25">
      <c r="A581" s="11">
        <v>54112</v>
      </c>
      <c r="B581" s="54" t="s">
        <v>694</v>
      </c>
      <c r="C581" s="13"/>
      <c r="D581" s="14" t="s">
        <v>18</v>
      </c>
      <c r="E581" s="14" t="s">
        <v>28</v>
      </c>
      <c r="F581" s="14" t="s">
        <v>27</v>
      </c>
      <c r="G581" s="305">
        <f>'JULIO-18  '!I570</f>
        <v>0</v>
      </c>
      <c r="H581" s="51"/>
      <c r="I581" s="17">
        <f t="shared" si="11"/>
        <v>7000</v>
      </c>
      <c r="J581" s="142">
        <v>7000</v>
      </c>
      <c r="K581" s="300"/>
    </row>
    <row r="582" spans="1:11" ht="29.25">
      <c r="A582" s="11">
        <v>54118</v>
      </c>
      <c r="B582" s="54" t="s">
        <v>695</v>
      </c>
      <c r="C582" s="13"/>
      <c r="D582" s="14" t="s">
        <v>18</v>
      </c>
      <c r="E582" s="14" t="s">
        <v>28</v>
      </c>
      <c r="F582" s="14" t="s">
        <v>27</v>
      </c>
      <c r="G582" s="305">
        <f>'JULIO-18  '!I571</f>
        <v>0</v>
      </c>
      <c r="H582" s="51"/>
      <c r="I582" s="17">
        <f t="shared" si="11"/>
        <v>2000</v>
      </c>
      <c r="J582" s="142">
        <v>2000</v>
      </c>
      <c r="K582" s="300"/>
    </row>
    <row r="583" spans="1:11" ht="44.25">
      <c r="A583" s="11">
        <v>54313</v>
      </c>
      <c r="B583" s="53" t="s">
        <v>696</v>
      </c>
      <c r="C583" s="13"/>
      <c r="D583" s="14" t="s">
        <v>18</v>
      </c>
      <c r="E583" s="14" t="s">
        <v>28</v>
      </c>
      <c r="F583" s="14" t="s">
        <v>27</v>
      </c>
      <c r="G583" s="305">
        <f>'JULIO-18  '!I572</f>
        <v>0</v>
      </c>
      <c r="H583" s="51"/>
      <c r="I583" s="17">
        <f t="shared" si="11"/>
        <v>300</v>
      </c>
      <c r="J583" s="142">
        <v>300</v>
      </c>
      <c r="K583" s="300"/>
    </row>
    <row r="584" spans="1:11" ht="29.25">
      <c r="A584" s="11">
        <v>54399</v>
      </c>
      <c r="B584" s="54" t="s">
        <v>697</v>
      </c>
      <c r="C584" s="13"/>
      <c r="D584" s="14" t="s">
        <v>18</v>
      </c>
      <c r="E584" s="14" t="s">
        <v>28</v>
      </c>
      <c r="F584" s="14" t="s">
        <v>27</v>
      </c>
      <c r="G584" s="305">
        <f>'JULIO-18  '!I573</f>
        <v>0</v>
      </c>
      <c r="H584" s="51"/>
      <c r="I584" s="17">
        <f t="shared" si="11"/>
        <v>390</v>
      </c>
      <c r="J584" s="142">
        <v>390</v>
      </c>
      <c r="K584" s="300"/>
    </row>
    <row r="585" spans="1:11" ht="29.25">
      <c r="A585" s="11">
        <v>55603</v>
      </c>
      <c r="B585" s="54" t="s">
        <v>698</v>
      </c>
      <c r="C585" s="13"/>
      <c r="D585" s="14" t="s">
        <v>18</v>
      </c>
      <c r="E585" s="14" t="s">
        <v>28</v>
      </c>
      <c r="F585" s="14" t="s">
        <v>27</v>
      </c>
      <c r="G585" s="305">
        <f>'JULIO-18  '!I574</f>
        <v>0</v>
      </c>
      <c r="H585" s="51"/>
      <c r="I585" s="17">
        <f t="shared" si="11"/>
        <v>10</v>
      </c>
      <c r="J585" s="142">
        <v>10</v>
      </c>
      <c r="K585" s="300"/>
    </row>
    <row r="586" spans="1:11" ht="60">
      <c r="A586" s="141" t="s">
        <v>392</v>
      </c>
      <c r="B586" s="53" t="s">
        <v>700</v>
      </c>
      <c r="C586" s="13"/>
      <c r="D586" s="14"/>
      <c r="E586" s="14"/>
      <c r="F586" s="14"/>
      <c r="G586" s="305">
        <f>'JULIO-18  '!I575</f>
        <v>0</v>
      </c>
      <c r="H586" s="51"/>
      <c r="I586" s="17"/>
      <c r="J586" s="56"/>
      <c r="K586" s="56"/>
    </row>
    <row r="587" spans="1:11" ht="29.25">
      <c r="A587" s="11">
        <v>51202</v>
      </c>
      <c r="B587" s="54" t="s">
        <v>701</v>
      </c>
      <c r="C587" s="13"/>
      <c r="D587" s="14" t="s">
        <v>18</v>
      </c>
      <c r="E587" s="14" t="s">
        <v>28</v>
      </c>
      <c r="F587" s="14" t="s">
        <v>27</v>
      </c>
      <c r="G587" s="305">
        <f>'JULIO-18  '!I576</f>
        <v>0</v>
      </c>
      <c r="H587" s="51"/>
      <c r="I587" s="17">
        <f t="shared" si="11"/>
        <v>0</v>
      </c>
      <c r="J587" s="56"/>
      <c r="K587" s="332"/>
    </row>
    <row r="588" spans="1:11" ht="29.25">
      <c r="A588" s="11">
        <v>54110</v>
      </c>
      <c r="B588" s="53" t="s">
        <v>702</v>
      </c>
      <c r="C588" s="13"/>
      <c r="D588" s="14" t="s">
        <v>18</v>
      </c>
      <c r="E588" s="14" t="s">
        <v>28</v>
      </c>
      <c r="F588" s="14" t="s">
        <v>27</v>
      </c>
      <c r="G588" s="305">
        <f>'JULIO-18  '!I577</f>
        <v>0</v>
      </c>
      <c r="H588" s="51"/>
      <c r="I588" s="17">
        <f t="shared" si="11"/>
        <v>0</v>
      </c>
      <c r="J588" s="56"/>
      <c r="K588" s="332"/>
    </row>
    <row r="589" spans="1:11" ht="44.25">
      <c r="A589" s="11">
        <v>54111</v>
      </c>
      <c r="B589" s="53" t="s">
        <v>703</v>
      </c>
      <c r="C589" s="13"/>
      <c r="D589" s="14" t="s">
        <v>18</v>
      </c>
      <c r="E589" s="14" t="s">
        <v>28</v>
      </c>
      <c r="F589" s="14" t="s">
        <v>27</v>
      </c>
      <c r="G589" s="305">
        <f>'JULIO-18  '!I578</f>
        <v>0</v>
      </c>
      <c r="H589" s="51"/>
      <c r="I589" s="17">
        <f t="shared" si="11"/>
        <v>0</v>
      </c>
      <c r="J589" s="56"/>
      <c r="K589" s="332"/>
    </row>
    <row r="590" spans="1:11" ht="44.25">
      <c r="A590" s="11">
        <v>54313</v>
      </c>
      <c r="B590" s="53" t="s">
        <v>704</v>
      </c>
      <c r="C590" s="13"/>
      <c r="D590" s="14" t="s">
        <v>18</v>
      </c>
      <c r="E590" s="14" t="s">
        <v>28</v>
      </c>
      <c r="F590" s="14" t="s">
        <v>27</v>
      </c>
      <c r="G590" s="305">
        <f>'JULIO-18  '!I579</f>
        <v>0</v>
      </c>
      <c r="H590" s="51"/>
      <c r="I590" s="17">
        <f t="shared" si="11"/>
        <v>0</v>
      </c>
      <c r="J590" s="56"/>
      <c r="K590" s="332"/>
    </row>
    <row r="591" spans="1:11" ht="29.25">
      <c r="A591" s="11">
        <v>55603</v>
      </c>
      <c r="B591" s="53" t="s">
        <v>705</v>
      </c>
      <c r="C591" s="13"/>
      <c r="D591" s="14" t="s">
        <v>18</v>
      </c>
      <c r="E591" s="14" t="s">
        <v>28</v>
      </c>
      <c r="F591" s="14" t="s">
        <v>27</v>
      </c>
      <c r="G591" s="305">
        <f>'JULIO-18  '!I580</f>
        <v>0</v>
      </c>
      <c r="H591" s="51"/>
      <c r="I591" s="17">
        <f>G591-H591+J591-K591</f>
        <v>0</v>
      </c>
      <c r="J591" s="56"/>
      <c r="K591" s="332"/>
    </row>
    <row r="592" spans="1:11" ht="105">
      <c r="A592" s="141" t="s">
        <v>401</v>
      </c>
      <c r="B592" s="53" t="s">
        <v>706</v>
      </c>
      <c r="C592" s="13"/>
      <c r="D592" s="14"/>
      <c r="E592" s="14"/>
      <c r="F592" s="14"/>
      <c r="G592" s="305">
        <f>'JULIO-18  '!I581</f>
        <v>0</v>
      </c>
      <c r="H592" s="51"/>
      <c r="I592" s="17"/>
      <c r="J592" s="56"/>
      <c r="K592" s="56"/>
    </row>
    <row r="593" spans="1:11" ht="29.25">
      <c r="A593" s="11">
        <v>51202</v>
      </c>
      <c r="B593" s="54" t="s">
        <v>707</v>
      </c>
      <c r="C593" s="13"/>
      <c r="D593" s="14" t="s">
        <v>18</v>
      </c>
      <c r="E593" s="14" t="s">
        <v>28</v>
      </c>
      <c r="F593" s="14" t="s">
        <v>27</v>
      </c>
      <c r="G593" s="305">
        <f>'JULIO-18  '!I582</f>
        <v>0</v>
      </c>
      <c r="H593" s="51"/>
      <c r="I593" s="17">
        <f>G593-H593+J593-K593</f>
        <v>6000</v>
      </c>
      <c r="J593" s="142">
        <v>6000</v>
      </c>
      <c r="K593" s="300"/>
    </row>
    <row r="594" spans="1:11" ht="43.5">
      <c r="A594" s="11">
        <v>54110</v>
      </c>
      <c r="B594" s="54" t="s">
        <v>708</v>
      </c>
      <c r="C594" s="13"/>
      <c r="D594" s="14" t="s">
        <v>18</v>
      </c>
      <c r="E594" s="14" t="s">
        <v>28</v>
      </c>
      <c r="F594" s="14" t="s">
        <v>27</v>
      </c>
      <c r="G594" s="305">
        <f>'JULIO-18  '!I583</f>
        <v>0</v>
      </c>
      <c r="H594" s="51"/>
      <c r="I594" s="17">
        <f t="shared" ref="I594:I634" si="12">G594-H594+J594-K594</f>
        <v>300</v>
      </c>
      <c r="J594" s="142">
        <v>300</v>
      </c>
      <c r="K594" s="300"/>
    </row>
    <row r="595" spans="1:11" ht="44.25">
      <c r="A595" s="11">
        <v>54111</v>
      </c>
      <c r="B595" s="54" t="s">
        <v>709</v>
      </c>
      <c r="C595" s="13"/>
      <c r="D595" s="14" t="s">
        <v>18</v>
      </c>
      <c r="E595" s="14" t="s">
        <v>28</v>
      </c>
      <c r="F595" s="14" t="s">
        <v>27</v>
      </c>
      <c r="G595" s="305">
        <f>'JULIO-18  '!I584</f>
        <v>0</v>
      </c>
      <c r="H595" s="51"/>
      <c r="I595" s="17">
        <f t="shared" si="12"/>
        <v>8000</v>
      </c>
      <c r="J595" s="142">
        <v>8000</v>
      </c>
      <c r="K595" s="300"/>
    </row>
    <row r="596" spans="1:11" ht="43.5">
      <c r="A596" s="11">
        <v>54118</v>
      </c>
      <c r="B596" s="54" t="s">
        <v>710</v>
      </c>
      <c r="C596" s="13"/>
      <c r="D596" s="14" t="s">
        <v>18</v>
      </c>
      <c r="E596" s="14" t="s">
        <v>28</v>
      </c>
      <c r="F596" s="14" t="s">
        <v>27</v>
      </c>
      <c r="G596" s="305">
        <f>'JULIO-18  '!I585</f>
        <v>0</v>
      </c>
      <c r="H596" s="51"/>
      <c r="I596" s="17">
        <f t="shared" si="12"/>
        <v>5000</v>
      </c>
      <c r="J596" s="142">
        <v>5000</v>
      </c>
      <c r="K596" s="300"/>
    </row>
    <row r="597" spans="1:11" ht="43.5">
      <c r="A597" s="11">
        <v>54313</v>
      </c>
      <c r="B597" s="54" t="s">
        <v>711</v>
      </c>
      <c r="C597" s="13"/>
      <c r="D597" s="14" t="s">
        <v>18</v>
      </c>
      <c r="E597" s="14" t="s">
        <v>28</v>
      </c>
      <c r="F597" s="14" t="s">
        <v>27</v>
      </c>
      <c r="G597" s="305">
        <f>'JULIO-18  '!I586</f>
        <v>0</v>
      </c>
      <c r="H597" s="51"/>
      <c r="I597" s="17">
        <f t="shared" si="12"/>
        <v>300</v>
      </c>
      <c r="J597" s="142">
        <v>300</v>
      </c>
      <c r="K597" s="300"/>
    </row>
    <row r="598" spans="1:11" ht="44.25">
      <c r="A598" s="11">
        <v>54399</v>
      </c>
      <c r="B598" s="54" t="s">
        <v>712</v>
      </c>
      <c r="C598" s="13"/>
      <c r="D598" s="14" t="s">
        <v>18</v>
      </c>
      <c r="E598" s="14" t="s">
        <v>28</v>
      </c>
      <c r="F598" s="14" t="s">
        <v>27</v>
      </c>
      <c r="G598" s="305">
        <f>'JULIO-18  '!I587</f>
        <v>0</v>
      </c>
      <c r="H598" s="51"/>
      <c r="I598" s="17">
        <f t="shared" si="12"/>
        <v>390</v>
      </c>
      <c r="J598" s="142">
        <v>390</v>
      </c>
      <c r="K598" s="300"/>
    </row>
    <row r="599" spans="1:11" ht="43.5">
      <c r="A599" s="11">
        <v>55603</v>
      </c>
      <c r="B599" s="53" t="s">
        <v>713</v>
      </c>
      <c r="C599" s="13"/>
      <c r="D599" s="14" t="s">
        <v>18</v>
      </c>
      <c r="E599" s="14" t="s">
        <v>28</v>
      </c>
      <c r="F599" s="14" t="s">
        <v>27</v>
      </c>
      <c r="G599" s="305">
        <f>'JULIO-18  '!I588</f>
        <v>0</v>
      </c>
      <c r="H599" s="51"/>
      <c r="I599" s="17">
        <f t="shared" si="12"/>
        <v>10</v>
      </c>
      <c r="J599" s="142">
        <v>10</v>
      </c>
      <c r="K599" s="300"/>
    </row>
    <row r="600" spans="1:11" ht="59.25">
      <c r="A600" s="141" t="s">
        <v>408</v>
      </c>
      <c r="B600" s="53" t="s">
        <v>714</v>
      </c>
      <c r="C600" s="13"/>
      <c r="D600" s="14"/>
      <c r="E600" s="14"/>
      <c r="F600" s="14"/>
      <c r="G600" s="305">
        <f>'JULIO-18  '!I589</f>
        <v>0</v>
      </c>
      <c r="H600" s="51"/>
      <c r="I600" s="17"/>
      <c r="J600" s="56"/>
      <c r="K600" s="56"/>
    </row>
    <row r="601" spans="1:11" ht="29.25">
      <c r="A601" s="11">
        <v>51202</v>
      </c>
      <c r="B601" s="54" t="s">
        <v>715</v>
      </c>
      <c r="C601" s="13"/>
      <c r="D601" s="14" t="s">
        <v>18</v>
      </c>
      <c r="E601" s="14" t="s">
        <v>28</v>
      </c>
      <c r="F601" s="14" t="s">
        <v>27</v>
      </c>
      <c r="G601" s="305">
        <f>'JULIO-18  '!I590</f>
        <v>0</v>
      </c>
      <c r="H601" s="51"/>
      <c r="I601" s="17">
        <f t="shared" si="12"/>
        <v>6000</v>
      </c>
      <c r="J601" s="142">
        <v>6000</v>
      </c>
      <c r="K601" s="142"/>
    </row>
    <row r="602" spans="1:11" ht="29.25">
      <c r="A602" s="11">
        <v>54110</v>
      </c>
      <c r="B602" s="54" t="s">
        <v>716</v>
      </c>
      <c r="C602" s="13"/>
      <c r="D602" s="14" t="s">
        <v>18</v>
      </c>
      <c r="E602" s="14" t="s">
        <v>28</v>
      </c>
      <c r="F602" s="14" t="s">
        <v>27</v>
      </c>
      <c r="G602" s="305">
        <f>'JULIO-18  '!I591</f>
        <v>0</v>
      </c>
      <c r="H602" s="51"/>
      <c r="I602" s="17">
        <f t="shared" si="12"/>
        <v>300</v>
      </c>
      <c r="J602" s="142">
        <v>300</v>
      </c>
      <c r="K602" s="142"/>
    </row>
    <row r="603" spans="1:11" ht="44.25">
      <c r="A603" s="11">
        <v>54111</v>
      </c>
      <c r="B603" s="54" t="s">
        <v>717</v>
      </c>
      <c r="C603" s="13"/>
      <c r="D603" s="14" t="s">
        <v>18</v>
      </c>
      <c r="E603" s="14" t="s">
        <v>28</v>
      </c>
      <c r="F603" s="14" t="s">
        <v>27</v>
      </c>
      <c r="G603" s="305">
        <f>'JULIO-18  '!I592</f>
        <v>0</v>
      </c>
      <c r="H603" s="51"/>
      <c r="I603" s="17">
        <f t="shared" si="12"/>
        <v>8000</v>
      </c>
      <c r="J603" s="142">
        <v>8000</v>
      </c>
      <c r="K603" s="142"/>
    </row>
    <row r="604" spans="1:11" ht="43.5">
      <c r="A604" s="11">
        <v>54112</v>
      </c>
      <c r="B604" s="53" t="s">
        <v>718</v>
      </c>
      <c r="C604" s="13"/>
      <c r="D604" s="14" t="s">
        <v>18</v>
      </c>
      <c r="E604" s="14" t="s">
        <v>28</v>
      </c>
      <c r="F604" s="14" t="s">
        <v>27</v>
      </c>
      <c r="G604" s="305">
        <f>'JULIO-18  '!I593</f>
        <v>0</v>
      </c>
      <c r="H604" s="51"/>
      <c r="I604" s="17">
        <f t="shared" si="12"/>
        <v>4500</v>
      </c>
      <c r="J604" s="142">
        <v>4500</v>
      </c>
      <c r="K604" s="142"/>
    </row>
    <row r="605" spans="1:11" ht="29.25">
      <c r="A605" s="11">
        <v>54118</v>
      </c>
      <c r="B605" s="54" t="s">
        <v>719</v>
      </c>
      <c r="C605" s="13"/>
      <c r="D605" s="14" t="s">
        <v>18</v>
      </c>
      <c r="E605" s="14" t="s">
        <v>28</v>
      </c>
      <c r="F605" s="14" t="s">
        <v>27</v>
      </c>
      <c r="G605" s="305">
        <f>'JULIO-18  '!I594</f>
        <v>0</v>
      </c>
      <c r="H605" s="51"/>
      <c r="I605" s="17">
        <f t="shared" si="12"/>
        <v>300</v>
      </c>
      <c r="J605" s="142">
        <v>300</v>
      </c>
      <c r="K605" s="142"/>
    </row>
    <row r="606" spans="1:11" ht="44.25">
      <c r="A606" s="11">
        <v>54313</v>
      </c>
      <c r="B606" s="54" t="s">
        <v>720</v>
      </c>
      <c r="C606" s="13"/>
      <c r="D606" s="14" t="s">
        <v>18</v>
      </c>
      <c r="E606" s="14" t="s">
        <v>28</v>
      </c>
      <c r="F606" s="14" t="s">
        <v>27</v>
      </c>
      <c r="G606" s="305">
        <f>'JULIO-18  '!I595</f>
        <v>0</v>
      </c>
      <c r="H606" s="51"/>
      <c r="I606" s="17">
        <f t="shared" si="12"/>
        <v>390</v>
      </c>
      <c r="J606" s="142">
        <v>390</v>
      </c>
      <c r="K606" s="142"/>
    </row>
    <row r="607" spans="1:11" ht="44.25">
      <c r="A607" s="11">
        <v>54399</v>
      </c>
      <c r="B607" s="53" t="s">
        <v>721</v>
      </c>
      <c r="C607" s="13"/>
      <c r="D607" s="14" t="s">
        <v>18</v>
      </c>
      <c r="E607" s="14" t="s">
        <v>28</v>
      </c>
      <c r="F607" s="14" t="s">
        <v>27</v>
      </c>
      <c r="G607" s="305">
        <f>'JULIO-18  '!I596</f>
        <v>0</v>
      </c>
      <c r="H607" s="51"/>
      <c r="I607" s="17">
        <f t="shared" si="12"/>
        <v>500</v>
      </c>
      <c r="J607" s="142">
        <v>500</v>
      </c>
      <c r="K607" s="142"/>
    </row>
    <row r="608" spans="1:11" ht="29.25">
      <c r="A608" s="11">
        <v>55603</v>
      </c>
      <c r="B608" s="53" t="s">
        <v>722</v>
      </c>
      <c r="C608" s="13"/>
      <c r="D608" s="14" t="s">
        <v>18</v>
      </c>
      <c r="E608" s="14" t="s">
        <v>28</v>
      </c>
      <c r="F608" s="14" t="s">
        <v>27</v>
      </c>
      <c r="G608" s="305">
        <f>'JULIO-18  '!I597</f>
        <v>0</v>
      </c>
      <c r="H608" s="51"/>
      <c r="I608" s="17">
        <f t="shared" si="12"/>
        <v>10</v>
      </c>
      <c r="J608" s="142">
        <v>10</v>
      </c>
      <c r="K608" s="142"/>
    </row>
    <row r="609" spans="1:11" ht="89.25">
      <c r="A609" s="141" t="s">
        <v>418</v>
      </c>
      <c r="B609" s="53" t="s">
        <v>723</v>
      </c>
      <c r="C609" s="13"/>
      <c r="D609" s="14"/>
      <c r="E609" s="14"/>
      <c r="F609" s="14"/>
      <c r="G609" s="305">
        <f>'JULIO-18  '!I598</f>
        <v>0</v>
      </c>
      <c r="H609" s="51"/>
      <c r="I609" s="17"/>
      <c r="J609" s="56"/>
      <c r="K609" s="56"/>
    </row>
    <row r="610" spans="1:11" ht="29.25">
      <c r="A610" s="11">
        <v>51202</v>
      </c>
      <c r="B610" s="53" t="s">
        <v>724</v>
      </c>
      <c r="C610" s="13"/>
      <c r="D610" s="14" t="s">
        <v>18</v>
      </c>
      <c r="E610" s="14" t="s">
        <v>28</v>
      </c>
      <c r="F610" s="14" t="s">
        <v>27</v>
      </c>
      <c r="G610" s="305">
        <f>'JULIO-18  '!I599</f>
        <v>0</v>
      </c>
      <c r="H610" s="51"/>
      <c r="I610" s="17">
        <f t="shared" si="12"/>
        <v>0</v>
      </c>
      <c r="J610" s="56"/>
      <c r="K610" s="337"/>
    </row>
    <row r="611" spans="1:11" ht="29.25">
      <c r="A611" s="11">
        <v>54110</v>
      </c>
      <c r="B611" s="53" t="s">
        <v>725</v>
      </c>
      <c r="C611" s="13"/>
      <c r="D611" s="14" t="s">
        <v>18</v>
      </c>
      <c r="E611" s="14" t="s">
        <v>28</v>
      </c>
      <c r="F611" s="14" t="s">
        <v>27</v>
      </c>
      <c r="G611" s="305">
        <f>'JULIO-18  '!I600</f>
        <v>0</v>
      </c>
      <c r="H611" s="51"/>
      <c r="I611" s="17">
        <f t="shared" si="12"/>
        <v>0</v>
      </c>
      <c r="J611" s="56"/>
      <c r="K611" s="337"/>
    </row>
    <row r="612" spans="1:11" ht="29.25">
      <c r="A612" s="11">
        <v>54111</v>
      </c>
      <c r="B612" s="53" t="s">
        <v>726</v>
      </c>
      <c r="C612" s="13"/>
      <c r="D612" s="14" t="s">
        <v>18</v>
      </c>
      <c r="E612" s="14" t="s">
        <v>28</v>
      </c>
      <c r="F612" s="14" t="s">
        <v>27</v>
      </c>
      <c r="G612" s="305">
        <f>'JULIO-18  '!I601</f>
        <v>0</v>
      </c>
      <c r="H612" s="51"/>
      <c r="I612" s="17">
        <f t="shared" si="12"/>
        <v>0</v>
      </c>
      <c r="J612" s="56"/>
      <c r="K612" s="337"/>
    </row>
    <row r="613" spans="1:11" ht="29.25">
      <c r="A613" s="11">
        <v>54118</v>
      </c>
      <c r="B613" s="53" t="s">
        <v>727</v>
      </c>
      <c r="C613" s="13"/>
      <c r="D613" s="14" t="s">
        <v>18</v>
      </c>
      <c r="E613" s="14" t="s">
        <v>28</v>
      </c>
      <c r="F613" s="14" t="s">
        <v>27</v>
      </c>
      <c r="G613" s="305">
        <f>'JULIO-18  '!I602</f>
        <v>0</v>
      </c>
      <c r="H613" s="51"/>
      <c r="I613" s="17">
        <f t="shared" si="12"/>
        <v>0</v>
      </c>
      <c r="J613" s="56"/>
      <c r="K613" s="337"/>
    </row>
    <row r="614" spans="1:11" ht="29.25">
      <c r="A614" s="11">
        <v>54313</v>
      </c>
      <c r="B614" s="53" t="s">
        <v>728</v>
      </c>
      <c r="C614" s="13"/>
      <c r="D614" s="14" t="s">
        <v>18</v>
      </c>
      <c r="E614" s="14" t="s">
        <v>28</v>
      </c>
      <c r="F614" s="14" t="s">
        <v>27</v>
      </c>
      <c r="G614" s="305">
        <f>'JULIO-18  '!I603</f>
        <v>0</v>
      </c>
      <c r="H614" s="51"/>
      <c r="I614" s="17">
        <f t="shared" si="12"/>
        <v>0</v>
      </c>
      <c r="J614" s="56"/>
      <c r="K614" s="337"/>
    </row>
    <row r="615" spans="1:11" ht="30">
      <c r="A615" s="11">
        <v>54399</v>
      </c>
      <c r="B615" s="53" t="s">
        <v>729</v>
      </c>
      <c r="C615" s="13"/>
      <c r="D615" s="14" t="s">
        <v>18</v>
      </c>
      <c r="E615" s="14" t="s">
        <v>28</v>
      </c>
      <c r="F615" s="14" t="s">
        <v>27</v>
      </c>
      <c r="G615" s="305">
        <f>'JULIO-18  '!I604</f>
        <v>0</v>
      </c>
      <c r="H615" s="51"/>
      <c r="I615" s="17">
        <f t="shared" si="12"/>
        <v>0</v>
      </c>
      <c r="J615" s="56"/>
      <c r="K615" s="337"/>
    </row>
    <row r="616" spans="1:11" ht="29.25">
      <c r="A616" s="11">
        <v>55603</v>
      </c>
      <c r="B616" s="53" t="s">
        <v>730</v>
      </c>
      <c r="C616" s="13"/>
      <c r="D616" s="14" t="s">
        <v>18</v>
      </c>
      <c r="E616" s="14" t="s">
        <v>28</v>
      </c>
      <c r="F616" s="14" t="s">
        <v>27</v>
      </c>
      <c r="G616" s="305">
        <f>'JULIO-18  '!I605</f>
        <v>0</v>
      </c>
      <c r="H616" s="51"/>
      <c r="I616" s="17">
        <f t="shared" si="12"/>
        <v>0</v>
      </c>
      <c r="J616" s="56"/>
      <c r="K616" s="337"/>
    </row>
    <row r="617" spans="1:11" ht="90">
      <c r="A617" s="141" t="s">
        <v>429</v>
      </c>
      <c r="B617" s="53" t="s">
        <v>1176</v>
      </c>
      <c r="C617" s="13"/>
      <c r="D617" s="14"/>
      <c r="E617" s="14"/>
      <c r="F617" s="14"/>
      <c r="G617" s="305">
        <f>'JULIO-18  '!I606</f>
        <v>0</v>
      </c>
      <c r="H617" s="51"/>
      <c r="I617" s="17"/>
      <c r="J617" s="56"/>
      <c r="K617" s="56"/>
    </row>
    <row r="618" spans="1:11">
      <c r="A618" s="11">
        <v>51202</v>
      </c>
      <c r="B618" s="53" t="s">
        <v>732</v>
      </c>
      <c r="C618" s="13"/>
      <c r="D618" s="14" t="s">
        <v>18</v>
      </c>
      <c r="E618" s="14" t="s">
        <v>28</v>
      </c>
      <c r="F618" s="14" t="s">
        <v>27</v>
      </c>
      <c r="G618" s="305">
        <f>'JULIO-18  '!I607</f>
        <v>12190</v>
      </c>
      <c r="H618" s="51"/>
      <c r="I618" s="17">
        <f t="shared" si="12"/>
        <v>12190</v>
      </c>
      <c r="J618" s="56"/>
      <c r="K618" s="56"/>
    </row>
    <row r="619" spans="1:11" ht="29.25">
      <c r="A619" s="11">
        <v>54110</v>
      </c>
      <c r="B619" s="53" t="s">
        <v>733</v>
      </c>
      <c r="C619" s="13"/>
      <c r="D619" s="14" t="s">
        <v>18</v>
      </c>
      <c r="E619" s="14" t="s">
        <v>28</v>
      </c>
      <c r="F619" s="14" t="s">
        <v>27</v>
      </c>
      <c r="G619" s="305">
        <f>'JULIO-18  '!I608</f>
        <v>300</v>
      </c>
      <c r="H619" s="51"/>
      <c r="I619" s="17">
        <f t="shared" si="12"/>
        <v>300</v>
      </c>
      <c r="J619" s="56"/>
      <c r="K619" s="56"/>
    </row>
    <row r="620" spans="1:11" ht="29.25">
      <c r="A620" s="11">
        <v>54111</v>
      </c>
      <c r="B620" s="53" t="s">
        <v>734</v>
      </c>
      <c r="C620" s="13"/>
      <c r="D620" s="14" t="s">
        <v>18</v>
      </c>
      <c r="E620" s="14" t="s">
        <v>28</v>
      </c>
      <c r="F620" s="14" t="s">
        <v>27</v>
      </c>
      <c r="G620" s="305">
        <f>'JULIO-18  '!I609</f>
        <v>15000</v>
      </c>
      <c r="H620" s="51"/>
      <c r="I620" s="17">
        <f t="shared" si="12"/>
        <v>15000</v>
      </c>
      <c r="J620" s="56"/>
      <c r="K620" s="56"/>
    </row>
    <row r="621" spans="1:11" ht="29.25">
      <c r="A621" s="11">
        <v>54112</v>
      </c>
      <c r="B621" s="53" t="s">
        <v>735</v>
      </c>
      <c r="C621" s="13"/>
      <c r="D621" s="14" t="s">
        <v>18</v>
      </c>
      <c r="E621" s="14" t="s">
        <v>28</v>
      </c>
      <c r="F621" s="14" t="s">
        <v>27</v>
      </c>
      <c r="G621" s="305">
        <f>'JULIO-18  '!I610</f>
        <v>8000</v>
      </c>
      <c r="H621" s="51"/>
      <c r="I621" s="17">
        <f t="shared" si="12"/>
        <v>8000</v>
      </c>
      <c r="J621" s="56"/>
      <c r="K621" s="56"/>
    </row>
    <row r="622" spans="1:11" ht="29.25">
      <c r="A622" s="11">
        <v>54118</v>
      </c>
      <c r="B622" s="53" t="s">
        <v>736</v>
      </c>
      <c r="C622" s="13"/>
      <c r="D622" s="14" t="s">
        <v>18</v>
      </c>
      <c r="E622" s="14" t="s">
        <v>28</v>
      </c>
      <c r="F622" s="14" t="s">
        <v>27</v>
      </c>
      <c r="G622" s="305">
        <f>'JULIO-18  '!I611</f>
        <v>7000</v>
      </c>
      <c r="H622" s="51"/>
      <c r="I622" s="17">
        <f t="shared" si="12"/>
        <v>7000</v>
      </c>
      <c r="J622" s="56"/>
      <c r="K622" s="56"/>
    </row>
    <row r="623" spans="1:11" ht="29.25">
      <c r="A623" s="11">
        <v>54304</v>
      </c>
      <c r="B623" s="53" t="s">
        <v>737</v>
      </c>
      <c r="C623" s="13"/>
      <c r="D623" s="14" t="s">
        <v>18</v>
      </c>
      <c r="E623" s="14" t="s">
        <v>28</v>
      </c>
      <c r="F623" s="14" t="s">
        <v>27</v>
      </c>
      <c r="G623" s="305">
        <f>'JULIO-18  '!I612</f>
        <v>2000</v>
      </c>
      <c r="H623" s="51"/>
      <c r="I623" s="17">
        <f t="shared" si="12"/>
        <v>2000</v>
      </c>
      <c r="J623" s="56"/>
      <c r="K623" s="56"/>
    </row>
    <row r="624" spans="1:11" ht="30">
      <c r="A624" s="11">
        <v>54313</v>
      </c>
      <c r="B624" s="53" t="s">
        <v>738</v>
      </c>
      <c r="C624" s="13"/>
      <c r="D624" s="14" t="s">
        <v>18</v>
      </c>
      <c r="E624" s="14" t="s">
        <v>28</v>
      </c>
      <c r="F624" s="14" t="s">
        <v>27</v>
      </c>
      <c r="G624" s="305">
        <f>'JULIO-18  '!I613</f>
        <v>300</v>
      </c>
      <c r="H624" s="51"/>
      <c r="I624" s="17">
        <f t="shared" si="12"/>
        <v>300</v>
      </c>
      <c r="J624" s="56"/>
      <c r="K624" s="56"/>
    </row>
    <row r="625" spans="1:11" ht="29.25">
      <c r="A625" s="11">
        <v>54399</v>
      </c>
      <c r="B625" s="53" t="s">
        <v>739</v>
      </c>
      <c r="C625" s="13"/>
      <c r="D625" s="14" t="s">
        <v>18</v>
      </c>
      <c r="E625" s="14" t="s">
        <v>28</v>
      </c>
      <c r="F625" s="14" t="s">
        <v>27</v>
      </c>
      <c r="G625" s="305">
        <f>'JULIO-18  '!I614</f>
        <v>200</v>
      </c>
      <c r="H625" s="51"/>
      <c r="I625" s="17">
        <f t="shared" si="12"/>
        <v>200</v>
      </c>
      <c r="J625" s="56"/>
      <c r="K625" s="56"/>
    </row>
    <row r="626" spans="1:11" ht="29.25">
      <c r="A626" s="11">
        <v>55603</v>
      </c>
      <c r="B626" s="53" t="s">
        <v>740</v>
      </c>
      <c r="C626" s="13"/>
      <c r="D626" s="14" t="s">
        <v>18</v>
      </c>
      <c r="E626" s="14" t="s">
        <v>28</v>
      </c>
      <c r="F626" s="14" t="s">
        <v>27</v>
      </c>
      <c r="G626" s="305">
        <f>'JULIO-18  '!I615</f>
        <v>10</v>
      </c>
      <c r="H626" s="51"/>
      <c r="I626" s="17">
        <f t="shared" si="12"/>
        <v>10</v>
      </c>
      <c r="J626" s="56"/>
      <c r="K626" s="56"/>
    </row>
    <row r="627" spans="1:11" ht="75">
      <c r="A627" s="144" t="s">
        <v>437</v>
      </c>
      <c r="B627" s="53" t="s">
        <v>742</v>
      </c>
      <c r="C627" s="13"/>
      <c r="D627" s="14"/>
      <c r="E627" s="14"/>
      <c r="F627" s="14"/>
      <c r="G627" s="305">
        <f>'JULIO-18  '!I616</f>
        <v>0</v>
      </c>
      <c r="H627" s="51"/>
      <c r="I627" s="17"/>
      <c r="J627" s="56"/>
      <c r="K627" s="56"/>
    </row>
    <row r="628" spans="1:11" ht="29.25">
      <c r="A628" s="11">
        <v>51202</v>
      </c>
      <c r="B628" s="53" t="s">
        <v>743</v>
      </c>
      <c r="C628" s="13"/>
      <c r="D628" s="14" t="s">
        <v>18</v>
      </c>
      <c r="E628" s="14" t="s">
        <v>28</v>
      </c>
      <c r="F628" s="14" t="s">
        <v>27</v>
      </c>
      <c r="G628" s="305">
        <f>'JULIO-18  '!I617</f>
        <v>0</v>
      </c>
      <c r="H628" s="51"/>
      <c r="I628" s="17">
        <f t="shared" si="12"/>
        <v>0</v>
      </c>
      <c r="J628" s="56"/>
      <c r="K628" s="337"/>
    </row>
    <row r="629" spans="1:11" ht="29.25">
      <c r="A629" s="11">
        <v>54110</v>
      </c>
      <c r="B629" s="53" t="s">
        <v>744</v>
      </c>
      <c r="C629" s="13"/>
      <c r="D629" s="14" t="s">
        <v>18</v>
      </c>
      <c r="E629" s="14" t="s">
        <v>28</v>
      </c>
      <c r="F629" s="14" t="s">
        <v>27</v>
      </c>
      <c r="G629" s="305">
        <f>'JULIO-18  '!I618</f>
        <v>0</v>
      </c>
      <c r="H629" s="51"/>
      <c r="I629" s="17">
        <f t="shared" si="12"/>
        <v>0</v>
      </c>
      <c r="J629" s="56"/>
      <c r="K629" s="337"/>
    </row>
    <row r="630" spans="1:11" ht="43.5">
      <c r="A630" s="11">
        <v>54111</v>
      </c>
      <c r="B630" s="53" t="s">
        <v>745</v>
      </c>
      <c r="C630" s="13"/>
      <c r="D630" s="14" t="s">
        <v>18</v>
      </c>
      <c r="E630" s="14" t="s">
        <v>28</v>
      </c>
      <c r="F630" s="14" t="s">
        <v>27</v>
      </c>
      <c r="G630" s="305">
        <f>'JULIO-18  '!I619</f>
        <v>0</v>
      </c>
      <c r="H630" s="51"/>
      <c r="I630" s="17">
        <f t="shared" si="12"/>
        <v>0</v>
      </c>
      <c r="J630" s="56"/>
      <c r="K630" s="337"/>
    </row>
    <row r="631" spans="1:11" ht="43.5">
      <c r="A631" s="11">
        <v>54118</v>
      </c>
      <c r="B631" s="53" t="s">
        <v>746</v>
      </c>
      <c r="C631" s="13"/>
      <c r="D631" s="14" t="s">
        <v>18</v>
      </c>
      <c r="E631" s="14" t="s">
        <v>28</v>
      </c>
      <c r="F631" s="14" t="s">
        <v>27</v>
      </c>
      <c r="G631" s="305">
        <f>'JULIO-18  '!I620</f>
        <v>2366.81</v>
      </c>
      <c r="H631" s="51"/>
      <c r="I631" s="17">
        <f t="shared" si="12"/>
        <v>0</v>
      </c>
      <c r="J631" s="56"/>
      <c r="K631" s="300">
        <v>2366.81</v>
      </c>
    </row>
    <row r="632" spans="1:11" ht="43.5">
      <c r="A632" s="11">
        <v>54313</v>
      </c>
      <c r="B632" s="53" t="s">
        <v>747</v>
      </c>
      <c r="C632" s="13"/>
      <c r="D632" s="14" t="s">
        <v>18</v>
      </c>
      <c r="E632" s="14" t="s">
        <v>28</v>
      </c>
      <c r="F632" s="14" t="s">
        <v>27</v>
      </c>
      <c r="G632" s="305">
        <f>'JULIO-18  '!I621</f>
        <v>0</v>
      </c>
      <c r="H632" s="51"/>
      <c r="I632" s="17">
        <f t="shared" si="12"/>
        <v>0</v>
      </c>
      <c r="J632" s="56"/>
      <c r="K632" s="337"/>
    </row>
    <row r="633" spans="1:11" ht="44.25">
      <c r="A633" s="11">
        <v>54399</v>
      </c>
      <c r="B633" s="53" t="s">
        <v>748</v>
      </c>
      <c r="C633" s="13"/>
      <c r="D633" s="14" t="s">
        <v>18</v>
      </c>
      <c r="E633" s="14" t="s">
        <v>28</v>
      </c>
      <c r="F633" s="14" t="s">
        <v>27</v>
      </c>
      <c r="G633" s="305">
        <f>'JULIO-18  '!I622</f>
        <v>0</v>
      </c>
      <c r="H633" s="51"/>
      <c r="I633" s="17">
        <f t="shared" si="12"/>
        <v>0</v>
      </c>
      <c r="J633" s="56"/>
      <c r="K633" s="337"/>
    </row>
    <row r="634" spans="1:11" ht="29.25">
      <c r="A634" s="11">
        <v>55603</v>
      </c>
      <c r="B634" s="53" t="s">
        <v>749</v>
      </c>
      <c r="C634" s="13"/>
      <c r="D634" s="14" t="s">
        <v>18</v>
      </c>
      <c r="E634" s="14" t="s">
        <v>28</v>
      </c>
      <c r="F634" s="14" t="s">
        <v>27</v>
      </c>
      <c r="G634" s="305">
        <f>'JULIO-18  '!I623</f>
        <v>10</v>
      </c>
      <c r="H634" s="51"/>
      <c r="I634" s="17">
        <f t="shared" si="12"/>
        <v>0</v>
      </c>
      <c r="J634" s="56"/>
      <c r="K634" s="142">
        <v>10</v>
      </c>
    </row>
    <row r="635" spans="1:11">
      <c r="A635" s="11"/>
      <c r="B635" s="54"/>
      <c r="C635" s="13"/>
      <c r="D635" s="14"/>
      <c r="E635" s="14"/>
      <c r="F635" s="14"/>
      <c r="G635" s="305">
        <f>'JULIO-18  '!I624</f>
        <v>0</v>
      </c>
      <c r="H635" s="51"/>
      <c r="I635" s="17"/>
      <c r="J635" s="56"/>
      <c r="K635" s="56"/>
    </row>
    <row r="636" spans="1:11" ht="60">
      <c r="A636" s="141" t="s">
        <v>443</v>
      </c>
      <c r="B636" s="53" t="s">
        <v>750</v>
      </c>
      <c r="C636" s="13"/>
      <c r="D636" s="14"/>
      <c r="E636" s="14"/>
      <c r="F636" s="14"/>
      <c r="G636" s="305">
        <f>'JULIO-18  '!I625</f>
        <v>0</v>
      </c>
      <c r="H636" s="51"/>
      <c r="I636" s="17"/>
      <c r="J636" s="56"/>
      <c r="K636" s="56"/>
    </row>
    <row r="637" spans="1:11" ht="29.25">
      <c r="A637" s="11">
        <v>51202</v>
      </c>
      <c r="B637" s="53" t="s">
        <v>741</v>
      </c>
      <c r="C637" s="13"/>
      <c r="D637" s="14" t="s">
        <v>18</v>
      </c>
      <c r="E637" s="14" t="s">
        <v>28</v>
      </c>
      <c r="F637" s="14" t="s">
        <v>27</v>
      </c>
      <c r="G637" s="305">
        <f>'JULIO-18  '!I626</f>
        <v>3000</v>
      </c>
      <c r="H637" s="51"/>
      <c r="I637" s="17">
        <f t="shared" ref="I637:I703" si="13">G637-H637+J637-K637</f>
        <v>3000</v>
      </c>
      <c r="J637" s="56"/>
      <c r="K637" s="56"/>
    </row>
    <row r="638" spans="1:11" ht="29.25">
      <c r="A638" s="11">
        <v>54110</v>
      </c>
      <c r="B638" s="53" t="s">
        <v>751</v>
      </c>
      <c r="C638" s="13"/>
      <c r="D638" s="14" t="s">
        <v>18</v>
      </c>
      <c r="E638" s="14" t="s">
        <v>28</v>
      </c>
      <c r="F638" s="14" t="s">
        <v>27</v>
      </c>
      <c r="G638" s="305">
        <f>'JULIO-18  '!I627</f>
        <v>100</v>
      </c>
      <c r="H638" s="51"/>
      <c r="I638" s="17">
        <f t="shared" si="13"/>
        <v>100</v>
      </c>
      <c r="J638" s="56"/>
      <c r="K638" s="56"/>
    </row>
    <row r="639" spans="1:11" ht="43.5">
      <c r="A639" s="11">
        <v>54111</v>
      </c>
      <c r="B639" s="53" t="s">
        <v>752</v>
      </c>
      <c r="C639" s="13"/>
      <c r="D639" s="14" t="s">
        <v>18</v>
      </c>
      <c r="E639" s="14" t="s">
        <v>28</v>
      </c>
      <c r="F639" s="14" t="s">
        <v>27</v>
      </c>
      <c r="G639" s="305">
        <f>'JULIO-18  '!I628</f>
        <v>2000</v>
      </c>
      <c r="H639" s="51"/>
      <c r="I639" s="17">
        <f t="shared" si="13"/>
        <v>2000</v>
      </c>
      <c r="J639" s="56"/>
      <c r="K639" s="56"/>
    </row>
    <row r="640" spans="1:11" ht="29.25">
      <c r="A640" s="11">
        <v>54118</v>
      </c>
      <c r="B640" s="53" t="s">
        <v>753</v>
      </c>
      <c r="C640" s="13"/>
      <c r="D640" s="14" t="s">
        <v>18</v>
      </c>
      <c r="E640" s="14" t="s">
        <v>28</v>
      </c>
      <c r="F640" s="14" t="s">
        <v>27</v>
      </c>
      <c r="G640" s="305">
        <f>'JULIO-18  '!I629</f>
        <v>290</v>
      </c>
      <c r="H640" s="51"/>
      <c r="I640" s="17">
        <f t="shared" si="13"/>
        <v>290</v>
      </c>
      <c r="J640" s="56"/>
      <c r="K640" s="56"/>
    </row>
    <row r="641" spans="1:11" ht="29.25">
      <c r="A641" s="11">
        <v>54304</v>
      </c>
      <c r="B641" s="53" t="s">
        <v>754</v>
      </c>
      <c r="C641" s="13"/>
      <c r="D641" s="14" t="s">
        <v>18</v>
      </c>
      <c r="E641" s="14" t="s">
        <v>28</v>
      </c>
      <c r="F641" s="14" t="s">
        <v>27</v>
      </c>
      <c r="G641" s="305">
        <f>'JULIO-18  '!I630</f>
        <v>100</v>
      </c>
      <c r="H641" s="51"/>
      <c r="I641" s="17">
        <f t="shared" si="13"/>
        <v>100</v>
      </c>
      <c r="J641" s="56"/>
      <c r="K641" s="56"/>
    </row>
    <row r="642" spans="1:11" ht="29.25">
      <c r="A642" s="11">
        <v>54313</v>
      </c>
      <c r="B642" s="53" t="s">
        <v>755</v>
      </c>
      <c r="C642" s="13"/>
      <c r="D642" s="14" t="s">
        <v>18</v>
      </c>
      <c r="E642" s="14" t="s">
        <v>28</v>
      </c>
      <c r="F642" s="14" t="s">
        <v>27</v>
      </c>
      <c r="G642" s="305">
        <f>'JULIO-18  '!I631</f>
        <v>300</v>
      </c>
      <c r="H642" s="17"/>
      <c r="I642" s="17">
        <f t="shared" si="13"/>
        <v>300</v>
      </c>
      <c r="J642" s="56"/>
      <c r="K642" s="56"/>
    </row>
    <row r="643" spans="1:11" ht="43.5">
      <c r="A643" s="11">
        <v>54399</v>
      </c>
      <c r="B643" s="53" t="s">
        <v>756</v>
      </c>
      <c r="C643" s="13"/>
      <c r="D643" s="14" t="s">
        <v>18</v>
      </c>
      <c r="E643" s="14" t="s">
        <v>28</v>
      </c>
      <c r="F643" s="14" t="s">
        <v>27</v>
      </c>
      <c r="G643" s="305">
        <f>'JULIO-18  '!I632</f>
        <v>200</v>
      </c>
      <c r="H643" s="51"/>
      <c r="I643" s="17">
        <f t="shared" si="13"/>
        <v>200</v>
      </c>
      <c r="J643" s="56"/>
      <c r="K643" s="56"/>
    </row>
    <row r="644" spans="1:11" ht="29.25">
      <c r="A644" s="11">
        <v>55603</v>
      </c>
      <c r="B644" s="53" t="s">
        <v>757</v>
      </c>
      <c r="C644" s="13"/>
      <c r="D644" s="14" t="s">
        <v>18</v>
      </c>
      <c r="E644" s="14" t="s">
        <v>28</v>
      </c>
      <c r="F644" s="14" t="s">
        <v>27</v>
      </c>
      <c r="G644" s="305">
        <f>'JULIO-18  '!I633</f>
        <v>10</v>
      </c>
      <c r="H644" s="51"/>
      <c r="I644" s="17">
        <f t="shared" si="13"/>
        <v>10</v>
      </c>
      <c r="J644" s="56"/>
      <c r="K644" s="56"/>
    </row>
    <row r="645" spans="1:11" ht="60">
      <c r="A645" s="141" t="s">
        <v>451</v>
      </c>
      <c r="B645" s="53" t="s">
        <v>758</v>
      </c>
      <c r="C645" s="13"/>
      <c r="D645" s="14"/>
      <c r="E645" s="14"/>
      <c r="F645" s="14"/>
      <c r="G645" s="305">
        <f>'JULIO-18  '!I634</f>
        <v>0</v>
      </c>
      <c r="H645" s="51"/>
      <c r="I645" s="17"/>
      <c r="J645" s="56"/>
      <c r="K645" s="56"/>
    </row>
    <row r="646" spans="1:11" ht="29.25">
      <c r="A646" s="11">
        <v>51202</v>
      </c>
      <c r="B646" s="54" t="s">
        <v>759</v>
      </c>
      <c r="C646" s="13"/>
      <c r="D646" s="14" t="s">
        <v>18</v>
      </c>
      <c r="E646" s="14" t="s">
        <v>28</v>
      </c>
      <c r="F646" s="14" t="s">
        <v>27</v>
      </c>
      <c r="G646" s="305">
        <f>'JULIO-18  '!I635</f>
        <v>0</v>
      </c>
      <c r="H646" s="51"/>
      <c r="I646" s="17">
        <f t="shared" si="13"/>
        <v>0</v>
      </c>
      <c r="J646" s="56"/>
      <c r="K646" s="142"/>
    </row>
    <row r="647" spans="1:11" ht="29.25">
      <c r="A647" s="11">
        <v>54110</v>
      </c>
      <c r="B647" s="54" t="s">
        <v>760</v>
      </c>
      <c r="C647" s="13"/>
      <c r="D647" s="14" t="s">
        <v>18</v>
      </c>
      <c r="E647" s="14" t="s">
        <v>28</v>
      </c>
      <c r="F647" s="14" t="s">
        <v>27</v>
      </c>
      <c r="G647" s="305">
        <f>'JULIO-18  '!I636</f>
        <v>0</v>
      </c>
      <c r="H647" s="51"/>
      <c r="I647" s="17">
        <f t="shared" si="13"/>
        <v>0</v>
      </c>
      <c r="J647" s="56"/>
      <c r="K647" s="142"/>
    </row>
    <row r="648" spans="1:11" ht="41.25" customHeight="1">
      <c r="A648" s="11">
        <v>54111</v>
      </c>
      <c r="B648" s="54" t="s">
        <v>761</v>
      </c>
      <c r="C648" s="13"/>
      <c r="D648" s="14" t="s">
        <v>18</v>
      </c>
      <c r="E648" s="14" t="s">
        <v>28</v>
      </c>
      <c r="F648" s="14" t="s">
        <v>27</v>
      </c>
      <c r="G648" s="305">
        <f>'JULIO-18  '!I637</f>
        <v>0</v>
      </c>
      <c r="H648" s="51"/>
      <c r="I648" s="17">
        <f t="shared" si="13"/>
        <v>0</v>
      </c>
      <c r="J648" s="56"/>
      <c r="K648" s="142"/>
    </row>
    <row r="649" spans="1:11" ht="30" customHeight="1">
      <c r="A649" s="11">
        <v>54118</v>
      </c>
      <c r="B649" s="54" t="s">
        <v>762</v>
      </c>
      <c r="C649" s="13"/>
      <c r="D649" s="14" t="s">
        <v>18</v>
      </c>
      <c r="E649" s="14" t="s">
        <v>28</v>
      </c>
      <c r="F649" s="14" t="s">
        <v>27</v>
      </c>
      <c r="G649" s="305">
        <f>'JULIO-18  '!I638</f>
        <v>0</v>
      </c>
      <c r="H649" s="51"/>
      <c r="I649" s="17">
        <f t="shared" si="13"/>
        <v>0</v>
      </c>
      <c r="J649" s="56"/>
      <c r="K649" s="142"/>
    </row>
    <row r="650" spans="1:11" ht="29.25">
      <c r="A650" s="11">
        <v>54313</v>
      </c>
      <c r="B650" s="54" t="s">
        <v>763</v>
      </c>
      <c r="C650" s="13"/>
      <c r="D650" s="14" t="s">
        <v>18</v>
      </c>
      <c r="E650" s="14" t="s">
        <v>28</v>
      </c>
      <c r="F650" s="14" t="s">
        <v>27</v>
      </c>
      <c r="G650" s="305">
        <f>'JULIO-18  '!I639</f>
        <v>0</v>
      </c>
      <c r="H650" s="51"/>
      <c r="I650" s="17">
        <f t="shared" si="13"/>
        <v>0</v>
      </c>
      <c r="J650" s="56"/>
      <c r="K650" s="142"/>
    </row>
    <row r="651" spans="1:11" ht="44.25">
      <c r="A651" s="11">
        <v>54399</v>
      </c>
      <c r="B651" s="54" t="s">
        <v>764</v>
      </c>
      <c r="C651" s="13"/>
      <c r="D651" s="14" t="s">
        <v>18</v>
      </c>
      <c r="E651" s="14" t="s">
        <v>28</v>
      </c>
      <c r="F651" s="14" t="s">
        <v>27</v>
      </c>
      <c r="G651" s="305">
        <f>'JULIO-18  '!I640</f>
        <v>0</v>
      </c>
      <c r="H651" s="51"/>
      <c r="I651" s="17">
        <f t="shared" si="13"/>
        <v>0</v>
      </c>
      <c r="J651" s="56"/>
      <c r="K651" s="142"/>
    </row>
    <row r="652" spans="1:11" ht="29.25">
      <c r="A652" s="11">
        <v>55603</v>
      </c>
      <c r="B652" s="54" t="s">
        <v>765</v>
      </c>
      <c r="C652" s="13"/>
      <c r="D652" s="14" t="s">
        <v>18</v>
      </c>
      <c r="E652" s="14" t="s">
        <v>28</v>
      </c>
      <c r="F652" s="14" t="s">
        <v>27</v>
      </c>
      <c r="G652" s="305">
        <f>'JULIO-18  '!I641</f>
        <v>0</v>
      </c>
      <c r="H652" s="51"/>
      <c r="I652" s="17">
        <f t="shared" si="13"/>
        <v>0</v>
      </c>
      <c r="J652" s="56"/>
      <c r="K652" s="142"/>
    </row>
    <row r="653" spans="1:11" ht="78.75" customHeight="1">
      <c r="A653" s="141" t="s">
        <v>459</v>
      </c>
      <c r="B653" s="53" t="s">
        <v>766</v>
      </c>
      <c r="C653" s="13"/>
      <c r="D653" s="14"/>
      <c r="E653" s="14"/>
      <c r="F653" s="14"/>
      <c r="G653" s="305">
        <f>'JULIO-18  '!I642</f>
        <v>0</v>
      </c>
      <c r="H653" s="51"/>
      <c r="I653" s="17"/>
      <c r="J653" s="56"/>
      <c r="K653" s="56"/>
    </row>
    <row r="654" spans="1:11" ht="29.25">
      <c r="A654" s="11">
        <v>51202</v>
      </c>
      <c r="B654" s="54" t="s">
        <v>767</v>
      </c>
      <c r="C654" s="13"/>
      <c r="D654" s="14" t="s">
        <v>18</v>
      </c>
      <c r="E654" s="14" t="s">
        <v>28</v>
      </c>
      <c r="F654" s="14" t="s">
        <v>27</v>
      </c>
      <c r="G654" s="305">
        <f>'JULIO-18  '!I643</f>
        <v>0</v>
      </c>
      <c r="H654" s="51"/>
      <c r="I654" s="17">
        <f t="shared" si="13"/>
        <v>0</v>
      </c>
      <c r="J654" s="56"/>
      <c r="K654" s="137"/>
    </row>
    <row r="655" spans="1:11" ht="29.25">
      <c r="A655" s="11">
        <v>54110</v>
      </c>
      <c r="B655" s="54" t="s">
        <v>768</v>
      </c>
      <c r="C655" s="13"/>
      <c r="D655" s="14" t="s">
        <v>18</v>
      </c>
      <c r="E655" s="14" t="s">
        <v>28</v>
      </c>
      <c r="F655" s="14" t="s">
        <v>27</v>
      </c>
      <c r="G655" s="305">
        <f>'JULIO-18  '!I644</f>
        <v>0</v>
      </c>
      <c r="H655" s="51"/>
      <c r="I655" s="17">
        <f t="shared" si="13"/>
        <v>0</v>
      </c>
      <c r="J655" s="56"/>
      <c r="K655" s="137"/>
    </row>
    <row r="656" spans="1:11" ht="43.5">
      <c r="A656" s="11">
        <v>54111</v>
      </c>
      <c r="B656" s="54" t="s">
        <v>769</v>
      </c>
      <c r="C656" s="13"/>
      <c r="D656" s="14" t="s">
        <v>18</v>
      </c>
      <c r="E656" s="14" t="s">
        <v>28</v>
      </c>
      <c r="F656" s="14" t="s">
        <v>27</v>
      </c>
      <c r="G656" s="305">
        <f>'JULIO-18  '!I645</f>
        <v>0</v>
      </c>
      <c r="H656" s="51"/>
      <c r="I656" s="17">
        <f t="shared" si="13"/>
        <v>0</v>
      </c>
      <c r="J656" s="56"/>
      <c r="K656" s="137"/>
    </row>
    <row r="657" spans="1:11" ht="43.5">
      <c r="A657" s="11">
        <v>54118</v>
      </c>
      <c r="B657" s="54" t="s">
        <v>770</v>
      </c>
      <c r="C657" s="13"/>
      <c r="D657" s="14" t="s">
        <v>18</v>
      </c>
      <c r="E657" s="14" t="s">
        <v>28</v>
      </c>
      <c r="F657" s="14" t="s">
        <v>27</v>
      </c>
      <c r="G657" s="305">
        <f>'JULIO-18  '!I646</f>
        <v>0</v>
      </c>
      <c r="H657" s="51"/>
      <c r="I657" s="17">
        <f t="shared" si="13"/>
        <v>0</v>
      </c>
      <c r="J657" s="56"/>
      <c r="K657" s="137"/>
    </row>
    <row r="658" spans="1:11" ht="44.25">
      <c r="A658" s="11">
        <v>54313</v>
      </c>
      <c r="B658" s="54" t="s">
        <v>771</v>
      </c>
      <c r="C658" s="13"/>
      <c r="D658" s="14" t="s">
        <v>18</v>
      </c>
      <c r="E658" s="14" t="s">
        <v>28</v>
      </c>
      <c r="F658" s="14" t="s">
        <v>27</v>
      </c>
      <c r="G658" s="305">
        <f>'JULIO-18  '!I647</f>
        <v>0</v>
      </c>
      <c r="H658" s="51"/>
      <c r="I658" s="17">
        <f t="shared" si="13"/>
        <v>0</v>
      </c>
      <c r="J658" s="56"/>
      <c r="K658" s="137"/>
    </row>
    <row r="659" spans="1:11" ht="43.5">
      <c r="A659" s="11">
        <v>54399</v>
      </c>
      <c r="B659" s="54" t="s">
        <v>772</v>
      </c>
      <c r="C659" s="13"/>
      <c r="D659" s="14" t="s">
        <v>18</v>
      </c>
      <c r="E659" s="14" t="s">
        <v>28</v>
      </c>
      <c r="F659" s="14" t="s">
        <v>27</v>
      </c>
      <c r="G659" s="305">
        <f>'JULIO-18  '!I648</f>
        <v>0</v>
      </c>
      <c r="H659" s="51"/>
      <c r="I659" s="17">
        <f t="shared" si="13"/>
        <v>0</v>
      </c>
      <c r="J659" s="56"/>
      <c r="K659" s="137"/>
    </row>
    <row r="660" spans="1:11" ht="43.5">
      <c r="A660" s="11">
        <v>55603</v>
      </c>
      <c r="B660" s="54" t="s">
        <v>773</v>
      </c>
      <c r="C660" s="13"/>
      <c r="D660" s="14" t="s">
        <v>18</v>
      </c>
      <c r="E660" s="14" t="s">
        <v>28</v>
      </c>
      <c r="F660" s="14" t="s">
        <v>27</v>
      </c>
      <c r="G660" s="305">
        <f>'JULIO-18  '!I649</f>
        <v>0</v>
      </c>
      <c r="H660" s="51"/>
      <c r="I660" s="17">
        <f t="shared" si="13"/>
        <v>0</v>
      </c>
      <c r="J660" s="56"/>
      <c r="K660" s="137"/>
    </row>
    <row r="661" spans="1:11" ht="74.25">
      <c r="A661" s="141" t="s">
        <v>461</v>
      </c>
      <c r="B661" s="53" t="s">
        <v>774</v>
      </c>
      <c r="C661" s="13"/>
      <c r="D661" s="14"/>
      <c r="E661" s="14"/>
      <c r="F661" s="14"/>
      <c r="G661" s="305">
        <f>'JULIO-18  '!I650</f>
        <v>0</v>
      </c>
      <c r="H661" s="51"/>
      <c r="I661" s="17"/>
      <c r="J661" s="56"/>
      <c r="K661" s="56"/>
    </row>
    <row r="662" spans="1:11" ht="29.25">
      <c r="A662" s="11">
        <v>51202</v>
      </c>
      <c r="B662" s="54" t="s">
        <v>775</v>
      </c>
      <c r="C662" s="13"/>
      <c r="D662" s="14" t="s">
        <v>18</v>
      </c>
      <c r="E662" s="14" t="s">
        <v>28</v>
      </c>
      <c r="F662" s="14" t="s">
        <v>27</v>
      </c>
      <c r="G662" s="305">
        <f>'JULIO-18  '!I651</f>
        <v>7000</v>
      </c>
      <c r="H662" s="51"/>
      <c r="I662" s="17">
        <f t="shared" si="13"/>
        <v>7000</v>
      </c>
      <c r="J662" s="56"/>
      <c r="K662" s="56"/>
    </row>
    <row r="663" spans="1:11" ht="29.25">
      <c r="A663" s="11">
        <v>54110</v>
      </c>
      <c r="B663" s="54" t="s">
        <v>776</v>
      </c>
      <c r="C663" s="13"/>
      <c r="D663" s="14" t="s">
        <v>18</v>
      </c>
      <c r="E663" s="14" t="s">
        <v>28</v>
      </c>
      <c r="F663" s="14" t="s">
        <v>27</v>
      </c>
      <c r="G663" s="305">
        <f>'JULIO-18  '!I652</f>
        <v>200</v>
      </c>
      <c r="H663" s="51"/>
      <c r="I663" s="17">
        <f t="shared" si="13"/>
        <v>200</v>
      </c>
      <c r="J663" s="56"/>
      <c r="K663" s="56"/>
    </row>
    <row r="664" spans="1:11" ht="44.25">
      <c r="A664" s="11">
        <v>54111</v>
      </c>
      <c r="B664" s="54" t="s">
        <v>777</v>
      </c>
      <c r="C664" s="13"/>
      <c r="D664" s="14" t="s">
        <v>18</v>
      </c>
      <c r="E664" s="14" t="s">
        <v>28</v>
      </c>
      <c r="F664" s="14" t="s">
        <v>27</v>
      </c>
      <c r="G664" s="305">
        <f>'JULIO-18  '!I653</f>
        <v>9290</v>
      </c>
      <c r="H664" s="51"/>
      <c r="I664" s="17">
        <f t="shared" si="13"/>
        <v>9290</v>
      </c>
      <c r="J664" s="56"/>
      <c r="K664" s="56"/>
    </row>
    <row r="665" spans="1:11" ht="43.5">
      <c r="A665" s="11">
        <v>54118</v>
      </c>
      <c r="B665" s="54" t="s">
        <v>778</v>
      </c>
      <c r="C665" s="13"/>
      <c r="D665" s="14" t="s">
        <v>18</v>
      </c>
      <c r="E665" s="14" t="s">
        <v>28</v>
      </c>
      <c r="F665" s="14" t="s">
        <v>27</v>
      </c>
      <c r="G665" s="305">
        <f>'JULIO-18  '!I654</f>
        <v>3000</v>
      </c>
      <c r="H665" s="51"/>
      <c r="I665" s="17">
        <f t="shared" si="13"/>
        <v>3000</v>
      </c>
      <c r="J665" s="56"/>
      <c r="K665" s="56"/>
    </row>
    <row r="666" spans="1:11" ht="43.5">
      <c r="A666" s="11">
        <v>54313</v>
      </c>
      <c r="B666" s="54" t="s">
        <v>779</v>
      </c>
      <c r="C666" s="13"/>
      <c r="D666" s="14" t="s">
        <v>18</v>
      </c>
      <c r="E666" s="14" t="s">
        <v>28</v>
      </c>
      <c r="F666" s="14" t="s">
        <v>27</v>
      </c>
      <c r="G666" s="305">
        <f>'JULIO-18  '!I655</f>
        <v>300</v>
      </c>
      <c r="H666" s="51"/>
      <c r="I666" s="17">
        <f t="shared" si="13"/>
        <v>300</v>
      </c>
      <c r="J666" s="56"/>
      <c r="K666" s="56"/>
    </row>
    <row r="667" spans="1:11" ht="43.5">
      <c r="A667" s="11">
        <v>54399</v>
      </c>
      <c r="B667" s="54" t="s">
        <v>780</v>
      </c>
      <c r="C667" s="13"/>
      <c r="D667" s="14" t="s">
        <v>18</v>
      </c>
      <c r="E667" s="14" t="s">
        <v>28</v>
      </c>
      <c r="F667" s="14" t="s">
        <v>27</v>
      </c>
      <c r="G667" s="305">
        <f>'JULIO-18  '!I656</f>
        <v>200</v>
      </c>
      <c r="H667" s="51"/>
      <c r="I667" s="17">
        <f t="shared" si="13"/>
        <v>200</v>
      </c>
      <c r="J667" s="56"/>
      <c r="K667" s="56"/>
    </row>
    <row r="668" spans="1:11" ht="43.5">
      <c r="A668" s="11">
        <v>55603</v>
      </c>
      <c r="B668" s="54" t="s">
        <v>781</v>
      </c>
      <c r="C668" s="13"/>
      <c r="D668" s="14" t="s">
        <v>18</v>
      </c>
      <c r="E668" s="14" t="s">
        <v>28</v>
      </c>
      <c r="F668" s="14" t="s">
        <v>27</v>
      </c>
      <c r="G668" s="305">
        <f>'JULIO-18  '!I657</f>
        <v>10</v>
      </c>
      <c r="H668" s="51"/>
      <c r="I668" s="17">
        <f t="shared" si="13"/>
        <v>10</v>
      </c>
      <c r="J668" s="56"/>
      <c r="K668" s="56"/>
    </row>
    <row r="669" spans="1:11" ht="89.25">
      <c r="A669" s="141" t="s">
        <v>468</v>
      </c>
      <c r="B669" s="53" t="s">
        <v>782</v>
      </c>
      <c r="C669" s="13"/>
      <c r="D669" s="14"/>
      <c r="E669" s="14"/>
      <c r="F669" s="14"/>
      <c r="G669" s="305">
        <f>'JULIO-18  '!I658</f>
        <v>0</v>
      </c>
      <c r="H669" s="51"/>
      <c r="I669" s="17"/>
      <c r="J669" s="56"/>
      <c r="K669" s="56"/>
    </row>
    <row r="670" spans="1:11" ht="29.25">
      <c r="A670" s="11">
        <v>51202</v>
      </c>
      <c r="B670" s="54" t="s">
        <v>783</v>
      </c>
      <c r="C670" s="13"/>
      <c r="D670" s="14" t="s">
        <v>18</v>
      </c>
      <c r="E670" s="14" t="s">
        <v>28</v>
      </c>
      <c r="F670" s="14" t="s">
        <v>27</v>
      </c>
      <c r="G670" s="305">
        <f>'JULIO-18  '!I659</f>
        <v>7000</v>
      </c>
      <c r="H670" s="51"/>
      <c r="I670" s="17">
        <f t="shared" si="13"/>
        <v>7000</v>
      </c>
      <c r="J670" s="56"/>
      <c r="K670" s="56"/>
    </row>
    <row r="671" spans="1:11" ht="43.5">
      <c r="A671" s="11">
        <v>54110</v>
      </c>
      <c r="B671" s="54" t="s">
        <v>784</v>
      </c>
      <c r="C671" s="13"/>
      <c r="D671" s="14" t="s">
        <v>18</v>
      </c>
      <c r="E671" s="14" t="s">
        <v>28</v>
      </c>
      <c r="F671" s="14" t="s">
        <v>27</v>
      </c>
      <c r="G671" s="305">
        <f>'JULIO-18  '!I660</f>
        <v>200</v>
      </c>
      <c r="H671" s="51"/>
      <c r="I671" s="17">
        <f t="shared" si="13"/>
        <v>200</v>
      </c>
      <c r="J671" s="56"/>
      <c r="K671" s="56"/>
    </row>
    <row r="672" spans="1:11" ht="44.25">
      <c r="A672" s="11">
        <v>54111</v>
      </c>
      <c r="B672" s="53" t="s">
        <v>785</v>
      </c>
      <c r="C672" s="13"/>
      <c r="D672" s="14" t="s">
        <v>18</v>
      </c>
      <c r="E672" s="14" t="s">
        <v>28</v>
      </c>
      <c r="F672" s="14" t="s">
        <v>27</v>
      </c>
      <c r="G672" s="305">
        <f>'JULIO-18  '!I661</f>
        <v>9290</v>
      </c>
      <c r="H672" s="51"/>
      <c r="I672" s="17">
        <f t="shared" si="13"/>
        <v>9290</v>
      </c>
      <c r="J672" s="56"/>
      <c r="K672" s="56"/>
    </row>
    <row r="673" spans="1:11" ht="43.5">
      <c r="A673" s="11">
        <v>54118</v>
      </c>
      <c r="B673" s="54" t="s">
        <v>786</v>
      </c>
      <c r="C673" s="13"/>
      <c r="D673" s="14" t="s">
        <v>18</v>
      </c>
      <c r="E673" s="14" t="s">
        <v>28</v>
      </c>
      <c r="F673" s="14" t="s">
        <v>27</v>
      </c>
      <c r="G673" s="305">
        <f>'JULIO-18  '!I662</f>
        <v>3000</v>
      </c>
      <c r="H673" s="51"/>
      <c r="I673" s="17">
        <f t="shared" si="13"/>
        <v>3000</v>
      </c>
      <c r="J673" s="56"/>
      <c r="K673" s="56"/>
    </row>
    <row r="674" spans="1:11" ht="44.25">
      <c r="A674" s="11">
        <v>54313</v>
      </c>
      <c r="B674" s="54" t="s">
        <v>787</v>
      </c>
      <c r="C674" s="13"/>
      <c r="D674" s="14" t="s">
        <v>18</v>
      </c>
      <c r="E674" s="14" t="s">
        <v>28</v>
      </c>
      <c r="F674" s="14" t="s">
        <v>27</v>
      </c>
      <c r="G674" s="305">
        <f>'JULIO-18  '!I663</f>
        <v>300</v>
      </c>
      <c r="H674" s="51"/>
      <c r="I674" s="17">
        <f t="shared" si="13"/>
        <v>300</v>
      </c>
      <c r="J674" s="56"/>
      <c r="K674" s="56"/>
    </row>
    <row r="675" spans="1:11" ht="44.25">
      <c r="A675" s="11">
        <v>54399</v>
      </c>
      <c r="B675" s="54" t="s">
        <v>788</v>
      </c>
      <c r="C675" s="13"/>
      <c r="D675" s="14" t="s">
        <v>18</v>
      </c>
      <c r="E675" s="14" t="s">
        <v>28</v>
      </c>
      <c r="F675" s="14" t="s">
        <v>27</v>
      </c>
      <c r="G675" s="305">
        <f>'JULIO-18  '!I664</f>
        <v>200</v>
      </c>
      <c r="H675" s="51"/>
      <c r="I675" s="17">
        <f t="shared" si="13"/>
        <v>200</v>
      </c>
      <c r="J675" s="56"/>
      <c r="K675" s="56"/>
    </row>
    <row r="676" spans="1:11" ht="40.5" customHeight="1">
      <c r="A676" s="11">
        <v>55603</v>
      </c>
      <c r="B676" s="54" t="s">
        <v>789</v>
      </c>
      <c r="C676" s="13"/>
      <c r="D676" s="14" t="s">
        <v>18</v>
      </c>
      <c r="E676" s="14" t="s">
        <v>28</v>
      </c>
      <c r="F676" s="14" t="s">
        <v>27</v>
      </c>
      <c r="G676" s="305">
        <f>'JULIO-18  '!I665</f>
        <v>10</v>
      </c>
      <c r="H676" s="51"/>
      <c r="I676" s="17">
        <f t="shared" si="13"/>
        <v>10</v>
      </c>
      <c r="J676" s="56"/>
      <c r="K676" s="56"/>
    </row>
    <row r="677" spans="1:11" ht="60">
      <c r="A677" s="144" t="s">
        <v>477</v>
      </c>
      <c r="B677" s="53" t="s">
        <v>791</v>
      </c>
      <c r="C677" s="13"/>
      <c r="D677" s="14"/>
      <c r="E677" s="14"/>
      <c r="F677" s="14"/>
      <c r="G677" s="305">
        <f>'JULIO-18  '!I666</f>
        <v>0</v>
      </c>
      <c r="H677" s="51"/>
      <c r="I677" s="17"/>
      <c r="J677" s="56"/>
      <c r="K677" s="56"/>
    </row>
    <row r="678" spans="1:11" ht="30">
      <c r="A678" s="11">
        <v>51202</v>
      </c>
      <c r="B678" s="54" t="s">
        <v>792</v>
      </c>
      <c r="C678" s="13"/>
      <c r="D678" s="14" t="s">
        <v>18</v>
      </c>
      <c r="E678" s="14" t="s">
        <v>28</v>
      </c>
      <c r="F678" s="14" t="s">
        <v>27</v>
      </c>
      <c r="G678" s="305">
        <f>'JULIO-18  '!I667</f>
        <v>9000</v>
      </c>
      <c r="H678" s="51"/>
      <c r="I678" s="17">
        <f t="shared" si="13"/>
        <v>9000</v>
      </c>
      <c r="J678" s="56"/>
      <c r="K678" s="56"/>
    </row>
    <row r="679" spans="1:11" ht="30">
      <c r="A679" s="11">
        <v>54110</v>
      </c>
      <c r="B679" s="54" t="s">
        <v>793</v>
      </c>
      <c r="C679" s="13"/>
      <c r="D679" s="14" t="s">
        <v>18</v>
      </c>
      <c r="E679" s="14" t="s">
        <v>28</v>
      </c>
      <c r="F679" s="14" t="s">
        <v>27</v>
      </c>
      <c r="G679" s="305">
        <f>'JULIO-18  '!I668</f>
        <v>200</v>
      </c>
      <c r="H679" s="51"/>
      <c r="I679" s="17">
        <f t="shared" si="13"/>
        <v>200</v>
      </c>
      <c r="J679" s="56"/>
      <c r="K679" s="56"/>
    </row>
    <row r="680" spans="1:11" ht="30">
      <c r="A680" s="11">
        <v>54111</v>
      </c>
      <c r="B680" s="54" t="s">
        <v>794</v>
      </c>
      <c r="C680" s="13"/>
      <c r="D680" s="14" t="s">
        <v>18</v>
      </c>
      <c r="E680" s="14" t="s">
        <v>28</v>
      </c>
      <c r="F680" s="14" t="s">
        <v>27</v>
      </c>
      <c r="G680" s="305">
        <f>'JULIO-18  '!I669</f>
        <v>11290</v>
      </c>
      <c r="H680" s="51"/>
      <c r="I680" s="17">
        <f t="shared" si="13"/>
        <v>11290</v>
      </c>
      <c r="J680" s="56"/>
      <c r="K680" s="56"/>
    </row>
    <row r="681" spans="1:11" ht="30">
      <c r="A681" s="11">
        <v>54118</v>
      </c>
      <c r="B681" s="54" t="s">
        <v>795</v>
      </c>
      <c r="C681" s="13"/>
      <c r="D681" s="14" t="s">
        <v>18</v>
      </c>
      <c r="E681" s="14" t="s">
        <v>28</v>
      </c>
      <c r="F681" s="14" t="s">
        <v>27</v>
      </c>
      <c r="G681" s="305">
        <f>'JULIO-18  '!I670</f>
        <v>3000</v>
      </c>
      <c r="H681" s="51"/>
      <c r="I681" s="17">
        <f t="shared" si="13"/>
        <v>3000</v>
      </c>
      <c r="J681" s="56"/>
      <c r="K681" s="56"/>
    </row>
    <row r="682" spans="1:11" ht="45">
      <c r="A682" s="11">
        <v>54313</v>
      </c>
      <c r="B682" s="54" t="s">
        <v>796</v>
      </c>
      <c r="C682" s="13"/>
      <c r="D682" s="14" t="s">
        <v>18</v>
      </c>
      <c r="E682" s="14" t="s">
        <v>28</v>
      </c>
      <c r="F682" s="14" t="s">
        <v>27</v>
      </c>
      <c r="G682" s="305">
        <f>'JULIO-18  '!I671</f>
        <v>300</v>
      </c>
      <c r="H682" s="51"/>
      <c r="I682" s="17">
        <f t="shared" si="13"/>
        <v>300</v>
      </c>
      <c r="J682" s="56"/>
      <c r="K682" s="56"/>
    </row>
    <row r="683" spans="1:11" ht="30">
      <c r="A683" s="11">
        <v>54399</v>
      </c>
      <c r="B683" s="54" t="s">
        <v>797</v>
      </c>
      <c r="C683" s="13"/>
      <c r="D683" s="14" t="s">
        <v>18</v>
      </c>
      <c r="E683" s="14" t="s">
        <v>28</v>
      </c>
      <c r="F683" s="14" t="s">
        <v>27</v>
      </c>
      <c r="G683" s="305">
        <f>'JULIO-18  '!I672</f>
        <v>1200</v>
      </c>
      <c r="H683" s="51"/>
      <c r="I683" s="17">
        <f t="shared" si="13"/>
        <v>1200</v>
      </c>
      <c r="J683" s="56"/>
      <c r="K683" s="56"/>
    </row>
    <row r="684" spans="1:11" ht="30">
      <c r="A684" s="11">
        <v>55603</v>
      </c>
      <c r="B684" s="54" t="s">
        <v>798</v>
      </c>
      <c r="C684" s="13"/>
      <c r="D684" s="14" t="s">
        <v>18</v>
      </c>
      <c r="E684" s="14" t="s">
        <v>28</v>
      </c>
      <c r="F684" s="14" t="s">
        <v>27</v>
      </c>
      <c r="G684" s="305">
        <f>'JULIO-18  '!I673</f>
        <v>10</v>
      </c>
      <c r="H684" s="51"/>
      <c r="I684" s="17">
        <f t="shared" si="13"/>
        <v>10</v>
      </c>
      <c r="J684" s="56"/>
      <c r="K684" s="56"/>
    </row>
    <row r="685" spans="1:11" ht="60">
      <c r="A685" s="141" t="s">
        <v>486</v>
      </c>
      <c r="B685" s="53" t="s">
        <v>790</v>
      </c>
      <c r="C685" s="13"/>
      <c r="D685" s="14"/>
      <c r="E685" s="14"/>
      <c r="F685" s="14"/>
      <c r="G685" s="305">
        <f>'JULIO-18  '!I674</f>
        <v>0</v>
      </c>
      <c r="H685" s="51"/>
      <c r="I685" s="17"/>
      <c r="J685" s="56"/>
      <c r="K685" s="56"/>
    </row>
    <row r="686" spans="1:11" ht="29.25">
      <c r="A686" s="11">
        <v>51202</v>
      </c>
      <c r="B686" s="54" t="s">
        <v>799</v>
      </c>
      <c r="C686" s="13"/>
      <c r="D686" s="14" t="s">
        <v>18</v>
      </c>
      <c r="E686" s="14" t="s">
        <v>28</v>
      </c>
      <c r="F686" s="14" t="s">
        <v>27</v>
      </c>
      <c r="G686" s="305">
        <f>'JULIO-18  '!I675</f>
        <v>9000</v>
      </c>
      <c r="H686" s="51"/>
      <c r="I686" s="17">
        <f t="shared" si="13"/>
        <v>9000</v>
      </c>
      <c r="J686" s="56"/>
      <c r="K686" s="56"/>
    </row>
    <row r="687" spans="1:11" ht="29.25">
      <c r="A687" s="11">
        <v>54110</v>
      </c>
      <c r="B687" s="54" t="s">
        <v>800</v>
      </c>
      <c r="C687" s="13"/>
      <c r="D687" s="14" t="s">
        <v>18</v>
      </c>
      <c r="E687" s="14" t="s">
        <v>28</v>
      </c>
      <c r="F687" s="14" t="s">
        <v>27</v>
      </c>
      <c r="G687" s="305">
        <f>'JULIO-18  '!I676</f>
        <v>200</v>
      </c>
      <c r="H687" s="51"/>
      <c r="I687" s="17">
        <f t="shared" si="13"/>
        <v>200</v>
      </c>
      <c r="J687" s="56"/>
      <c r="K687" s="56"/>
    </row>
    <row r="688" spans="1:11" ht="44.25">
      <c r="A688" s="11">
        <v>54111</v>
      </c>
      <c r="B688" s="54" t="s">
        <v>801</v>
      </c>
      <c r="C688" s="13"/>
      <c r="D688" s="14" t="s">
        <v>18</v>
      </c>
      <c r="E688" s="14" t="s">
        <v>28</v>
      </c>
      <c r="F688" s="14" t="s">
        <v>27</v>
      </c>
      <c r="G688" s="305">
        <f>'JULIO-18  '!I677</f>
        <v>12290</v>
      </c>
      <c r="H688" s="51"/>
      <c r="I688" s="17">
        <f t="shared" si="13"/>
        <v>12290</v>
      </c>
      <c r="J688" s="56"/>
      <c r="K688" s="56"/>
    </row>
    <row r="689" spans="1:11" ht="29.25">
      <c r="A689" s="11">
        <v>54118</v>
      </c>
      <c r="B689" s="54" t="s">
        <v>802</v>
      </c>
      <c r="C689" s="13"/>
      <c r="D689" s="14" t="s">
        <v>18</v>
      </c>
      <c r="E689" s="14" t="s">
        <v>28</v>
      </c>
      <c r="F689" s="14" t="s">
        <v>27</v>
      </c>
      <c r="G689" s="305">
        <f>'JULIO-18  '!I678</f>
        <v>3000</v>
      </c>
      <c r="H689" s="51"/>
      <c r="I689" s="17">
        <f t="shared" si="13"/>
        <v>3000</v>
      </c>
      <c r="J689" s="56"/>
      <c r="K689" s="56"/>
    </row>
    <row r="690" spans="1:11" ht="43.5">
      <c r="A690" s="11">
        <v>54313</v>
      </c>
      <c r="B690" s="54" t="s">
        <v>803</v>
      </c>
      <c r="C690" s="13"/>
      <c r="D690" s="14" t="s">
        <v>18</v>
      </c>
      <c r="E690" s="14" t="s">
        <v>28</v>
      </c>
      <c r="F690" s="14" t="s">
        <v>27</v>
      </c>
      <c r="G690" s="305">
        <f>'JULIO-18  '!I679</f>
        <v>300</v>
      </c>
      <c r="H690" s="51"/>
      <c r="I690" s="17">
        <f t="shared" si="13"/>
        <v>300</v>
      </c>
      <c r="J690" s="56"/>
      <c r="K690" s="56"/>
    </row>
    <row r="691" spans="1:11" ht="43.5">
      <c r="A691" s="11">
        <v>54399</v>
      </c>
      <c r="B691" s="54" t="s">
        <v>804</v>
      </c>
      <c r="C691" s="13"/>
      <c r="D691" s="14" t="s">
        <v>18</v>
      </c>
      <c r="E691" s="14" t="s">
        <v>28</v>
      </c>
      <c r="F691" s="14" t="s">
        <v>27</v>
      </c>
      <c r="G691" s="305">
        <f>'JULIO-18  '!I680</f>
        <v>200</v>
      </c>
      <c r="H691" s="51"/>
      <c r="I691" s="17">
        <f t="shared" si="13"/>
        <v>200</v>
      </c>
      <c r="J691" s="56"/>
      <c r="K691" s="56"/>
    </row>
    <row r="692" spans="1:11" ht="33.75" customHeight="1">
      <c r="A692" s="11">
        <v>55603</v>
      </c>
      <c r="B692" s="54" t="s">
        <v>805</v>
      </c>
      <c r="C692" s="13"/>
      <c r="D692" s="14" t="s">
        <v>18</v>
      </c>
      <c r="E692" s="14" t="s">
        <v>28</v>
      </c>
      <c r="F692" s="14" t="s">
        <v>27</v>
      </c>
      <c r="G692" s="305">
        <f>'JULIO-18  '!I681</f>
        <v>10</v>
      </c>
      <c r="H692" s="51"/>
      <c r="I692" s="17">
        <f t="shared" si="13"/>
        <v>10</v>
      </c>
      <c r="J692" s="56"/>
      <c r="K692" s="56"/>
    </row>
    <row r="693" spans="1:11" ht="75">
      <c r="A693" s="141" t="s">
        <v>504</v>
      </c>
      <c r="B693" s="53" t="s">
        <v>806</v>
      </c>
      <c r="C693" s="13"/>
      <c r="D693" s="14"/>
      <c r="E693" s="14"/>
      <c r="F693" s="14"/>
      <c r="G693" s="305">
        <f>'JULIO-18  '!I682</f>
        <v>0</v>
      </c>
      <c r="H693" s="51"/>
      <c r="I693" s="17"/>
      <c r="J693" s="56"/>
      <c r="K693" s="56"/>
    </row>
    <row r="694" spans="1:11" ht="29.25">
      <c r="A694" s="11">
        <v>51202</v>
      </c>
      <c r="B694" s="54" t="s">
        <v>807</v>
      </c>
      <c r="C694" s="13"/>
      <c r="D694" s="14" t="s">
        <v>18</v>
      </c>
      <c r="E694" s="14" t="s">
        <v>28</v>
      </c>
      <c r="F694" s="14" t="s">
        <v>27</v>
      </c>
      <c r="G694" s="305">
        <f>'JULIO-18  '!I683</f>
        <v>7000</v>
      </c>
      <c r="H694" s="51"/>
      <c r="I694" s="17">
        <f t="shared" si="13"/>
        <v>7000</v>
      </c>
      <c r="J694" s="56"/>
      <c r="K694" s="56"/>
    </row>
    <row r="695" spans="1:11" ht="29.25">
      <c r="A695" s="11">
        <v>54110</v>
      </c>
      <c r="B695" s="54" t="s">
        <v>808</v>
      </c>
      <c r="C695" s="13"/>
      <c r="D695" s="14" t="s">
        <v>18</v>
      </c>
      <c r="E695" s="14" t="s">
        <v>28</v>
      </c>
      <c r="F695" s="14" t="s">
        <v>27</v>
      </c>
      <c r="G695" s="305">
        <f>'JULIO-18  '!I684</f>
        <v>200</v>
      </c>
      <c r="H695" s="51"/>
      <c r="I695" s="17">
        <f t="shared" si="13"/>
        <v>200</v>
      </c>
      <c r="J695" s="56"/>
      <c r="K695" s="56"/>
    </row>
    <row r="696" spans="1:11" ht="29.25">
      <c r="A696" s="11">
        <v>54111</v>
      </c>
      <c r="B696" s="54" t="s">
        <v>809</v>
      </c>
      <c r="C696" s="13"/>
      <c r="D696" s="14" t="s">
        <v>18</v>
      </c>
      <c r="E696" s="14" t="s">
        <v>28</v>
      </c>
      <c r="F696" s="14" t="s">
        <v>27</v>
      </c>
      <c r="G696" s="305">
        <f>'JULIO-18  '!I685</f>
        <v>10290</v>
      </c>
      <c r="H696" s="51"/>
      <c r="I696" s="17">
        <f t="shared" si="13"/>
        <v>10290</v>
      </c>
      <c r="J696" s="56"/>
      <c r="K696" s="56"/>
    </row>
    <row r="697" spans="1:11" ht="29.25">
      <c r="A697" s="11">
        <v>54118</v>
      </c>
      <c r="B697" s="54" t="s">
        <v>810</v>
      </c>
      <c r="C697" s="13"/>
      <c r="D697" s="14" t="s">
        <v>18</v>
      </c>
      <c r="E697" s="14" t="s">
        <v>28</v>
      </c>
      <c r="F697" s="14" t="s">
        <v>27</v>
      </c>
      <c r="G697" s="305">
        <f>'JULIO-18  '!I686</f>
        <v>1500</v>
      </c>
      <c r="H697" s="51"/>
      <c r="I697" s="17">
        <f t="shared" si="13"/>
        <v>1500</v>
      </c>
      <c r="J697" s="56"/>
      <c r="K697" s="56"/>
    </row>
    <row r="698" spans="1:11" ht="44.25">
      <c r="A698" s="11">
        <v>54313</v>
      </c>
      <c r="B698" s="54" t="s">
        <v>811</v>
      </c>
      <c r="C698" s="13"/>
      <c r="D698" s="14" t="s">
        <v>18</v>
      </c>
      <c r="E698" s="14" t="s">
        <v>28</v>
      </c>
      <c r="F698" s="14" t="s">
        <v>27</v>
      </c>
      <c r="G698" s="305">
        <f>'JULIO-18  '!I687</f>
        <v>300</v>
      </c>
      <c r="H698" s="51"/>
      <c r="I698" s="17">
        <f t="shared" si="13"/>
        <v>300</v>
      </c>
      <c r="J698" s="56"/>
      <c r="K698" s="56"/>
    </row>
    <row r="699" spans="1:11" ht="29.25">
      <c r="A699" s="11">
        <v>54399</v>
      </c>
      <c r="B699" s="54" t="s">
        <v>812</v>
      </c>
      <c r="C699" s="13"/>
      <c r="D699" s="14" t="s">
        <v>18</v>
      </c>
      <c r="E699" s="14" t="s">
        <v>28</v>
      </c>
      <c r="F699" s="14" t="s">
        <v>27</v>
      </c>
      <c r="G699" s="305">
        <f>'JULIO-18  '!I688</f>
        <v>700</v>
      </c>
      <c r="H699" s="51"/>
      <c r="I699" s="17">
        <f t="shared" si="13"/>
        <v>700</v>
      </c>
      <c r="J699" s="56"/>
      <c r="K699" s="56"/>
    </row>
    <row r="700" spans="1:11" ht="29.25">
      <c r="A700" s="11">
        <v>55603</v>
      </c>
      <c r="B700" s="54" t="s">
        <v>813</v>
      </c>
      <c r="C700" s="13"/>
      <c r="D700" s="14" t="s">
        <v>18</v>
      </c>
      <c r="E700" s="14" t="s">
        <v>28</v>
      </c>
      <c r="F700" s="14" t="s">
        <v>27</v>
      </c>
      <c r="G700" s="305">
        <f>'JULIO-18  '!I689</f>
        <v>10</v>
      </c>
      <c r="H700" s="51"/>
      <c r="I700" s="17">
        <f t="shared" si="13"/>
        <v>10</v>
      </c>
      <c r="J700" s="56"/>
      <c r="K700" s="56"/>
    </row>
    <row r="701" spans="1:11" ht="88.5">
      <c r="A701" s="141" t="s">
        <v>505</v>
      </c>
      <c r="B701" s="53" t="s">
        <v>821</v>
      </c>
      <c r="C701" s="13"/>
      <c r="D701" s="14"/>
      <c r="E701" s="14"/>
      <c r="F701" s="14"/>
      <c r="G701" s="305">
        <f>'JULIO-18  '!I690</f>
        <v>0</v>
      </c>
      <c r="H701" s="51"/>
      <c r="I701" s="17"/>
      <c r="J701" s="56"/>
      <c r="K701" s="56"/>
    </row>
    <row r="702" spans="1:11" ht="29.25">
      <c r="A702" s="11">
        <v>51202</v>
      </c>
      <c r="B702" s="54" t="s">
        <v>814</v>
      </c>
      <c r="C702" s="13"/>
      <c r="D702" s="14" t="s">
        <v>18</v>
      </c>
      <c r="E702" s="14" t="s">
        <v>28</v>
      </c>
      <c r="F702" s="14" t="s">
        <v>27</v>
      </c>
      <c r="G702" s="305">
        <f>'JULIO-18  '!I691</f>
        <v>9000</v>
      </c>
      <c r="H702" s="51"/>
      <c r="I702" s="17">
        <f t="shared" si="13"/>
        <v>9000</v>
      </c>
      <c r="J702" s="56"/>
      <c r="K702" s="56"/>
    </row>
    <row r="703" spans="1:11" ht="29.25">
      <c r="A703" s="11">
        <v>54110</v>
      </c>
      <c r="B703" s="54" t="s">
        <v>815</v>
      </c>
      <c r="C703" s="13"/>
      <c r="D703" s="14" t="s">
        <v>18</v>
      </c>
      <c r="E703" s="14" t="s">
        <v>28</v>
      </c>
      <c r="F703" s="14" t="s">
        <v>27</v>
      </c>
      <c r="G703" s="305">
        <f>'JULIO-18  '!I692</f>
        <v>200</v>
      </c>
      <c r="H703" s="51"/>
      <c r="I703" s="17">
        <f t="shared" si="13"/>
        <v>200</v>
      </c>
      <c r="J703" s="56"/>
      <c r="K703" s="56"/>
    </row>
    <row r="704" spans="1:11" ht="44.25">
      <c r="A704" s="11">
        <v>54111</v>
      </c>
      <c r="B704" s="53" t="s">
        <v>816</v>
      </c>
      <c r="C704" s="13"/>
      <c r="D704" s="14" t="s">
        <v>18</v>
      </c>
      <c r="E704" s="14" t="s">
        <v>28</v>
      </c>
      <c r="F704" s="14" t="s">
        <v>27</v>
      </c>
      <c r="G704" s="305">
        <f>'JULIO-18  '!I693</f>
        <v>12290</v>
      </c>
      <c r="H704" s="51"/>
      <c r="I704" s="17">
        <f t="shared" ref="I704:I767" si="14">G704-H704+J704-K704</f>
        <v>12290</v>
      </c>
      <c r="J704" s="56"/>
      <c r="K704" s="56"/>
    </row>
    <row r="705" spans="1:11" ht="29.25">
      <c r="A705" s="11">
        <v>54118</v>
      </c>
      <c r="B705" s="54" t="s">
        <v>817</v>
      </c>
      <c r="C705" s="13"/>
      <c r="D705" s="14" t="s">
        <v>18</v>
      </c>
      <c r="E705" s="14" t="s">
        <v>28</v>
      </c>
      <c r="F705" s="14" t="s">
        <v>27</v>
      </c>
      <c r="G705" s="305">
        <f>'JULIO-18  '!I694</f>
        <v>3000</v>
      </c>
      <c r="H705" s="51"/>
      <c r="I705" s="17">
        <f t="shared" si="14"/>
        <v>3000</v>
      </c>
      <c r="J705" s="56"/>
      <c r="K705" s="56"/>
    </row>
    <row r="706" spans="1:11" ht="44.25">
      <c r="A706" s="11">
        <v>54313</v>
      </c>
      <c r="B706" s="54" t="s">
        <v>818</v>
      </c>
      <c r="C706" s="13"/>
      <c r="D706" s="14" t="s">
        <v>18</v>
      </c>
      <c r="E706" s="14" t="s">
        <v>28</v>
      </c>
      <c r="F706" s="14" t="s">
        <v>27</v>
      </c>
      <c r="G706" s="305">
        <f>'JULIO-18  '!I695</f>
        <v>300</v>
      </c>
      <c r="H706" s="51"/>
      <c r="I706" s="17">
        <f t="shared" si="14"/>
        <v>300</v>
      </c>
      <c r="J706" s="56"/>
      <c r="K706" s="56"/>
    </row>
    <row r="707" spans="1:11" ht="43.5">
      <c r="A707" s="11">
        <v>54399</v>
      </c>
      <c r="B707" s="54" t="s">
        <v>819</v>
      </c>
      <c r="C707" s="13"/>
      <c r="D707" s="14" t="s">
        <v>18</v>
      </c>
      <c r="E707" s="14" t="s">
        <v>28</v>
      </c>
      <c r="F707" s="14" t="s">
        <v>27</v>
      </c>
      <c r="G707" s="305">
        <f>'JULIO-18  '!I696</f>
        <v>200</v>
      </c>
      <c r="H707" s="51"/>
      <c r="I707" s="17">
        <f t="shared" si="14"/>
        <v>200</v>
      </c>
      <c r="J707" s="56"/>
      <c r="K707" s="56"/>
    </row>
    <row r="708" spans="1:11" ht="29.25">
      <c r="A708" s="11">
        <v>55603</v>
      </c>
      <c r="B708" s="54" t="s">
        <v>820</v>
      </c>
      <c r="C708" s="13"/>
      <c r="D708" s="14" t="s">
        <v>18</v>
      </c>
      <c r="E708" s="14" t="s">
        <v>28</v>
      </c>
      <c r="F708" s="14" t="s">
        <v>27</v>
      </c>
      <c r="G708" s="305">
        <f>'JULIO-18  '!I697</f>
        <v>10</v>
      </c>
      <c r="H708" s="51"/>
      <c r="I708" s="17">
        <f t="shared" si="14"/>
        <v>10</v>
      </c>
      <c r="J708" s="56"/>
      <c r="K708" s="56"/>
    </row>
    <row r="709" spans="1:11" ht="75">
      <c r="A709" s="141" t="s">
        <v>511</v>
      </c>
      <c r="B709" s="53" t="s">
        <v>824</v>
      </c>
      <c r="C709" s="13"/>
      <c r="D709" s="14"/>
      <c r="E709" s="14"/>
      <c r="F709" s="14"/>
      <c r="G709" s="305">
        <f>'JULIO-18  '!I698</f>
        <v>0</v>
      </c>
      <c r="H709" s="51"/>
      <c r="I709" s="17"/>
      <c r="J709" s="56"/>
      <c r="K709" s="56"/>
    </row>
    <row r="710" spans="1:11" ht="29.25">
      <c r="A710" s="11">
        <v>51202</v>
      </c>
      <c r="B710" s="54" t="s">
        <v>823</v>
      </c>
      <c r="C710" s="13"/>
      <c r="D710" s="14" t="s">
        <v>18</v>
      </c>
      <c r="E710" s="14" t="s">
        <v>28</v>
      </c>
      <c r="F710" s="14" t="s">
        <v>27</v>
      </c>
      <c r="G710" s="305">
        <f>'JULIO-18  '!I699</f>
        <v>3000</v>
      </c>
      <c r="H710" s="51"/>
      <c r="I710" s="17">
        <f t="shared" si="14"/>
        <v>3000</v>
      </c>
      <c r="J710" s="56"/>
      <c r="K710" s="56"/>
    </row>
    <row r="711" spans="1:11" ht="29.25">
      <c r="A711" s="11">
        <v>54110</v>
      </c>
      <c r="B711" s="54" t="s">
        <v>825</v>
      </c>
      <c r="C711" s="13"/>
      <c r="D711" s="14" t="s">
        <v>18</v>
      </c>
      <c r="E711" s="14" t="s">
        <v>28</v>
      </c>
      <c r="F711" s="14" t="s">
        <v>27</v>
      </c>
      <c r="G711" s="305">
        <f>'JULIO-18  '!I700</f>
        <v>200</v>
      </c>
      <c r="H711" s="51"/>
      <c r="I711" s="17">
        <f t="shared" si="14"/>
        <v>200</v>
      </c>
      <c r="J711" s="56"/>
      <c r="K711" s="56"/>
    </row>
    <row r="712" spans="1:11" ht="44.25">
      <c r="A712" s="11">
        <v>54111</v>
      </c>
      <c r="B712" s="54" t="s">
        <v>826</v>
      </c>
      <c r="C712" s="13"/>
      <c r="D712" s="14" t="s">
        <v>18</v>
      </c>
      <c r="E712" s="14" t="s">
        <v>28</v>
      </c>
      <c r="F712" s="14" t="s">
        <v>27</v>
      </c>
      <c r="G712" s="305">
        <f>'JULIO-18  '!I701</f>
        <v>4990</v>
      </c>
      <c r="H712" s="51"/>
      <c r="I712" s="17">
        <f t="shared" si="14"/>
        <v>4990</v>
      </c>
      <c r="J712" s="56"/>
      <c r="K712" s="56"/>
    </row>
    <row r="713" spans="1:11" ht="29.25">
      <c r="A713" s="11">
        <v>54118</v>
      </c>
      <c r="B713" s="54" t="s">
        <v>827</v>
      </c>
      <c r="C713" s="13"/>
      <c r="D713" s="14" t="s">
        <v>18</v>
      </c>
      <c r="E713" s="14" t="s">
        <v>28</v>
      </c>
      <c r="F713" s="14" t="s">
        <v>27</v>
      </c>
      <c r="G713" s="305">
        <f>'JULIO-18  '!I702</f>
        <v>800</v>
      </c>
      <c r="H713" s="51"/>
      <c r="I713" s="17">
        <f t="shared" si="14"/>
        <v>800</v>
      </c>
      <c r="J713" s="56"/>
      <c r="K713" s="56"/>
    </row>
    <row r="714" spans="1:11" ht="44.25">
      <c r="A714" s="11">
        <v>54313</v>
      </c>
      <c r="B714" s="54" t="s">
        <v>828</v>
      </c>
      <c r="C714" s="13"/>
      <c r="D714" s="14" t="s">
        <v>18</v>
      </c>
      <c r="E714" s="14" t="s">
        <v>28</v>
      </c>
      <c r="F714" s="14" t="s">
        <v>27</v>
      </c>
      <c r="G714" s="305">
        <f>'JULIO-18  '!I703</f>
        <v>300</v>
      </c>
      <c r="H714" s="51"/>
      <c r="I714" s="17">
        <f t="shared" si="14"/>
        <v>300</v>
      </c>
      <c r="J714" s="56"/>
      <c r="K714" s="56"/>
    </row>
    <row r="715" spans="1:11" ht="44.25">
      <c r="A715" s="11">
        <v>54399</v>
      </c>
      <c r="B715" s="54" t="s">
        <v>829</v>
      </c>
      <c r="C715" s="13"/>
      <c r="D715" s="14" t="s">
        <v>18</v>
      </c>
      <c r="E715" s="14" t="s">
        <v>28</v>
      </c>
      <c r="F715" s="14" t="s">
        <v>27</v>
      </c>
      <c r="G715" s="305">
        <f>'JULIO-18  '!I704</f>
        <v>700</v>
      </c>
      <c r="H715" s="51"/>
      <c r="I715" s="17">
        <f t="shared" si="14"/>
        <v>700</v>
      </c>
      <c r="J715" s="56"/>
      <c r="K715" s="56"/>
    </row>
    <row r="716" spans="1:11" ht="29.25">
      <c r="A716" s="11">
        <v>55603</v>
      </c>
      <c r="B716" s="54" t="s">
        <v>830</v>
      </c>
      <c r="C716" s="13"/>
      <c r="D716" s="14" t="s">
        <v>18</v>
      </c>
      <c r="E716" s="14" t="s">
        <v>28</v>
      </c>
      <c r="F716" s="14" t="s">
        <v>27</v>
      </c>
      <c r="G716" s="305">
        <f>'JULIO-18  '!I705</f>
        <v>10</v>
      </c>
      <c r="H716" s="51"/>
      <c r="I716" s="17">
        <f t="shared" si="14"/>
        <v>10</v>
      </c>
      <c r="J716" s="56"/>
      <c r="K716" s="56"/>
    </row>
    <row r="717" spans="1:11" ht="74.25">
      <c r="A717" s="141" t="s">
        <v>517</v>
      </c>
      <c r="B717" s="53" t="s">
        <v>822</v>
      </c>
      <c r="C717" s="13"/>
      <c r="D717" s="14"/>
      <c r="E717" s="14"/>
      <c r="F717" s="14"/>
      <c r="G717" s="305">
        <f>'JULIO-18  '!I706</f>
        <v>0</v>
      </c>
      <c r="H717" s="51"/>
      <c r="I717" s="17"/>
      <c r="J717" s="56"/>
      <c r="K717" s="56"/>
    </row>
    <row r="718" spans="1:11" ht="29.25">
      <c r="A718" s="11">
        <v>51202</v>
      </c>
      <c r="B718" s="54" t="s">
        <v>831</v>
      </c>
      <c r="C718" s="13"/>
      <c r="D718" s="14" t="s">
        <v>18</v>
      </c>
      <c r="E718" s="14" t="s">
        <v>28</v>
      </c>
      <c r="F718" s="14" t="s">
        <v>27</v>
      </c>
      <c r="G718" s="305">
        <f>'JULIO-18  '!I707</f>
        <v>9000</v>
      </c>
      <c r="H718" s="51"/>
      <c r="I718" s="17">
        <f t="shared" si="14"/>
        <v>9000</v>
      </c>
      <c r="J718" s="56"/>
      <c r="K718" s="56"/>
    </row>
    <row r="719" spans="1:11" ht="29.25">
      <c r="A719" s="11">
        <v>54110</v>
      </c>
      <c r="B719" s="54" t="s">
        <v>832</v>
      </c>
      <c r="C719" s="13"/>
      <c r="D719" s="14" t="s">
        <v>18</v>
      </c>
      <c r="E719" s="14" t="s">
        <v>28</v>
      </c>
      <c r="F719" s="14" t="s">
        <v>27</v>
      </c>
      <c r="G719" s="305">
        <f>'JULIO-18  '!I708</f>
        <v>200</v>
      </c>
      <c r="H719" s="51"/>
      <c r="I719" s="17">
        <f t="shared" si="14"/>
        <v>200</v>
      </c>
      <c r="J719" s="56"/>
      <c r="K719" s="56"/>
    </row>
    <row r="720" spans="1:11" ht="29.25">
      <c r="A720" s="11">
        <v>54111</v>
      </c>
      <c r="B720" s="54" t="s">
        <v>833</v>
      </c>
      <c r="C720" s="13"/>
      <c r="D720" s="14" t="s">
        <v>18</v>
      </c>
      <c r="E720" s="14" t="s">
        <v>28</v>
      </c>
      <c r="F720" s="14" t="s">
        <v>27</v>
      </c>
      <c r="G720" s="305">
        <f>'JULIO-18  '!I709</f>
        <v>12290</v>
      </c>
      <c r="H720" s="51"/>
      <c r="I720" s="17">
        <f t="shared" si="14"/>
        <v>12290</v>
      </c>
      <c r="J720" s="56"/>
      <c r="K720" s="56"/>
    </row>
    <row r="721" spans="1:11" ht="29.25">
      <c r="A721" s="11">
        <v>54118</v>
      </c>
      <c r="B721" s="54" t="s">
        <v>834</v>
      </c>
      <c r="C721" s="13"/>
      <c r="D721" s="14" t="s">
        <v>18</v>
      </c>
      <c r="E721" s="14" t="s">
        <v>28</v>
      </c>
      <c r="F721" s="14" t="s">
        <v>27</v>
      </c>
      <c r="G721" s="305">
        <f>'JULIO-18  '!I710</f>
        <v>3000</v>
      </c>
      <c r="H721" s="51"/>
      <c r="I721" s="17">
        <f t="shared" si="14"/>
        <v>3000</v>
      </c>
      <c r="J721" s="56"/>
      <c r="K721" s="56"/>
    </row>
    <row r="722" spans="1:11" ht="29.25">
      <c r="A722" s="11">
        <v>54313</v>
      </c>
      <c r="B722" s="54" t="s">
        <v>835</v>
      </c>
      <c r="C722" s="13"/>
      <c r="D722" s="14" t="s">
        <v>18</v>
      </c>
      <c r="E722" s="14" t="s">
        <v>28</v>
      </c>
      <c r="F722" s="14" t="s">
        <v>27</v>
      </c>
      <c r="G722" s="305">
        <f>'JULIO-18  '!I711</f>
        <v>300</v>
      </c>
      <c r="H722" s="51"/>
      <c r="I722" s="17">
        <f t="shared" si="14"/>
        <v>300</v>
      </c>
      <c r="J722" s="56"/>
      <c r="K722" s="56"/>
    </row>
    <row r="723" spans="1:11" ht="29.25">
      <c r="A723" s="11">
        <v>54399</v>
      </c>
      <c r="B723" s="54" t="s">
        <v>836</v>
      </c>
      <c r="C723" s="13"/>
      <c r="D723" s="14" t="s">
        <v>18</v>
      </c>
      <c r="E723" s="14" t="s">
        <v>28</v>
      </c>
      <c r="F723" s="14" t="s">
        <v>27</v>
      </c>
      <c r="G723" s="305">
        <f>'JULIO-18  '!I712</f>
        <v>200</v>
      </c>
      <c r="H723" s="51"/>
      <c r="I723" s="17">
        <f t="shared" si="14"/>
        <v>200</v>
      </c>
      <c r="J723" s="56"/>
      <c r="K723" s="56"/>
    </row>
    <row r="724" spans="1:11" ht="29.25">
      <c r="A724" s="11">
        <v>55603</v>
      </c>
      <c r="B724" s="53" t="s">
        <v>837</v>
      </c>
      <c r="C724" s="13"/>
      <c r="D724" s="14" t="s">
        <v>18</v>
      </c>
      <c r="E724" s="14" t="s">
        <v>28</v>
      </c>
      <c r="F724" s="14" t="s">
        <v>27</v>
      </c>
      <c r="G724" s="305">
        <f>'JULIO-18  '!I713</f>
        <v>10</v>
      </c>
      <c r="H724" s="51"/>
      <c r="I724" s="17">
        <f t="shared" si="14"/>
        <v>10</v>
      </c>
      <c r="J724" s="56"/>
      <c r="K724" s="56"/>
    </row>
    <row r="725" spans="1:11" ht="75">
      <c r="A725" s="141" t="s">
        <v>838</v>
      </c>
      <c r="B725" s="53" t="s">
        <v>840</v>
      </c>
      <c r="C725" s="13"/>
      <c r="D725" s="14"/>
      <c r="E725" s="14"/>
      <c r="F725" s="14"/>
      <c r="G725" s="305">
        <f>'JULIO-18  '!I714</f>
        <v>0</v>
      </c>
      <c r="H725" s="51"/>
      <c r="I725" s="17"/>
      <c r="J725" s="56"/>
      <c r="K725" s="56"/>
    </row>
    <row r="726" spans="1:11" ht="29.25">
      <c r="A726" s="11">
        <v>51202</v>
      </c>
      <c r="B726" s="54" t="s">
        <v>842</v>
      </c>
      <c r="C726" s="13"/>
      <c r="D726" s="14" t="s">
        <v>18</v>
      </c>
      <c r="E726" s="14" t="s">
        <v>28</v>
      </c>
      <c r="F726" s="14" t="s">
        <v>27</v>
      </c>
      <c r="G726" s="305">
        <f>'JULIO-18  '!I715</f>
        <v>9000</v>
      </c>
      <c r="H726" s="51"/>
      <c r="I726" s="17">
        <f t="shared" si="14"/>
        <v>9000</v>
      </c>
      <c r="J726" s="56"/>
      <c r="K726" s="56"/>
    </row>
    <row r="727" spans="1:11" ht="43.5">
      <c r="A727" s="11">
        <v>54110</v>
      </c>
      <c r="B727" s="53" t="s">
        <v>844</v>
      </c>
      <c r="C727" s="13"/>
      <c r="D727" s="14" t="s">
        <v>18</v>
      </c>
      <c r="E727" s="14" t="s">
        <v>28</v>
      </c>
      <c r="F727" s="14" t="s">
        <v>27</v>
      </c>
      <c r="G727" s="305">
        <f>'JULIO-18  '!I716</f>
        <v>200</v>
      </c>
      <c r="H727" s="51"/>
      <c r="I727" s="17">
        <f t="shared" si="14"/>
        <v>200</v>
      </c>
      <c r="J727" s="56"/>
      <c r="K727" s="56"/>
    </row>
    <row r="728" spans="1:11" ht="44.25">
      <c r="A728" s="11">
        <v>54111</v>
      </c>
      <c r="B728" s="53" t="s">
        <v>845</v>
      </c>
      <c r="C728" s="13"/>
      <c r="D728" s="14" t="s">
        <v>18</v>
      </c>
      <c r="E728" s="14" t="s">
        <v>28</v>
      </c>
      <c r="F728" s="14" t="s">
        <v>27</v>
      </c>
      <c r="G728" s="305">
        <f>'JULIO-18  '!I717</f>
        <v>12290</v>
      </c>
      <c r="H728" s="51"/>
      <c r="I728" s="17">
        <f t="shared" si="14"/>
        <v>12290</v>
      </c>
      <c r="J728" s="56"/>
      <c r="K728" s="56"/>
    </row>
    <row r="729" spans="1:11" ht="43.5">
      <c r="A729" s="11">
        <v>54118</v>
      </c>
      <c r="B729" s="53" t="s">
        <v>846</v>
      </c>
      <c r="C729" s="13"/>
      <c r="D729" s="14" t="s">
        <v>18</v>
      </c>
      <c r="E729" s="14" t="s">
        <v>28</v>
      </c>
      <c r="F729" s="14" t="s">
        <v>27</v>
      </c>
      <c r="G729" s="305">
        <f>'JULIO-18  '!I718</f>
        <v>3000</v>
      </c>
      <c r="H729" s="51"/>
      <c r="I729" s="17">
        <f t="shared" si="14"/>
        <v>3000</v>
      </c>
      <c r="J729" s="56"/>
      <c r="K729" s="56"/>
    </row>
    <row r="730" spans="1:11" ht="44.25">
      <c r="A730" s="11">
        <v>54313</v>
      </c>
      <c r="B730" s="53" t="s">
        <v>847</v>
      </c>
      <c r="C730" s="13"/>
      <c r="D730" s="14" t="s">
        <v>18</v>
      </c>
      <c r="E730" s="14" t="s">
        <v>28</v>
      </c>
      <c r="F730" s="14" t="s">
        <v>27</v>
      </c>
      <c r="G730" s="305">
        <f>'JULIO-18  '!I719</f>
        <v>300</v>
      </c>
      <c r="H730" s="51"/>
      <c r="I730" s="17">
        <f t="shared" si="14"/>
        <v>300</v>
      </c>
      <c r="J730" s="56"/>
      <c r="K730" s="56"/>
    </row>
    <row r="731" spans="1:11" ht="44.25">
      <c r="A731" s="11">
        <v>54399</v>
      </c>
      <c r="B731" s="53" t="s">
        <v>848</v>
      </c>
      <c r="C731" s="13"/>
      <c r="D731" s="14" t="s">
        <v>18</v>
      </c>
      <c r="E731" s="14" t="s">
        <v>28</v>
      </c>
      <c r="F731" s="14" t="s">
        <v>27</v>
      </c>
      <c r="G731" s="305">
        <f>'JULIO-18  '!I720</f>
        <v>200</v>
      </c>
      <c r="H731" s="51"/>
      <c r="I731" s="17">
        <f t="shared" si="14"/>
        <v>200</v>
      </c>
      <c r="J731" s="56"/>
      <c r="K731" s="56"/>
    </row>
    <row r="732" spans="1:11" ht="43.5">
      <c r="A732" s="11">
        <v>55603</v>
      </c>
      <c r="B732" s="53" t="s">
        <v>849</v>
      </c>
      <c r="C732" s="13"/>
      <c r="D732" s="14" t="s">
        <v>18</v>
      </c>
      <c r="E732" s="14" t="s">
        <v>28</v>
      </c>
      <c r="F732" s="14" t="s">
        <v>27</v>
      </c>
      <c r="G732" s="305">
        <f>'JULIO-18  '!I721</f>
        <v>10</v>
      </c>
      <c r="H732" s="51"/>
      <c r="I732" s="17">
        <f t="shared" si="14"/>
        <v>10</v>
      </c>
      <c r="J732" s="56"/>
      <c r="K732" s="56"/>
    </row>
    <row r="733" spans="1:11" ht="60">
      <c r="A733" s="141" t="s">
        <v>839</v>
      </c>
      <c r="B733" s="53" t="s">
        <v>841</v>
      </c>
      <c r="C733" s="13"/>
      <c r="D733" s="14"/>
      <c r="E733" s="14"/>
      <c r="F733" s="14"/>
      <c r="G733" s="305">
        <f>'JULIO-18  '!I722</f>
        <v>0</v>
      </c>
      <c r="H733" s="51"/>
      <c r="I733" s="17"/>
      <c r="J733" s="56"/>
      <c r="K733" s="56"/>
    </row>
    <row r="734" spans="1:11" ht="29.25">
      <c r="A734" s="11">
        <v>51202</v>
      </c>
      <c r="B734" s="54" t="s">
        <v>843</v>
      </c>
      <c r="C734" s="13"/>
      <c r="D734" s="14" t="s">
        <v>18</v>
      </c>
      <c r="E734" s="14" t="s">
        <v>28</v>
      </c>
      <c r="F734" s="14" t="s">
        <v>27</v>
      </c>
      <c r="G734" s="305">
        <f>'JULIO-18  '!I723</f>
        <v>9000</v>
      </c>
      <c r="H734" s="51"/>
      <c r="I734" s="17">
        <f t="shared" si="14"/>
        <v>9000</v>
      </c>
      <c r="J734" s="56"/>
      <c r="K734" s="56"/>
    </row>
    <row r="735" spans="1:11" ht="29.25">
      <c r="A735" s="11">
        <v>54110</v>
      </c>
      <c r="B735" s="53" t="s">
        <v>850</v>
      </c>
      <c r="C735" s="13"/>
      <c r="D735" s="14" t="s">
        <v>18</v>
      </c>
      <c r="E735" s="14" t="s">
        <v>28</v>
      </c>
      <c r="F735" s="14" t="s">
        <v>27</v>
      </c>
      <c r="G735" s="305">
        <f>'JULIO-18  '!I724</f>
        <v>200</v>
      </c>
      <c r="H735" s="51"/>
      <c r="I735" s="17">
        <f t="shared" si="14"/>
        <v>200</v>
      </c>
      <c r="J735" s="56"/>
      <c r="K735" s="56"/>
    </row>
    <row r="736" spans="1:11" ht="29.25">
      <c r="A736" s="11">
        <v>54111</v>
      </c>
      <c r="B736" s="54" t="s">
        <v>851</v>
      </c>
      <c r="C736" s="13"/>
      <c r="D736" s="14" t="s">
        <v>18</v>
      </c>
      <c r="E736" s="14" t="s">
        <v>28</v>
      </c>
      <c r="F736" s="14" t="s">
        <v>27</v>
      </c>
      <c r="G736" s="305">
        <f>'JULIO-18  '!I725</f>
        <v>12290</v>
      </c>
      <c r="H736" s="51"/>
      <c r="I736" s="17">
        <f t="shared" si="14"/>
        <v>12290</v>
      </c>
      <c r="J736" s="56"/>
      <c r="K736" s="56"/>
    </row>
    <row r="737" spans="1:11" ht="29.25">
      <c r="A737" s="11">
        <v>54118</v>
      </c>
      <c r="B737" s="53" t="s">
        <v>852</v>
      </c>
      <c r="C737" s="13"/>
      <c r="D737" s="14" t="s">
        <v>18</v>
      </c>
      <c r="E737" s="14" t="s">
        <v>28</v>
      </c>
      <c r="F737" s="14" t="s">
        <v>27</v>
      </c>
      <c r="G737" s="305">
        <f>'JULIO-18  '!I726</f>
        <v>3000</v>
      </c>
      <c r="H737" s="51"/>
      <c r="I737" s="17">
        <f t="shared" si="14"/>
        <v>3000</v>
      </c>
      <c r="J737" s="56"/>
      <c r="K737" s="56"/>
    </row>
    <row r="738" spans="1:11" ht="29.25">
      <c r="A738" s="11">
        <v>54313</v>
      </c>
      <c r="B738" s="54" t="s">
        <v>853</v>
      </c>
      <c r="C738" s="13"/>
      <c r="D738" s="14" t="s">
        <v>18</v>
      </c>
      <c r="E738" s="14" t="s">
        <v>28</v>
      </c>
      <c r="F738" s="14" t="s">
        <v>27</v>
      </c>
      <c r="G738" s="305">
        <f>'JULIO-18  '!I727</f>
        <v>300</v>
      </c>
      <c r="H738" s="51"/>
      <c r="I738" s="17">
        <f t="shared" si="14"/>
        <v>300</v>
      </c>
      <c r="J738" s="56"/>
      <c r="K738" s="56"/>
    </row>
    <row r="739" spans="1:11" ht="37.5" customHeight="1">
      <c r="A739" s="11">
        <v>54399</v>
      </c>
      <c r="B739" s="54" t="s">
        <v>854</v>
      </c>
      <c r="C739" s="13"/>
      <c r="D739" s="14" t="s">
        <v>18</v>
      </c>
      <c r="E739" s="14" t="s">
        <v>28</v>
      </c>
      <c r="F739" s="14" t="s">
        <v>27</v>
      </c>
      <c r="G739" s="305">
        <f>'JULIO-18  '!I728</f>
        <v>200</v>
      </c>
      <c r="H739" s="51"/>
      <c r="I739" s="17">
        <f t="shared" si="14"/>
        <v>200</v>
      </c>
      <c r="J739" s="56"/>
      <c r="K739" s="56"/>
    </row>
    <row r="740" spans="1:11" ht="29.25">
      <c r="A740" s="11">
        <v>55603</v>
      </c>
      <c r="B740" s="54" t="s">
        <v>855</v>
      </c>
      <c r="C740" s="13"/>
      <c r="D740" s="14" t="s">
        <v>18</v>
      </c>
      <c r="E740" s="14" t="s">
        <v>28</v>
      </c>
      <c r="F740" s="14" t="s">
        <v>27</v>
      </c>
      <c r="G740" s="305">
        <f>'JULIO-18  '!I729</f>
        <v>10</v>
      </c>
      <c r="H740" s="51"/>
      <c r="I740" s="17">
        <f t="shared" si="14"/>
        <v>10</v>
      </c>
      <c r="J740" s="56"/>
      <c r="K740" s="56"/>
    </row>
    <row r="741" spans="1:11" ht="60">
      <c r="A741" s="141" t="s">
        <v>872</v>
      </c>
      <c r="B741" s="53" t="s">
        <v>856</v>
      </c>
      <c r="C741" s="13"/>
      <c r="D741" s="14"/>
      <c r="E741" s="14"/>
      <c r="F741" s="14"/>
      <c r="G741" s="305">
        <f>'JULIO-18  '!I730</f>
        <v>0</v>
      </c>
      <c r="H741" s="51"/>
      <c r="I741" s="17"/>
      <c r="J741" s="56"/>
      <c r="K741" s="56"/>
    </row>
    <row r="742" spans="1:11" ht="29.25">
      <c r="A742" s="11">
        <v>51202</v>
      </c>
      <c r="B742" s="54" t="s">
        <v>857</v>
      </c>
      <c r="C742" s="13"/>
      <c r="D742" s="14" t="s">
        <v>18</v>
      </c>
      <c r="E742" s="14" t="s">
        <v>28</v>
      </c>
      <c r="F742" s="14" t="s">
        <v>27</v>
      </c>
      <c r="G742" s="305">
        <f>'JULIO-18  '!I731</f>
        <v>1800</v>
      </c>
      <c r="H742" s="51"/>
      <c r="I742" s="17">
        <f t="shared" si="14"/>
        <v>1800</v>
      </c>
      <c r="J742" s="56"/>
      <c r="K742" s="56"/>
    </row>
    <row r="743" spans="1:11" ht="29.25">
      <c r="A743" s="11">
        <v>54110</v>
      </c>
      <c r="B743" s="53" t="s">
        <v>858</v>
      </c>
      <c r="C743" s="13"/>
      <c r="D743" s="14" t="s">
        <v>18</v>
      </c>
      <c r="E743" s="14" t="s">
        <v>28</v>
      </c>
      <c r="F743" s="14" t="s">
        <v>27</v>
      </c>
      <c r="G743" s="305">
        <f>'JULIO-18  '!I732</f>
        <v>100</v>
      </c>
      <c r="H743" s="51"/>
      <c r="I743" s="17">
        <f t="shared" si="14"/>
        <v>100</v>
      </c>
      <c r="J743" s="56"/>
      <c r="K743" s="56"/>
    </row>
    <row r="744" spans="1:11" ht="44.25">
      <c r="A744" s="11">
        <v>54111</v>
      </c>
      <c r="B744" s="53" t="s">
        <v>859</v>
      </c>
      <c r="C744" s="13"/>
      <c r="D744" s="14" t="s">
        <v>18</v>
      </c>
      <c r="E744" s="14" t="s">
        <v>28</v>
      </c>
      <c r="F744" s="14" t="s">
        <v>27</v>
      </c>
      <c r="G744" s="305">
        <f>'JULIO-18  '!I733</f>
        <v>2590</v>
      </c>
      <c r="H744" s="51"/>
      <c r="I744" s="17">
        <f t="shared" si="14"/>
        <v>2590</v>
      </c>
      <c r="J744" s="56"/>
      <c r="K744" s="56"/>
    </row>
    <row r="745" spans="1:11" ht="29.25">
      <c r="A745" s="11">
        <v>54118</v>
      </c>
      <c r="B745" s="53" t="s">
        <v>860</v>
      </c>
      <c r="C745" s="13"/>
      <c r="D745" s="14" t="s">
        <v>18</v>
      </c>
      <c r="E745" s="14" t="s">
        <v>28</v>
      </c>
      <c r="F745" s="14" t="s">
        <v>27</v>
      </c>
      <c r="G745" s="305">
        <f>'JULIO-18  '!I734</f>
        <v>100</v>
      </c>
      <c r="H745" s="51"/>
      <c r="I745" s="17">
        <f t="shared" si="14"/>
        <v>100</v>
      </c>
      <c r="J745" s="56"/>
      <c r="K745" s="56"/>
    </row>
    <row r="746" spans="1:11" ht="44.25">
      <c r="A746" s="11">
        <v>54313</v>
      </c>
      <c r="B746" s="53" t="s">
        <v>861</v>
      </c>
      <c r="C746" s="13"/>
      <c r="D746" s="14" t="s">
        <v>18</v>
      </c>
      <c r="E746" s="14" t="s">
        <v>28</v>
      </c>
      <c r="F746" s="14" t="s">
        <v>27</v>
      </c>
      <c r="G746" s="305">
        <f>'JULIO-18  '!I735</f>
        <v>200</v>
      </c>
      <c r="H746" s="51"/>
      <c r="I746" s="17">
        <f t="shared" si="14"/>
        <v>200</v>
      </c>
      <c r="J746" s="56"/>
      <c r="K746" s="56"/>
    </row>
    <row r="747" spans="1:11" ht="44.25">
      <c r="A747" s="11">
        <v>54399</v>
      </c>
      <c r="B747" s="53" t="s">
        <v>862</v>
      </c>
      <c r="C747" s="13"/>
      <c r="D747" s="14" t="s">
        <v>18</v>
      </c>
      <c r="E747" s="14" t="s">
        <v>28</v>
      </c>
      <c r="F747" s="14" t="s">
        <v>27</v>
      </c>
      <c r="G747" s="305">
        <f>'JULIO-18  '!I736</f>
        <v>200</v>
      </c>
      <c r="H747" s="51"/>
      <c r="I747" s="17">
        <f t="shared" si="14"/>
        <v>200</v>
      </c>
      <c r="J747" s="56"/>
      <c r="K747" s="56"/>
    </row>
    <row r="748" spans="1:11" ht="29.25">
      <c r="A748" s="11">
        <v>55603</v>
      </c>
      <c r="B748" s="53" t="s">
        <v>863</v>
      </c>
      <c r="C748" s="13"/>
      <c r="D748" s="14" t="s">
        <v>18</v>
      </c>
      <c r="E748" s="14" t="s">
        <v>28</v>
      </c>
      <c r="F748" s="14" t="s">
        <v>27</v>
      </c>
      <c r="G748" s="305">
        <f>'JULIO-18  '!I737</f>
        <v>10</v>
      </c>
      <c r="H748" s="51"/>
      <c r="I748" s="17">
        <f t="shared" si="14"/>
        <v>10</v>
      </c>
      <c r="J748" s="56"/>
      <c r="K748" s="56"/>
    </row>
    <row r="749" spans="1:11" ht="59.25">
      <c r="A749" s="141" t="s">
        <v>873</v>
      </c>
      <c r="B749" s="53" t="s">
        <v>864</v>
      </c>
      <c r="C749" s="13"/>
      <c r="D749" s="14"/>
      <c r="E749" s="14"/>
      <c r="F749" s="14"/>
      <c r="G749" s="305">
        <f>'JULIO-18  '!I738</f>
        <v>0</v>
      </c>
      <c r="H749" s="51"/>
      <c r="I749" s="17"/>
      <c r="J749" s="56"/>
      <c r="K749" s="56"/>
    </row>
    <row r="750" spans="1:11" ht="29.25">
      <c r="A750" s="11">
        <v>51202</v>
      </c>
      <c r="B750" s="53" t="s">
        <v>865</v>
      </c>
      <c r="C750" s="13"/>
      <c r="D750" s="14" t="s">
        <v>18</v>
      </c>
      <c r="E750" s="14" t="s">
        <v>28</v>
      </c>
      <c r="F750" s="14" t="s">
        <v>27</v>
      </c>
      <c r="G750" s="305">
        <f>'JULIO-18  '!I739</f>
        <v>7000</v>
      </c>
      <c r="H750" s="51"/>
      <c r="I750" s="17">
        <f t="shared" si="14"/>
        <v>7000</v>
      </c>
      <c r="J750" s="56"/>
      <c r="K750" s="56"/>
    </row>
    <row r="751" spans="1:11" ht="29.25">
      <c r="A751" s="11">
        <v>54110</v>
      </c>
      <c r="B751" s="53" t="s">
        <v>866</v>
      </c>
      <c r="C751" s="13"/>
      <c r="D751" s="14" t="s">
        <v>18</v>
      </c>
      <c r="E751" s="14" t="s">
        <v>28</v>
      </c>
      <c r="F751" s="14" t="s">
        <v>27</v>
      </c>
      <c r="G751" s="305">
        <f>'JULIO-18  '!I740</f>
        <v>200</v>
      </c>
      <c r="H751" s="51"/>
      <c r="I751" s="17">
        <f t="shared" si="14"/>
        <v>200</v>
      </c>
      <c r="J751" s="56"/>
      <c r="K751" s="56"/>
    </row>
    <row r="752" spans="1:11" ht="30">
      <c r="A752" s="11">
        <v>54111</v>
      </c>
      <c r="B752" s="53" t="s">
        <v>867</v>
      </c>
      <c r="C752" s="13"/>
      <c r="D752" s="14" t="s">
        <v>18</v>
      </c>
      <c r="E752" s="14" t="s">
        <v>28</v>
      </c>
      <c r="F752" s="14" t="s">
        <v>27</v>
      </c>
      <c r="G752" s="305">
        <f>'JULIO-18  '!I741</f>
        <v>10290</v>
      </c>
      <c r="H752" s="51"/>
      <c r="I752" s="17">
        <f t="shared" si="14"/>
        <v>10290</v>
      </c>
      <c r="J752" s="56"/>
      <c r="K752" s="56"/>
    </row>
    <row r="753" spans="1:11" ht="29.25">
      <c r="A753" s="11">
        <v>54118</v>
      </c>
      <c r="B753" s="53" t="s">
        <v>868</v>
      </c>
      <c r="C753" s="13"/>
      <c r="D753" s="14" t="s">
        <v>18</v>
      </c>
      <c r="E753" s="14" t="s">
        <v>28</v>
      </c>
      <c r="F753" s="14" t="s">
        <v>27</v>
      </c>
      <c r="G753" s="305">
        <f>'JULIO-18  '!I742</f>
        <v>2000</v>
      </c>
      <c r="H753" s="51"/>
      <c r="I753" s="17">
        <f t="shared" si="14"/>
        <v>2000</v>
      </c>
      <c r="J753" s="56"/>
      <c r="K753" s="56"/>
    </row>
    <row r="754" spans="1:11" ht="44.25">
      <c r="A754" s="11">
        <v>54313</v>
      </c>
      <c r="B754" s="53" t="s">
        <v>869</v>
      </c>
      <c r="C754" s="13"/>
      <c r="D754" s="14" t="s">
        <v>18</v>
      </c>
      <c r="E754" s="14" t="s">
        <v>28</v>
      </c>
      <c r="F754" s="14" t="s">
        <v>27</v>
      </c>
      <c r="G754" s="305">
        <f>'JULIO-18  '!I743</f>
        <v>300</v>
      </c>
      <c r="H754" s="51"/>
      <c r="I754" s="17">
        <f t="shared" si="14"/>
        <v>300</v>
      </c>
      <c r="J754" s="56"/>
      <c r="K754" s="56"/>
    </row>
    <row r="755" spans="1:11" ht="30">
      <c r="A755" s="11">
        <v>54399</v>
      </c>
      <c r="B755" s="53" t="s">
        <v>870</v>
      </c>
      <c r="C755" s="13"/>
      <c r="D755" s="14" t="s">
        <v>18</v>
      </c>
      <c r="E755" s="14" t="s">
        <v>28</v>
      </c>
      <c r="F755" s="14" t="s">
        <v>27</v>
      </c>
      <c r="G755" s="305">
        <f>'JULIO-18  '!I744</f>
        <v>200</v>
      </c>
      <c r="H755" s="51"/>
      <c r="I755" s="17">
        <f t="shared" si="14"/>
        <v>200</v>
      </c>
      <c r="J755" s="56"/>
      <c r="K755" s="56"/>
    </row>
    <row r="756" spans="1:11" ht="29.25">
      <c r="A756" s="11">
        <v>55603</v>
      </c>
      <c r="B756" s="53" t="s">
        <v>871</v>
      </c>
      <c r="C756" s="13"/>
      <c r="D756" s="14" t="s">
        <v>18</v>
      </c>
      <c r="E756" s="14" t="s">
        <v>28</v>
      </c>
      <c r="F756" s="14" t="s">
        <v>27</v>
      </c>
      <c r="G756" s="305">
        <f>'JULIO-18  '!I745</f>
        <v>10</v>
      </c>
      <c r="H756" s="51"/>
      <c r="I756" s="17">
        <f t="shared" si="14"/>
        <v>10</v>
      </c>
      <c r="J756" s="56"/>
      <c r="K756" s="56"/>
    </row>
    <row r="757" spans="1:11" ht="60">
      <c r="A757" s="141" t="s">
        <v>532</v>
      </c>
      <c r="B757" s="53" t="s">
        <v>874</v>
      </c>
      <c r="C757" s="13"/>
      <c r="D757" s="14"/>
      <c r="E757" s="14"/>
      <c r="F757" s="14"/>
      <c r="G757" s="305">
        <f>'JULIO-18  '!I746</f>
        <v>0</v>
      </c>
      <c r="H757" s="51"/>
      <c r="I757" s="17"/>
      <c r="J757" s="56"/>
      <c r="K757" s="56"/>
    </row>
    <row r="758" spans="1:11" ht="29.25">
      <c r="A758" s="11">
        <v>51202</v>
      </c>
      <c r="B758" s="53" t="s">
        <v>875</v>
      </c>
      <c r="C758" s="13"/>
      <c r="D758" s="14" t="s">
        <v>18</v>
      </c>
      <c r="E758" s="14" t="s">
        <v>28</v>
      </c>
      <c r="F758" s="14" t="s">
        <v>27</v>
      </c>
      <c r="G758" s="305">
        <f>'JULIO-18  '!I747</f>
        <v>6990</v>
      </c>
      <c r="H758" s="51"/>
      <c r="I758" s="17">
        <f t="shared" si="14"/>
        <v>6990</v>
      </c>
      <c r="J758" s="56"/>
      <c r="K758" s="56"/>
    </row>
    <row r="759" spans="1:11" ht="29.25">
      <c r="A759" s="11">
        <v>54110</v>
      </c>
      <c r="B759" s="53" t="s">
        <v>876</v>
      </c>
      <c r="C759" s="13"/>
      <c r="D759" s="14" t="s">
        <v>18</v>
      </c>
      <c r="E759" s="14" t="s">
        <v>28</v>
      </c>
      <c r="F759" s="14" t="s">
        <v>27</v>
      </c>
      <c r="G759" s="305">
        <f>'JULIO-18  '!I748</f>
        <v>200</v>
      </c>
      <c r="H759" s="51"/>
      <c r="I759" s="17">
        <f t="shared" si="14"/>
        <v>200</v>
      </c>
      <c r="J759" s="56"/>
      <c r="K759" s="56"/>
    </row>
    <row r="760" spans="1:11" ht="44.25">
      <c r="A760" s="11">
        <v>54111</v>
      </c>
      <c r="B760" s="53" t="s">
        <v>881</v>
      </c>
      <c r="C760" s="13"/>
      <c r="D760" s="14" t="s">
        <v>18</v>
      </c>
      <c r="E760" s="14" t="s">
        <v>28</v>
      </c>
      <c r="F760" s="14" t="s">
        <v>27</v>
      </c>
      <c r="G760" s="305">
        <f>'JULIO-18  '!I749</f>
        <v>10000</v>
      </c>
      <c r="H760" s="51"/>
      <c r="I760" s="17">
        <f t="shared" si="14"/>
        <v>10000</v>
      </c>
      <c r="J760" s="56"/>
      <c r="K760" s="56"/>
    </row>
    <row r="761" spans="1:11" ht="29.25">
      <c r="A761" s="11">
        <v>54118</v>
      </c>
      <c r="B761" s="53" t="s">
        <v>877</v>
      </c>
      <c r="C761" s="13"/>
      <c r="D761" s="14" t="s">
        <v>18</v>
      </c>
      <c r="E761" s="14" t="s">
        <v>28</v>
      </c>
      <c r="F761" s="14" t="s">
        <v>27</v>
      </c>
      <c r="G761" s="305">
        <f>'JULIO-18  '!I750</f>
        <v>2000</v>
      </c>
      <c r="H761" s="51"/>
      <c r="I761" s="17">
        <f t="shared" si="14"/>
        <v>2000</v>
      </c>
      <c r="J761" s="56"/>
      <c r="K761" s="56"/>
    </row>
    <row r="762" spans="1:11" ht="44.25">
      <c r="A762" s="11">
        <v>54313</v>
      </c>
      <c r="B762" s="53" t="s">
        <v>878</v>
      </c>
      <c r="C762" s="13"/>
      <c r="D762" s="14" t="s">
        <v>18</v>
      </c>
      <c r="E762" s="14" t="s">
        <v>28</v>
      </c>
      <c r="F762" s="14" t="s">
        <v>27</v>
      </c>
      <c r="G762" s="305">
        <f>'JULIO-18  '!I751</f>
        <v>300</v>
      </c>
      <c r="H762" s="51"/>
      <c r="I762" s="17">
        <f t="shared" si="14"/>
        <v>300</v>
      </c>
      <c r="J762" s="56"/>
      <c r="K762" s="56"/>
    </row>
    <row r="763" spans="1:11" ht="43.5">
      <c r="A763" s="11">
        <v>54399</v>
      </c>
      <c r="B763" s="53" t="s">
        <v>879</v>
      </c>
      <c r="C763" s="13"/>
      <c r="D763" s="14" t="s">
        <v>18</v>
      </c>
      <c r="E763" s="14" t="s">
        <v>28</v>
      </c>
      <c r="F763" s="14" t="s">
        <v>27</v>
      </c>
      <c r="G763" s="305">
        <f>'JULIO-18  '!I752</f>
        <v>500</v>
      </c>
      <c r="H763" s="51"/>
      <c r="I763" s="17">
        <f t="shared" si="14"/>
        <v>500</v>
      </c>
      <c r="J763" s="56"/>
      <c r="K763" s="56"/>
    </row>
    <row r="764" spans="1:11" ht="29.25">
      <c r="A764" s="11">
        <v>55603</v>
      </c>
      <c r="B764" s="53" t="s">
        <v>880</v>
      </c>
      <c r="C764" s="13"/>
      <c r="D764" s="14" t="s">
        <v>18</v>
      </c>
      <c r="E764" s="14" t="s">
        <v>28</v>
      </c>
      <c r="F764" s="14" t="s">
        <v>27</v>
      </c>
      <c r="G764" s="305">
        <f>'JULIO-18  '!I753</f>
        <v>10</v>
      </c>
      <c r="H764" s="51"/>
      <c r="I764" s="17">
        <f t="shared" si="14"/>
        <v>10</v>
      </c>
      <c r="J764" s="56"/>
      <c r="K764" s="56"/>
    </row>
    <row r="765" spans="1:11" ht="72.75">
      <c r="A765" s="144" t="s">
        <v>540</v>
      </c>
      <c r="B765" s="53" t="s">
        <v>882</v>
      </c>
      <c r="C765" s="13"/>
      <c r="D765" s="14"/>
      <c r="E765" s="14"/>
      <c r="F765" s="14"/>
      <c r="G765" s="305">
        <f>'JULIO-18  '!I754</f>
        <v>0</v>
      </c>
      <c r="H765" s="51"/>
      <c r="I765" s="17"/>
      <c r="J765" s="56"/>
      <c r="K765" s="56"/>
    </row>
    <row r="766" spans="1:11" ht="43.5">
      <c r="A766" s="11">
        <v>51202</v>
      </c>
      <c r="B766" s="53" t="s">
        <v>883</v>
      </c>
      <c r="C766" s="13"/>
      <c r="D766" s="14" t="s">
        <v>18</v>
      </c>
      <c r="E766" s="14" t="s">
        <v>28</v>
      </c>
      <c r="F766" s="14" t="s">
        <v>27</v>
      </c>
      <c r="G766" s="305">
        <f>'JULIO-18  '!I755</f>
        <v>10000</v>
      </c>
      <c r="H766" s="51"/>
      <c r="I766" s="17">
        <f t="shared" si="14"/>
        <v>10000</v>
      </c>
      <c r="J766" s="56"/>
      <c r="K766" s="56"/>
    </row>
    <row r="767" spans="1:11" ht="43.5">
      <c r="A767" s="11">
        <v>54110</v>
      </c>
      <c r="B767" s="53" t="s">
        <v>968</v>
      </c>
      <c r="C767" s="13"/>
      <c r="D767" s="14" t="s">
        <v>18</v>
      </c>
      <c r="E767" s="14" t="s">
        <v>28</v>
      </c>
      <c r="F767" s="14" t="s">
        <v>27</v>
      </c>
      <c r="G767" s="305">
        <f>'JULIO-18  '!I756</f>
        <v>500</v>
      </c>
      <c r="H767" s="51"/>
      <c r="I767" s="17">
        <f t="shared" si="14"/>
        <v>500</v>
      </c>
      <c r="J767" s="56"/>
      <c r="K767" s="56"/>
    </row>
    <row r="768" spans="1:11" ht="44.25">
      <c r="A768" s="11">
        <v>54111</v>
      </c>
      <c r="B768" s="53" t="s">
        <v>884</v>
      </c>
      <c r="C768" s="13"/>
      <c r="D768" s="14" t="s">
        <v>18</v>
      </c>
      <c r="E768" s="14" t="s">
        <v>28</v>
      </c>
      <c r="F768" s="14" t="s">
        <v>27</v>
      </c>
      <c r="G768" s="305">
        <f>'JULIO-18  '!I757</f>
        <v>15000</v>
      </c>
      <c r="H768" s="51"/>
      <c r="I768" s="17">
        <f t="shared" ref="I768:I815" si="15">G768-H768+J768-K768</f>
        <v>15000</v>
      </c>
      <c r="J768" s="56"/>
      <c r="K768" s="56"/>
    </row>
    <row r="769" spans="1:11" ht="43.5">
      <c r="A769" s="11">
        <v>54118</v>
      </c>
      <c r="B769" s="53" t="s">
        <v>885</v>
      </c>
      <c r="C769" s="13"/>
      <c r="D769" s="14" t="s">
        <v>18</v>
      </c>
      <c r="E769" s="14" t="s">
        <v>28</v>
      </c>
      <c r="F769" s="14" t="s">
        <v>27</v>
      </c>
      <c r="G769" s="305">
        <f>'JULIO-18  '!I758</f>
        <v>5000</v>
      </c>
      <c r="H769" s="51"/>
      <c r="I769" s="17">
        <f t="shared" si="15"/>
        <v>5000</v>
      </c>
      <c r="J769" s="56"/>
      <c r="K769" s="56"/>
    </row>
    <row r="770" spans="1:11" ht="43.5">
      <c r="A770" s="11">
        <v>54304</v>
      </c>
      <c r="B770" s="53" t="s">
        <v>889</v>
      </c>
      <c r="C770" s="13"/>
      <c r="D770" s="14" t="s">
        <v>18</v>
      </c>
      <c r="E770" s="14" t="s">
        <v>28</v>
      </c>
      <c r="F770" s="14" t="s">
        <v>27</v>
      </c>
      <c r="G770" s="305">
        <f>'JULIO-18  '!I759</f>
        <v>2690</v>
      </c>
      <c r="H770" s="51"/>
      <c r="I770" s="17">
        <f t="shared" si="15"/>
        <v>2690</v>
      </c>
      <c r="J770" s="56"/>
      <c r="K770" s="56"/>
    </row>
    <row r="771" spans="1:11" ht="44.25">
      <c r="A771" s="11">
        <v>54313</v>
      </c>
      <c r="B771" s="53" t="s">
        <v>886</v>
      </c>
      <c r="C771" s="13"/>
      <c r="D771" s="14" t="s">
        <v>18</v>
      </c>
      <c r="E771" s="14" t="s">
        <v>28</v>
      </c>
      <c r="F771" s="14" t="s">
        <v>27</v>
      </c>
      <c r="G771" s="305">
        <f>'JULIO-18  '!I760</f>
        <v>300</v>
      </c>
      <c r="H771" s="51"/>
      <c r="I771" s="17">
        <f t="shared" si="15"/>
        <v>300</v>
      </c>
      <c r="J771" s="56"/>
      <c r="K771" s="56"/>
    </row>
    <row r="772" spans="1:11" ht="44.25">
      <c r="A772" s="11">
        <v>54399</v>
      </c>
      <c r="B772" s="53" t="s">
        <v>887</v>
      </c>
      <c r="C772" s="13"/>
      <c r="D772" s="14" t="s">
        <v>18</v>
      </c>
      <c r="E772" s="14" t="s">
        <v>28</v>
      </c>
      <c r="F772" s="14" t="s">
        <v>27</v>
      </c>
      <c r="G772" s="305">
        <f>'JULIO-18  '!I761</f>
        <v>1500</v>
      </c>
      <c r="H772" s="51"/>
      <c r="I772" s="17">
        <f t="shared" si="15"/>
        <v>1500</v>
      </c>
      <c r="J772" s="56"/>
      <c r="K772" s="56"/>
    </row>
    <row r="773" spans="1:11" ht="43.5">
      <c r="A773" s="11">
        <v>55603</v>
      </c>
      <c r="B773" s="53" t="s">
        <v>888</v>
      </c>
      <c r="C773" s="13"/>
      <c r="D773" s="14" t="s">
        <v>18</v>
      </c>
      <c r="E773" s="14" t="s">
        <v>28</v>
      </c>
      <c r="F773" s="14" t="s">
        <v>27</v>
      </c>
      <c r="G773" s="305">
        <f>'JULIO-18  '!I762</f>
        <v>10</v>
      </c>
      <c r="H773" s="51"/>
      <c r="I773" s="17">
        <f t="shared" si="15"/>
        <v>10</v>
      </c>
      <c r="J773" s="56"/>
      <c r="K773" s="56"/>
    </row>
    <row r="774" spans="1:11" ht="63.75" customHeight="1">
      <c r="A774" s="141" t="s">
        <v>901</v>
      </c>
      <c r="B774" s="53" t="s">
        <v>890</v>
      </c>
      <c r="C774" s="344" t="s">
        <v>1108</v>
      </c>
      <c r="D774" s="14"/>
      <c r="E774" s="14"/>
      <c r="F774" s="14"/>
      <c r="G774" s="305">
        <f>'JULIO-18  '!I763</f>
        <v>0</v>
      </c>
      <c r="H774" s="51"/>
      <c r="I774" s="17"/>
      <c r="J774" s="56"/>
      <c r="K774" s="56"/>
    </row>
    <row r="775" spans="1:11" ht="29.25">
      <c r="A775" s="11">
        <v>51202</v>
      </c>
      <c r="B775" s="53" t="s">
        <v>1014</v>
      </c>
      <c r="C775" s="13"/>
      <c r="D775" s="14" t="s">
        <v>18</v>
      </c>
      <c r="E775" s="14" t="s">
        <v>28</v>
      </c>
      <c r="F775" s="14" t="s">
        <v>27</v>
      </c>
      <c r="G775" s="305">
        <f>'JULIO-18  '!I764</f>
        <v>2973.8</v>
      </c>
      <c r="H775" s="51">
        <f>100+100+66.67+66.67+66.67+66.67+66.67+150+150+150+150+150+150+150+150+150+100+100+100+100+100+100+100+100+100+100+36+36+50+50+50+50+50+50+50+50+50+50+50+50+50+72+72+72+72+72+72+72+72+72+140+140+330</f>
        <v>4863.3500000000004</v>
      </c>
      <c r="I775" s="17">
        <f t="shared" si="15"/>
        <v>110.44999999999982</v>
      </c>
      <c r="J775" s="142">
        <v>2000</v>
      </c>
      <c r="K775" s="56"/>
    </row>
    <row r="776" spans="1:11" ht="29.25">
      <c r="A776" s="11">
        <v>51999</v>
      </c>
      <c r="B776" s="53" t="s">
        <v>1015</v>
      </c>
      <c r="C776" s="13"/>
      <c r="D776" s="14" t="s">
        <v>18</v>
      </c>
      <c r="E776" s="14" t="s">
        <v>28</v>
      </c>
      <c r="F776" s="14" t="s">
        <v>27</v>
      </c>
      <c r="G776" s="305">
        <f>'JULIO-18  '!I765</f>
        <v>211.59999999999991</v>
      </c>
      <c r="H776" s="51"/>
      <c r="I776" s="17">
        <f t="shared" si="15"/>
        <v>211.59999999999991</v>
      </c>
      <c r="J776" s="56"/>
      <c r="K776" s="56"/>
    </row>
    <row r="777" spans="1:11" ht="33.75" customHeight="1">
      <c r="A777" s="11">
        <v>54110</v>
      </c>
      <c r="B777" s="53" t="s">
        <v>1016</v>
      </c>
      <c r="C777" s="13"/>
      <c r="D777" s="14" t="s">
        <v>18</v>
      </c>
      <c r="E777" s="14" t="s">
        <v>28</v>
      </c>
      <c r="F777" s="14" t="s">
        <v>27</v>
      </c>
      <c r="G777" s="305">
        <f>'JULIO-18  '!I766</f>
        <v>500</v>
      </c>
      <c r="H777" s="51"/>
      <c r="I777" s="17">
        <f t="shared" si="15"/>
        <v>500</v>
      </c>
      <c r="J777" s="56"/>
      <c r="K777" s="56"/>
    </row>
    <row r="778" spans="1:11" ht="34.5" customHeight="1">
      <c r="A778" s="11">
        <v>54111</v>
      </c>
      <c r="B778" s="53" t="s">
        <v>1017</v>
      </c>
      <c r="C778" s="13"/>
      <c r="D778" s="14" t="s">
        <v>18</v>
      </c>
      <c r="E778" s="14" t="s">
        <v>28</v>
      </c>
      <c r="F778" s="14" t="s">
        <v>27</v>
      </c>
      <c r="G778" s="305">
        <f>'JULIO-18  '!I767</f>
        <v>9473.5</v>
      </c>
      <c r="H778" s="51"/>
      <c r="I778" s="17">
        <f t="shared" si="15"/>
        <v>7473.5</v>
      </c>
      <c r="J778" s="56"/>
      <c r="K778" s="127">
        <v>2000</v>
      </c>
    </row>
    <row r="779" spans="1:11" ht="44.25">
      <c r="A779" s="11">
        <v>54112</v>
      </c>
      <c r="B779" s="53" t="s">
        <v>1021</v>
      </c>
      <c r="C779" s="13"/>
      <c r="D779" s="14" t="s">
        <v>18</v>
      </c>
      <c r="E779" s="14" t="s">
        <v>28</v>
      </c>
      <c r="F779" s="14" t="s">
        <v>27</v>
      </c>
      <c r="G779" s="305">
        <f>'JULIO-18  '!I768</f>
        <v>2981.25</v>
      </c>
      <c r="H779" s="51"/>
      <c r="I779" s="17">
        <f t="shared" si="15"/>
        <v>2481.25</v>
      </c>
      <c r="J779" s="56"/>
      <c r="K779" s="142">
        <v>500</v>
      </c>
    </row>
    <row r="780" spans="1:11" ht="29.25">
      <c r="A780" s="11">
        <v>54118</v>
      </c>
      <c r="B780" s="53" t="s">
        <v>1020</v>
      </c>
      <c r="C780" s="61" t="s">
        <v>1109</v>
      </c>
      <c r="D780" s="14" t="s">
        <v>18</v>
      </c>
      <c r="E780" s="14" t="s">
        <v>28</v>
      </c>
      <c r="F780" s="14" t="s">
        <v>27</v>
      </c>
      <c r="G780" s="305">
        <f>'JULIO-18  '!I769</f>
        <v>1327.41</v>
      </c>
      <c r="H780" s="51"/>
      <c r="I780" s="17">
        <f t="shared" si="15"/>
        <v>1327.41</v>
      </c>
      <c r="J780" s="56"/>
      <c r="K780" s="56"/>
    </row>
    <row r="781" spans="1:11" ht="29.25">
      <c r="A781" s="11">
        <v>54199</v>
      </c>
      <c r="B781" s="53" t="s">
        <v>1018</v>
      </c>
      <c r="C781" s="13"/>
      <c r="D781" s="14" t="s">
        <v>18</v>
      </c>
      <c r="E781" s="14" t="s">
        <v>28</v>
      </c>
      <c r="F781" s="14" t="s">
        <v>27</v>
      </c>
      <c r="G781" s="305">
        <f>'JULIO-18  '!I770</f>
        <v>2017.0500000000002</v>
      </c>
      <c r="H781" s="51">
        <f>30+375</f>
        <v>405</v>
      </c>
      <c r="I781" s="17">
        <f t="shared" si="15"/>
        <v>1612.0500000000002</v>
      </c>
      <c r="J781" s="56"/>
      <c r="K781" s="56"/>
    </row>
    <row r="782" spans="1:11" ht="29.25">
      <c r="A782" s="11">
        <v>54313</v>
      </c>
      <c r="B782" s="53" t="s">
        <v>1019</v>
      </c>
      <c r="C782" s="13"/>
      <c r="D782" s="14" t="s">
        <v>18</v>
      </c>
      <c r="E782" s="14" t="s">
        <v>28</v>
      </c>
      <c r="F782" s="14" t="s">
        <v>27</v>
      </c>
      <c r="G782" s="305">
        <f>'JULIO-18  '!I771</f>
        <v>275</v>
      </c>
      <c r="H782" s="51"/>
      <c r="I782" s="17">
        <f t="shared" si="15"/>
        <v>275</v>
      </c>
      <c r="J782" s="56"/>
      <c r="K782" s="56"/>
    </row>
    <row r="783" spans="1:11" ht="57">
      <c r="A783" s="11">
        <v>54316</v>
      </c>
      <c r="B783" s="53" t="s">
        <v>1189</v>
      </c>
      <c r="C783" s="13"/>
      <c r="D783" s="14" t="s">
        <v>18</v>
      </c>
      <c r="E783" s="14" t="s">
        <v>28</v>
      </c>
      <c r="F783" s="14" t="s">
        <v>27</v>
      </c>
      <c r="G783" s="305"/>
      <c r="H783" s="51">
        <v>405</v>
      </c>
      <c r="I783" s="17">
        <f t="shared" si="15"/>
        <v>95</v>
      </c>
      <c r="J783" s="127">
        <v>500</v>
      </c>
      <c r="K783" s="56"/>
    </row>
    <row r="784" spans="1:11" ht="44.25">
      <c r="A784" s="11">
        <v>54399</v>
      </c>
      <c r="B784" s="53" t="s">
        <v>1022</v>
      </c>
      <c r="C784" s="13"/>
      <c r="D784" s="14" t="s">
        <v>18</v>
      </c>
      <c r="E784" s="14" t="s">
        <v>28</v>
      </c>
      <c r="F784" s="14" t="s">
        <v>27</v>
      </c>
      <c r="G784" s="305">
        <f>'JULIO-18  '!I772</f>
        <v>1429.35</v>
      </c>
      <c r="H784" s="51"/>
      <c r="I784" s="17">
        <f t="shared" si="15"/>
        <v>1429.35</v>
      </c>
      <c r="J784" s="137"/>
      <c r="K784" s="137"/>
    </row>
    <row r="785" spans="1:11" ht="29.25">
      <c r="A785" s="11">
        <v>55603</v>
      </c>
      <c r="B785" s="53" t="s">
        <v>898</v>
      </c>
      <c r="C785" s="13"/>
      <c r="D785" s="14" t="s">
        <v>18</v>
      </c>
      <c r="E785" s="14" t="s">
        <v>28</v>
      </c>
      <c r="F785" s="14" t="s">
        <v>27</v>
      </c>
      <c r="G785" s="305">
        <f>'JULIO-18  '!I773</f>
        <v>6.8199999999999994</v>
      </c>
      <c r="H785" s="51"/>
      <c r="I785" s="17">
        <f t="shared" si="15"/>
        <v>6.8199999999999994</v>
      </c>
      <c r="J785" s="142"/>
      <c r="K785" s="56"/>
    </row>
    <row r="786" spans="1:11" ht="60">
      <c r="A786" s="141">
        <v>41</v>
      </c>
      <c r="B786" s="53" t="s">
        <v>902</v>
      </c>
      <c r="C786" s="13"/>
      <c r="D786" s="14"/>
      <c r="E786" s="14"/>
      <c r="F786" s="14"/>
      <c r="G786" s="305">
        <f>'JULIO-18  '!I774</f>
        <v>0</v>
      </c>
      <c r="H786" s="51"/>
      <c r="I786" s="17"/>
      <c r="J786" s="56"/>
      <c r="K786" s="56"/>
    </row>
    <row r="787" spans="1:11" ht="29.25">
      <c r="A787" s="11">
        <v>51999</v>
      </c>
      <c r="B787" s="53" t="s">
        <v>903</v>
      </c>
      <c r="C787" s="13"/>
      <c r="D787" s="14" t="s">
        <v>18</v>
      </c>
      <c r="E787" s="14" t="s">
        <v>28</v>
      </c>
      <c r="F787" s="14" t="s">
        <v>27</v>
      </c>
      <c r="G787" s="305">
        <f>'JULIO-18  '!I775</f>
        <v>1000</v>
      </c>
      <c r="H787" s="51"/>
      <c r="I787" s="17">
        <f t="shared" si="15"/>
        <v>1000</v>
      </c>
      <c r="J787" s="56"/>
      <c r="K787" s="56"/>
    </row>
    <row r="788" spans="1:11" ht="44.25">
      <c r="A788" s="11">
        <v>54111</v>
      </c>
      <c r="B788" s="53" t="s">
        <v>904</v>
      </c>
      <c r="C788" s="13"/>
      <c r="D788" s="14" t="s">
        <v>18</v>
      </c>
      <c r="E788" s="14" t="s">
        <v>28</v>
      </c>
      <c r="F788" s="14" t="s">
        <v>27</v>
      </c>
      <c r="G788" s="305">
        <f>'JULIO-18  '!I776</f>
        <v>1000</v>
      </c>
      <c r="H788" s="51"/>
      <c r="I788" s="17">
        <f t="shared" si="15"/>
        <v>1000</v>
      </c>
      <c r="J788" s="56"/>
      <c r="K788" s="56"/>
    </row>
    <row r="789" spans="1:11" ht="43.5">
      <c r="A789" s="11">
        <v>54118</v>
      </c>
      <c r="B789" s="53" t="s">
        <v>905</v>
      </c>
      <c r="C789" s="13"/>
      <c r="D789" s="14" t="s">
        <v>18</v>
      </c>
      <c r="E789" s="14" t="s">
        <v>28</v>
      </c>
      <c r="F789" s="14" t="s">
        <v>27</v>
      </c>
      <c r="G789" s="305">
        <f>'JULIO-18  '!I777</f>
        <v>1000</v>
      </c>
      <c r="H789" s="51"/>
      <c r="I789" s="17">
        <f t="shared" si="15"/>
        <v>1000</v>
      </c>
      <c r="J789" s="56"/>
      <c r="K789" s="56"/>
    </row>
    <row r="790" spans="1:11" ht="44.25">
      <c r="A790" s="11">
        <v>54313</v>
      </c>
      <c r="B790" s="53" t="s">
        <v>906</v>
      </c>
      <c r="C790" s="13"/>
      <c r="D790" s="14" t="s">
        <v>18</v>
      </c>
      <c r="E790" s="14" t="s">
        <v>28</v>
      </c>
      <c r="F790" s="14" t="s">
        <v>27</v>
      </c>
      <c r="G790" s="305">
        <f>'JULIO-18  '!I778</f>
        <v>100</v>
      </c>
      <c r="H790" s="51"/>
      <c r="I790" s="17">
        <f t="shared" si="15"/>
        <v>100</v>
      </c>
      <c r="J790" s="56"/>
      <c r="K790" s="56"/>
    </row>
    <row r="791" spans="1:11" ht="44.25">
      <c r="A791" s="11">
        <v>54399</v>
      </c>
      <c r="B791" s="53" t="s">
        <v>907</v>
      </c>
      <c r="C791" s="13"/>
      <c r="D791" s="14" t="s">
        <v>18</v>
      </c>
      <c r="E791" s="14" t="s">
        <v>28</v>
      </c>
      <c r="F791" s="14" t="s">
        <v>27</v>
      </c>
      <c r="G791" s="305">
        <f>'JULIO-18  '!I779</f>
        <v>1890</v>
      </c>
      <c r="H791" s="51"/>
      <c r="I791" s="17">
        <f t="shared" si="15"/>
        <v>1890</v>
      </c>
      <c r="J791" s="56"/>
      <c r="K791" s="56"/>
    </row>
    <row r="792" spans="1:11" ht="29.25">
      <c r="A792" s="11">
        <v>55603</v>
      </c>
      <c r="B792" s="53" t="s">
        <v>908</v>
      </c>
      <c r="C792" s="13"/>
      <c r="D792" s="14" t="s">
        <v>18</v>
      </c>
      <c r="E792" s="14" t="s">
        <v>28</v>
      </c>
      <c r="F792" s="14" t="s">
        <v>27</v>
      </c>
      <c r="G792" s="305">
        <f>'JULIO-18  '!I780</f>
        <v>10</v>
      </c>
      <c r="H792" s="51"/>
      <c r="I792" s="17">
        <f t="shared" si="15"/>
        <v>10</v>
      </c>
      <c r="J792" s="56"/>
      <c r="K792" s="56"/>
    </row>
    <row r="793" spans="1:11" ht="45">
      <c r="A793" s="141" t="s">
        <v>909</v>
      </c>
      <c r="B793" s="53" t="s">
        <v>910</v>
      </c>
      <c r="C793" s="13"/>
      <c r="D793" s="14"/>
      <c r="E793" s="14"/>
      <c r="F793" s="14"/>
      <c r="G793" s="305">
        <f>'JULIO-18  '!I781</f>
        <v>0</v>
      </c>
      <c r="H793" s="51"/>
      <c r="I793" s="17"/>
      <c r="J793" s="56"/>
      <c r="K793" s="56"/>
    </row>
    <row r="794" spans="1:11" ht="29.25">
      <c r="A794" s="11">
        <v>51999</v>
      </c>
      <c r="B794" s="54" t="s">
        <v>911</v>
      </c>
      <c r="C794" s="13"/>
      <c r="D794" s="14" t="s">
        <v>18</v>
      </c>
      <c r="E794" s="14" t="s">
        <v>28</v>
      </c>
      <c r="F794" s="14" t="s">
        <v>27</v>
      </c>
      <c r="G794" s="305">
        <f>'JULIO-18  '!I782</f>
        <v>500</v>
      </c>
      <c r="H794" s="51"/>
      <c r="I794" s="17">
        <f t="shared" si="15"/>
        <v>500</v>
      </c>
      <c r="J794" s="56"/>
      <c r="K794" s="56"/>
    </row>
    <row r="795" spans="1:11" ht="29.25">
      <c r="A795" s="11">
        <v>54110</v>
      </c>
      <c r="B795" s="54" t="s">
        <v>912</v>
      </c>
      <c r="C795" s="13"/>
      <c r="D795" s="14" t="s">
        <v>18</v>
      </c>
      <c r="E795" s="14" t="s">
        <v>28</v>
      </c>
      <c r="F795" s="14" t="s">
        <v>27</v>
      </c>
      <c r="G795" s="305">
        <f>'JULIO-18  '!I783</f>
        <v>500</v>
      </c>
      <c r="H795" s="51"/>
      <c r="I795" s="17">
        <f t="shared" si="15"/>
        <v>500</v>
      </c>
      <c r="J795" s="56"/>
      <c r="K795" s="56"/>
    </row>
    <row r="796" spans="1:11" ht="30">
      <c r="A796" s="11">
        <v>54111</v>
      </c>
      <c r="B796" s="53" t="s">
        <v>913</v>
      </c>
      <c r="C796" s="13"/>
      <c r="D796" s="14" t="s">
        <v>18</v>
      </c>
      <c r="E796" s="14" t="s">
        <v>28</v>
      </c>
      <c r="F796" s="14" t="s">
        <v>27</v>
      </c>
      <c r="G796" s="305">
        <f>'JULIO-18  '!I784</f>
        <v>1000</v>
      </c>
      <c r="H796" s="51"/>
      <c r="I796" s="17">
        <f t="shared" si="15"/>
        <v>1000</v>
      </c>
      <c r="J796" s="56"/>
      <c r="K796" s="56"/>
    </row>
    <row r="797" spans="1:11" ht="29.25">
      <c r="A797" s="11">
        <v>54118</v>
      </c>
      <c r="B797" s="53" t="s">
        <v>914</v>
      </c>
      <c r="C797" s="13"/>
      <c r="D797" s="14" t="s">
        <v>18</v>
      </c>
      <c r="E797" s="14" t="s">
        <v>28</v>
      </c>
      <c r="F797" s="14" t="s">
        <v>27</v>
      </c>
      <c r="G797" s="305">
        <f>'JULIO-18  '!I785</f>
        <v>1000</v>
      </c>
      <c r="H797" s="51"/>
      <c r="I797" s="17">
        <f t="shared" si="15"/>
        <v>1000</v>
      </c>
      <c r="J797" s="56"/>
      <c r="K797" s="56"/>
    </row>
    <row r="798" spans="1:11" ht="29.25">
      <c r="A798" s="11">
        <v>54199</v>
      </c>
      <c r="B798" s="53" t="s">
        <v>915</v>
      </c>
      <c r="C798" s="13"/>
      <c r="D798" s="14" t="s">
        <v>18</v>
      </c>
      <c r="E798" s="14" t="s">
        <v>28</v>
      </c>
      <c r="F798" s="14" t="s">
        <v>27</v>
      </c>
      <c r="G798" s="305">
        <f>'JULIO-18  '!I786</f>
        <v>500</v>
      </c>
      <c r="H798" s="51"/>
      <c r="I798" s="17">
        <f t="shared" si="15"/>
        <v>500</v>
      </c>
      <c r="J798" s="56"/>
      <c r="K798" s="56"/>
    </row>
    <row r="799" spans="1:11" ht="44.25">
      <c r="A799" s="11">
        <v>54313</v>
      </c>
      <c r="B799" s="53" t="s">
        <v>916</v>
      </c>
      <c r="C799" s="13"/>
      <c r="D799" s="14" t="s">
        <v>18</v>
      </c>
      <c r="E799" s="14" t="s">
        <v>28</v>
      </c>
      <c r="F799" s="14" t="s">
        <v>27</v>
      </c>
      <c r="G799" s="305">
        <f>'JULIO-18  '!I787</f>
        <v>600</v>
      </c>
      <c r="H799" s="51"/>
      <c r="I799" s="17">
        <f t="shared" si="15"/>
        <v>600</v>
      </c>
      <c r="J799" s="56"/>
      <c r="K799" s="56"/>
    </row>
    <row r="800" spans="1:11" ht="30">
      <c r="A800" s="11">
        <v>54399</v>
      </c>
      <c r="B800" s="53" t="s">
        <v>917</v>
      </c>
      <c r="C800" s="13"/>
      <c r="D800" s="14" t="s">
        <v>18</v>
      </c>
      <c r="E800" s="14" t="s">
        <v>28</v>
      </c>
      <c r="F800" s="14" t="s">
        <v>27</v>
      </c>
      <c r="G800" s="305">
        <f>'JULIO-18  '!I788</f>
        <v>890</v>
      </c>
      <c r="H800" s="51"/>
      <c r="I800" s="17">
        <f t="shared" si="15"/>
        <v>890</v>
      </c>
      <c r="J800" s="56"/>
      <c r="K800" s="56"/>
    </row>
    <row r="801" spans="1:190" ht="29.25">
      <c r="A801" s="11">
        <v>55603</v>
      </c>
      <c r="B801" s="53" t="s">
        <v>918</v>
      </c>
      <c r="C801" s="13"/>
      <c r="D801" s="14" t="s">
        <v>18</v>
      </c>
      <c r="E801" s="14" t="s">
        <v>28</v>
      </c>
      <c r="F801" s="14" t="s">
        <v>27</v>
      </c>
      <c r="G801" s="305">
        <f>'JULIO-18  '!I789</f>
        <v>10</v>
      </c>
      <c r="H801" s="51"/>
      <c r="I801" s="17">
        <f t="shared" si="15"/>
        <v>10</v>
      </c>
      <c r="J801" s="56"/>
      <c r="K801" s="56"/>
    </row>
    <row r="802" spans="1:190" ht="74.25">
      <c r="A802" s="141" t="s">
        <v>1093</v>
      </c>
      <c r="B802" s="53" t="s">
        <v>964</v>
      </c>
      <c r="C802" s="13"/>
      <c r="D802" s="14"/>
      <c r="E802" s="14"/>
      <c r="F802" s="14"/>
      <c r="G802" s="305">
        <f>'JULIO-18  '!I790</f>
        <v>0</v>
      </c>
      <c r="H802" s="51"/>
      <c r="I802" s="17"/>
      <c r="J802" s="56"/>
      <c r="K802" s="56"/>
    </row>
    <row r="803" spans="1:190" s="178" customFormat="1" ht="45">
      <c r="A803" s="1" t="s">
        <v>19</v>
      </c>
      <c r="B803" s="179" t="s">
        <v>965</v>
      </c>
      <c r="C803" s="180"/>
      <c r="D803" s="14" t="s">
        <v>18</v>
      </c>
      <c r="E803" s="14" t="s">
        <v>28</v>
      </c>
      <c r="F803" s="14" t="s">
        <v>27</v>
      </c>
      <c r="G803" s="305">
        <f>'JULIO-18  '!I791</f>
        <v>1.8189894035458565E-12</v>
      </c>
      <c r="H803" s="210"/>
      <c r="I803" s="17">
        <f t="shared" si="15"/>
        <v>1.8189894035458565E-12</v>
      </c>
      <c r="J803" s="143"/>
      <c r="K803" s="209"/>
    </row>
    <row r="804" spans="1:190" s="178" customFormat="1" ht="71.25">
      <c r="A804" s="1">
        <v>51202</v>
      </c>
      <c r="B804" s="53" t="s">
        <v>985</v>
      </c>
      <c r="C804" s="180"/>
      <c r="D804" s="14" t="s">
        <v>18</v>
      </c>
      <c r="E804" s="14" t="s">
        <v>28</v>
      </c>
      <c r="F804" s="14" t="s">
        <v>27</v>
      </c>
      <c r="G804" s="305">
        <f>'JULIO-18  '!I792</f>
        <v>0.15999999999939973</v>
      </c>
      <c r="H804" s="210"/>
      <c r="I804" s="17">
        <f t="shared" si="15"/>
        <v>0.15999999999939973</v>
      </c>
      <c r="J804" s="209"/>
      <c r="K804" s="209"/>
    </row>
    <row r="805" spans="1:190" ht="44.25">
      <c r="A805" s="11">
        <v>54118</v>
      </c>
      <c r="B805" s="53" t="s">
        <v>919</v>
      </c>
      <c r="C805" s="13"/>
      <c r="D805" s="14" t="s">
        <v>18</v>
      </c>
      <c r="E805" s="14" t="s">
        <v>28</v>
      </c>
      <c r="F805" s="14" t="s">
        <v>27</v>
      </c>
      <c r="G805" s="305">
        <f>'JULIO-18  '!I793</f>
        <v>0</v>
      </c>
      <c r="H805" s="51"/>
      <c r="I805" s="17">
        <f t="shared" si="15"/>
        <v>0</v>
      </c>
      <c r="J805" s="56"/>
      <c r="K805" s="137"/>
    </row>
    <row r="806" spans="1:190" ht="44.25">
      <c r="A806" s="11">
        <v>54313</v>
      </c>
      <c r="B806" s="168" t="s">
        <v>920</v>
      </c>
      <c r="C806" s="13"/>
      <c r="D806" s="14" t="s">
        <v>18</v>
      </c>
      <c r="E806" s="14" t="s">
        <v>28</v>
      </c>
      <c r="F806" s="14" t="s">
        <v>27</v>
      </c>
      <c r="G806" s="305">
        <f>'JULIO-18  '!I794</f>
        <v>0</v>
      </c>
      <c r="H806" s="51"/>
      <c r="I806" s="17">
        <f t="shared" si="15"/>
        <v>0</v>
      </c>
      <c r="J806" s="56"/>
      <c r="K806" s="137"/>
    </row>
    <row r="807" spans="1:190" ht="29.25">
      <c r="A807" s="11">
        <v>56303</v>
      </c>
      <c r="B807" s="53" t="s">
        <v>921</v>
      </c>
      <c r="C807" s="13"/>
      <c r="D807" s="14" t="s">
        <v>18</v>
      </c>
      <c r="E807" s="14" t="s">
        <v>28</v>
      </c>
      <c r="F807" s="14" t="s">
        <v>27</v>
      </c>
      <c r="G807" s="305">
        <f>'JULIO-18  '!I795</f>
        <v>0</v>
      </c>
      <c r="H807" s="51"/>
      <c r="I807" s="17">
        <f t="shared" si="15"/>
        <v>0</v>
      </c>
      <c r="J807" s="56"/>
      <c r="K807" s="137"/>
    </row>
    <row r="808" spans="1:190" ht="29.25">
      <c r="A808" s="11">
        <v>55603</v>
      </c>
      <c r="B808" s="53" t="s">
        <v>922</v>
      </c>
      <c r="C808" s="13"/>
      <c r="D808" s="14" t="s">
        <v>18</v>
      </c>
      <c r="E808" s="14" t="s">
        <v>28</v>
      </c>
      <c r="F808" s="14" t="s">
        <v>27</v>
      </c>
      <c r="G808" s="305">
        <f>'JULIO-18  '!I796</f>
        <v>0</v>
      </c>
      <c r="H808" s="51"/>
      <c r="I808" s="17">
        <f t="shared" si="15"/>
        <v>0</v>
      </c>
      <c r="J808" s="56"/>
      <c r="K808" s="137"/>
    </row>
    <row r="809" spans="1:190" ht="103.5">
      <c r="A809" s="11" t="s">
        <v>923</v>
      </c>
      <c r="B809" s="53" t="s">
        <v>924</v>
      </c>
      <c r="C809" s="13"/>
      <c r="D809" s="14" t="s">
        <v>18</v>
      </c>
      <c r="E809" s="14" t="s">
        <v>28</v>
      </c>
      <c r="F809" s="14" t="s">
        <v>27</v>
      </c>
      <c r="G809" s="305">
        <f>'JULIO-18  '!I797</f>
        <v>3.5242919693700969E-12</v>
      </c>
      <c r="H809" s="51"/>
      <c r="I809" s="17">
        <f t="shared" si="15"/>
        <v>3.5242919693700969E-12</v>
      </c>
      <c r="J809" s="56"/>
      <c r="K809" s="266"/>
    </row>
    <row r="810" spans="1:190">
      <c r="A810" s="38"/>
      <c r="B810" s="161" t="s">
        <v>975</v>
      </c>
      <c r="C810" s="39"/>
      <c r="D810" s="39"/>
      <c r="E810" s="39"/>
      <c r="F810" s="39"/>
      <c r="G810" s="305">
        <f>'JULIO-18  '!I798</f>
        <v>440585.6399999999</v>
      </c>
      <c r="H810" s="95">
        <f>SUM(H444:H809)</f>
        <v>25666.67</v>
      </c>
      <c r="I810" s="40">
        <f>SUM(I444:I809)</f>
        <v>520350.42999999993</v>
      </c>
      <c r="J810" s="40">
        <f>SUM(J444:J809)</f>
        <v>120495.87</v>
      </c>
      <c r="K810" s="40">
        <f>SUM(K444:K809)</f>
        <v>15064.41</v>
      </c>
    </row>
    <row r="811" spans="1:190" s="198" customFormat="1" ht="54.75" customHeight="1" thickBot="1">
      <c r="A811" s="191" t="s">
        <v>925</v>
      </c>
      <c r="B811" s="192" t="s">
        <v>926</v>
      </c>
      <c r="C811" s="193"/>
      <c r="D811" s="194" t="s">
        <v>20</v>
      </c>
      <c r="E811" s="194" t="s">
        <v>31</v>
      </c>
      <c r="F811" s="194" t="s">
        <v>27</v>
      </c>
      <c r="G811" s="305">
        <f>'JULIO-18  '!I799</f>
        <v>0</v>
      </c>
      <c r="H811" s="246"/>
      <c r="I811" s="196">
        <f t="shared" si="15"/>
        <v>0</v>
      </c>
      <c r="J811" s="197"/>
      <c r="K811" s="267"/>
      <c r="L811" s="199"/>
      <c r="M811" s="199"/>
      <c r="N811" s="199"/>
      <c r="O811" s="199"/>
      <c r="P811" s="199"/>
      <c r="Q811" s="199"/>
      <c r="R811" s="199"/>
      <c r="S811" s="199"/>
      <c r="T811" s="199"/>
      <c r="U811" s="199"/>
      <c r="V811" s="199"/>
      <c r="W811" s="199"/>
      <c r="X811" s="199"/>
      <c r="Y811" s="199"/>
      <c r="Z811" s="199"/>
      <c r="AA811" s="199"/>
      <c r="AB811" s="199"/>
      <c r="AC811" s="199"/>
      <c r="AD811" s="199"/>
      <c r="AE811" s="199"/>
      <c r="AF811" s="199"/>
      <c r="AG811" s="199"/>
      <c r="AH811" s="199"/>
      <c r="AI811" s="199"/>
      <c r="AJ811" s="199"/>
      <c r="AK811" s="199"/>
      <c r="AL811" s="199"/>
      <c r="AM811" s="199"/>
      <c r="AN811" s="199"/>
      <c r="AO811" s="199"/>
      <c r="AP811" s="199"/>
      <c r="AQ811" s="199"/>
      <c r="AR811" s="199"/>
      <c r="AS811" s="199"/>
      <c r="AT811" s="199"/>
      <c r="AU811" s="199"/>
      <c r="AV811" s="199"/>
      <c r="AW811" s="199"/>
      <c r="AX811" s="199"/>
      <c r="AY811" s="199"/>
      <c r="AZ811" s="199"/>
      <c r="BA811" s="199"/>
      <c r="BB811" s="199"/>
      <c r="BC811" s="199"/>
      <c r="BD811" s="199"/>
      <c r="BE811" s="199"/>
      <c r="BF811" s="199"/>
      <c r="BG811" s="199"/>
      <c r="BH811" s="199"/>
      <c r="BI811" s="199"/>
      <c r="BJ811" s="199"/>
      <c r="BK811" s="199"/>
      <c r="BL811" s="199"/>
      <c r="BM811" s="199"/>
      <c r="BN811" s="199"/>
      <c r="BO811" s="199"/>
      <c r="BP811" s="199"/>
      <c r="BQ811" s="199"/>
      <c r="BR811" s="199"/>
      <c r="BS811" s="199"/>
      <c r="BT811" s="199"/>
      <c r="BU811" s="199"/>
      <c r="BV811" s="199"/>
      <c r="BW811" s="199"/>
      <c r="BX811" s="199"/>
      <c r="BY811" s="199"/>
      <c r="BZ811" s="199"/>
      <c r="CA811" s="199"/>
      <c r="CB811" s="199"/>
      <c r="CC811" s="199"/>
      <c r="CD811" s="199"/>
      <c r="CE811" s="199"/>
      <c r="CF811" s="199"/>
      <c r="CG811" s="199"/>
      <c r="CH811" s="199"/>
      <c r="CI811" s="199"/>
      <c r="CJ811" s="199"/>
      <c r="CK811" s="199"/>
      <c r="CL811" s="199"/>
      <c r="CM811" s="199"/>
      <c r="CN811" s="199"/>
      <c r="CO811" s="199"/>
      <c r="CP811" s="199"/>
      <c r="CQ811" s="199"/>
      <c r="CR811" s="199"/>
      <c r="CS811" s="199"/>
      <c r="CT811" s="199"/>
      <c r="CU811" s="199"/>
      <c r="CV811" s="199"/>
      <c r="CW811" s="199"/>
      <c r="CX811" s="199"/>
      <c r="CY811" s="199"/>
      <c r="CZ811" s="199"/>
      <c r="DA811" s="199"/>
      <c r="DB811" s="199"/>
      <c r="DC811" s="199"/>
      <c r="DD811" s="199"/>
      <c r="DE811" s="199"/>
      <c r="DF811" s="199"/>
      <c r="DG811" s="199"/>
      <c r="DH811" s="199"/>
      <c r="DI811" s="199"/>
      <c r="DJ811" s="199"/>
      <c r="DK811" s="199"/>
      <c r="DL811" s="199"/>
      <c r="DM811" s="199"/>
      <c r="DN811" s="199"/>
      <c r="DO811" s="199"/>
      <c r="DP811" s="199"/>
      <c r="DQ811" s="199"/>
      <c r="DR811" s="199"/>
      <c r="DS811" s="199"/>
      <c r="DT811" s="199"/>
      <c r="DU811" s="199"/>
      <c r="DV811" s="199"/>
      <c r="DW811" s="199"/>
      <c r="DX811" s="199"/>
      <c r="DY811" s="199"/>
      <c r="DZ811" s="199"/>
      <c r="EA811" s="199"/>
      <c r="EB811" s="199"/>
      <c r="EC811" s="199"/>
      <c r="ED811" s="199"/>
      <c r="EE811" s="199"/>
      <c r="EF811" s="199"/>
      <c r="EG811" s="199"/>
      <c r="EH811" s="199"/>
      <c r="EI811" s="199"/>
      <c r="EJ811" s="199"/>
      <c r="EK811" s="199"/>
      <c r="EL811" s="199"/>
      <c r="EM811" s="199"/>
      <c r="EN811" s="199"/>
      <c r="EO811" s="199"/>
      <c r="EP811" s="199"/>
      <c r="EQ811" s="199"/>
      <c r="ER811" s="199"/>
      <c r="ES811" s="199"/>
      <c r="ET811" s="199"/>
      <c r="EU811" s="199"/>
      <c r="EV811" s="199"/>
      <c r="EW811" s="199"/>
      <c r="EX811" s="199"/>
      <c r="EY811" s="199"/>
      <c r="EZ811" s="199"/>
      <c r="FA811" s="199"/>
      <c r="FB811" s="199"/>
      <c r="FC811" s="199"/>
      <c r="FD811" s="199"/>
      <c r="FE811" s="199"/>
      <c r="FF811" s="199"/>
      <c r="FG811" s="199"/>
      <c r="FH811" s="199"/>
      <c r="FI811" s="199"/>
      <c r="FJ811" s="199"/>
      <c r="FK811" s="199"/>
      <c r="FL811" s="199"/>
      <c r="FM811" s="199"/>
      <c r="FN811" s="199"/>
      <c r="FO811" s="199"/>
      <c r="FP811" s="199"/>
      <c r="FQ811" s="199"/>
      <c r="FR811" s="199"/>
      <c r="FS811" s="199"/>
      <c r="FT811" s="199"/>
      <c r="FU811" s="199"/>
      <c r="FV811" s="199"/>
      <c r="FW811" s="199"/>
      <c r="FX811" s="199"/>
      <c r="FY811" s="199"/>
      <c r="FZ811" s="199"/>
      <c r="GA811" s="199"/>
      <c r="GB811" s="199"/>
      <c r="GC811" s="199"/>
      <c r="GD811" s="199"/>
      <c r="GE811" s="199"/>
      <c r="GF811" s="199"/>
      <c r="GG811" s="199"/>
      <c r="GH811" s="199"/>
    </row>
    <row r="812" spans="1:190" s="199" customFormat="1" ht="23.25" customHeight="1" thickBot="1">
      <c r="A812" s="38"/>
      <c r="B812" s="161" t="s">
        <v>21</v>
      </c>
      <c r="C812" s="39"/>
      <c r="D812" s="39"/>
      <c r="E812" s="39"/>
      <c r="F812" s="39"/>
      <c r="G812" s="305">
        <f>'JULIO-18  '!I800</f>
        <v>0</v>
      </c>
      <c r="H812" s="95">
        <f>SUM(H811)</f>
        <v>0</v>
      </c>
      <c r="I812" s="196">
        <f t="shared" si="15"/>
        <v>0</v>
      </c>
      <c r="J812" s="40"/>
      <c r="K812" s="398">
        <f>SUM(K811)</f>
        <v>0</v>
      </c>
    </row>
    <row r="813" spans="1:190" s="171" customFormat="1" ht="45">
      <c r="A813" s="184" t="s">
        <v>929</v>
      </c>
      <c r="B813" s="185" t="s">
        <v>928</v>
      </c>
      <c r="C813" s="186"/>
      <c r="D813" s="187" t="s">
        <v>22</v>
      </c>
      <c r="E813" s="187" t="s">
        <v>31</v>
      </c>
      <c r="F813" s="187" t="s">
        <v>27</v>
      </c>
      <c r="G813" s="305">
        <f>'JULIO-18  '!I801</f>
        <v>117.86000000000001</v>
      </c>
      <c r="H813" s="245"/>
      <c r="I813" s="189">
        <f t="shared" si="15"/>
        <v>0</v>
      </c>
      <c r="J813" s="190"/>
      <c r="K813" s="268">
        <v>117.86</v>
      </c>
    </row>
    <row r="814" spans="1:190" s="171" customFormat="1" ht="63" customHeight="1">
      <c r="A814" s="175" t="s">
        <v>927</v>
      </c>
      <c r="B814" s="174" t="s">
        <v>978</v>
      </c>
      <c r="C814" s="139"/>
      <c r="D814" s="14" t="s">
        <v>22</v>
      </c>
      <c r="E814" s="14" t="s">
        <v>31</v>
      </c>
      <c r="F814" s="14" t="s">
        <v>27</v>
      </c>
      <c r="G814" s="305">
        <f>'JULIO-18  '!I802</f>
        <v>290.39999999999998</v>
      </c>
      <c r="H814" s="244"/>
      <c r="I814" s="17">
        <f t="shared" si="15"/>
        <v>0</v>
      </c>
      <c r="J814" s="140"/>
      <c r="K814" s="135">
        <v>290.39999999999998</v>
      </c>
    </row>
    <row r="815" spans="1:190">
      <c r="A815" s="38"/>
      <c r="B815" s="161" t="s">
        <v>23</v>
      </c>
      <c r="C815" s="39"/>
      <c r="D815" s="39"/>
      <c r="E815" s="39"/>
      <c r="F815" s="39"/>
      <c r="G815" s="305">
        <f>'JULIO-18  '!I803</f>
        <v>408.2600000000001</v>
      </c>
      <c r="H815" s="95">
        <f>SUM(H813:H814)</f>
        <v>0</v>
      </c>
      <c r="I815" s="17">
        <f t="shared" si="15"/>
        <v>0</v>
      </c>
      <c r="J815" s="40"/>
      <c r="K815" s="40">
        <f>SUM(K813:K814)</f>
        <v>408.26</v>
      </c>
    </row>
    <row r="816" spans="1:190" s="171" customFormat="1" ht="116.25" customHeight="1">
      <c r="A816" s="169" t="s">
        <v>200</v>
      </c>
      <c r="B816" s="174" t="s">
        <v>1081</v>
      </c>
      <c r="C816" s="139"/>
      <c r="D816" s="139"/>
      <c r="E816" s="139"/>
      <c r="F816" s="139"/>
      <c r="G816" s="305">
        <f>'JULIO-18  '!I804</f>
        <v>0</v>
      </c>
      <c r="H816" s="170"/>
      <c r="I816" s="140"/>
      <c r="J816" s="140"/>
      <c r="K816" s="140"/>
    </row>
    <row r="817" spans="1:11" s="171" customFormat="1" ht="38.25" customHeight="1">
      <c r="A817" s="255">
        <v>51999</v>
      </c>
      <c r="B817" s="173" t="s">
        <v>933</v>
      </c>
      <c r="C817" s="139"/>
      <c r="D817" s="14" t="s">
        <v>11</v>
      </c>
      <c r="E817" s="14" t="s">
        <v>25</v>
      </c>
      <c r="F817" s="257" t="s">
        <v>1025</v>
      </c>
      <c r="G817" s="305">
        <f>'JULIO-18  '!I805</f>
        <v>2100</v>
      </c>
      <c r="H817" s="140"/>
      <c r="I817" s="17">
        <f t="shared" ref="I817:I853" si="16">G817-H817+J817-K817</f>
        <v>2100</v>
      </c>
      <c r="J817" s="135"/>
      <c r="K817" s="135"/>
    </row>
    <row r="818" spans="1:11" s="171" customFormat="1" ht="30" customHeight="1">
      <c r="A818" s="255">
        <v>54199</v>
      </c>
      <c r="B818" s="173" t="s">
        <v>931</v>
      </c>
      <c r="C818" s="139"/>
      <c r="D818" s="14" t="s">
        <v>11</v>
      </c>
      <c r="E818" s="14" t="s">
        <v>25</v>
      </c>
      <c r="F818" s="257" t="s">
        <v>1025</v>
      </c>
      <c r="G818" s="305">
        <f>'JULIO-18  '!I806</f>
        <v>0</v>
      </c>
      <c r="H818" s="170"/>
      <c r="I818" s="17">
        <f t="shared" si="16"/>
        <v>0</v>
      </c>
      <c r="J818" s="135"/>
      <c r="K818" s="135"/>
    </row>
    <row r="819" spans="1:11" s="171" customFormat="1" ht="24.75" customHeight="1">
      <c r="A819" s="255">
        <v>55799</v>
      </c>
      <c r="B819" s="173" t="s">
        <v>932</v>
      </c>
      <c r="C819" s="139"/>
      <c r="D819" s="14" t="s">
        <v>11</v>
      </c>
      <c r="E819" s="14" t="s">
        <v>25</v>
      </c>
      <c r="F819" s="257" t="s">
        <v>1025</v>
      </c>
      <c r="G819" s="305">
        <f>'JULIO-18  '!I807</f>
        <v>1413.6799999999998</v>
      </c>
      <c r="H819" s="170"/>
      <c r="I819" s="17">
        <f t="shared" si="16"/>
        <v>1413.6799999999998</v>
      </c>
      <c r="J819" s="135"/>
      <c r="K819" s="135"/>
    </row>
    <row r="820" spans="1:11" s="171" customFormat="1" ht="68.25" customHeight="1">
      <c r="A820" s="176" t="s">
        <v>201</v>
      </c>
      <c r="B820" s="173" t="s">
        <v>934</v>
      </c>
      <c r="C820" s="139"/>
      <c r="D820" s="139"/>
      <c r="E820" s="139"/>
      <c r="F820" s="257" t="s">
        <v>1024</v>
      </c>
      <c r="G820" s="305">
        <f>'JULIO-18  '!I808</f>
        <v>0</v>
      </c>
      <c r="H820" s="170"/>
      <c r="I820" s="17"/>
      <c r="J820" s="140"/>
      <c r="K820" s="140"/>
    </row>
    <row r="821" spans="1:11" s="171" customFormat="1" ht="37.5" customHeight="1">
      <c r="A821" s="254">
        <v>51202</v>
      </c>
      <c r="B821" s="173" t="s">
        <v>954</v>
      </c>
      <c r="C821" s="139"/>
      <c r="D821" s="14" t="s">
        <v>11</v>
      </c>
      <c r="E821" s="14" t="s">
        <v>25</v>
      </c>
      <c r="F821" s="257" t="s">
        <v>1024</v>
      </c>
      <c r="G821" s="305">
        <f>'JULIO-18  '!I809</f>
        <v>335.67000000000098</v>
      </c>
      <c r="H821" s="140"/>
      <c r="I821" s="17">
        <f t="shared" si="16"/>
        <v>335.67000000000098</v>
      </c>
      <c r="J821" s="140"/>
      <c r="K821" s="140"/>
    </row>
    <row r="822" spans="1:11" s="171" customFormat="1" ht="33" customHeight="1">
      <c r="A822" s="254">
        <v>51999</v>
      </c>
      <c r="B822" s="177" t="s">
        <v>935</v>
      </c>
      <c r="C822" s="139"/>
      <c r="D822" s="14" t="s">
        <v>11</v>
      </c>
      <c r="E822" s="14" t="s">
        <v>25</v>
      </c>
      <c r="F822" s="257" t="s">
        <v>1024</v>
      </c>
      <c r="G822" s="305">
        <f>'JULIO-18  '!I810</f>
        <v>0</v>
      </c>
      <c r="H822" s="140"/>
      <c r="I822" s="17">
        <f t="shared" si="16"/>
        <v>0</v>
      </c>
      <c r="J822" s="140"/>
      <c r="K822" s="135"/>
    </row>
    <row r="823" spans="1:11" s="171" customFormat="1" ht="29.25">
      <c r="A823" s="254">
        <v>54110</v>
      </c>
      <c r="B823" s="177" t="s">
        <v>936</v>
      </c>
      <c r="C823" s="139"/>
      <c r="D823" s="14" t="s">
        <v>11</v>
      </c>
      <c r="E823" s="14" t="s">
        <v>25</v>
      </c>
      <c r="F823" s="257" t="s">
        <v>1024</v>
      </c>
      <c r="G823" s="305">
        <f>'JULIO-18  '!I811</f>
        <v>393.8599999999999</v>
      </c>
      <c r="H823" s="140"/>
      <c r="I823" s="17">
        <f t="shared" si="16"/>
        <v>393.8599999999999</v>
      </c>
      <c r="J823" s="140"/>
      <c r="K823" s="135"/>
    </row>
    <row r="824" spans="1:11" s="171" customFormat="1" ht="44.25">
      <c r="A824" s="254">
        <v>54111</v>
      </c>
      <c r="B824" s="173" t="s">
        <v>937</v>
      </c>
      <c r="C824" s="139"/>
      <c r="D824" s="14" t="s">
        <v>11</v>
      </c>
      <c r="E824" s="14" t="s">
        <v>25</v>
      </c>
      <c r="F824" s="257" t="s">
        <v>1024</v>
      </c>
      <c r="G824" s="305">
        <f>'JULIO-18  '!I812</f>
        <v>176.97000000000116</v>
      </c>
      <c r="H824" s="140"/>
      <c r="I824" s="17">
        <f t="shared" si="16"/>
        <v>176.97000000000116</v>
      </c>
      <c r="J824" s="140"/>
      <c r="K824" s="135"/>
    </row>
    <row r="825" spans="1:11" s="171" customFormat="1" ht="44.25">
      <c r="A825" s="254">
        <v>54112</v>
      </c>
      <c r="B825" s="173" t="s">
        <v>938</v>
      </c>
      <c r="C825" s="139"/>
      <c r="D825" s="14" t="s">
        <v>11</v>
      </c>
      <c r="E825" s="14" t="s">
        <v>25</v>
      </c>
      <c r="F825" s="257" t="s">
        <v>1024</v>
      </c>
      <c r="G825" s="305">
        <f>'JULIO-18  '!I813</f>
        <v>713.29999999999927</v>
      </c>
      <c r="H825" s="140"/>
      <c r="I825" s="17">
        <f t="shared" si="16"/>
        <v>713.29999999999927</v>
      </c>
      <c r="J825" s="135"/>
      <c r="K825" s="135"/>
    </row>
    <row r="826" spans="1:11" s="171" customFormat="1" ht="29.25">
      <c r="A826" s="254">
        <v>54118</v>
      </c>
      <c r="B826" s="173" t="s">
        <v>939</v>
      </c>
      <c r="C826" s="139"/>
      <c r="D826" s="14" t="s">
        <v>11</v>
      </c>
      <c r="E826" s="14" t="s">
        <v>25</v>
      </c>
      <c r="F826" s="257" t="s">
        <v>1024</v>
      </c>
      <c r="G826" s="305">
        <f>'JULIO-18  '!I814</f>
        <v>41.749999999999773</v>
      </c>
      <c r="H826" s="244"/>
      <c r="I826" s="17">
        <f t="shared" si="16"/>
        <v>41.749999999999773</v>
      </c>
      <c r="J826" s="140"/>
      <c r="K826" s="135"/>
    </row>
    <row r="827" spans="1:11" s="171" customFormat="1" ht="29.25">
      <c r="A827" s="254">
        <v>54304</v>
      </c>
      <c r="B827" s="173" t="s">
        <v>940</v>
      </c>
      <c r="C827" s="139"/>
      <c r="D827" s="14" t="s">
        <v>11</v>
      </c>
      <c r="E827" s="14" t="s">
        <v>25</v>
      </c>
      <c r="F827" s="257" t="s">
        <v>1024</v>
      </c>
      <c r="G827" s="305">
        <f>'JULIO-18  '!I815</f>
        <v>0</v>
      </c>
      <c r="H827" s="170"/>
      <c r="I827" s="17">
        <f t="shared" si="16"/>
        <v>0</v>
      </c>
      <c r="J827" s="140"/>
      <c r="K827" s="135"/>
    </row>
    <row r="828" spans="1:11" s="171" customFormat="1" ht="39" customHeight="1">
      <c r="A828" s="254">
        <v>54313</v>
      </c>
      <c r="B828" s="173" t="s">
        <v>941</v>
      </c>
      <c r="C828" s="139"/>
      <c r="D828" s="14" t="s">
        <v>11</v>
      </c>
      <c r="E828" s="14" t="s">
        <v>25</v>
      </c>
      <c r="F828" s="257" t="s">
        <v>1024</v>
      </c>
      <c r="G828" s="305">
        <f>'JULIO-18  '!I816</f>
        <v>0</v>
      </c>
      <c r="H828" s="170"/>
      <c r="I828" s="17">
        <f t="shared" si="16"/>
        <v>0</v>
      </c>
      <c r="J828" s="140"/>
      <c r="K828" s="140"/>
    </row>
    <row r="829" spans="1:11" s="171" customFormat="1" ht="36" customHeight="1">
      <c r="A829" s="254">
        <v>54399</v>
      </c>
      <c r="B829" s="173" t="s">
        <v>942</v>
      </c>
      <c r="C829" s="139"/>
      <c r="D829" s="14" t="s">
        <v>11</v>
      </c>
      <c r="E829" s="14" t="s">
        <v>25</v>
      </c>
      <c r="F829" s="257" t="s">
        <v>1024</v>
      </c>
      <c r="G829" s="305">
        <f>'JULIO-18  '!I817</f>
        <v>53.789999999999964</v>
      </c>
      <c r="H829" s="170"/>
      <c r="I829" s="17">
        <f t="shared" si="16"/>
        <v>53.789999999999964</v>
      </c>
      <c r="J829" s="140"/>
      <c r="K829" s="135"/>
    </row>
    <row r="830" spans="1:11" s="171" customFormat="1" ht="34.5" customHeight="1">
      <c r="A830" s="254">
        <v>55603</v>
      </c>
      <c r="B830" s="173" t="s">
        <v>943</v>
      </c>
      <c r="C830" s="139"/>
      <c r="D830" s="14" t="s">
        <v>11</v>
      </c>
      <c r="E830" s="14" t="s">
        <v>25</v>
      </c>
      <c r="F830" s="257" t="s">
        <v>1024</v>
      </c>
      <c r="G830" s="305">
        <f>'JULIO-18  '!I818</f>
        <v>6.35</v>
      </c>
      <c r="H830" s="170"/>
      <c r="I830" s="134">
        <f t="shared" si="16"/>
        <v>6.35</v>
      </c>
      <c r="J830" s="135"/>
      <c r="K830" s="140"/>
    </row>
    <row r="831" spans="1:11" s="171" customFormat="1" ht="98.25" customHeight="1">
      <c r="A831" s="169" t="s">
        <v>220</v>
      </c>
      <c r="B831" s="241" t="s">
        <v>973</v>
      </c>
      <c r="C831" s="139"/>
      <c r="D831" s="14"/>
      <c r="E831" s="14"/>
      <c r="F831" s="257" t="s">
        <v>1024</v>
      </c>
      <c r="G831" s="305">
        <f>'JULIO-18  '!I819</f>
        <v>0</v>
      </c>
      <c r="H831" s="170"/>
      <c r="I831" s="17"/>
      <c r="J831" s="140"/>
      <c r="K831" s="140"/>
    </row>
    <row r="832" spans="1:11" s="171" customFormat="1" ht="29.25">
      <c r="A832" s="254">
        <v>51202</v>
      </c>
      <c r="B832" s="173" t="s">
        <v>944</v>
      </c>
      <c r="C832" s="139"/>
      <c r="D832" s="14" t="s">
        <v>11</v>
      </c>
      <c r="E832" s="14" t="s">
        <v>25</v>
      </c>
      <c r="F832" s="257" t="s">
        <v>1024</v>
      </c>
      <c r="G832" s="305">
        <f>'JULIO-18  '!I820</f>
        <v>12091.14</v>
      </c>
      <c r="H832" s="140"/>
      <c r="I832" s="17">
        <f t="shared" si="16"/>
        <v>12091.14</v>
      </c>
      <c r="J832" s="140"/>
      <c r="K832" s="140"/>
    </row>
    <row r="833" spans="1:11" s="171" customFormat="1" ht="29.25">
      <c r="A833" s="254">
        <v>51999</v>
      </c>
      <c r="B833" s="173" t="s">
        <v>946</v>
      </c>
      <c r="C833" s="139"/>
      <c r="D833" s="14" t="s">
        <v>11</v>
      </c>
      <c r="E833" s="14" t="s">
        <v>25</v>
      </c>
      <c r="F833" s="257" t="s">
        <v>1024</v>
      </c>
      <c r="G833" s="305">
        <f>'JULIO-18  '!I821</f>
        <v>1000</v>
      </c>
      <c r="H833" s="140"/>
      <c r="I833" s="17">
        <f t="shared" si="16"/>
        <v>1000</v>
      </c>
      <c r="J833" s="140"/>
      <c r="K833" s="140"/>
    </row>
    <row r="834" spans="1:11" s="171" customFormat="1" ht="36" customHeight="1">
      <c r="A834" s="254">
        <v>54110</v>
      </c>
      <c r="B834" s="173" t="s">
        <v>945</v>
      </c>
      <c r="C834" s="139"/>
      <c r="D834" s="14" t="s">
        <v>11</v>
      </c>
      <c r="E834" s="14" t="s">
        <v>25</v>
      </c>
      <c r="F834" s="257" t="s">
        <v>1024</v>
      </c>
      <c r="G834" s="305">
        <f>'JULIO-18  '!I822</f>
        <v>2000</v>
      </c>
      <c r="H834" s="140"/>
      <c r="I834" s="17">
        <f t="shared" si="16"/>
        <v>2000</v>
      </c>
      <c r="J834" s="140"/>
      <c r="K834" s="140"/>
    </row>
    <row r="835" spans="1:11" s="171" customFormat="1" ht="41.25" customHeight="1">
      <c r="A835" s="254">
        <v>54111</v>
      </c>
      <c r="B835" s="173" t="s">
        <v>947</v>
      </c>
      <c r="C835" s="139"/>
      <c r="D835" s="14" t="s">
        <v>11</v>
      </c>
      <c r="E835" s="14" t="s">
        <v>25</v>
      </c>
      <c r="F835" s="257" t="s">
        <v>1024</v>
      </c>
      <c r="G835" s="305">
        <f>'JULIO-18  '!I823</f>
        <v>12939.25</v>
      </c>
      <c r="H835" s="140"/>
      <c r="I835" s="17">
        <f t="shared" si="16"/>
        <v>12939.25</v>
      </c>
      <c r="J835" s="140"/>
      <c r="K835" s="140"/>
    </row>
    <row r="836" spans="1:11" s="171" customFormat="1" ht="35.25" customHeight="1">
      <c r="A836" s="254">
        <v>54112</v>
      </c>
      <c r="B836" s="173" t="s">
        <v>948</v>
      </c>
      <c r="C836" s="139"/>
      <c r="D836" s="14" t="s">
        <v>11</v>
      </c>
      <c r="E836" s="14" t="s">
        <v>25</v>
      </c>
      <c r="F836" s="257" t="s">
        <v>1024</v>
      </c>
      <c r="G836" s="305">
        <f>'JULIO-18  '!I824</f>
        <v>4449.95</v>
      </c>
      <c r="H836" s="140"/>
      <c r="I836" s="17">
        <f t="shared" si="16"/>
        <v>4449.95</v>
      </c>
      <c r="J836" s="140"/>
      <c r="K836" s="140"/>
    </row>
    <row r="837" spans="1:11" s="171" customFormat="1" ht="29.25">
      <c r="A837" s="254">
        <v>54118</v>
      </c>
      <c r="B837" s="173" t="s">
        <v>949</v>
      </c>
      <c r="C837" s="139"/>
      <c r="D837" s="14" t="s">
        <v>11</v>
      </c>
      <c r="E837" s="14" t="s">
        <v>25</v>
      </c>
      <c r="F837" s="257" t="s">
        <v>1024</v>
      </c>
      <c r="G837" s="305">
        <f>'JULIO-18  '!I825</f>
        <v>2670</v>
      </c>
      <c r="H837" s="140"/>
      <c r="I837" s="17">
        <f t="shared" si="16"/>
        <v>2670</v>
      </c>
      <c r="J837" s="140"/>
      <c r="K837" s="140"/>
    </row>
    <row r="838" spans="1:11" s="171" customFormat="1" ht="29.25">
      <c r="A838" s="254">
        <v>54304</v>
      </c>
      <c r="B838" s="173" t="s">
        <v>950</v>
      </c>
      <c r="C838" s="139"/>
      <c r="D838" s="14" t="s">
        <v>11</v>
      </c>
      <c r="E838" s="14" t="s">
        <v>25</v>
      </c>
      <c r="F838" s="257" t="s">
        <v>1024</v>
      </c>
      <c r="G838" s="305">
        <f>'JULIO-18  '!I826</f>
        <v>12000</v>
      </c>
      <c r="H838" s="140"/>
      <c r="I838" s="17">
        <f t="shared" si="16"/>
        <v>12000</v>
      </c>
      <c r="J838" s="140"/>
      <c r="K838" s="140"/>
    </row>
    <row r="839" spans="1:11" s="171" customFormat="1" ht="44.25">
      <c r="A839" s="254">
        <v>54313</v>
      </c>
      <c r="B839" s="173" t="s">
        <v>951</v>
      </c>
      <c r="C839" s="139"/>
      <c r="D839" s="14" t="s">
        <v>11</v>
      </c>
      <c r="E839" s="14" t="s">
        <v>25</v>
      </c>
      <c r="F839" s="257" t="s">
        <v>1024</v>
      </c>
      <c r="G839" s="305">
        <f>'JULIO-18  '!I827</f>
        <v>1000</v>
      </c>
      <c r="H839" s="140"/>
      <c r="I839" s="17">
        <f t="shared" si="16"/>
        <v>1000</v>
      </c>
      <c r="J839" s="140"/>
      <c r="K839" s="140"/>
    </row>
    <row r="840" spans="1:11" s="171" customFormat="1" ht="44.25">
      <c r="A840" s="254">
        <v>54399</v>
      </c>
      <c r="B840" s="173" t="s">
        <v>952</v>
      </c>
      <c r="C840" s="139"/>
      <c r="D840" s="14" t="s">
        <v>11</v>
      </c>
      <c r="E840" s="14" t="s">
        <v>25</v>
      </c>
      <c r="F840" s="257" t="s">
        <v>1024</v>
      </c>
      <c r="G840" s="305">
        <f>'JULIO-18  '!I828</f>
        <v>1988</v>
      </c>
      <c r="H840" s="140"/>
      <c r="I840" s="17">
        <f t="shared" si="16"/>
        <v>1988</v>
      </c>
      <c r="J840" s="135"/>
      <c r="K840" s="135"/>
    </row>
    <row r="841" spans="1:11" s="171" customFormat="1" ht="50.25" customHeight="1">
      <c r="A841" s="254">
        <v>55603</v>
      </c>
      <c r="B841" s="173" t="s">
        <v>953</v>
      </c>
      <c r="C841" s="139"/>
      <c r="D841" s="14" t="s">
        <v>11</v>
      </c>
      <c r="E841" s="14" t="s">
        <v>25</v>
      </c>
      <c r="F841" s="257" t="s">
        <v>1024</v>
      </c>
      <c r="G841" s="305">
        <f>'JULIO-18  '!I829</f>
        <v>6.35</v>
      </c>
      <c r="H841" s="140"/>
      <c r="I841" s="134">
        <f t="shared" si="16"/>
        <v>6.35</v>
      </c>
      <c r="J841" s="135"/>
      <c r="K841" s="135"/>
    </row>
    <row r="842" spans="1:11" s="171" customFormat="1" ht="99.75">
      <c r="A842" s="256" t="s">
        <v>238</v>
      </c>
      <c r="B842" s="241" t="s">
        <v>972</v>
      </c>
      <c r="C842" s="139"/>
      <c r="D842" s="14"/>
      <c r="E842" s="14"/>
      <c r="F842" s="257" t="s">
        <v>1024</v>
      </c>
      <c r="G842" s="305">
        <f>'JULIO-18  '!I830</f>
        <v>0</v>
      </c>
      <c r="H842" s="170"/>
      <c r="I842" s="17"/>
      <c r="J842" s="140"/>
      <c r="K842" s="140"/>
    </row>
    <row r="843" spans="1:11" s="171" customFormat="1" ht="29.25">
      <c r="A843" s="254">
        <v>51202</v>
      </c>
      <c r="B843" s="173" t="s">
        <v>955</v>
      </c>
      <c r="C843" s="139"/>
      <c r="D843" s="14" t="s">
        <v>11</v>
      </c>
      <c r="E843" s="14" t="s">
        <v>25</v>
      </c>
      <c r="F843" s="257" t="s">
        <v>1024</v>
      </c>
      <c r="G843" s="305">
        <f>'JULIO-18  '!I831</f>
        <v>5476.74</v>
      </c>
      <c r="H843" s="244"/>
      <c r="I843" s="17">
        <f t="shared" si="16"/>
        <v>5476.74</v>
      </c>
      <c r="J843" s="140"/>
      <c r="K843" s="140"/>
    </row>
    <row r="844" spans="1:11" s="171" customFormat="1" ht="43.5">
      <c r="A844" s="254">
        <v>51999</v>
      </c>
      <c r="B844" s="173" t="s">
        <v>956</v>
      </c>
      <c r="C844" s="139"/>
      <c r="D844" s="14" t="s">
        <v>11</v>
      </c>
      <c r="E844" s="14" t="s">
        <v>25</v>
      </c>
      <c r="F844" s="257" t="s">
        <v>1024</v>
      </c>
      <c r="G844" s="305">
        <f>'JULIO-18  '!I832</f>
        <v>0</v>
      </c>
      <c r="H844" s="244"/>
      <c r="I844" s="17">
        <f t="shared" si="16"/>
        <v>0</v>
      </c>
      <c r="J844" s="140"/>
      <c r="K844" s="135"/>
    </row>
    <row r="845" spans="1:11" s="171" customFormat="1" ht="43.5">
      <c r="A845" s="254">
        <v>54110</v>
      </c>
      <c r="B845" s="173" t="s">
        <v>957</v>
      </c>
      <c r="C845" s="139"/>
      <c r="D845" s="14" t="s">
        <v>11</v>
      </c>
      <c r="E845" s="14" t="s">
        <v>25</v>
      </c>
      <c r="F845" s="257" t="s">
        <v>1024</v>
      </c>
      <c r="G845" s="305">
        <f>'JULIO-18  '!I833</f>
        <v>909.2</v>
      </c>
      <c r="H845" s="244"/>
      <c r="I845" s="17">
        <f t="shared" si="16"/>
        <v>909.2</v>
      </c>
      <c r="J845" s="140"/>
      <c r="K845" s="140"/>
    </row>
    <row r="846" spans="1:11" s="171" customFormat="1" ht="44.25">
      <c r="A846" s="254">
        <v>54111</v>
      </c>
      <c r="B846" s="173" t="s">
        <v>958</v>
      </c>
      <c r="C846" s="139"/>
      <c r="D846" s="14" t="s">
        <v>11</v>
      </c>
      <c r="E846" s="14" t="s">
        <v>25</v>
      </c>
      <c r="F846" s="257" t="s">
        <v>1024</v>
      </c>
      <c r="G846" s="305">
        <f>'JULIO-18  '!I834</f>
        <v>1543.5</v>
      </c>
      <c r="H846" s="244"/>
      <c r="I846" s="17">
        <f t="shared" si="16"/>
        <v>1543.5</v>
      </c>
      <c r="J846" s="140"/>
      <c r="K846" s="135"/>
    </row>
    <row r="847" spans="1:11" s="171" customFormat="1" ht="44.25">
      <c r="A847" s="254">
        <v>54112</v>
      </c>
      <c r="B847" s="173" t="s">
        <v>959</v>
      </c>
      <c r="C847" s="139"/>
      <c r="D847" s="14" t="s">
        <v>11</v>
      </c>
      <c r="E847" s="14" t="s">
        <v>25</v>
      </c>
      <c r="F847" s="257" t="s">
        <v>1024</v>
      </c>
      <c r="G847" s="305">
        <f>'JULIO-18  '!I835</f>
        <v>391.85000000000036</v>
      </c>
      <c r="H847" s="244"/>
      <c r="I847" s="134">
        <f t="shared" si="16"/>
        <v>391.85000000000036</v>
      </c>
      <c r="J847" s="135"/>
      <c r="K847" s="135"/>
    </row>
    <row r="848" spans="1:11" s="171" customFormat="1" ht="38.25" customHeight="1">
      <c r="A848" s="254">
        <v>54118</v>
      </c>
      <c r="B848" s="173" t="s">
        <v>960</v>
      </c>
      <c r="C848" s="139"/>
      <c r="D848" s="14" t="s">
        <v>11</v>
      </c>
      <c r="E848" s="14" t="s">
        <v>25</v>
      </c>
      <c r="F848" s="257" t="s">
        <v>1024</v>
      </c>
      <c r="G848" s="305">
        <f>'JULIO-18  '!I836</f>
        <v>1464.85</v>
      </c>
      <c r="H848" s="244"/>
      <c r="I848" s="17">
        <f t="shared" si="16"/>
        <v>1464.85</v>
      </c>
      <c r="J848" s="135"/>
      <c r="K848" s="135"/>
    </row>
    <row r="849" spans="1:11" s="171" customFormat="1" ht="39" customHeight="1">
      <c r="A849" s="254">
        <v>54304</v>
      </c>
      <c r="B849" s="173" t="s">
        <v>961</v>
      </c>
      <c r="C849" s="139"/>
      <c r="D849" s="14" t="s">
        <v>11</v>
      </c>
      <c r="E849" s="14" t="s">
        <v>25</v>
      </c>
      <c r="F849" s="257" t="s">
        <v>1024</v>
      </c>
      <c r="G849" s="305">
        <f>'JULIO-18  '!I837</f>
        <v>993</v>
      </c>
      <c r="H849" s="170"/>
      <c r="I849" s="17">
        <f t="shared" si="16"/>
        <v>993</v>
      </c>
      <c r="J849" s="135"/>
      <c r="K849" s="135"/>
    </row>
    <row r="850" spans="1:11" s="171" customFormat="1" ht="39" customHeight="1">
      <c r="A850" s="254">
        <v>54313</v>
      </c>
      <c r="B850" s="173" t="s">
        <v>962</v>
      </c>
      <c r="C850" s="139"/>
      <c r="D850" s="14" t="s">
        <v>11</v>
      </c>
      <c r="E850" s="14" t="s">
        <v>25</v>
      </c>
      <c r="F850" s="257" t="s">
        <v>1024</v>
      </c>
      <c r="G850" s="305">
        <f>'JULIO-18  '!I838</f>
        <v>500</v>
      </c>
      <c r="H850" s="170"/>
      <c r="I850" s="17">
        <f t="shared" si="16"/>
        <v>500</v>
      </c>
      <c r="J850" s="135"/>
      <c r="K850" s="135"/>
    </row>
    <row r="851" spans="1:11" s="171" customFormat="1" ht="45" customHeight="1">
      <c r="A851" s="254">
        <v>54316</v>
      </c>
      <c r="B851" s="173" t="s">
        <v>1023</v>
      </c>
      <c r="C851" s="139"/>
      <c r="D851" s="14" t="s">
        <v>11</v>
      </c>
      <c r="E851" s="14" t="s">
        <v>25</v>
      </c>
      <c r="F851" s="257" t="s">
        <v>1024</v>
      </c>
      <c r="G851" s="305">
        <f>'JULIO-18  '!I839</f>
        <v>50</v>
      </c>
      <c r="H851" s="170"/>
      <c r="I851" s="134">
        <f t="shared" si="16"/>
        <v>50</v>
      </c>
      <c r="J851" s="135"/>
      <c r="K851" s="135"/>
    </row>
    <row r="852" spans="1:11" s="171" customFormat="1" ht="40.5" customHeight="1">
      <c r="A852" s="254">
        <v>54399</v>
      </c>
      <c r="B852" s="173" t="s">
        <v>963</v>
      </c>
      <c r="C852" s="139"/>
      <c r="D852" s="14" t="s">
        <v>11</v>
      </c>
      <c r="E852" s="14" t="s">
        <v>25</v>
      </c>
      <c r="F852" s="257" t="s">
        <v>1024</v>
      </c>
      <c r="G852" s="305">
        <f>'JULIO-18  '!I840</f>
        <v>495</v>
      </c>
      <c r="H852" s="170"/>
      <c r="I852" s="17">
        <f t="shared" si="16"/>
        <v>495</v>
      </c>
      <c r="J852" s="135"/>
      <c r="K852" s="135"/>
    </row>
    <row r="853" spans="1:11" s="171" customFormat="1" ht="57.75">
      <c r="A853" s="254">
        <v>55603</v>
      </c>
      <c r="B853" s="173" t="s">
        <v>971</v>
      </c>
      <c r="C853" s="139"/>
      <c r="D853" s="14" t="s">
        <v>11</v>
      </c>
      <c r="E853" s="14" t="s">
        <v>25</v>
      </c>
      <c r="F853" s="257" t="s">
        <v>1024</v>
      </c>
      <c r="G853" s="305">
        <f>'JULIO-18  '!I841</f>
        <v>6.35</v>
      </c>
      <c r="H853" s="170"/>
      <c r="I853" s="134">
        <f t="shared" si="16"/>
        <v>6.35</v>
      </c>
      <c r="J853" s="135"/>
      <c r="K853" s="140"/>
    </row>
    <row r="854" spans="1:11" ht="21">
      <c r="A854" s="38" t="s">
        <v>8</v>
      </c>
      <c r="B854" s="39" t="s">
        <v>24</v>
      </c>
      <c r="C854" s="39"/>
      <c r="D854" s="39" t="s">
        <v>11</v>
      </c>
      <c r="E854" s="39" t="s">
        <v>25</v>
      </c>
      <c r="F854" s="257" t="s">
        <v>1024</v>
      </c>
      <c r="G854" s="305">
        <f>'JULIO-18  '!I842</f>
        <v>67210.549999999988</v>
      </c>
      <c r="H854" s="95">
        <f>SUM(H816:H853)</f>
        <v>0</v>
      </c>
      <c r="I854" s="40">
        <f>G854-H854+J854-K854</f>
        <v>67210.549999999988</v>
      </c>
      <c r="J854" s="40">
        <f>SUM(J816:J853)</f>
        <v>0</v>
      </c>
      <c r="K854" s="40">
        <f>SUM(K816:K853)</f>
        <v>0</v>
      </c>
    </row>
    <row r="855" spans="1:11" ht="28.5">
      <c r="A855" s="169" t="s">
        <v>15</v>
      </c>
      <c r="B855" s="282" t="s">
        <v>990</v>
      </c>
      <c r="C855" s="139" t="s">
        <v>1070</v>
      </c>
      <c r="D855" s="14" t="s">
        <v>18</v>
      </c>
      <c r="E855" s="14" t="s">
        <v>28</v>
      </c>
      <c r="F855" s="287" t="s">
        <v>1073</v>
      </c>
      <c r="G855" s="305">
        <f>'JULIO-18  '!I843</f>
        <v>0</v>
      </c>
      <c r="H855" s="170"/>
      <c r="I855" s="135">
        <f>G855-H855+J855-K855</f>
        <v>0</v>
      </c>
      <c r="J855" s="135"/>
      <c r="K855" s="140"/>
    </row>
    <row r="856" spans="1:11" ht="25.5">
      <c r="A856" s="38"/>
      <c r="B856" s="39" t="s">
        <v>989</v>
      </c>
      <c r="C856" s="39"/>
      <c r="D856" s="99" t="s">
        <v>18</v>
      </c>
      <c r="E856" s="99" t="s">
        <v>28</v>
      </c>
      <c r="F856" s="242" t="s">
        <v>996</v>
      </c>
      <c r="G856" s="305">
        <f>'JULIO-18  '!I844</f>
        <v>0</v>
      </c>
      <c r="H856" s="95">
        <f>SUM(H855)</f>
        <v>0</v>
      </c>
      <c r="I856" s="40">
        <f>SUM(I855)</f>
        <v>0</v>
      </c>
      <c r="J856" s="40">
        <f>SUM(J853:J855)</f>
        <v>0</v>
      </c>
      <c r="K856" s="40"/>
    </row>
    <row r="857" spans="1:11" ht="28.5">
      <c r="A857" s="169" t="s">
        <v>16</v>
      </c>
      <c r="B857" s="282" t="s">
        <v>1068</v>
      </c>
      <c r="C857" s="139" t="s">
        <v>1070</v>
      </c>
      <c r="D857" s="14" t="s">
        <v>18</v>
      </c>
      <c r="E857" s="14" t="s">
        <v>28</v>
      </c>
      <c r="F857" s="139" t="s">
        <v>1074</v>
      </c>
      <c r="G857" s="305">
        <f>'JULIO-18  '!I845</f>
        <v>10</v>
      </c>
      <c r="H857" s="170"/>
      <c r="I857" s="244">
        <f>G857-H857+J857-K857</f>
        <v>0</v>
      </c>
      <c r="J857" s="140"/>
      <c r="K857" s="135">
        <v>10</v>
      </c>
    </row>
    <row r="858" spans="1:11">
      <c r="A858" s="38"/>
      <c r="B858" s="39" t="s">
        <v>989</v>
      </c>
      <c r="C858" s="39"/>
      <c r="D858" s="99" t="s">
        <v>18</v>
      </c>
      <c r="E858" s="99" t="s">
        <v>28</v>
      </c>
      <c r="F858" s="139" t="s">
        <v>1069</v>
      </c>
      <c r="G858" s="305">
        <f>'JULIO-18  '!I846</f>
        <v>10</v>
      </c>
      <c r="H858" s="95">
        <f>SUM(H857)</f>
        <v>0</v>
      </c>
      <c r="I858" s="40">
        <f>SUM(I855:I857)</f>
        <v>0</v>
      </c>
      <c r="J858" s="40">
        <f>SUM(J857)</f>
        <v>0</v>
      </c>
      <c r="K858" s="40">
        <f>SUM(K857)</f>
        <v>10</v>
      </c>
    </row>
    <row r="859" spans="1:11" ht="20.25" customHeight="1">
      <c r="A859" s="469" t="s">
        <v>124</v>
      </c>
      <c r="B859" s="469"/>
      <c r="C859" s="469"/>
      <c r="D859" s="48"/>
      <c r="E859" s="48"/>
      <c r="F859" s="48"/>
      <c r="G859" s="305">
        <f>'JULIO-18  '!I847</f>
        <v>1852855.28</v>
      </c>
      <c r="H859" s="51">
        <f>H858+H856+H854+H815+H812+H810+H443+H159+H151+H138+H126+H101+H74+H61</f>
        <v>191094.96999999997</v>
      </c>
      <c r="I859" s="49">
        <f>I858+I856+I854+I815+I812+I810+I443+I159+I151+I138+I126+I101+I74+I61</f>
        <v>1661760.3100000003</v>
      </c>
      <c r="J859" s="231">
        <f>J858+J856+J854+J815+J812+J810+J443+J159+J151+J138+J126+J101+J74+J61</f>
        <v>236700.12</v>
      </c>
      <c r="K859" s="231">
        <f>K854+K815+K810+K443+K159+K151+K138+K126+K101+K74+K61+K812+K858</f>
        <v>236700.12</v>
      </c>
    </row>
    <row r="860" spans="1:11">
      <c r="G860" s="274"/>
      <c r="J860" s="130"/>
    </row>
    <row r="861" spans="1:11">
      <c r="I861" s="274"/>
      <c r="J861" s="262">
        <f>J859-K859</f>
        <v>0</v>
      </c>
    </row>
    <row r="862" spans="1:11">
      <c r="A862" s="232" t="s">
        <v>1031</v>
      </c>
    </row>
    <row r="863" spans="1:11">
      <c r="A863" s="273" t="s">
        <v>1050</v>
      </c>
      <c r="B863" s="273"/>
      <c r="C863" s="273"/>
      <c r="D863" s="273"/>
      <c r="E863" s="273"/>
      <c r="F863" s="273"/>
    </row>
  </sheetData>
  <mergeCells count="3">
    <mergeCell ref="B1:K1"/>
    <mergeCell ref="B2:J2"/>
    <mergeCell ref="A859:C859"/>
  </mergeCells>
  <pageMargins left="0.15748031496062992" right="0.11811023622047245" top="0.19685039370078741" bottom="0.62992125984251968" header="0.15748031496062992" footer="0.11811023622047245"/>
  <pageSetup paperSize="5" scale="80" orientation="landscape" horizontalDpi="4294967293" verticalDpi="4294967293" r:id="rId1"/>
  <headerFooter>
    <oddFooter>&amp;L&amp;P
&amp;F
&amp;D</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AF67D"/>
  </sheetPr>
  <dimension ref="A1:J27"/>
  <sheetViews>
    <sheetView topLeftCell="B13" zoomScaleNormal="100" workbookViewId="0">
      <selection activeCell="F23" sqref="F23"/>
    </sheetView>
  </sheetViews>
  <sheetFormatPr baseColWidth="10" defaultRowHeight="15"/>
  <cols>
    <col min="1" max="1" width="18" customWidth="1"/>
    <col min="2" max="2" width="28.85546875" customWidth="1"/>
    <col min="3" max="3" width="26.5703125" customWidth="1"/>
    <col min="4" max="4" width="20.28515625" customWidth="1"/>
    <col min="5" max="5" width="14.7109375" customWidth="1"/>
    <col min="6" max="6" width="20.28515625" customWidth="1"/>
    <col min="7" max="7" width="26" customWidth="1"/>
    <col min="8" max="8" width="25.7109375" customWidth="1"/>
    <col min="9" max="9" width="25.85546875" customWidth="1"/>
  </cols>
  <sheetData>
    <row r="1" spans="1:10" ht="36.75">
      <c r="A1" s="467" t="s">
        <v>155</v>
      </c>
      <c r="B1" s="467"/>
      <c r="C1" s="467"/>
      <c r="D1" s="467"/>
      <c r="E1" s="467"/>
      <c r="F1" s="467"/>
      <c r="G1" s="467"/>
      <c r="H1" s="467"/>
      <c r="I1" s="467"/>
      <c r="J1" s="467"/>
    </row>
    <row r="2" spans="1:10" ht="36.75">
      <c r="A2" s="468" t="s">
        <v>1197</v>
      </c>
      <c r="B2" s="468"/>
      <c r="C2" s="468"/>
      <c r="D2" s="468"/>
      <c r="E2" s="468"/>
      <c r="F2" s="468"/>
      <c r="G2" s="468"/>
      <c r="H2" s="468"/>
      <c r="I2" s="468"/>
      <c r="J2" s="396"/>
    </row>
    <row r="3" spans="1:10" ht="66" customHeight="1">
      <c r="A3" s="100" t="s">
        <v>142</v>
      </c>
      <c r="B3" s="100" t="s">
        <v>38</v>
      </c>
      <c r="C3" s="100" t="s">
        <v>144</v>
      </c>
      <c r="D3" s="100" t="s">
        <v>145</v>
      </c>
      <c r="E3" s="100" t="s">
        <v>146</v>
      </c>
      <c r="F3" s="100" t="s">
        <v>147</v>
      </c>
      <c r="G3" s="100" t="s">
        <v>148</v>
      </c>
      <c r="H3" s="100" t="s">
        <v>1199</v>
      </c>
      <c r="I3" s="100" t="s">
        <v>1200</v>
      </c>
    </row>
    <row r="4" spans="1:10" ht="30" customHeight="1">
      <c r="A4" s="101" t="s">
        <v>42</v>
      </c>
      <c r="B4" s="100" t="s">
        <v>149</v>
      </c>
      <c r="C4" s="85">
        <f>'AGOST-18'!G61</f>
        <v>142984.81</v>
      </c>
      <c r="D4" s="353">
        <f>'AGOST-18'!J61</f>
        <v>5200</v>
      </c>
      <c r="E4" s="354"/>
      <c r="F4" s="354">
        <f>'AGOST-18'!K61</f>
        <v>4800</v>
      </c>
      <c r="G4" s="351">
        <f>C4+D4-F4</f>
        <v>143384.81</v>
      </c>
      <c r="H4" s="351">
        <f>'AGOST-18'!H61</f>
        <v>14132.02</v>
      </c>
      <c r="I4" s="355">
        <f>G4-H4</f>
        <v>129252.79</v>
      </c>
      <c r="J4" s="72"/>
    </row>
    <row r="5" spans="1:10" ht="30" customHeight="1">
      <c r="A5" s="101" t="s">
        <v>94</v>
      </c>
      <c r="B5" s="100" t="s">
        <v>149</v>
      </c>
      <c r="C5" s="88">
        <f>'AGOST-18'!G74</f>
        <v>15987.850000000006</v>
      </c>
      <c r="D5" s="350">
        <f>'AGOST-18'!J74</f>
        <v>1500</v>
      </c>
      <c r="E5" s="89"/>
      <c r="F5" s="350">
        <f>'AGOST-18'!K74</f>
        <v>2500</v>
      </c>
      <c r="G5" s="85">
        <f t="shared" ref="G5:G20" si="0">C5+D5-F5</f>
        <v>14987.850000000006</v>
      </c>
      <c r="H5" s="90">
        <f>'AGOST-18'!H74</f>
        <v>2453.27</v>
      </c>
      <c r="I5" s="355">
        <f t="shared" ref="I5:I20" si="1">G5-H5</f>
        <v>12534.580000000005</v>
      </c>
      <c r="J5" s="72"/>
    </row>
    <row r="6" spans="1:10" ht="30" customHeight="1">
      <c r="A6" s="101" t="s">
        <v>97</v>
      </c>
      <c r="B6" s="100" t="s">
        <v>149</v>
      </c>
      <c r="C6" s="90">
        <f>'AGOST-18'!G101</f>
        <v>48080.26999999999</v>
      </c>
      <c r="D6" s="350">
        <f>'AGOST-18'!J101</f>
        <v>6000</v>
      </c>
      <c r="E6" s="89"/>
      <c r="F6" s="350">
        <f>'AGOST-18'!K101</f>
        <v>5400</v>
      </c>
      <c r="G6" s="85">
        <f t="shared" si="0"/>
        <v>48680.26999999999</v>
      </c>
      <c r="H6" s="90">
        <f>'AGOST-18'!H101</f>
        <v>12100.55</v>
      </c>
      <c r="I6" s="355">
        <f t="shared" si="1"/>
        <v>36579.719999999987</v>
      </c>
      <c r="J6" s="72"/>
    </row>
    <row r="7" spans="1:10" ht="30" customHeight="1">
      <c r="A7" s="101"/>
      <c r="B7" s="100"/>
      <c r="C7" s="90"/>
      <c r="D7" s="350"/>
      <c r="E7" s="89"/>
      <c r="F7" s="350"/>
      <c r="G7" s="359">
        <f>SUM(G4:G6)</f>
        <v>207052.93</v>
      </c>
      <c r="H7" s="360">
        <f>SUM(H4:H6)</f>
        <v>28685.84</v>
      </c>
      <c r="I7" s="361">
        <f>SUM(I4:I6)</f>
        <v>178367.08999999997</v>
      </c>
      <c r="J7" s="72"/>
    </row>
    <row r="8" spans="1:10" ht="30" customHeight="1">
      <c r="A8" s="101" t="s">
        <v>42</v>
      </c>
      <c r="B8" s="100" t="s">
        <v>150</v>
      </c>
      <c r="C8" s="90">
        <f>'AGOST-18'!G126</f>
        <v>88021.680000000008</v>
      </c>
      <c r="D8" s="350">
        <f>'JULIO-18  '!J126</f>
        <v>0</v>
      </c>
      <c r="E8" s="89"/>
      <c r="F8" s="350">
        <f>'AGOST-18'!K126</f>
        <v>1000</v>
      </c>
      <c r="G8" s="351">
        <f t="shared" si="0"/>
        <v>87021.680000000008</v>
      </c>
      <c r="H8" s="352">
        <f>'AGOST-18'!H126</f>
        <v>22619.14</v>
      </c>
      <c r="I8" s="355">
        <f t="shared" si="1"/>
        <v>64402.540000000008</v>
      </c>
      <c r="J8" s="72"/>
    </row>
    <row r="9" spans="1:10" ht="30" customHeight="1">
      <c r="A9" s="101" t="s">
        <v>94</v>
      </c>
      <c r="B9" s="100" t="s">
        <v>150</v>
      </c>
      <c r="C9" s="90">
        <f>'AGOST-18'!G138</f>
        <v>60046.800000000025</v>
      </c>
      <c r="D9" s="350">
        <f>'AGOST-18'!J138</f>
        <v>0</v>
      </c>
      <c r="E9" s="89"/>
      <c r="F9" s="350">
        <f>'AGOST-18'!K138</f>
        <v>500</v>
      </c>
      <c r="G9" s="85">
        <f t="shared" si="0"/>
        <v>59546.800000000025</v>
      </c>
      <c r="H9" s="90">
        <f>'AGOST-18'!H138</f>
        <v>6562.7699999999995</v>
      </c>
      <c r="I9" s="355">
        <f t="shared" si="1"/>
        <v>52984.030000000028</v>
      </c>
      <c r="J9" s="72"/>
    </row>
    <row r="10" spans="1:10" ht="30" customHeight="1">
      <c r="A10" s="101" t="s">
        <v>97</v>
      </c>
      <c r="B10" s="100" t="s">
        <v>150</v>
      </c>
      <c r="C10" s="90">
        <f>'AGOST-18'!G151</f>
        <v>132675.99000000005</v>
      </c>
      <c r="D10" s="350">
        <f>'AGOST-18'!J151</f>
        <v>3000</v>
      </c>
      <c r="E10" s="89"/>
      <c r="F10" s="350">
        <f>'AGOST-18'!K151</f>
        <v>1500</v>
      </c>
      <c r="G10" s="351">
        <f t="shared" si="0"/>
        <v>134175.99000000005</v>
      </c>
      <c r="H10" s="352">
        <f>'AGOST-18'!H151</f>
        <v>21751.65</v>
      </c>
      <c r="I10" s="355">
        <f t="shared" si="1"/>
        <v>112424.34000000005</v>
      </c>
      <c r="J10" s="72"/>
    </row>
    <row r="11" spans="1:10" ht="30" customHeight="1">
      <c r="A11" s="101"/>
      <c r="B11" s="100"/>
      <c r="C11" s="90"/>
      <c r="D11" s="350"/>
      <c r="E11" s="89"/>
      <c r="F11" s="350"/>
      <c r="G11" s="362">
        <f>SUM(G8:G10)</f>
        <v>280744.47000000009</v>
      </c>
      <c r="H11" s="363">
        <f>SUM(H8:H10)</f>
        <v>50933.56</v>
      </c>
      <c r="I11" s="361">
        <f>SUM(I8:I10)</f>
        <v>229810.91000000009</v>
      </c>
      <c r="J11" s="72"/>
    </row>
    <row r="12" spans="1:10" ht="30" customHeight="1">
      <c r="A12" s="101" t="s">
        <v>1</v>
      </c>
      <c r="B12" s="100" t="s">
        <v>151</v>
      </c>
      <c r="C12" s="90">
        <f>'AGOST-18'!G159</f>
        <v>8544.67</v>
      </c>
      <c r="D12" s="350">
        <v>0</v>
      </c>
      <c r="E12" s="89"/>
      <c r="F12" s="350">
        <v>0</v>
      </c>
      <c r="G12" s="85">
        <f t="shared" si="0"/>
        <v>8544.67</v>
      </c>
      <c r="H12" s="90">
        <f>'AGOST-18'!H159</f>
        <v>645.5</v>
      </c>
      <c r="I12" s="109">
        <f t="shared" si="1"/>
        <v>7899.17</v>
      </c>
      <c r="J12" s="72"/>
    </row>
    <row r="13" spans="1:10" ht="30" customHeight="1">
      <c r="A13" s="101" t="s">
        <v>11</v>
      </c>
      <c r="B13" s="100" t="s">
        <v>151</v>
      </c>
      <c r="C13" s="90">
        <f>'AGOST-18'!G443</f>
        <v>848298.76</v>
      </c>
      <c r="D13" s="350">
        <f>'AGOST-18'!J443</f>
        <v>100504.25</v>
      </c>
      <c r="E13" s="89"/>
      <c r="F13" s="350">
        <f>'AGOST-18'!K443</f>
        <v>205517.44999999998</v>
      </c>
      <c r="G13" s="351">
        <f>C13+D13-F13</f>
        <v>743285.56</v>
      </c>
      <c r="H13" s="352">
        <f>'AGOST-18'!H443</f>
        <v>85163.400000000009</v>
      </c>
      <c r="I13" s="355">
        <f>G13-H13</f>
        <v>658122.16</v>
      </c>
      <c r="J13" s="72"/>
    </row>
    <row r="14" spans="1:10" ht="30" customHeight="1">
      <c r="A14" s="101" t="s">
        <v>18</v>
      </c>
      <c r="B14" s="100" t="s">
        <v>151</v>
      </c>
      <c r="C14" s="90">
        <f>'AGOST-18'!G810</f>
        <v>440585.6399999999</v>
      </c>
      <c r="D14" s="350">
        <f>'AGOST-18'!J810</f>
        <v>120495.87</v>
      </c>
      <c r="E14" s="89"/>
      <c r="F14" s="350">
        <f>'AGOST-18'!K810</f>
        <v>15064.41</v>
      </c>
      <c r="G14" s="351">
        <f t="shared" si="0"/>
        <v>546017.09999999986</v>
      </c>
      <c r="H14" s="90">
        <f>'AGOST-18'!H810</f>
        <v>25666.67</v>
      </c>
      <c r="I14" s="355">
        <f t="shared" si="1"/>
        <v>520350.42999999988</v>
      </c>
      <c r="J14" s="72"/>
    </row>
    <row r="15" spans="1:10" ht="30" customHeight="1">
      <c r="A15" s="101"/>
      <c r="B15" s="100"/>
      <c r="C15" s="90"/>
      <c r="D15" s="350"/>
      <c r="E15" s="89"/>
      <c r="F15" s="350"/>
      <c r="G15" s="362">
        <f>SUM(G12:G14)</f>
        <v>1297847.33</v>
      </c>
      <c r="H15" s="364">
        <f>SUM(H12:H14)</f>
        <v>111475.57</v>
      </c>
      <c r="I15" s="361">
        <f>SUM(I12:I14)</f>
        <v>1186371.76</v>
      </c>
      <c r="J15" s="72"/>
    </row>
    <row r="16" spans="1:10" ht="30" customHeight="1">
      <c r="A16" s="101" t="s">
        <v>20</v>
      </c>
      <c r="B16" s="100" t="s">
        <v>156</v>
      </c>
      <c r="C16" s="90">
        <f>'ABRIL-18'!G776</f>
        <v>0</v>
      </c>
      <c r="D16" s="89">
        <v>0</v>
      </c>
      <c r="E16" s="89"/>
      <c r="F16" s="89"/>
      <c r="G16" s="85">
        <f t="shared" si="0"/>
        <v>0</v>
      </c>
      <c r="H16" s="91">
        <f>' MARZO-18-1'!H767</f>
        <v>0</v>
      </c>
      <c r="I16" s="109">
        <f t="shared" si="1"/>
        <v>0</v>
      </c>
      <c r="J16" s="72"/>
    </row>
    <row r="17" spans="1:10" ht="35.25" customHeight="1">
      <c r="A17" s="101" t="s">
        <v>22</v>
      </c>
      <c r="B17" s="100" t="s">
        <v>157</v>
      </c>
      <c r="C17" s="91">
        <f>'AGOST-18'!G815</f>
        <v>408.2600000000001</v>
      </c>
      <c r="D17" s="92">
        <v>0</v>
      </c>
      <c r="E17" s="92"/>
      <c r="F17" s="92">
        <f>'AGOST-18'!K815</f>
        <v>408.26</v>
      </c>
      <c r="G17" s="93">
        <f t="shared" si="0"/>
        <v>0</v>
      </c>
      <c r="H17" s="91"/>
      <c r="I17" s="109">
        <f t="shared" si="1"/>
        <v>0</v>
      </c>
      <c r="J17" s="72"/>
    </row>
    <row r="18" spans="1:10" ht="30.75" customHeight="1">
      <c r="A18" s="102" t="s">
        <v>11</v>
      </c>
      <c r="B18" s="103" t="s">
        <v>997</v>
      </c>
      <c r="C18" s="96">
        <f>'AGOST-18'!G854</f>
        <v>67210.549999999988</v>
      </c>
      <c r="D18" s="97"/>
      <c r="E18" s="97"/>
      <c r="F18" s="97"/>
      <c r="G18" s="356">
        <f t="shared" si="0"/>
        <v>67210.549999999988</v>
      </c>
      <c r="H18" s="357"/>
      <c r="I18" s="356">
        <f t="shared" si="1"/>
        <v>67210.549999999988</v>
      </c>
      <c r="J18" s="72"/>
    </row>
    <row r="19" spans="1:10" ht="16.5" customHeight="1">
      <c r="A19" s="236" t="s">
        <v>18</v>
      </c>
      <c r="B19" s="100" t="s">
        <v>994</v>
      </c>
      <c r="C19" s="96">
        <f>'MAYO-18 '!G831</f>
        <v>0</v>
      </c>
      <c r="D19" s="97"/>
      <c r="E19" s="97"/>
      <c r="F19" s="97">
        <v>0</v>
      </c>
      <c r="G19" s="98">
        <f t="shared" si="0"/>
        <v>0</v>
      </c>
      <c r="H19" s="96"/>
      <c r="I19" s="98">
        <f t="shared" si="1"/>
        <v>0</v>
      </c>
      <c r="J19" s="72"/>
    </row>
    <row r="20" spans="1:10" ht="43.5" customHeight="1" thickBot="1">
      <c r="A20" s="236" t="s">
        <v>18</v>
      </c>
      <c r="B20" s="100" t="s">
        <v>1076</v>
      </c>
      <c r="C20" s="96">
        <f>'AGOST-18'!G858</f>
        <v>10</v>
      </c>
      <c r="D20" s="97">
        <v>0</v>
      </c>
      <c r="E20" s="97"/>
      <c r="F20" s="97">
        <f>'AGOST-18'!K858</f>
        <v>10</v>
      </c>
      <c r="G20" s="98">
        <f t="shared" si="0"/>
        <v>0</v>
      </c>
      <c r="H20" s="96"/>
      <c r="I20" s="98">
        <f t="shared" si="1"/>
        <v>0</v>
      </c>
      <c r="J20" s="72"/>
    </row>
    <row r="21" spans="1:10" ht="23.25">
      <c r="A21" s="110" t="s">
        <v>153</v>
      </c>
      <c r="B21" s="110"/>
      <c r="C21" s="111">
        <f>SUM(C4:C20)</f>
        <v>1852855.28</v>
      </c>
      <c r="D21" s="111">
        <f>SUM(D4:D20)</f>
        <v>236700.12</v>
      </c>
      <c r="E21" s="111">
        <f>SUM(E4:E20)</f>
        <v>0</v>
      </c>
      <c r="F21" s="111">
        <f>SUM(F4:F20)</f>
        <v>236700.12</v>
      </c>
      <c r="G21" s="111">
        <f>G7+G11+G15+G17+G18+G20</f>
        <v>1852855.2800000003</v>
      </c>
      <c r="H21" s="111">
        <f>H7+H11+H15+H18</f>
        <v>191094.97</v>
      </c>
      <c r="I21" s="111">
        <f>I7+I11+I15+I17+I18+I20</f>
        <v>1661760.31</v>
      </c>
      <c r="J21" s="72"/>
    </row>
    <row r="22" spans="1:10" ht="15.75" thickBot="1">
      <c r="A22" s="73"/>
      <c r="B22" s="74"/>
      <c r="C22" s="75"/>
      <c r="D22" s="76"/>
      <c r="E22" s="77"/>
      <c r="F22" s="77"/>
      <c r="G22" s="77" t="s">
        <v>1130</v>
      </c>
      <c r="H22" s="77"/>
      <c r="I22" s="77"/>
      <c r="J22" s="78"/>
    </row>
    <row r="23" spans="1:10" ht="15.75" thickBot="1">
      <c r="A23" s="73" t="s">
        <v>154</v>
      </c>
      <c r="B23" s="74"/>
      <c r="C23" s="79">
        <f ca="1">TODAY()</f>
        <v>43586</v>
      </c>
      <c r="D23" s="80"/>
      <c r="E23" s="81">
        <f>D21-F21</f>
        <v>0</v>
      </c>
      <c r="F23" s="80"/>
      <c r="G23" s="80"/>
      <c r="H23" s="80"/>
      <c r="I23" s="80"/>
      <c r="J23" s="72"/>
    </row>
    <row r="24" spans="1:10" ht="24.75">
      <c r="A24" s="83"/>
      <c r="B24" s="84"/>
      <c r="C24" s="84"/>
      <c r="D24" s="84"/>
      <c r="E24" s="263">
        <f>9000+9000</f>
        <v>18000</v>
      </c>
      <c r="F24" s="80" t="s">
        <v>1033</v>
      </c>
      <c r="G24" s="80">
        <v>0</v>
      </c>
      <c r="H24" s="80"/>
    </row>
    <row r="25" spans="1:10">
      <c r="A25" s="83"/>
      <c r="B25" s="84"/>
      <c r="C25" s="84"/>
      <c r="D25" s="84"/>
      <c r="E25" s="264">
        <v>4500</v>
      </c>
      <c r="F25" s="80" t="s">
        <v>1032</v>
      </c>
      <c r="G25" s="80"/>
      <c r="H25" s="80"/>
    </row>
    <row r="26" spans="1:10">
      <c r="A26" s="83"/>
      <c r="B26" s="84"/>
      <c r="C26" s="84"/>
      <c r="D26" s="84"/>
      <c r="F26" s="80"/>
      <c r="G26" s="80"/>
      <c r="H26" s="80"/>
    </row>
    <row r="27" spans="1:10">
      <c r="A27" s="83"/>
      <c r="B27" s="84"/>
      <c r="C27" s="84"/>
      <c r="D27" s="84"/>
    </row>
  </sheetData>
  <mergeCells count="2">
    <mergeCell ref="A1:J1"/>
    <mergeCell ref="A2:I2"/>
  </mergeCells>
  <pageMargins left="0.19685039370078741" right="0.19685039370078741" top="0.35433070866141736" bottom="0.31496062992125984" header="0.31496062992125984" footer="0.31496062992125984"/>
  <pageSetup paperSize="5" scale="82" orientation="landscape" horizontalDpi="4294967293" vertic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P872"/>
  <sheetViews>
    <sheetView topLeftCell="A844" zoomScale="85" zoomScaleNormal="85" zoomScaleSheetLayoutView="84" workbookViewId="0">
      <selection activeCell="I846" sqref="I846"/>
    </sheetView>
  </sheetViews>
  <sheetFormatPr baseColWidth="10" defaultRowHeight="15"/>
  <cols>
    <col min="1" max="1" width="11.5703125" customWidth="1"/>
    <col min="2" max="2" width="62" customWidth="1"/>
    <col min="3" max="3" width="19.28515625" customWidth="1"/>
    <col min="4" max="4" width="11" customWidth="1"/>
    <col min="5" max="5" width="10.85546875" customWidth="1"/>
    <col min="6" max="6" width="15.42578125" customWidth="1"/>
    <col min="7" max="7" width="15.5703125" customWidth="1"/>
    <col min="8" max="8" width="14.42578125" customWidth="1"/>
    <col min="9" max="9" width="17" customWidth="1"/>
    <col min="10" max="10" width="13.42578125" customWidth="1"/>
    <col min="11" max="11" width="14.7109375" customWidth="1"/>
  </cols>
  <sheetData>
    <row r="1" spans="1:11" ht="36.75">
      <c r="A1" s="15"/>
      <c r="B1" s="467" t="s">
        <v>33</v>
      </c>
      <c r="C1" s="467"/>
      <c r="D1" s="467"/>
      <c r="E1" s="467"/>
      <c r="F1" s="467"/>
      <c r="G1" s="467"/>
      <c r="H1" s="467"/>
      <c r="I1" s="467"/>
      <c r="J1" s="467"/>
      <c r="K1" s="467"/>
    </row>
    <row r="2" spans="1:11" ht="36.75">
      <c r="A2" s="16"/>
      <c r="B2" s="468" t="s">
        <v>1203</v>
      </c>
      <c r="C2" s="468"/>
      <c r="D2" s="468"/>
      <c r="E2" s="468"/>
      <c r="F2" s="468"/>
      <c r="G2" s="468"/>
      <c r="H2" s="468"/>
      <c r="I2" s="468"/>
      <c r="J2" s="468"/>
      <c r="K2" s="406"/>
    </row>
    <row r="3" spans="1:11" ht="53.25" customHeight="1">
      <c r="A3" s="41" t="s">
        <v>8</v>
      </c>
      <c r="B3" s="41" t="s">
        <v>34</v>
      </c>
      <c r="C3" s="41" t="s">
        <v>35</v>
      </c>
      <c r="D3" s="41" t="s">
        <v>36</v>
      </c>
      <c r="E3" s="41" t="s">
        <v>37</v>
      </c>
      <c r="F3" s="41" t="s">
        <v>38</v>
      </c>
      <c r="G3" s="42" t="s">
        <v>39</v>
      </c>
      <c r="H3" s="42" t="s">
        <v>1204</v>
      </c>
      <c r="I3" s="42" t="s">
        <v>1205</v>
      </c>
      <c r="J3" s="42" t="s">
        <v>40</v>
      </c>
      <c r="K3" s="42" t="s">
        <v>41</v>
      </c>
    </row>
    <row r="4" spans="1:11" ht="41.25" customHeight="1">
      <c r="A4" s="308">
        <v>51101</v>
      </c>
      <c r="B4" s="306" t="s">
        <v>1110</v>
      </c>
      <c r="C4" s="304"/>
      <c r="D4" s="3" t="s">
        <v>42</v>
      </c>
      <c r="E4" s="3" t="s">
        <v>29</v>
      </c>
      <c r="F4" s="3" t="s">
        <v>43</v>
      </c>
      <c r="G4" s="305">
        <f>'AGOST-18'!I4</f>
        <v>1051.9899999999998</v>
      </c>
      <c r="H4" s="341"/>
      <c r="I4" s="17">
        <f>G4-H4+J4-K4</f>
        <v>51.989999999999782</v>
      </c>
      <c r="J4" s="342"/>
      <c r="K4" s="394">
        <v>1000</v>
      </c>
    </row>
    <row r="5" spans="1:11">
      <c r="A5" s="4">
        <v>51103</v>
      </c>
      <c r="B5" s="7" t="s">
        <v>164</v>
      </c>
      <c r="C5" s="2"/>
      <c r="D5" s="3" t="s">
        <v>42</v>
      </c>
      <c r="E5" s="3" t="s">
        <v>29</v>
      </c>
      <c r="F5" s="3" t="s">
        <v>43</v>
      </c>
      <c r="G5" s="305">
        <f>'AGOST-18'!I5</f>
        <v>570.95000000000005</v>
      </c>
      <c r="H5" s="51"/>
      <c r="I5" s="17">
        <f>G5-H5+J5-K5</f>
        <v>570.95000000000005</v>
      </c>
      <c r="J5" s="18"/>
      <c r="K5" s="18"/>
    </row>
    <row r="6" spans="1:11">
      <c r="A6" s="4">
        <v>51105</v>
      </c>
      <c r="B6" s="7" t="s">
        <v>125</v>
      </c>
      <c r="C6" s="2"/>
      <c r="D6" s="3" t="s">
        <v>42</v>
      </c>
      <c r="E6" s="3" t="s">
        <v>29</v>
      </c>
      <c r="F6" s="3" t="s">
        <v>43</v>
      </c>
      <c r="G6" s="305">
        <f>'AGOST-18'!I6</f>
        <v>12454.400000000001</v>
      </c>
      <c r="H6" s="51"/>
      <c r="I6" s="17">
        <f>G6-H6+J6-K6</f>
        <v>10454.400000000001</v>
      </c>
      <c r="J6" s="18"/>
      <c r="K6" s="18">
        <v>2000</v>
      </c>
    </row>
    <row r="7" spans="1:11">
      <c r="A7" s="4">
        <v>51107</v>
      </c>
      <c r="B7" s="7" t="s">
        <v>167</v>
      </c>
      <c r="C7" s="2"/>
      <c r="D7" s="3" t="s">
        <v>42</v>
      </c>
      <c r="E7" s="3" t="s">
        <v>29</v>
      </c>
      <c r="F7" s="3" t="s">
        <v>43</v>
      </c>
      <c r="G7" s="305">
        <f>'AGOST-18'!I7</f>
        <v>113.67000000000007</v>
      </c>
      <c r="H7" s="51"/>
      <c r="I7" s="416">
        <f t="shared" ref="I7:I71" si="0">G7-H7+J7-K7</f>
        <v>113.67000000000007</v>
      </c>
      <c r="J7" s="18"/>
      <c r="K7" s="18"/>
    </row>
    <row r="8" spans="1:11">
      <c r="A8" s="4">
        <v>51201</v>
      </c>
      <c r="B8" s="7" t="s">
        <v>44</v>
      </c>
      <c r="C8" s="2"/>
      <c r="D8" s="3" t="s">
        <v>42</v>
      </c>
      <c r="E8" s="3" t="s">
        <v>29</v>
      </c>
      <c r="F8" s="3" t="s">
        <v>43</v>
      </c>
      <c r="G8" s="305">
        <f>'AGOST-18'!I8</f>
        <v>2666</v>
      </c>
      <c r="H8" s="369">
        <f>700+950+1334</f>
        <v>2984</v>
      </c>
      <c r="I8" s="17">
        <f t="shared" si="0"/>
        <v>1682</v>
      </c>
      <c r="J8" s="23">
        <v>2000</v>
      </c>
      <c r="K8" s="18"/>
    </row>
    <row r="9" spans="1:11" ht="36.75" customHeight="1">
      <c r="A9" s="4">
        <v>51401</v>
      </c>
      <c r="B9" s="5" t="s">
        <v>128</v>
      </c>
      <c r="C9" s="2"/>
      <c r="D9" s="3" t="s">
        <v>42</v>
      </c>
      <c r="E9" s="3" t="s">
        <v>29</v>
      </c>
      <c r="F9" s="3" t="s">
        <v>43</v>
      </c>
      <c r="G9" s="305">
        <f>'AGOST-18'!I9</f>
        <v>1744.1799999999998</v>
      </c>
      <c r="H9" s="108"/>
      <c r="I9" s="17">
        <f t="shared" si="0"/>
        <v>1744.1799999999998</v>
      </c>
      <c r="J9" s="20"/>
      <c r="K9" s="18"/>
    </row>
    <row r="10" spans="1:11" ht="42" customHeight="1">
      <c r="A10" s="4">
        <v>51501</v>
      </c>
      <c r="B10" s="5" t="s">
        <v>168</v>
      </c>
      <c r="C10" s="47"/>
      <c r="D10" s="3" t="s">
        <v>42</v>
      </c>
      <c r="E10" s="3" t="s">
        <v>29</v>
      </c>
      <c r="F10" s="3" t="s">
        <v>43</v>
      </c>
      <c r="G10" s="305">
        <f>'AGOST-18'!I10</f>
        <v>2329.7800000000002</v>
      </c>
      <c r="H10" s="51"/>
      <c r="I10" s="17">
        <f t="shared" si="0"/>
        <v>2329.7800000000002</v>
      </c>
      <c r="J10" s="21"/>
      <c r="K10" s="18"/>
    </row>
    <row r="11" spans="1:11" ht="25.5">
      <c r="A11" s="4">
        <v>51701</v>
      </c>
      <c r="B11" s="7" t="s">
        <v>126</v>
      </c>
      <c r="C11" s="2"/>
      <c r="D11" s="3" t="s">
        <v>42</v>
      </c>
      <c r="E11" s="3" t="s">
        <v>29</v>
      </c>
      <c r="F11" s="3" t="s">
        <v>43</v>
      </c>
      <c r="G11" s="305">
        <f>'AGOST-18'!I11</f>
        <v>146.81000000000677</v>
      </c>
      <c r="H11" s="51"/>
      <c r="I11" s="17">
        <f t="shared" si="0"/>
        <v>146.81000000000677</v>
      </c>
      <c r="J11" s="22"/>
      <c r="K11" s="18"/>
    </row>
    <row r="12" spans="1:11" ht="25.5">
      <c r="A12" s="4">
        <v>51601</v>
      </c>
      <c r="B12" s="7" t="s">
        <v>129</v>
      </c>
      <c r="C12" s="2"/>
      <c r="D12" s="3" t="s">
        <v>42</v>
      </c>
      <c r="E12" s="3" t="s">
        <v>29</v>
      </c>
      <c r="F12" s="3" t="s">
        <v>43</v>
      </c>
      <c r="G12" s="305">
        <f>'AGOST-18'!I12</f>
        <v>6000</v>
      </c>
      <c r="H12" s="51">
        <f>1500</f>
        <v>1500</v>
      </c>
      <c r="I12" s="17">
        <f t="shared" si="0"/>
        <v>4500</v>
      </c>
      <c r="J12" s="21"/>
      <c r="K12" s="18"/>
    </row>
    <row r="13" spans="1:11">
      <c r="A13" s="4">
        <v>51602</v>
      </c>
      <c r="B13" s="2" t="s">
        <v>46</v>
      </c>
      <c r="C13" s="2"/>
      <c r="D13" s="3" t="s">
        <v>42</v>
      </c>
      <c r="E13" s="3" t="s">
        <v>29</v>
      </c>
      <c r="F13" s="3" t="s">
        <v>43</v>
      </c>
      <c r="G13" s="305">
        <f>'AGOST-18'!I13</f>
        <v>1</v>
      </c>
      <c r="H13" s="51"/>
      <c r="I13" s="17">
        <f t="shared" si="0"/>
        <v>1</v>
      </c>
      <c r="J13" s="20"/>
      <c r="K13" s="18"/>
    </row>
    <row r="14" spans="1:11">
      <c r="A14" s="4">
        <v>51999</v>
      </c>
      <c r="B14" s="2" t="s">
        <v>47</v>
      </c>
      <c r="C14" s="2"/>
      <c r="D14" s="3" t="s">
        <v>42</v>
      </c>
      <c r="E14" s="3" t="s">
        <v>29</v>
      </c>
      <c r="F14" s="3" t="s">
        <v>43</v>
      </c>
      <c r="G14" s="305">
        <f>'AGOST-18'!I14</f>
        <v>351.45000000000005</v>
      </c>
      <c r="H14" s="51">
        <f>55.56+55.56+55.56</f>
        <v>166.68</v>
      </c>
      <c r="I14" s="17">
        <f t="shared" si="0"/>
        <v>5184.7700000000004</v>
      </c>
      <c r="J14" s="405">
        <v>5000</v>
      </c>
      <c r="K14" s="18"/>
    </row>
    <row r="15" spans="1:11" ht="45" customHeight="1">
      <c r="A15" s="4">
        <v>54101</v>
      </c>
      <c r="B15" s="5" t="s">
        <v>48</v>
      </c>
      <c r="C15" s="2"/>
      <c r="D15" s="3" t="s">
        <v>42</v>
      </c>
      <c r="E15" s="3" t="s">
        <v>29</v>
      </c>
      <c r="F15" s="3" t="s">
        <v>43</v>
      </c>
      <c r="G15" s="305">
        <f>'AGOST-18'!I15</f>
        <v>21197.72</v>
      </c>
      <c r="H15" s="51">
        <f>50.45+59+153+241.25+39.2+39.2+217+100.4+1251+125+45+87.8+53.8+92.4+137.5+137.5+61.2+150+205+100+50+137.5+150+175+660+12+15+28.8+14.6+24+30+19.6+10+14.4+16.8+19.6+10+8.98+1.65</f>
        <v>4743.630000000001</v>
      </c>
      <c r="I15" s="17">
        <f t="shared" si="0"/>
        <v>14454.09</v>
      </c>
      <c r="J15" s="315"/>
      <c r="K15" s="18">
        <v>2000</v>
      </c>
    </row>
    <row r="16" spans="1:11" ht="26.25">
      <c r="A16" s="4">
        <v>54104</v>
      </c>
      <c r="B16" s="5" t="s">
        <v>130</v>
      </c>
      <c r="C16" s="2"/>
      <c r="D16" s="3" t="s">
        <v>42</v>
      </c>
      <c r="E16" s="3" t="s">
        <v>29</v>
      </c>
      <c r="F16" s="3" t="s">
        <v>43</v>
      </c>
      <c r="G16" s="305">
        <f>'AGOST-18'!I16</f>
        <v>1832.6</v>
      </c>
      <c r="H16" s="51">
        <f>220</f>
        <v>220</v>
      </c>
      <c r="I16" s="17">
        <f t="shared" si="0"/>
        <v>1612.6</v>
      </c>
      <c r="J16" s="21"/>
      <c r="K16" s="18"/>
    </row>
    <row r="17" spans="1:11">
      <c r="A17" s="4">
        <v>54105</v>
      </c>
      <c r="B17" s="2" t="s">
        <v>49</v>
      </c>
      <c r="C17" s="2"/>
      <c r="D17" s="3" t="s">
        <v>42</v>
      </c>
      <c r="E17" s="3" t="s">
        <v>29</v>
      </c>
      <c r="F17" s="3" t="s">
        <v>43</v>
      </c>
      <c r="G17" s="305">
        <f>'AGOST-18'!I17</f>
        <v>407.7</v>
      </c>
      <c r="H17" s="51"/>
      <c r="I17" s="17">
        <f t="shared" si="0"/>
        <v>407.7</v>
      </c>
      <c r="J17" s="20"/>
      <c r="K17" s="18"/>
    </row>
    <row r="18" spans="1:11">
      <c r="A18" s="4">
        <v>54107</v>
      </c>
      <c r="B18" s="2" t="s">
        <v>50</v>
      </c>
      <c r="C18" s="2"/>
      <c r="D18" s="3" t="s">
        <v>42</v>
      </c>
      <c r="E18" s="3" t="s">
        <v>29</v>
      </c>
      <c r="F18" s="3" t="s">
        <v>43</v>
      </c>
      <c r="G18" s="305">
        <f>'AGOST-18'!I18</f>
        <v>520</v>
      </c>
      <c r="H18" s="51">
        <f>13</f>
        <v>13</v>
      </c>
      <c r="I18" s="17">
        <f t="shared" si="0"/>
        <v>507</v>
      </c>
      <c r="J18" s="22"/>
      <c r="K18" s="18"/>
    </row>
    <row r="19" spans="1:11">
      <c r="A19" s="4">
        <v>54108</v>
      </c>
      <c r="B19" s="2" t="s">
        <v>51</v>
      </c>
      <c r="C19" s="2"/>
      <c r="D19" s="3" t="s">
        <v>42</v>
      </c>
      <c r="E19" s="3" t="s">
        <v>29</v>
      </c>
      <c r="F19" s="3" t="s">
        <v>43</v>
      </c>
      <c r="G19" s="305">
        <f>'AGOST-18'!I19</f>
        <v>100</v>
      </c>
      <c r="H19" s="51"/>
      <c r="I19" s="17">
        <f t="shared" si="0"/>
        <v>100</v>
      </c>
      <c r="J19" s="20"/>
      <c r="K19" s="18"/>
    </row>
    <row r="20" spans="1:11">
      <c r="A20" s="4">
        <v>54109</v>
      </c>
      <c r="B20" s="2" t="s">
        <v>131</v>
      </c>
      <c r="C20" s="2"/>
      <c r="D20" s="3" t="s">
        <v>42</v>
      </c>
      <c r="E20" s="3" t="s">
        <v>29</v>
      </c>
      <c r="F20" s="3" t="s">
        <v>43</v>
      </c>
      <c r="G20" s="305">
        <f>'AGOST-18'!I20</f>
        <v>500</v>
      </c>
      <c r="H20" s="51"/>
      <c r="I20" s="17">
        <f t="shared" si="0"/>
        <v>500</v>
      </c>
      <c r="J20" s="20"/>
      <c r="K20" s="18"/>
    </row>
    <row r="21" spans="1:11">
      <c r="A21" s="4">
        <v>54110</v>
      </c>
      <c r="B21" s="2" t="s">
        <v>132</v>
      </c>
      <c r="C21" s="2"/>
      <c r="D21" s="3" t="s">
        <v>42</v>
      </c>
      <c r="E21" s="3" t="s">
        <v>29</v>
      </c>
      <c r="F21" s="3" t="s">
        <v>43</v>
      </c>
      <c r="G21" s="305">
        <f>'AGOST-18'!I21</f>
        <v>7663.6000000000013</v>
      </c>
      <c r="H21" s="51"/>
      <c r="I21" s="17">
        <f t="shared" si="0"/>
        <v>6663.6000000000013</v>
      </c>
      <c r="J21" s="24"/>
      <c r="K21" s="18">
        <v>1000</v>
      </c>
    </row>
    <row r="22" spans="1:11" ht="30.75" customHeight="1">
      <c r="A22" s="4">
        <v>54111</v>
      </c>
      <c r="B22" s="5" t="s">
        <v>54</v>
      </c>
      <c r="C22" s="2"/>
      <c r="D22" s="3" t="s">
        <v>42</v>
      </c>
      <c r="E22" s="3" t="s">
        <v>29</v>
      </c>
      <c r="F22" s="3" t="s">
        <v>43</v>
      </c>
      <c r="G22" s="305">
        <f>'AGOST-18'!I22</f>
        <v>349.05000000000018</v>
      </c>
      <c r="H22" s="51">
        <f>1.5+4</f>
        <v>5.5</v>
      </c>
      <c r="I22" s="416">
        <f t="shared" si="0"/>
        <v>343.55000000000018</v>
      </c>
      <c r="J22" s="23"/>
      <c r="K22" s="18"/>
    </row>
    <row r="23" spans="1:11" ht="42.75" customHeight="1">
      <c r="A23" s="4">
        <v>54112</v>
      </c>
      <c r="B23" s="5" t="s">
        <v>55</v>
      </c>
      <c r="C23" s="2"/>
      <c r="D23" s="3" t="s">
        <v>42</v>
      </c>
      <c r="E23" s="3" t="s">
        <v>29</v>
      </c>
      <c r="F23" s="3" t="s">
        <v>43</v>
      </c>
      <c r="G23" s="305">
        <f>'AGOST-18'!I23</f>
        <v>500</v>
      </c>
      <c r="H23" s="51"/>
      <c r="I23" s="17">
        <f t="shared" si="0"/>
        <v>500</v>
      </c>
      <c r="J23" s="21"/>
      <c r="K23" s="18"/>
    </row>
    <row r="24" spans="1:11">
      <c r="A24" s="4">
        <v>54114</v>
      </c>
      <c r="B24" s="2" t="s">
        <v>56</v>
      </c>
      <c r="C24" s="2"/>
      <c r="D24" s="3" t="s">
        <v>42</v>
      </c>
      <c r="E24" s="3" t="s">
        <v>29</v>
      </c>
      <c r="F24" s="3" t="s">
        <v>43</v>
      </c>
      <c r="G24" s="305">
        <f>'AGOST-18'!I24</f>
        <v>852.06</v>
      </c>
      <c r="H24" s="51"/>
      <c r="I24" s="17">
        <f t="shared" si="0"/>
        <v>852.06</v>
      </c>
      <c r="J24" s="20"/>
      <c r="K24" s="18"/>
    </row>
    <row r="25" spans="1:11">
      <c r="A25" s="4">
        <v>54115</v>
      </c>
      <c r="B25" s="2" t="s">
        <v>57</v>
      </c>
      <c r="C25" s="2"/>
      <c r="D25" s="3" t="s">
        <v>42</v>
      </c>
      <c r="E25" s="3" t="s">
        <v>29</v>
      </c>
      <c r="F25" s="3" t="s">
        <v>43</v>
      </c>
      <c r="G25" s="305">
        <f>'AGOST-18'!I25</f>
        <v>775.52</v>
      </c>
      <c r="H25" s="51"/>
      <c r="I25" s="17">
        <f t="shared" si="0"/>
        <v>775.52</v>
      </c>
      <c r="J25" s="20"/>
      <c r="K25" s="18"/>
    </row>
    <row r="26" spans="1:11" ht="30">
      <c r="A26" s="4">
        <v>54116</v>
      </c>
      <c r="B26" s="5" t="s">
        <v>58</v>
      </c>
      <c r="C26" s="2"/>
      <c r="D26" s="3" t="s">
        <v>42</v>
      </c>
      <c r="E26" s="3" t="s">
        <v>29</v>
      </c>
      <c r="F26" s="3" t="s">
        <v>43</v>
      </c>
      <c r="G26" s="305">
        <f>'AGOST-18'!I26</f>
        <v>460</v>
      </c>
      <c r="H26" s="51"/>
      <c r="I26" s="17">
        <f t="shared" si="0"/>
        <v>460</v>
      </c>
      <c r="J26" s="20"/>
      <c r="K26" s="18"/>
    </row>
    <row r="27" spans="1:11">
      <c r="A27" s="4">
        <v>54117</v>
      </c>
      <c r="B27" s="25" t="s">
        <v>12</v>
      </c>
      <c r="C27" s="25"/>
      <c r="D27" s="3" t="s">
        <v>42</v>
      </c>
      <c r="E27" s="3" t="s">
        <v>29</v>
      </c>
      <c r="F27" s="3" t="s">
        <v>43</v>
      </c>
      <c r="G27" s="305">
        <f>'AGOST-18'!I27</f>
        <v>500</v>
      </c>
      <c r="H27" s="51"/>
      <c r="I27" s="17">
        <f t="shared" si="0"/>
        <v>500</v>
      </c>
      <c r="J27" s="20"/>
      <c r="K27" s="18"/>
    </row>
    <row r="28" spans="1:11">
      <c r="A28" s="4">
        <v>54118</v>
      </c>
      <c r="B28" s="2" t="s">
        <v>59</v>
      </c>
      <c r="C28" s="2"/>
      <c r="D28" s="3" t="s">
        <v>42</v>
      </c>
      <c r="E28" s="3" t="s">
        <v>29</v>
      </c>
      <c r="F28" s="3" t="s">
        <v>43</v>
      </c>
      <c r="G28" s="305">
        <f>'AGOST-18'!I28</f>
        <v>500</v>
      </c>
      <c r="H28" s="51">
        <f>30+8</f>
        <v>38</v>
      </c>
      <c r="I28" s="17">
        <f t="shared" si="0"/>
        <v>462</v>
      </c>
      <c r="J28" s="23"/>
      <c r="K28" s="18"/>
    </row>
    <row r="29" spans="1:11">
      <c r="A29" s="4">
        <v>54119</v>
      </c>
      <c r="B29" s="2" t="s">
        <v>60</v>
      </c>
      <c r="C29" s="2"/>
      <c r="D29" s="3" t="s">
        <v>42</v>
      </c>
      <c r="E29" s="3" t="s">
        <v>29</v>
      </c>
      <c r="F29" s="3" t="s">
        <v>43</v>
      </c>
      <c r="G29" s="305">
        <f>'AGOST-18'!I29</f>
        <v>500</v>
      </c>
      <c r="H29" s="51"/>
      <c r="I29" s="17">
        <f t="shared" si="0"/>
        <v>500</v>
      </c>
      <c r="J29" s="21"/>
      <c r="K29" s="18"/>
    </row>
    <row r="30" spans="1:11">
      <c r="A30" s="4">
        <v>54199</v>
      </c>
      <c r="B30" s="2" t="s">
        <v>61</v>
      </c>
      <c r="C30" s="2"/>
      <c r="D30" s="3" t="s">
        <v>42</v>
      </c>
      <c r="E30" s="3" t="s">
        <v>29</v>
      </c>
      <c r="F30" s="3" t="s">
        <v>43</v>
      </c>
      <c r="G30" s="305">
        <f>'AGOST-18'!I30</f>
        <v>1381.15</v>
      </c>
      <c r="H30" s="51">
        <f>342.3</f>
        <v>342.3</v>
      </c>
      <c r="I30" s="17">
        <f t="shared" si="0"/>
        <v>1038.8500000000001</v>
      </c>
      <c r="J30" s="21"/>
      <c r="K30" s="18"/>
    </row>
    <row r="31" spans="1:11">
      <c r="A31" s="4">
        <v>54201</v>
      </c>
      <c r="B31" s="2" t="s">
        <v>62</v>
      </c>
      <c r="C31" s="2"/>
      <c r="D31" s="3" t="s">
        <v>42</v>
      </c>
      <c r="E31" s="3" t="s">
        <v>29</v>
      </c>
      <c r="F31" s="3" t="s">
        <v>43</v>
      </c>
      <c r="G31" s="305">
        <f>'AGOST-18'!I31</f>
        <v>8604.0400000000009</v>
      </c>
      <c r="H31" s="51"/>
      <c r="I31" s="17">
        <f t="shared" si="0"/>
        <v>8604.0400000000009</v>
      </c>
      <c r="J31" s="20"/>
      <c r="K31" s="18"/>
    </row>
    <row r="32" spans="1:11">
      <c r="A32" s="4">
        <v>54202</v>
      </c>
      <c r="B32" s="2" t="s">
        <v>63</v>
      </c>
      <c r="C32" s="2"/>
      <c r="D32" s="3" t="s">
        <v>42</v>
      </c>
      <c r="E32" s="3" t="s">
        <v>29</v>
      </c>
      <c r="F32" s="3" t="s">
        <v>43</v>
      </c>
      <c r="G32" s="305">
        <f>'AGOST-18'!I32</f>
        <v>2763.8</v>
      </c>
      <c r="H32" s="51"/>
      <c r="I32" s="17">
        <f t="shared" si="0"/>
        <v>2763.8</v>
      </c>
      <c r="J32" s="20"/>
      <c r="K32" s="18"/>
    </row>
    <row r="33" spans="1:11" ht="26.25">
      <c r="A33" s="4">
        <v>54203</v>
      </c>
      <c r="B33" s="5" t="s">
        <v>133</v>
      </c>
      <c r="C33" s="2"/>
      <c r="D33" s="3" t="s">
        <v>42</v>
      </c>
      <c r="E33" s="3" t="s">
        <v>29</v>
      </c>
      <c r="F33" s="3" t="s">
        <v>43</v>
      </c>
      <c r="G33" s="305">
        <f>'AGOST-18'!I33</f>
        <v>9000.85</v>
      </c>
      <c r="H33" s="51">
        <f>268.1</f>
        <v>268.10000000000002</v>
      </c>
      <c r="I33" s="17">
        <f t="shared" si="0"/>
        <v>8732.75</v>
      </c>
      <c r="J33" s="20"/>
      <c r="K33" s="21"/>
    </row>
    <row r="34" spans="1:11">
      <c r="A34" s="4">
        <v>54204</v>
      </c>
      <c r="B34" s="2" t="s">
        <v>65</v>
      </c>
      <c r="C34" s="2"/>
      <c r="D34" s="3" t="s">
        <v>42</v>
      </c>
      <c r="E34" s="3" t="s">
        <v>29</v>
      </c>
      <c r="F34" s="3" t="s">
        <v>43</v>
      </c>
      <c r="G34" s="305">
        <f>'AGOST-18'!I34</f>
        <v>100</v>
      </c>
      <c r="H34" s="51"/>
      <c r="I34" s="17">
        <f t="shared" si="0"/>
        <v>100</v>
      </c>
      <c r="J34" s="20"/>
      <c r="K34" s="18"/>
    </row>
    <row r="35" spans="1:11">
      <c r="A35" s="4">
        <v>54301</v>
      </c>
      <c r="B35" s="2" t="s">
        <v>66</v>
      </c>
      <c r="C35" s="2"/>
      <c r="D35" s="3" t="s">
        <v>42</v>
      </c>
      <c r="E35" s="3" t="s">
        <v>29</v>
      </c>
      <c r="F35" s="3" t="s">
        <v>43</v>
      </c>
      <c r="G35" s="305">
        <f>'AGOST-18'!I35</f>
        <v>338</v>
      </c>
      <c r="H35" s="51"/>
      <c r="I35" s="17">
        <f t="shared" si="0"/>
        <v>338</v>
      </c>
      <c r="J35" s="21"/>
      <c r="K35" s="18"/>
    </row>
    <row r="36" spans="1:11">
      <c r="A36" s="4">
        <v>54302</v>
      </c>
      <c r="B36" s="2" t="s">
        <v>67</v>
      </c>
      <c r="C36" s="2"/>
      <c r="D36" s="3" t="s">
        <v>42</v>
      </c>
      <c r="E36" s="3" t="s">
        <v>29</v>
      </c>
      <c r="F36" s="3" t="s">
        <v>43</v>
      </c>
      <c r="G36" s="305">
        <f>'AGOST-18'!I36</f>
        <v>500</v>
      </c>
      <c r="H36" s="51"/>
      <c r="I36" s="17">
        <f t="shared" si="0"/>
        <v>500</v>
      </c>
      <c r="J36" s="20"/>
      <c r="K36" s="18"/>
    </row>
    <row r="37" spans="1:11">
      <c r="A37" s="4">
        <v>54303</v>
      </c>
      <c r="B37" s="2" t="s">
        <v>68</v>
      </c>
      <c r="C37" s="2"/>
      <c r="D37" s="3" t="s">
        <v>42</v>
      </c>
      <c r="E37" s="3" t="s">
        <v>29</v>
      </c>
      <c r="F37" s="3" t="s">
        <v>43</v>
      </c>
      <c r="G37" s="305">
        <f>'AGOST-18'!I37</f>
        <v>1000</v>
      </c>
      <c r="H37" s="51"/>
      <c r="I37" s="17">
        <f t="shared" si="0"/>
        <v>1000</v>
      </c>
      <c r="J37" s="20"/>
      <c r="K37" s="18"/>
    </row>
    <row r="38" spans="1:11">
      <c r="A38" s="4">
        <v>54304</v>
      </c>
      <c r="B38" s="2" t="s">
        <v>69</v>
      </c>
      <c r="C38" s="2"/>
      <c r="D38" s="3" t="s">
        <v>42</v>
      </c>
      <c r="E38" s="3" t="s">
        <v>29</v>
      </c>
      <c r="F38" s="3" t="s">
        <v>43</v>
      </c>
      <c r="G38" s="305">
        <f>'AGOST-18'!I38</f>
        <v>310.57999999999993</v>
      </c>
      <c r="H38" s="51">
        <f>80+45+194.5+148.5+50+231</f>
        <v>749</v>
      </c>
      <c r="I38" s="17">
        <f t="shared" si="0"/>
        <v>561.57999999999993</v>
      </c>
      <c r="J38" s="18">
        <v>1000</v>
      </c>
      <c r="K38" s="21"/>
    </row>
    <row r="39" spans="1:11">
      <c r="A39" s="4">
        <v>54305</v>
      </c>
      <c r="B39" s="2" t="s">
        <v>70</v>
      </c>
      <c r="C39" s="2"/>
      <c r="D39" s="3" t="s">
        <v>42</v>
      </c>
      <c r="E39" s="3" t="s">
        <v>29</v>
      </c>
      <c r="F39" s="3" t="s">
        <v>43</v>
      </c>
      <c r="G39" s="305">
        <f>'AGOST-18'!I39</f>
        <v>501</v>
      </c>
      <c r="H39" s="51">
        <f>333</f>
        <v>333</v>
      </c>
      <c r="I39" s="17">
        <f t="shared" si="0"/>
        <v>168</v>
      </c>
      <c r="J39" s="21"/>
      <c r="K39" s="18"/>
    </row>
    <row r="40" spans="1:11">
      <c r="A40" s="4">
        <v>54313</v>
      </c>
      <c r="B40" s="2" t="s">
        <v>71</v>
      </c>
      <c r="C40" s="2"/>
      <c r="D40" s="3" t="s">
        <v>42</v>
      </c>
      <c r="E40" s="3" t="s">
        <v>29</v>
      </c>
      <c r="F40" s="3" t="s">
        <v>43</v>
      </c>
      <c r="G40" s="417">
        <f>'AGOST-18'!I40</f>
        <v>705.92000000000007</v>
      </c>
      <c r="H40" s="51">
        <f>325+130+60+126+2</f>
        <v>643</v>
      </c>
      <c r="I40" s="17">
        <f t="shared" si="0"/>
        <v>62.920000000000073</v>
      </c>
      <c r="J40" s="18"/>
      <c r="K40" s="21"/>
    </row>
    <row r="41" spans="1:11">
      <c r="A41" s="4">
        <v>54316</v>
      </c>
      <c r="B41" s="2" t="s">
        <v>72</v>
      </c>
      <c r="C41" s="2"/>
      <c r="D41" s="3" t="s">
        <v>42</v>
      </c>
      <c r="E41" s="3" t="s">
        <v>29</v>
      </c>
      <c r="F41" s="3" t="s">
        <v>43</v>
      </c>
      <c r="G41" s="305">
        <f>'AGOST-18'!I41</f>
        <v>161</v>
      </c>
      <c r="H41" s="51"/>
      <c r="I41" s="17">
        <f t="shared" si="0"/>
        <v>161</v>
      </c>
      <c r="J41" s="336"/>
      <c r="K41" s="18"/>
    </row>
    <row r="42" spans="1:11">
      <c r="A42" s="4">
        <v>54317</v>
      </c>
      <c r="B42" s="2" t="s">
        <v>73</v>
      </c>
      <c r="C42" s="2"/>
      <c r="D42" s="3" t="s">
        <v>42</v>
      </c>
      <c r="E42" s="3" t="s">
        <v>29</v>
      </c>
      <c r="F42" s="3" t="s">
        <v>43</v>
      </c>
      <c r="G42" s="305">
        <f>'AGOST-18'!I42</f>
        <v>2560</v>
      </c>
      <c r="H42" s="51">
        <f>330+1100</f>
        <v>1430</v>
      </c>
      <c r="I42" s="17">
        <f t="shared" si="0"/>
        <v>1130</v>
      </c>
      <c r="J42" s="20"/>
      <c r="K42" s="18"/>
    </row>
    <row r="43" spans="1:11">
      <c r="A43" s="4">
        <v>54399</v>
      </c>
      <c r="B43" s="2" t="s">
        <v>74</v>
      </c>
      <c r="C43" s="2"/>
      <c r="D43" s="3" t="s">
        <v>42</v>
      </c>
      <c r="E43" s="3" t="s">
        <v>29</v>
      </c>
      <c r="F43" s="3" t="s">
        <v>43</v>
      </c>
      <c r="G43" s="305">
        <f>'AGOST-18'!I43</f>
        <v>163.28</v>
      </c>
      <c r="H43" s="51"/>
      <c r="I43" s="17">
        <f t="shared" si="0"/>
        <v>163.28</v>
      </c>
      <c r="J43" s="18"/>
      <c r="K43" s="21"/>
    </row>
    <row r="44" spans="1:11">
      <c r="A44" s="4">
        <v>54401</v>
      </c>
      <c r="B44" s="2" t="s">
        <v>75</v>
      </c>
      <c r="C44" s="2"/>
      <c r="D44" s="3" t="s">
        <v>42</v>
      </c>
      <c r="E44" s="3" t="s">
        <v>29</v>
      </c>
      <c r="F44" s="3" t="s">
        <v>43</v>
      </c>
      <c r="G44" s="305">
        <f>'AGOST-18'!I44</f>
        <v>200</v>
      </c>
      <c r="H44" s="51"/>
      <c r="I44" s="17">
        <f t="shared" si="0"/>
        <v>200</v>
      </c>
      <c r="J44" s="20"/>
      <c r="K44" s="18"/>
    </row>
    <row r="45" spans="1:11">
      <c r="A45" s="4">
        <v>54403</v>
      </c>
      <c r="B45" s="2" t="s">
        <v>76</v>
      </c>
      <c r="C45" s="2"/>
      <c r="D45" s="3" t="s">
        <v>42</v>
      </c>
      <c r="E45" s="3" t="s">
        <v>29</v>
      </c>
      <c r="F45" s="3" t="s">
        <v>43</v>
      </c>
      <c r="G45" s="305">
        <f>'AGOST-18'!I45</f>
        <v>300</v>
      </c>
      <c r="H45" s="51"/>
      <c r="I45" s="17">
        <f t="shared" si="0"/>
        <v>300</v>
      </c>
      <c r="J45" s="20"/>
      <c r="K45" s="18"/>
    </row>
    <row r="46" spans="1:11">
      <c r="A46" s="4">
        <v>54501</v>
      </c>
      <c r="B46" s="2" t="s">
        <v>77</v>
      </c>
      <c r="C46" s="2"/>
      <c r="D46" s="3" t="s">
        <v>42</v>
      </c>
      <c r="E46" s="3" t="s">
        <v>29</v>
      </c>
      <c r="F46" s="3" t="s">
        <v>43</v>
      </c>
      <c r="G46" s="305">
        <f>'AGOST-18'!I46</f>
        <v>3800</v>
      </c>
      <c r="H46" s="51"/>
      <c r="I46" s="17">
        <f t="shared" si="0"/>
        <v>3800</v>
      </c>
      <c r="J46" s="18"/>
      <c r="K46" s="22"/>
    </row>
    <row r="47" spans="1:11">
      <c r="A47" s="4">
        <v>54503</v>
      </c>
      <c r="B47" s="2" t="s">
        <v>78</v>
      </c>
      <c r="C47" s="2"/>
      <c r="D47" s="3" t="s">
        <v>42</v>
      </c>
      <c r="E47" s="3" t="s">
        <v>29</v>
      </c>
      <c r="F47" s="3" t="s">
        <v>43</v>
      </c>
      <c r="G47" s="305">
        <f>'AGOST-18'!I47</f>
        <v>1500</v>
      </c>
      <c r="H47" s="51"/>
      <c r="I47" s="17">
        <f t="shared" si="0"/>
        <v>1500</v>
      </c>
      <c r="J47" s="18"/>
      <c r="K47" s="18"/>
    </row>
    <row r="48" spans="1:11">
      <c r="A48" s="4">
        <v>54504</v>
      </c>
      <c r="B48" s="2" t="s">
        <v>79</v>
      </c>
      <c r="C48" s="2"/>
      <c r="D48" s="3" t="s">
        <v>80</v>
      </c>
      <c r="E48" s="3" t="s">
        <v>29</v>
      </c>
      <c r="F48" s="3" t="s">
        <v>43</v>
      </c>
      <c r="G48" s="305">
        <f>'AGOST-18'!I48</f>
        <v>1000</v>
      </c>
      <c r="H48" s="51"/>
      <c r="I48" s="17">
        <f t="shared" si="0"/>
        <v>1000</v>
      </c>
      <c r="J48" s="18"/>
      <c r="K48" s="18"/>
    </row>
    <row r="49" spans="1:11">
      <c r="A49" s="4">
        <v>54505</v>
      </c>
      <c r="B49" s="5" t="s">
        <v>81</v>
      </c>
      <c r="C49" s="2"/>
      <c r="D49" s="3" t="s">
        <v>42</v>
      </c>
      <c r="E49" s="3" t="s">
        <v>29</v>
      </c>
      <c r="F49" s="3" t="s">
        <v>43</v>
      </c>
      <c r="G49" s="305">
        <f>'AGOST-18'!I49</f>
        <v>1000</v>
      </c>
      <c r="H49" s="51"/>
      <c r="I49" s="17">
        <f t="shared" si="0"/>
        <v>1000</v>
      </c>
      <c r="J49" s="18"/>
      <c r="K49" s="22"/>
    </row>
    <row r="50" spans="1:11" ht="20.25" customHeight="1">
      <c r="A50" s="4">
        <v>54599</v>
      </c>
      <c r="B50" s="5" t="s">
        <v>82</v>
      </c>
      <c r="C50" s="5"/>
      <c r="D50" s="3" t="s">
        <v>42</v>
      </c>
      <c r="E50" s="3" t="s">
        <v>29</v>
      </c>
      <c r="F50" s="3" t="s">
        <v>43</v>
      </c>
      <c r="G50" s="305">
        <f>'AGOST-18'!I50</f>
        <v>700</v>
      </c>
      <c r="H50" s="51"/>
      <c r="I50" s="17">
        <f t="shared" si="0"/>
        <v>700</v>
      </c>
      <c r="J50" s="18"/>
      <c r="K50" s="18"/>
    </row>
    <row r="51" spans="1:11" ht="30" customHeight="1">
      <c r="A51" s="4">
        <v>55302</v>
      </c>
      <c r="B51" s="5" t="s">
        <v>83</v>
      </c>
      <c r="C51" s="2"/>
      <c r="D51" s="3" t="s">
        <v>42</v>
      </c>
      <c r="E51" s="3" t="s">
        <v>29</v>
      </c>
      <c r="F51" s="3" t="s">
        <v>43</v>
      </c>
      <c r="G51" s="305">
        <f>'AGOST-18'!I51</f>
        <v>500</v>
      </c>
      <c r="H51" s="51"/>
      <c r="I51" s="17">
        <f t="shared" si="0"/>
        <v>500</v>
      </c>
      <c r="J51" s="18"/>
      <c r="K51" s="21"/>
    </row>
    <row r="52" spans="1:11">
      <c r="A52" s="4">
        <v>55601</v>
      </c>
      <c r="B52" s="2" t="s">
        <v>84</v>
      </c>
      <c r="C52" s="2" t="s">
        <v>85</v>
      </c>
      <c r="D52" s="3" t="s">
        <v>42</v>
      </c>
      <c r="E52" s="3" t="s">
        <v>29</v>
      </c>
      <c r="F52" s="3" t="s">
        <v>43</v>
      </c>
      <c r="G52" s="305">
        <f>'AGOST-18'!I52</f>
        <v>5000</v>
      </c>
      <c r="H52" s="51"/>
      <c r="I52" s="17">
        <f t="shared" si="0"/>
        <v>4000</v>
      </c>
      <c r="J52" s="18"/>
      <c r="K52" s="22">
        <v>1000</v>
      </c>
    </row>
    <row r="53" spans="1:11">
      <c r="A53" s="4">
        <v>55602</v>
      </c>
      <c r="B53" s="2" t="s">
        <v>86</v>
      </c>
      <c r="C53" s="2" t="s">
        <v>87</v>
      </c>
      <c r="D53" s="3" t="s">
        <v>42</v>
      </c>
      <c r="E53" s="3" t="s">
        <v>29</v>
      </c>
      <c r="F53" s="3" t="s">
        <v>43</v>
      </c>
      <c r="G53" s="305">
        <f>'AGOST-18'!I53</f>
        <v>8000</v>
      </c>
      <c r="H53" s="51"/>
      <c r="I53" s="17">
        <f t="shared" si="0"/>
        <v>8000</v>
      </c>
      <c r="J53" s="18"/>
      <c r="K53" s="22"/>
    </row>
    <row r="54" spans="1:11">
      <c r="A54" s="4">
        <v>55603</v>
      </c>
      <c r="B54" s="2" t="s">
        <v>6</v>
      </c>
      <c r="C54" s="2"/>
      <c r="D54" s="3" t="s">
        <v>42</v>
      </c>
      <c r="E54" s="3" t="s">
        <v>29</v>
      </c>
      <c r="F54" s="3" t="s">
        <v>43</v>
      </c>
      <c r="G54" s="305">
        <f>'AGOST-18'!I54</f>
        <v>423.43</v>
      </c>
      <c r="H54" s="375"/>
      <c r="I54" s="17">
        <f t="shared" si="0"/>
        <v>423.43</v>
      </c>
      <c r="J54" s="18"/>
      <c r="K54" s="21"/>
    </row>
    <row r="55" spans="1:11" ht="33" customHeight="1">
      <c r="A55" s="4">
        <v>55799</v>
      </c>
      <c r="B55" s="5" t="s">
        <v>169</v>
      </c>
      <c r="C55" s="5"/>
      <c r="D55" s="3" t="s">
        <v>42</v>
      </c>
      <c r="E55" s="3" t="s">
        <v>29</v>
      </c>
      <c r="F55" s="3" t="s">
        <v>43</v>
      </c>
      <c r="G55" s="305">
        <f>'AGOST-18'!I55</f>
        <v>394.71000000000004</v>
      </c>
      <c r="H55" s="51"/>
      <c r="I55" s="17">
        <f t="shared" si="0"/>
        <v>394.71000000000004</v>
      </c>
      <c r="J55" s="18"/>
      <c r="K55" s="21"/>
    </row>
    <row r="56" spans="1:11" ht="33" customHeight="1">
      <c r="A56" s="4" t="s">
        <v>170</v>
      </c>
      <c r="B56" s="5" t="s">
        <v>1028</v>
      </c>
      <c r="C56" s="5"/>
      <c r="D56" s="3" t="s">
        <v>42</v>
      </c>
      <c r="E56" s="3" t="s">
        <v>29</v>
      </c>
      <c r="F56" s="3" t="s">
        <v>43</v>
      </c>
      <c r="G56" s="305">
        <f>'AGOST-18'!I56</f>
        <v>700</v>
      </c>
      <c r="H56" s="51"/>
      <c r="I56" s="17">
        <f t="shared" si="0"/>
        <v>700</v>
      </c>
      <c r="J56" s="18"/>
      <c r="K56" s="21"/>
    </row>
    <row r="57" spans="1:11" ht="39">
      <c r="A57" s="4" t="s">
        <v>171</v>
      </c>
      <c r="B57" s="5" t="s">
        <v>1137</v>
      </c>
      <c r="C57" s="5"/>
      <c r="D57" s="3" t="s">
        <v>42</v>
      </c>
      <c r="E57" s="3" t="s">
        <v>29</v>
      </c>
      <c r="F57" s="3" t="s">
        <v>43</v>
      </c>
      <c r="G57" s="305">
        <f>'AGOST-18'!I57</f>
        <v>1248.0300000000002</v>
      </c>
      <c r="H57" s="51">
        <f>798.07</f>
        <v>798.07</v>
      </c>
      <c r="I57" s="17">
        <f t="shared" si="0"/>
        <v>449.96000000000015</v>
      </c>
      <c r="J57" s="18"/>
      <c r="K57" s="18"/>
    </row>
    <row r="58" spans="1:11" ht="27">
      <c r="A58" s="4" t="s">
        <v>161</v>
      </c>
      <c r="B58" s="5" t="s">
        <v>1027</v>
      </c>
      <c r="C58" s="5"/>
      <c r="D58" s="3" t="s">
        <v>42</v>
      </c>
      <c r="E58" s="3" t="s">
        <v>29</v>
      </c>
      <c r="F58" s="3" t="s">
        <v>43</v>
      </c>
      <c r="G58" s="305">
        <f>'AGOST-18'!I58</f>
        <v>0</v>
      </c>
      <c r="H58" s="51">
        <f>400</f>
        <v>400</v>
      </c>
      <c r="I58" s="17">
        <f t="shared" si="0"/>
        <v>400</v>
      </c>
      <c r="J58" s="18">
        <v>800</v>
      </c>
      <c r="K58" s="18"/>
    </row>
    <row r="59" spans="1:11" ht="21" customHeight="1">
      <c r="A59" s="4">
        <v>56303</v>
      </c>
      <c r="B59" s="2" t="s">
        <v>90</v>
      </c>
      <c r="C59" s="2"/>
      <c r="D59" s="3" t="s">
        <v>42</v>
      </c>
      <c r="E59" s="3" t="s">
        <v>29</v>
      </c>
      <c r="F59" s="3" t="s">
        <v>43</v>
      </c>
      <c r="G59" s="305">
        <f>'AGOST-18'!I59</f>
        <v>5877.7499999999982</v>
      </c>
      <c r="H59" s="51">
        <f>300+81.5+23.75+167+209+200</f>
        <v>981.25</v>
      </c>
      <c r="I59" s="17">
        <f t="shared" si="0"/>
        <v>4896.4999999999982</v>
      </c>
      <c r="J59" s="18"/>
      <c r="K59" s="18"/>
    </row>
    <row r="60" spans="1:11" ht="21.75" customHeight="1">
      <c r="A60" s="4">
        <v>56304</v>
      </c>
      <c r="B60" s="2" t="s">
        <v>91</v>
      </c>
      <c r="C60" s="2"/>
      <c r="D60" s="3" t="s">
        <v>42</v>
      </c>
      <c r="E60" s="3" t="s">
        <v>29</v>
      </c>
      <c r="F60" s="3" t="s">
        <v>43</v>
      </c>
      <c r="G60" s="305">
        <f>'AGOST-18'!I60</f>
        <v>6430.77</v>
      </c>
      <c r="H60" s="51">
        <f>55.2+153.96+112.16+15+120+180.8+500+100+220+25+25+25+25+25+25+25+25+25+25+25+25+25+50+340</f>
        <v>2172.12</v>
      </c>
      <c r="I60" s="17">
        <f>G60-H60+J60-K60</f>
        <v>4258.6500000000005</v>
      </c>
      <c r="J60" s="18"/>
      <c r="K60" s="18"/>
    </row>
    <row r="61" spans="1:11" ht="45.75" customHeight="1">
      <c r="A61" s="38" t="s">
        <v>8</v>
      </c>
      <c r="B61" s="39" t="s">
        <v>92</v>
      </c>
      <c r="C61" s="39"/>
      <c r="D61" s="39" t="s">
        <v>42</v>
      </c>
      <c r="E61" s="39" t="s">
        <v>29</v>
      </c>
      <c r="F61" s="39" t="s">
        <v>43</v>
      </c>
      <c r="G61" s="305">
        <f>SUM(G4:G60)</f>
        <v>129252.79000000002</v>
      </c>
      <c r="H61" s="95">
        <f>SUM(H4:H60)</f>
        <v>17787.650000000001</v>
      </c>
      <c r="I61" s="423">
        <f>G61-H61+J61-K61</f>
        <v>113265.14000000001</v>
      </c>
      <c r="J61" s="107">
        <f>SUM(J4:J60)</f>
        <v>8800</v>
      </c>
      <c r="K61" s="107">
        <f>SUM(K4:K60)</f>
        <v>7000</v>
      </c>
    </row>
    <row r="62" spans="1:11">
      <c r="A62" s="4">
        <v>51103</v>
      </c>
      <c r="B62" s="2" t="s">
        <v>173</v>
      </c>
      <c r="C62" s="2"/>
      <c r="D62" s="3" t="s">
        <v>94</v>
      </c>
      <c r="E62" s="3" t="s">
        <v>29</v>
      </c>
      <c r="F62" s="3" t="s">
        <v>43</v>
      </c>
      <c r="G62" s="305">
        <f>'AGOST-18'!I62</f>
        <v>100</v>
      </c>
      <c r="H62" s="51"/>
      <c r="I62" s="17">
        <f t="shared" si="0"/>
        <v>100</v>
      </c>
      <c r="J62" s="27"/>
      <c r="K62" s="28"/>
    </row>
    <row r="63" spans="1:11">
      <c r="A63" s="4">
        <v>51107</v>
      </c>
      <c r="B63" s="2" t="s">
        <v>93</v>
      </c>
      <c r="C63" s="2"/>
      <c r="D63" s="3" t="s">
        <v>94</v>
      </c>
      <c r="E63" s="3" t="s">
        <v>29</v>
      </c>
      <c r="F63" s="3" t="s">
        <v>43</v>
      </c>
      <c r="G63" s="305">
        <f>'AGOST-18'!I63</f>
        <v>118.66999999999996</v>
      </c>
      <c r="H63" s="51"/>
      <c r="I63" s="17">
        <f t="shared" si="0"/>
        <v>118.66999999999996</v>
      </c>
      <c r="J63" s="27"/>
      <c r="K63" s="28"/>
    </row>
    <row r="64" spans="1:11">
      <c r="A64" s="4">
        <v>51301</v>
      </c>
      <c r="B64" s="2" t="s">
        <v>45</v>
      </c>
      <c r="C64" s="2"/>
      <c r="D64" s="3" t="s">
        <v>94</v>
      </c>
      <c r="E64" s="3" t="s">
        <v>29</v>
      </c>
      <c r="F64" s="3" t="s">
        <v>43</v>
      </c>
      <c r="G64" s="305">
        <f>'AGOST-18'!I64</f>
        <v>2000</v>
      </c>
      <c r="H64" s="51"/>
      <c r="I64" s="17">
        <f t="shared" si="0"/>
        <v>1500</v>
      </c>
      <c r="J64" s="27"/>
      <c r="K64" s="29">
        <v>500</v>
      </c>
    </row>
    <row r="65" spans="1:11" ht="25.5">
      <c r="A65" s="4">
        <v>51401</v>
      </c>
      <c r="B65" s="7" t="s">
        <v>128</v>
      </c>
      <c r="C65" s="2"/>
      <c r="D65" s="3" t="s">
        <v>94</v>
      </c>
      <c r="E65" s="3" t="s">
        <v>29</v>
      </c>
      <c r="F65" s="3" t="s">
        <v>43</v>
      </c>
      <c r="G65" s="305">
        <f>'AGOST-18'!I65</f>
        <v>1599.1</v>
      </c>
      <c r="H65" s="51"/>
      <c r="I65" s="17">
        <f t="shared" si="0"/>
        <v>1599.1</v>
      </c>
      <c r="J65" s="27"/>
      <c r="K65" s="30"/>
    </row>
    <row r="66" spans="1:11" ht="36">
      <c r="A66" s="4">
        <v>51501</v>
      </c>
      <c r="B66" s="5" t="s">
        <v>141</v>
      </c>
      <c r="C66" s="2"/>
      <c r="D66" s="3" t="s">
        <v>94</v>
      </c>
      <c r="E66" s="3" t="s">
        <v>29</v>
      </c>
      <c r="F66" s="3" t="s">
        <v>43</v>
      </c>
      <c r="G66" s="305">
        <f>'AGOST-18'!I66</f>
        <v>1389.16</v>
      </c>
      <c r="H66" s="51"/>
      <c r="I66" s="17">
        <f t="shared" si="0"/>
        <v>1389.16</v>
      </c>
      <c r="J66" s="27"/>
      <c r="K66" s="21"/>
    </row>
    <row r="67" spans="1:11">
      <c r="A67" s="4">
        <v>54104</v>
      </c>
      <c r="B67" s="2" t="s">
        <v>10</v>
      </c>
      <c r="C67" s="2"/>
      <c r="D67" s="3" t="s">
        <v>94</v>
      </c>
      <c r="E67" s="3" t="s">
        <v>29</v>
      </c>
      <c r="F67" s="3" t="s">
        <v>43</v>
      </c>
      <c r="G67" s="305">
        <f>'AGOST-18'!I67</f>
        <v>1000</v>
      </c>
      <c r="H67" s="51"/>
      <c r="I67" s="17">
        <f t="shared" si="0"/>
        <v>1000</v>
      </c>
      <c r="J67" s="27"/>
      <c r="K67" s="22"/>
    </row>
    <row r="68" spans="1:11">
      <c r="A68" s="4">
        <v>54105</v>
      </c>
      <c r="B68" s="2" t="s">
        <v>49</v>
      </c>
      <c r="C68" s="2"/>
      <c r="D68" s="3" t="s">
        <v>94</v>
      </c>
      <c r="E68" s="3" t="s">
        <v>29</v>
      </c>
      <c r="F68" s="3" t="s">
        <v>43</v>
      </c>
      <c r="G68" s="305">
        <f>'AGOST-18'!I68</f>
        <v>1071.22</v>
      </c>
      <c r="H68" s="51">
        <f>28.84+293.1</f>
        <v>321.94</v>
      </c>
      <c r="I68" s="17">
        <f t="shared" si="0"/>
        <v>749.28</v>
      </c>
      <c r="J68" s="27"/>
      <c r="K68" s="18"/>
    </row>
    <row r="69" spans="1:11">
      <c r="A69" s="4">
        <v>54114</v>
      </c>
      <c r="B69" s="2" t="s">
        <v>56</v>
      </c>
      <c r="C69" s="2"/>
      <c r="D69" s="3" t="s">
        <v>94</v>
      </c>
      <c r="E69" s="3" t="s">
        <v>29</v>
      </c>
      <c r="F69" s="3" t="s">
        <v>43</v>
      </c>
      <c r="G69" s="305">
        <f>'AGOST-18'!I69</f>
        <v>2541.6099999999997</v>
      </c>
      <c r="H69" s="51">
        <f>66.5</f>
        <v>66.5</v>
      </c>
      <c r="I69" s="17">
        <f t="shared" si="0"/>
        <v>2475.1099999999997</v>
      </c>
      <c r="J69" s="27"/>
      <c r="K69" s="21"/>
    </row>
    <row r="70" spans="1:11">
      <c r="A70" s="4">
        <v>54115</v>
      </c>
      <c r="B70" s="2" t="s">
        <v>57</v>
      </c>
      <c r="C70" s="2"/>
      <c r="D70" s="3" t="s">
        <v>94</v>
      </c>
      <c r="E70" s="3" t="s">
        <v>29</v>
      </c>
      <c r="F70" s="3" t="s">
        <v>43</v>
      </c>
      <c r="G70" s="305">
        <f>'AGOST-18'!I70</f>
        <v>1274.82</v>
      </c>
      <c r="H70" s="51">
        <f>2+14+14</f>
        <v>30</v>
      </c>
      <c r="I70" s="17">
        <f t="shared" si="0"/>
        <v>1244.82</v>
      </c>
      <c r="J70" s="31"/>
      <c r="K70" s="21"/>
    </row>
    <row r="71" spans="1:11">
      <c r="A71" s="4">
        <v>54401</v>
      </c>
      <c r="B71" s="2" t="s">
        <v>75</v>
      </c>
      <c r="C71" s="2"/>
      <c r="D71" s="3" t="s">
        <v>94</v>
      </c>
      <c r="E71" s="3" t="s">
        <v>29</v>
      </c>
      <c r="F71" s="3" t="s">
        <v>43</v>
      </c>
      <c r="G71" s="305">
        <f>'AGOST-18'!I71</f>
        <v>200</v>
      </c>
      <c r="H71" s="51"/>
      <c r="I71" s="17">
        <f t="shared" si="0"/>
        <v>200</v>
      </c>
      <c r="J71" s="27"/>
      <c r="K71" s="21"/>
    </row>
    <row r="72" spans="1:11">
      <c r="A72" s="4">
        <v>54403</v>
      </c>
      <c r="B72" s="2" t="s">
        <v>76</v>
      </c>
      <c r="C72" s="2"/>
      <c r="D72" s="3" t="s">
        <v>94</v>
      </c>
      <c r="E72" s="3" t="s">
        <v>29</v>
      </c>
      <c r="F72" s="3" t="s">
        <v>43</v>
      </c>
      <c r="G72" s="305">
        <f>'AGOST-18'!I72</f>
        <v>300</v>
      </c>
      <c r="H72" s="51">
        <f>4+4+4</f>
        <v>12</v>
      </c>
      <c r="I72" s="17">
        <f>G72-H72+J72-K72</f>
        <v>288</v>
      </c>
      <c r="J72" s="27"/>
      <c r="K72" s="28"/>
    </row>
    <row r="73" spans="1:11" ht="21" customHeight="1">
      <c r="A73" s="4">
        <v>54507</v>
      </c>
      <c r="B73" s="5" t="s">
        <v>95</v>
      </c>
      <c r="C73" s="2"/>
      <c r="D73" s="3" t="s">
        <v>94</v>
      </c>
      <c r="E73" s="3" t="s">
        <v>29</v>
      </c>
      <c r="F73" s="3" t="s">
        <v>43</v>
      </c>
      <c r="G73" s="305">
        <f>'AGOST-18'!I73</f>
        <v>940</v>
      </c>
      <c r="H73" s="51">
        <f>30+30</f>
        <v>60</v>
      </c>
      <c r="I73" s="17">
        <f>G73-H73+J73-K73</f>
        <v>580</v>
      </c>
      <c r="J73" s="32"/>
      <c r="K73" s="28">
        <v>300</v>
      </c>
    </row>
    <row r="74" spans="1:11" ht="21">
      <c r="A74" s="38" t="s">
        <v>8</v>
      </c>
      <c r="B74" s="39" t="s">
        <v>96</v>
      </c>
      <c r="C74" s="39"/>
      <c r="D74" s="39" t="s">
        <v>94</v>
      </c>
      <c r="E74" s="39" t="s">
        <v>29</v>
      </c>
      <c r="F74" s="39" t="s">
        <v>43</v>
      </c>
      <c r="G74" s="305">
        <f>'AGOST-18'!I74</f>
        <v>12534.580000000005</v>
      </c>
      <c r="H74" s="95">
        <f>SUM(H62:H73)</f>
        <v>490.44</v>
      </c>
      <c r="I74" s="423">
        <f>G74-H74+J74-K74</f>
        <v>11244.140000000005</v>
      </c>
      <c r="J74" s="107">
        <f>SUM(J62:J73)</f>
        <v>0</v>
      </c>
      <c r="K74" s="107">
        <f>SUM(K62:K73)</f>
        <v>800</v>
      </c>
    </row>
    <row r="75" spans="1:11">
      <c r="A75" s="4">
        <v>51103</v>
      </c>
      <c r="B75" s="2" t="s">
        <v>174</v>
      </c>
      <c r="C75" s="2"/>
      <c r="D75" s="3" t="s">
        <v>97</v>
      </c>
      <c r="E75" s="3" t="s">
        <v>29</v>
      </c>
      <c r="F75" s="3" t="s">
        <v>43</v>
      </c>
      <c r="G75" s="305">
        <f>'AGOST-18'!I75</f>
        <v>100</v>
      </c>
      <c r="H75" s="51"/>
      <c r="I75" s="170">
        <f t="shared" ref="I75:I100" si="1">G75-H75+J75-K75</f>
        <v>100</v>
      </c>
      <c r="J75" s="28"/>
      <c r="K75" s="28"/>
    </row>
    <row r="76" spans="1:11">
      <c r="A76" s="4">
        <v>51107</v>
      </c>
      <c r="B76" s="2" t="s">
        <v>93</v>
      </c>
      <c r="C76" s="2"/>
      <c r="D76" s="3" t="s">
        <v>97</v>
      </c>
      <c r="E76" s="3" t="s">
        <v>29</v>
      </c>
      <c r="F76" s="3" t="s">
        <v>43</v>
      </c>
      <c r="G76" s="305">
        <f>'AGOST-18'!I76</f>
        <v>148.21000000000004</v>
      </c>
      <c r="H76" s="51"/>
      <c r="I76" s="418">
        <f t="shared" si="1"/>
        <v>148.21000000000004</v>
      </c>
      <c r="J76" s="28"/>
      <c r="K76" s="28"/>
    </row>
    <row r="77" spans="1:11">
      <c r="A77" s="4">
        <v>51201</v>
      </c>
      <c r="B77" s="2" t="s">
        <v>44</v>
      </c>
      <c r="C77" s="2"/>
      <c r="D77" s="3" t="s">
        <v>97</v>
      </c>
      <c r="E77" s="3" t="s">
        <v>29</v>
      </c>
      <c r="F77" s="3" t="s">
        <v>43</v>
      </c>
      <c r="G77" s="305">
        <f>'AGOST-18'!I77</f>
        <v>1010</v>
      </c>
      <c r="H77" s="51">
        <f>357.5+310</f>
        <v>667.5</v>
      </c>
      <c r="I77" s="170">
        <f t="shared" si="1"/>
        <v>342.5</v>
      </c>
      <c r="J77" s="30"/>
      <c r="K77" s="28"/>
    </row>
    <row r="78" spans="1:11">
      <c r="A78" s="4">
        <v>51301</v>
      </c>
      <c r="B78" s="7" t="s">
        <v>98</v>
      </c>
      <c r="C78" s="2"/>
      <c r="D78" s="3" t="s">
        <v>97</v>
      </c>
      <c r="E78" s="3" t="s">
        <v>29</v>
      </c>
      <c r="F78" s="3" t="s">
        <v>43</v>
      </c>
      <c r="G78" s="305">
        <f>'AGOST-18'!I78</f>
        <v>2000</v>
      </c>
      <c r="H78" s="51"/>
      <c r="I78" s="170">
        <f t="shared" si="1"/>
        <v>1500</v>
      </c>
      <c r="J78" s="30"/>
      <c r="K78" s="28">
        <v>500</v>
      </c>
    </row>
    <row r="79" spans="1:11" ht="48.75" customHeight="1">
      <c r="A79" s="4">
        <v>51401</v>
      </c>
      <c r="B79" s="7" t="s">
        <v>134</v>
      </c>
      <c r="C79" s="2"/>
      <c r="D79" s="3" t="s">
        <v>97</v>
      </c>
      <c r="E79" s="3" t="s">
        <v>29</v>
      </c>
      <c r="F79" s="3" t="s">
        <v>43</v>
      </c>
      <c r="G79" s="305">
        <f>'AGOST-18'!I79</f>
        <v>7778.74</v>
      </c>
      <c r="H79" s="51"/>
      <c r="I79" s="170">
        <f t="shared" si="1"/>
        <v>7778.74</v>
      </c>
      <c r="J79" s="29"/>
      <c r="K79" s="28"/>
    </row>
    <row r="80" spans="1:11" ht="36">
      <c r="A80" s="4">
        <v>51501</v>
      </c>
      <c r="B80" s="5" t="s">
        <v>127</v>
      </c>
      <c r="C80" s="2"/>
      <c r="D80" s="3" t="s">
        <v>97</v>
      </c>
      <c r="E80" s="3" t="s">
        <v>29</v>
      </c>
      <c r="F80" s="3" t="s">
        <v>43</v>
      </c>
      <c r="G80" s="305">
        <f>'AGOST-18'!I80</f>
        <v>6853.28</v>
      </c>
      <c r="H80" s="51"/>
      <c r="I80" s="170">
        <f t="shared" si="1"/>
        <v>6853.28</v>
      </c>
      <c r="J80" s="27"/>
      <c r="K80" s="28"/>
    </row>
    <row r="81" spans="1:11" ht="24" customHeight="1">
      <c r="A81" s="4">
        <v>54104</v>
      </c>
      <c r="B81" s="2" t="s">
        <v>10</v>
      </c>
      <c r="C81" s="2"/>
      <c r="D81" s="3" t="s">
        <v>97</v>
      </c>
      <c r="E81" s="3" t="s">
        <v>29</v>
      </c>
      <c r="F81" s="3" t="s">
        <v>43</v>
      </c>
      <c r="G81" s="305">
        <f>'AGOST-18'!I81</f>
        <v>1289.5</v>
      </c>
      <c r="H81" s="51"/>
      <c r="I81" s="170">
        <f t="shared" si="1"/>
        <v>1289.5</v>
      </c>
      <c r="J81" s="28"/>
      <c r="K81" s="28"/>
    </row>
    <row r="82" spans="1:11" ht="21.75" customHeight="1">
      <c r="A82" s="4">
        <v>54105</v>
      </c>
      <c r="B82" s="2" t="s">
        <v>49</v>
      </c>
      <c r="C82" s="2"/>
      <c r="D82" s="3" t="s">
        <v>97</v>
      </c>
      <c r="E82" s="3" t="s">
        <v>29</v>
      </c>
      <c r="F82" s="3" t="s">
        <v>43</v>
      </c>
      <c r="G82" s="305">
        <f>'AGOST-18'!I82</f>
        <v>491.65</v>
      </c>
      <c r="H82" s="51"/>
      <c r="I82" s="170">
        <f t="shared" si="1"/>
        <v>491.65</v>
      </c>
      <c r="J82" s="27"/>
      <c r="K82" s="28"/>
    </row>
    <row r="83" spans="1:11" ht="27" customHeight="1">
      <c r="A83" s="4">
        <v>54106</v>
      </c>
      <c r="B83" s="5" t="s">
        <v>99</v>
      </c>
      <c r="C83" s="5"/>
      <c r="D83" s="3" t="s">
        <v>97</v>
      </c>
      <c r="E83" s="3" t="s">
        <v>29</v>
      </c>
      <c r="F83" s="3" t="s">
        <v>43</v>
      </c>
      <c r="G83" s="305">
        <f>'AGOST-18'!I83</f>
        <v>444.31</v>
      </c>
      <c r="H83" s="51">
        <f>17+17+29.69</f>
        <v>63.69</v>
      </c>
      <c r="I83" s="170">
        <f t="shared" si="1"/>
        <v>380.62</v>
      </c>
      <c r="J83" s="27"/>
      <c r="K83" s="28"/>
    </row>
    <row r="84" spans="1:11" ht="24" customHeight="1">
      <c r="A84" s="4">
        <v>54109</v>
      </c>
      <c r="B84" s="2" t="s">
        <v>52</v>
      </c>
      <c r="C84" s="2"/>
      <c r="D84" s="3" t="s">
        <v>97</v>
      </c>
      <c r="E84" s="3" t="s">
        <v>29</v>
      </c>
      <c r="F84" s="3" t="s">
        <v>43</v>
      </c>
      <c r="G84" s="305">
        <f>'AGOST-18'!I84</f>
        <v>0</v>
      </c>
      <c r="H84" s="51"/>
      <c r="I84" s="170">
        <f t="shared" si="1"/>
        <v>0</v>
      </c>
      <c r="J84" s="33"/>
      <c r="K84" s="28"/>
    </row>
    <row r="85" spans="1:11" ht="28.5" customHeight="1">
      <c r="A85" s="4">
        <v>54110</v>
      </c>
      <c r="B85" s="2" t="s">
        <v>53</v>
      </c>
      <c r="C85" s="2"/>
      <c r="D85" s="3" t="s">
        <v>97</v>
      </c>
      <c r="E85" s="3" t="s">
        <v>29</v>
      </c>
      <c r="F85" s="3" t="s">
        <v>43</v>
      </c>
      <c r="G85" s="305">
        <f>'AGOST-18'!I85</f>
        <v>3529.7799999999997</v>
      </c>
      <c r="H85" s="51"/>
      <c r="I85" s="170">
        <f t="shared" si="1"/>
        <v>3529.7799999999997</v>
      </c>
      <c r="J85" s="33"/>
      <c r="K85" s="30"/>
    </row>
    <row r="86" spans="1:11" ht="30.75" customHeight="1">
      <c r="A86" s="4">
        <v>54111</v>
      </c>
      <c r="B86" s="5" t="s">
        <v>54</v>
      </c>
      <c r="C86" s="2"/>
      <c r="D86" s="3" t="s">
        <v>97</v>
      </c>
      <c r="E86" s="3" t="s">
        <v>29</v>
      </c>
      <c r="F86" s="3" t="s">
        <v>43</v>
      </c>
      <c r="G86" s="305">
        <f>'AGOST-18'!I86</f>
        <v>188</v>
      </c>
      <c r="H86" s="51"/>
      <c r="I86" s="170">
        <f t="shared" si="1"/>
        <v>188</v>
      </c>
      <c r="J86" s="33"/>
      <c r="K86" s="277"/>
    </row>
    <row r="87" spans="1:11" ht="39">
      <c r="A87" s="4">
        <v>54112</v>
      </c>
      <c r="B87" s="5" t="s">
        <v>55</v>
      </c>
      <c r="C87" s="2"/>
      <c r="D87" s="3" t="s">
        <v>97</v>
      </c>
      <c r="E87" s="3" t="s">
        <v>29</v>
      </c>
      <c r="F87" s="3" t="s">
        <v>43</v>
      </c>
      <c r="G87" s="305">
        <f>'AGOST-18'!I87</f>
        <v>176</v>
      </c>
      <c r="H87" s="51"/>
      <c r="I87" s="170">
        <f t="shared" si="1"/>
        <v>176</v>
      </c>
      <c r="J87" s="33"/>
      <c r="K87" s="28"/>
    </row>
    <row r="88" spans="1:11" ht="18" customHeight="1">
      <c r="A88" s="4">
        <v>54114</v>
      </c>
      <c r="B88" s="2" t="s">
        <v>56</v>
      </c>
      <c r="C88" s="2"/>
      <c r="D88" s="3" t="s">
        <v>97</v>
      </c>
      <c r="E88" s="3" t="s">
        <v>29</v>
      </c>
      <c r="F88" s="3" t="s">
        <v>43</v>
      </c>
      <c r="G88" s="305">
        <f>'AGOST-18'!I88</f>
        <v>400</v>
      </c>
      <c r="H88" s="51"/>
      <c r="I88" s="170">
        <f t="shared" si="1"/>
        <v>400</v>
      </c>
      <c r="J88" s="27"/>
      <c r="K88" s="28"/>
    </row>
    <row r="89" spans="1:11">
      <c r="A89" s="4">
        <v>54115</v>
      </c>
      <c r="B89" s="2" t="s">
        <v>57</v>
      </c>
      <c r="C89" s="2"/>
      <c r="D89" s="3" t="s">
        <v>97</v>
      </c>
      <c r="E89" s="3" t="s">
        <v>29</v>
      </c>
      <c r="F89" s="3" t="s">
        <v>43</v>
      </c>
      <c r="G89" s="305">
        <f>'AGOST-18'!I89</f>
        <v>470</v>
      </c>
      <c r="H89" s="51"/>
      <c r="I89" s="170">
        <f t="shared" si="1"/>
        <v>470</v>
      </c>
      <c r="J89" s="33"/>
      <c r="K89" s="28"/>
    </row>
    <row r="90" spans="1:11" ht="27" customHeight="1">
      <c r="A90" s="4">
        <v>54118</v>
      </c>
      <c r="B90" s="5" t="s">
        <v>100</v>
      </c>
      <c r="C90" s="2"/>
      <c r="D90" s="3" t="s">
        <v>97</v>
      </c>
      <c r="E90" s="3" t="s">
        <v>29</v>
      </c>
      <c r="F90" s="3" t="s">
        <v>43</v>
      </c>
      <c r="G90" s="305">
        <f>'AGOST-18'!I90</f>
        <v>537.16999999999996</v>
      </c>
      <c r="H90" s="51">
        <f>75</f>
        <v>75</v>
      </c>
      <c r="I90" s="170">
        <f t="shared" si="1"/>
        <v>462.16999999999996</v>
      </c>
      <c r="J90" s="30"/>
      <c r="K90" s="28"/>
    </row>
    <row r="91" spans="1:11">
      <c r="A91" s="4">
        <v>54119</v>
      </c>
      <c r="B91" s="2" t="s">
        <v>60</v>
      </c>
      <c r="C91" s="2"/>
      <c r="D91" s="3" t="s">
        <v>97</v>
      </c>
      <c r="E91" s="3" t="s">
        <v>29</v>
      </c>
      <c r="F91" s="3" t="s">
        <v>43</v>
      </c>
      <c r="G91" s="305">
        <f>'AGOST-18'!I91</f>
        <v>551.05000000000007</v>
      </c>
      <c r="H91" s="51"/>
      <c r="I91" s="170">
        <f t="shared" si="1"/>
        <v>551.05000000000007</v>
      </c>
      <c r="J91" s="30"/>
      <c r="K91" s="28"/>
    </row>
    <row r="92" spans="1:11">
      <c r="A92" s="4">
        <v>54199</v>
      </c>
      <c r="B92" s="2" t="s">
        <v>61</v>
      </c>
      <c r="C92" s="2"/>
      <c r="D92" s="3" t="s">
        <v>97</v>
      </c>
      <c r="E92" s="3" t="s">
        <v>29</v>
      </c>
      <c r="F92" s="3" t="s">
        <v>43</v>
      </c>
      <c r="G92" s="305">
        <f>'AGOST-18'!I92</f>
        <v>555.03000000000009</v>
      </c>
      <c r="H92" s="51"/>
      <c r="I92" s="170">
        <f t="shared" si="1"/>
        <v>555.03000000000009</v>
      </c>
      <c r="J92" s="33"/>
      <c r="K92" s="28"/>
    </row>
    <row r="93" spans="1:11">
      <c r="A93" s="4">
        <v>54301</v>
      </c>
      <c r="B93" s="2" t="s">
        <v>66</v>
      </c>
      <c r="C93" s="2"/>
      <c r="D93" s="3" t="s">
        <v>97</v>
      </c>
      <c r="E93" s="3" t="s">
        <v>29</v>
      </c>
      <c r="F93" s="3" t="s">
        <v>43</v>
      </c>
      <c r="G93" s="305">
        <f>'AGOST-18'!I93</f>
        <v>124.32999999999998</v>
      </c>
      <c r="H93" s="51"/>
      <c r="I93" s="170">
        <f t="shared" si="1"/>
        <v>124.32999999999998</v>
      </c>
      <c r="J93" s="29"/>
      <c r="K93" s="28"/>
    </row>
    <row r="94" spans="1:11">
      <c r="A94" s="4">
        <v>54302</v>
      </c>
      <c r="B94" s="2" t="s">
        <v>67</v>
      </c>
      <c r="C94" s="2"/>
      <c r="D94" s="3" t="s">
        <v>97</v>
      </c>
      <c r="E94" s="3" t="s">
        <v>29</v>
      </c>
      <c r="F94" s="3" t="s">
        <v>43</v>
      </c>
      <c r="G94" s="305">
        <f>'AGOST-18'!I94</f>
        <v>360</v>
      </c>
      <c r="H94" s="51"/>
      <c r="I94" s="170">
        <f t="shared" si="1"/>
        <v>360</v>
      </c>
      <c r="J94" s="27"/>
      <c r="K94" s="28"/>
    </row>
    <row r="95" spans="1:11" ht="24.75" customHeight="1">
      <c r="A95" s="4">
        <v>54314</v>
      </c>
      <c r="B95" s="5" t="s">
        <v>101</v>
      </c>
      <c r="C95" s="2"/>
      <c r="D95" s="3" t="s">
        <v>97</v>
      </c>
      <c r="E95" s="3" t="s">
        <v>29</v>
      </c>
      <c r="F95" s="3" t="s">
        <v>43</v>
      </c>
      <c r="G95" s="305">
        <f>'AGOST-18'!I95</f>
        <v>7775.3600000000006</v>
      </c>
      <c r="H95" s="51">
        <f>100+75+35+90+81.5+82+25+35</f>
        <v>523.5</v>
      </c>
      <c r="I95" s="170">
        <f t="shared" si="1"/>
        <v>7251.8600000000006</v>
      </c>
      <c r="J95" s="33"/>
      <c r="K95" s="315"/>
    </row>
    <row r="96" spans="1:11">
      <c r="A96" s="4">
        <v>54399</v>
      </c>
      <c r="B96" s="2" t="s">
        <v>74</v>
      </c>
      <c r="C96" s="2"/>
      <c r="D96" s="3" t="s">
        <v>97</v>
      </c>
      <c r="E96" s="3" t="s">
        <v>29</v>
      </c>
      <c r="F96" s="3" t="s">
        <v>43</v>
      </c>
      <c r="G96" s="305">
        <f>'AGOST-18'!I96</f>
        <v>563.32999999999993</v>
      </c>
      <c r="H96" s="51"/>
      <c r="I96" s="170">
        <f t="shared" si="1"/>
        <v>563.32999999999993</v>
      </c>
      <c r="J96" s="33"/>
      <c r="K96" s="33"/>
    </row>
    <row r="97" spans="1:11">
      <c r="A97" s="4">
        <v>54401</v>
      </c>
      <c r="B97" s="2" t="s">
        <v>75</v>
      </c>
      <c r="C97" s="2"/>
      <c r="D97" s="3" t="s">
        <v>97</v>
      </c>
      <c r="E97" s="3" t="s">
        <v>29</v>
      </c>
      <c r="F97" s="3" t="s">
        <v>43</v>
      </c>
      <c r="G97" s="305">
        <f>'AGOST-18'!I97</f>
        <v>400</v>
      </c>
      <c r="H97" s="51"/>
      <c r="I97" s="170">
        <f t="shared" si="1"/>
        <v>400</v>
      </c>
      <c r="J97" s="34"/>
      <c r="K97" s="28"/>
    </row>
    <row r="98" spans="1:11">
      <c r="A98" s="4">
        <v>54403</v>
      </c>
      <c r="B98" s="2" t="s">
        <v>102</v>
      </c>
      <c r="C98" s="2"/>
      <c r="D98" s="3" t="s">
        <v>97</v>
      </c>
      <c r="E98" s="3" t="s">
        <v>29</v>
      </c>
      <c r="F98" s="3" t="s">
        <v>43</v>
      </c>
      <c r="G98" s="305">
        <f>'AGOST-18'!I98</f>
        <v>632.98</v>
      </c>
      <c r="H98" s="51">
        <f>11.5</f>
        <v>11.5</v>
      </c>
      <c r="I98" s="170">
        <f t="shared" si="1"/>
        <v>321.48</v>
      </c>
      <c r="J98" s="34"/>
      <c r="K98" s="28">
        <v>300</v>
      </c>
    </row>
    <row r="99" spans="1:11" ht="21.75" customHeight="1">
      <c r="A99" s="4">
        <v>54507</v>
      </c>
      <c r="B99" s="5" t="s">
        <v>103</v>
      </c>
      <c r="C99" s="5"/>
      <c r="D99" s="3" t="s">
        <v>97</v>
      </c>
      <c r="E99" s="3" t="s">
        <v>29</v>
      </c>
      <c r="F99" s="3" t="s">
        <v>43</v>
      </c>
      <c r="G99" s="305">
        <f>'AGOST-18'!I99</f>
        <v>200</v>
      </c>
      <c r="H99" s="51"/>
      <c r="I99" s="170">
        <f t="shared" si="1"/>
        <v>0</v>
      </c>
      <c r="J99" s="35"/>
      <c r="K99" s="28">
        <v>200</v>
      </c>
    </row>
    <row r="100" spans="1:11">
      <c r="A100" s="4">
        <v>54699</v>
      </c>
      <c r="B100" s="5" t="s">
        <v>104</v>
      </c>
      <c r="C100" s="2"/>
      <c r="D100" s="3" t="s">
        <v>97</v>
      </c>
      <c r="E100" s="3" t="s">
        <v>29</v>
      </c>
      <c r="F100" s="3" t="s">
        <v>43</v>
      </c>
      <c r="G100" s="305">
        <f>'AGOST-18'!I100</f>
        <v>1</v>
      </c>
      <c r="H100" s="51"/>
      <c r="I100" s="170">
        <f t="shared" si="1"/>
        <v>1</v>
      </c>
      <c r="J100" s="27"/>
      <c r="K100" s="28"/>
    </row>
    <row r="101" spans="1:11" ht="21">
      <c r="A101" s="38" t="s">
        <v>8</v>
      </c>
      <c r="B101" s="39" t="s">
        <v>105</v>
      </c>
      <c r="C101" s="39"/>
      <c r="D101" s="39" t="s">
        <v>97</v>
      </c>
      <c r="E101" s="39" t="s">
        <v>29</v>
      </c>
      <c r="F101" s="39" t="s">
        <v>43</v>
      </c>
      <c r="G101" s="305">
        <f>SUM(G75:G100)</f>
        <v>36579.720000000008</v>
      </c>
      <c r="H101" s="95">
        <f>SUM(H75:H100)</f>
        <v>1341.19</v>
      </c>
      <c r="I101" s="40">
        <f>G101-H101+J101-K101</f>
        <v>34238.530000000006</v>
      </c>
      <c r="J101" s="107">
        <f>SUM(J75:J100)</f>
        <v>0</v>
      </c>
      <c r="K101" s="107">
        <f>SUM(K75:K100)</f>
        <v>1000</v>
      </c>
    </row>
    <row r="102" spans="1:11">
      <c r="A102" s="4">
        <v>51101</v>
      </c>
      <c r="B102" s="2" t="s">
        <v>175</v>
      </c>
      <c r="C102" s="2"/>
      <c r="D102" s="3" t="s">
        <v>42</v>
      </c>
      <c r="E102" s="3" t="s">
        <v>29</v>
      </c>
      <c r="F102" s="3" t="s">
        <v>106</v>
      </c>
      <c r="G102" s="305">
        <f>'AGOST-18'!I102</f>
        <v>30148.199999999979</v>
      </c>
      <c r="H102" s="51">
        <f>7537.05</f>
        <v>7537.05</v>
      </c>
      <c r="I102" s="17">
        <f t="shared" ref="I102:I149" si="2">G102-H102+J102-K102</f>
        <v>21111.14999999998</v>
      </c>
      <c r="J102" s="28"/>
      <c r="K102" s="30">
        <v>1500</v>
      </c>
    </row>
    <row r="103" spans="1:11">
      <c r="A103" s="4">
        <v>51103</v>
      </c>
      <c r="B103" s="2" t="s">
        <v>107</v>
      </c>
      <c r="C103" s="2"/>
      <c r="D103" s="3" t="s">
        <v>42</v>
      </c>
      <c r="E103" s="3" t="s">
        <v>29</v>
      </c>
      <c r="F103" s="3" t="s">
        <v>106</v>
      </c>
      <c r="G103" s="305">
        <f>'AGOST-18'!I103</f>
        <v>7687.05</v>
      </c>
      <c r="H103" s="51"/>
      <c r="I103" s="17">
        <f t="shared" si="2"/>
        <v>4687.05</v>
      </c>
      <c r="J103" s="30"/>
      <c r="K103" s="29">
        <v>3000</v>
      </c>
    </row>
    <row r="104" spans="1:11">
      <c r="A104" s="4">
        <v>51105</v>
      </c>
      <c r="B104" s="2" t="s">
        <v>176</v>
      </c>
      <c r="C104" s="2"/>
      <c r="D104" s="3" t="s">
        <v>42</v>
      </c>
      <c r="E104" s="3" t="s">
        <v>29</v>
      </c>
      <c r="F104" s="3" t="s">
        <v>106</v>
      </c>
      <c r="G104" s="305">
        <f>'AGOST-18'!I104</f>
        <v>4739.5799999999954</v>
      </c>
      <c r="H104" s="51">
        <f>7111.2</f>
        <v>7111.2</v>
      </c>
      <c r="I104" s="17">
        <f t="shared" si="2"/>
        <v>7628.3799999999956</v>
      </c>
      <c r="J104" s="30">
        <v>10000</v>
      </c>
      <c r="K104" s="29"/>
    </row>
    <row r="105" spans="1:11" ht="29.25">
      <c r="A105" s="4">
        <v>51107</v>
      </c>
      <c r="B105" s="7" t="s">
        <v>1168</v>
      </c>
      <c r="C105" s="2"/>
      <c r="D105" s="3" t="s">
        <v>42</v>
      </c>
      <c r="E105" s="3" t="s">
        <v>29</v>
      </c>
      <c r="F105" s="3" t="s">
        <v>106</v>
      </c>
      <c r="G105" s="305">
        <f>'AGOST-18'!I105</f>
        <v>900</v>
      </c>
      <c r="H105" s="51"/>
      <c r="I105" s="17">
        <f t="shared" si="2"/>
        <v>900</v>
      </c>
      <c r="J105" s="30"/>
      <c r="K105" s="29"/>
    </row>
    <row r="106" spans="1:11" ht="18.75" customHeight="1">
      <c r="A106" s="4">
        <v>51201</v>
      </c>
      <c r="B106" s="2" t="s">
        <v>1173</v>
      </c>
      <c r="C106" s="2"/>
      <c r="D106" s="3" t="s">
        <v>42</v>
      </c>
      <c r="E106" s="3" t="s">
        <v>29</v>
      </c>
      <c r="F106" s="3" t="s">
        <v>30</v>
      </c>
      <c r="G106" s="305">
        <f>'AGOST-18'!I106</f>
        <v>3979</v>
      </c>
      <c r="H106" s="51"/>
      <c r="I106" s="17">
        <f t="shared" si="2"/>
        <v>3979</v>
      </c>
      <c r="J106" s="30"/>
      <c r="K106" s="29"/>
    </row>
    <row r="107" spans="1:11">
      <c r="A107" s="4">
        <v>51301</v>
      </c>
      <c r="B107" s="2" t="s">
        <v>177</v>
      </c>
      <c r="C107" s="2"/>
      <c r="D107" s="3" t="s">
        <v>42</v>
      </c>
      <c r="E107" s="3" t="s">
        <v>29</v>
      </c>
      <c r="F107" s="3" t="s">
        <v>30</v>
      </c>
      <c r="G107" s="305">
        <f>'AGOST-18'!I107</f>
        <v>719.02</v>
      </c>
      <c r="H107" s="51"/>
      <c r="I107" s="17">
        <f t="shared" si="2"/>
        <v>719.02</v>
      </c>
      <c r="J107" s="30"/>
      <c r="K107" s="29"/>
    </row>
    <row r="108" spans="1:11" ht="33.75" customHeight="1">
      <c r="A108" s="4">
        <v>51401</v>
      </c>
      <c r="B108" s="5" t="s">
        <v>128</v>
      </c>
      <c r="C108" s="5"/>
      <c r="D108" s="3" t="s">
        <v>42</v>
      </c>
      <c r="E108" s="3" t="s">
        <v>29</v>
      </c>
      <c r="F108" s="3" t="s">
        <v>106</v>
      </c>
      <c r="G108" s="305">
        <f>'AGOST-18'!I108</f>
        <v>678.8399999999998</v>
      </c>
      <c r="H108" s="51">
        <f>386.14+227.81</f>
        <v>613.95000000000005</v>
      </c>
      <c r="I108" s="17">
        <f t="shared" si="2"/>
        <v>2064.89</v>
      </c>
      <c r="J108" s="33">
        <v>2000</v>
      </c>
      <c r="K108" s="29"/>
    </row>
    <row r="109" spans="1:11" ht="36">
      <c r="A109" s="4">
        <v>51501</v>
      </c>
      <c r="B109" s="5" t="s">
        <v>168</v>
      </c>
      <c r="C109" s="5"/>
      <c r="D109" s="3" t="s">
        <v>42</v>
      </c>
      <c r="E109" s="3" t="s">
        <v>29</v>
      </c>
      <c r="F109" s="3" t="s">
        <v>106</v>
      </c>
      <c r="G109" s="305">
        <f>'AGOST-18'!I109</f>
        <v>2699.2200000000003</v>
      </c>
      <c r="H109" s="51">
        <f>137.79+358.41+91.86+70.78</f>
        <v>658.84</v>
      </c>
      <c r="I109" s="17">
        <f t="shared" si="2"/>
        <v>3040.38</v>
      </c>
      <c r="J109" s="33">
        <v>1000</v>
      </c>
      <c r="K109" s="29"/>
    </row>
    <row r="110" spans="1:11" ht="34.5" customHeight="1">
      <c r="A110" s="4">
        <v>51601</v>
      </c>
      <c r="B110" s="311" t="s">
        <v>1087</v>
      </c>
      <c r="C110" s="312"/>
      <c r="D110" s="3" t="s">
        <v>42</v>
      </c>
      <c r="E110" s="3" t="s">
        <v>29</v>
      </c>
      <c r="F110" s="3" t="s">
        <v>106</v>
      </c>
      <c r="G110" s="305">
        <f>'AGOST-18'!I110</f>
        <v>0</v>
      </c>
      <c r="H110" s="51"/>
      <c r="I110" s="17">
        <f t="shared" si="2"/>
        <v>0</v>
      </c>
      <c r="J110" s="33"/>
      <c r="K110" s="29"/>
    </row>
    <row r="111" spans="1:11" ht="27.75" customHeight="1">
      <c r="A111" s="4">
        <v>51999</v>
      </c>
      <c r="B111" s="5" t="s">
        <v>178</v>
      </c>
      <c r="C111" s="5"/>
      <c r="D111" s="3" t="s">
        <v>42</v>
      </c>
      <c r="E111" s="3" t="s">
        <v>29</v>
      </c>
      <c r="F111" s="3" t="s">
        <v>30</v>
      </c>
      <c r="G111" s="305">
        <f>'AGOST-18'!I111</f>
        <v>777.37</v>
      </c>
      <c r="H111" s="51"/>
      <c r="I111" s="17">
        <f t="shared" si="2"/>
        <v>777.37</v>
      </c>
      <c r="J111" s="33"/>
      <c r="K111" s="29"/>
    </row>
    <row r="112" spans="1:11">
      <c r="A112" s="4">
        <v>54110</v>
      </c>
      <c r="B112" s="2" t="s">
        <v>108</v>
      </c>
      <c r="C112" s="2"/>
      <c r="D112" s="3" t="s">
        <v>42</v>
      </c>
      <c r="E112" s="3" t="s">
        <v>29</v>
      </c>
      <c r="F112" s="3" t="s">
        <v>30</v>
      </c>
      <c r="G112" s="305">
        <f>'AGOST-18'!I112</f>
        <v>300</v>
      </c>
      <c r="H112" s="51"/>
      <c r="I112" s="17">
        <f t="shared" si="2"/>
        <v>0</v>
      </c>
      <c r="J112" s="33"/>
      <c r="K112" s="29">
        <v>300</v>
      </c>
    </row>
    <row r="113" spans="1:11">
      <c r="A113" s="4">
        <v>54199</v>
      </c>
      <c r="B113" s="2" t="s">
        <v>61</v>
      </c>
      <c r="C113" s="2"/>
      <c r="D113" s="3" t="s">
        <v>42</v>
      </c>
      <c r="E113" s="3" t="s">
        <v>29</v>
      </c>
      <c r="F113" s="3" t="s">
        <v>106</v>
      </c>
      <c r="G113" s="305">
        <f>'AGOST-18'!I113</f>
        <v>1000</v>
      </c>
      <c r="H113" s="51"/>
      <c r="I113" s="17">
        <f t="shared" si="2"/>
        <v>0</v>
      </c>
      <c r="J113" s="35"/>
      <c r="K113" s="29">
        <v>1000</v>
      </c>
    </row>
    <row r="114" spans="1:11">
      <c r="A114" s="4">
        <v>54201</v>
      </c>
      <c r="B114" s="2" t="s">
        <v>62</v>
      </c>
      <c r="C114" s="2"/>
      <c r="D114" s="3" t="s">
        <v>42</v>
      </c>
      <c r="E114" s="3" t="s">
        <v>29</v>
      </c>
      <c r="F114" s="3" t="s">
        <v>106</v>
      </c>
      <c r="G114" s="305">
        <f>'AGOST-18'!I114</f>
        <v>2984.489999999998</v>
      </c>
      <c r="H114" s="51">
        <f>3385.06</f>
        <v>3385.06</v>
      </c>
      <c r="I114" s="17">
        <f t="shared" si="2"/>
        <v>4599.4299999999985</v>
      </c>
      <c r="J114" s="18">
        <v>5000</v>
      </c>
      <c r="K114" s="29"/>
    </row>
    <row r="115" spans="1:11">
      <c r="A115" s="4">
        <v>54202</v>
      </c>
      <c r="B115" s="2" t="s">
        <v>109</v>
      </c>
      <c r="C115" s="2"/>
      <c r="D115" s="3" t="s">
        <v>42</v>
      </c>
      <c r="E115" s="3" t="s">
        <v>29</v>
      </c>
      <c r="F115" s="3" t="s">
        <v>106</v>
      </c>
      <c r="G115" s="305">
        <f>'AGOST-18'!I115</f>
        <v>1564.76</v>
      </c>
      <c r="H115" s="51"/>
      <c r="I115" s="17">
        <f t="shared" si="2"/>
        <v>1564.76</v>
      </c>
      <c r="J115" s="18"/>
      <c r="K115" s="29"/>
    </row>
    <row r="116" spans="1:11">
      <c r="A116" s="4">
        <v>54203</v>
      </c>
      <c r="B116" s="2" t="s">
        <v>64</v>
      </c>
      <c r="C116" s="2"/>
      <c r="D116" s="3" t="s">
        <v>42</v>
      </c>
      <c r="E116" s="3" t="s">
        <v>29</v>
      </c>
      <c r="F116" s="3" t="s">
        <v>106</v>
      </c>
      <c r="G116" s="305">
        <f>'AGOST-18'!I116</f>
        <v>832.99</v>
      </c>
      <c r="H116" s="51">
        <f>922.57</f>
        <v>922.57</v>
      </c>
      <c r="I116" s="17">
        <f t="shared" si="2"/>
        <v>410.41999999999996</v>
      </c>
      <c r="J116" s="18">
        <f>500</f>
        <v>500</v>
      </c>
      <c r="K116" s="29"/>
    </row>
    <row r="117" spans="1:11">
      <c r="A117" s="4">
        <v>54302</v>
      </c>
      <c r="B117" s="5" t="s">
        <v>136</v>
      </c>
      <c r="C117" s="2"/>
      <c r="D117" s="3" t="s">
        <v>42</v>
      </c>
      <c r="E117" s="3" t="s">
        <v>29</v>
      </c>
      <c r="F117" s="3" t="s">
        <v>106</v>
      </c>
      <c r="G117" s="305">
        <f>'AGOST-18'!I117</f>
        <v>1</v>
      </c>
      <c r="H117" s="51"/>
      <c r="I117" s="17">
        <f t="shared" si="2"/>
        <v>1</v>
      </c>
      <c r="J117" s="35"/>
      <c r="K117" s="29"/>
    </row>
    <row r="118" spans="1:11" ht="30">
      <c r="A118" s="4">
        <v>54313</v>
      </c>
      <c r="B118" s="5" t="s">
        <v>1054</v>
      </c>
      <c r="C118" s="2"/>
      <c r="D118" s="3" t="s">
        <v>42</v>
      </c>
      <c r="E118" s="3" t="s">
        <v>29</v>
      </c>
      <c r="F118" s="3" t="s">
        <v>106</v>
      </c>
      <c r="G118" s="305">
        <f>'AGOST-18'!I118</f>
        <v>52</v>
      </c>
      <c r="H118" s="51"/>
      <c r="I118" s="17">
        <f t="shared" si="2"/>
        <v>0</v>
      </c>
      <c r="J118" s="35"/>
      <c r="K118" s="29">
        <v>52</v>
      </c>
    </row>
    <row r="119" spans="1:11" ht="21.75" customHeight="1">
      <c r="A119" s="4">
        <v>54503</v>
      </c>
      <c r="B119" s="314" t="s">
        <v>1088</v>
      </c>
      <c r="C119" s="313"/>
      <c r="D119" s="3" t="s">
        <v>42</v>
      </c>
      <c r="E119" s="3" t="s">
        <v>29</v>
      </c>
      <c r="F119" s="3" t="s">
        <v>106</v>
      </c>
      <c r="G119" s="305">
        <f>'AGOST-18'!I119</f>
        <v>0</v>
      </c>
      <c r="H119" s="51"/>
      <c r="I119" s="17">
        <f t="shared" si="2"/>
        <v>0</v>
      </c>
      <c r="J119" s="35"/>
      <c r="K119" s="29"/>
    </row>
    <row r="120" spans="1:11" ht="22.5" customHeight="1">
      <c r="A120" s="4">
        <v>55603</v>
      </c>
      <c r="B120" s="2" t="s">
        <v>6</v>
      </c>
      <c r="C120" s="2"/>
      <c r="D120" s="3" t="s">
        <v>42</v>
      </c>
      <c r="E120" s="3" t="s">
        <v>29</v>
      </c>
      <c r="F120" s="3" t="s">
        <v>106</v>
      </c>
      <c r="G120" s="305">
        <f>'AGOST-18'!I120</f>
        <v>482.88</v>
      </c>
      <c r="H120" s="51"/>
      <c r="I120" s="17">
        <f t="shared" si="2"/>
        <v>182.88</v>
      </c>
      <c r="J120" s="35"/>
      <c r="K120" s="29">
        <v>300</v>
      </c>
    </row>
    <row r="121" spans="1:11" ht="24.75" customHeight="1">
      <c r="A121" s="4">
        <v>55799</v>
      </c>
      <c r="B121" s="5" t="s">
        <v>137</v>
      </c>
      <c r="C121" s="2"/>
      <c r="D121" s="3" t="s">
        <v>42</v>
      </c>
      <c r="E121" s="3" t="s">
        <v>29</v>
      </c>
      <c r="F121" s="3" t="s">
        <v>106</v>
      </c>
      <c r="G121" s="305">
        <f>'AGOST-18'!I121</f>
        <v>256.13999999999993</v>
      </c>
      <c r="H121" s="428">
        <v>318.42</v>
      </c>
      <c r="I121" s="134">
        <f t="shared" si="2"/>
        <v>937.71999999999991</v>
      </c>
      <c r="J121" s="35">
        <v>1000</v>
      </c>
      <c r="K121" s="29"/>
    </row>
    <row r="122" spans="1:11" ht="16.5" customHeight="1">
      <c r="A122" s="4" t="s">
        <v>110</v>
      </c>
      <c r="B122" s="5" t="s">
        <v>111</v>
      </c>
      <c r="C122" s="2"/>
      <c r="D122" s="3" t="s">
        <v>42</v>
      </c>
      <c r="E122" s="3" t="s">
        <v>29</v>
      </c>
      <c r="F122" s="3" t="s">
        <v>106</v>
      </c>
      <c r="G122" s="305">
        <f>'AGOST-18'!I122</f>
        <v>3600</v>
      </c>
      <c r="H122" s="276">
        <v>600</v>
      </c>
      <c r="I122" s="17">
        <f t="shared" si="2"/>
        <v>3000</v>
      </c>
      <c r="J122" s="35"/>
      <c r="K122" s="35"/>
    </row>
    <row r="123" spans="1:11" ht="15.75" customHeight="1">
      <c r="A123" s="4" t="s">
        <v>112</v>
      </c>
      <c r="B123" s="5" t="s">
        <v>113</v>
      </c>
      <c r="C123" s="2"/>
      <c r="D123" s="3" t="s">
        <v>42</v>
      </c>
      <c r="E123" s="3" t="s">
        <v>29</v>
      </c>
      <c r="F123" s="3" t="s">
        <v>106</v>
      </c>
      <c r="G123" s="305">
        <f>'AGOST-18'!I123</f>
        <v>1000</v>
      </c>
      <c r="H123" s="51"/>
      <c r="I123" s="17">
        <f t="shared" si="2"/>
        <v>500</v>
      </c>
      <c r="J123" s="35"/>
      <c r="K123" s="35">
        <v>500</v>
      </c>
    </row>
    <row r="124" spans="1:11" ht="27">
      <c r="A124" s="4">
        <v>56301</v>
      </c>
      <c r="B124" s="5" t="s">
        <v>114</v>
      </c>
      <c r="C124" s="2"/>
      <c r="D124" s="3" t="s">
        <v>42</v>
      </c>
      <c r="E124" s="3" t="s">
        <v>29</v>
      </c>
      <c r="F124" s="3" t="s">
        <v>106</v>
      </c>
      <c r="G124" s="305">
        <f>'AGOST-18'!I124</f>
        <v>0</v>
      </c>
      <c r="H124" s="51"/>
      <c r="I124" s="17">
        <f t="shared" si="2"/>
        <v>0</v>
      </c>
      <c r="J124" s="35"/>
      <c r="K124" s="35"/>
    </row>
    <row r="125" spans="1:11" ht="39.75" customHeight="1">
      <c r="A125" s="4"/>
      <c r="B125" s="5" t="s">
        <v>179</v>
      </c>
      <c r="C125" s="2"/>
      <c r="D125" s="3" t="s">
        <v>42</v>
      </c>
      <c r="E125" s="3" t="s">
        <v>29</v>
      </c>
      <c r="F125" s="3" t="s">
        <v>30</v>
      </c>
      <c r="G125" s="305">
        <f>'AGOST-18'!I125</f>
        <v>0</v>
      </c>
      <c r="H125" s="51"/>
      <c r="I125" s="17">
        <f t="shared" si="2"/>
        <v>0</v>
      </c>
      <c r="J125" s="29"/>
      <c r="K125" s="30"/>
    </row>
    <row r="126" spans="1:11" ht="21">
      <c r="A126" s="38" t="s">
        <v>8</v>
      </c>
      <c r="B126" s="39" t="s">
        <v>115</v>
      </c>
      <c r="C126" s="39"/>
      <c r="D126" s="39" t="s">
        <v>42</v>
      </c>
      <c r="E126" s="39" t="s">
        <v>29</v>
      </c>
      <c r="F126" s="39" t="s">
        <v>30</v>
      </c>
      <c r="G126" s="305">
        <f>SUM(G102:G125)</f>
        <v>64402.539999999964</v>
      </c>
      <c r="H126" s="95">
        <f>SUM(H102:H125)</f>
        <v>21147.09</v>
      </c>
      <c r="I126" s="423">
        <f>G126-H126+J126-K126</f>
        <v>56103.449999999968</v>
      </c>
      <c r="J126" s="107">
        <f>SUM(J102:J125)</f>
        <v>19500</v>
      </c>
      <c r="K126" s="107">
        <f>SUM(K102:K125)</f>
        <v>6652</v>
      </c>
    </row>
    <row r="127" spans="1:11">
      <c r="A127" s="4">
        <v>51101</v>
      </c>
      <c r="B127" s="2" t="s">
        <v>180</v>
      </c>
      <c r="C127" s="2"/>
      <c r="D127" s="3" t="s">
        <v>94</v>
      </c>
      <c r="E127" s="3" t="s">
        <v>29</v>
      </c>
      <c r="F127" s="3" t="s">
        <v>106</v>
      </c>
      <c r="G127" s="305">
        <f>'AGOST-18'!I127</f>
        <v>31171.140000000014</v>
      </c>
      <c r="H127" s="51">
        <f>5063</f>
        <v>5063</v>
      </c>
      <c r="I127" s="17">
        <f t="shared" si="2"/>
        <v>21108.140000000014</v>
      </c>
      <c r="J127" s="30"/>
      <c r="K127" s="35">
        <v>5000</v>
      </c>
    </row>
    <row r="128" spans="1:11">
      <c r="A128" s="4">
        <v>51103</v>
      </c>
      <c r="B128" s="2" t="s">
        <v>181</v>
      </c>
      <c r="C128" s="2"/>
      <c r="D128" s="3" t="s">
        <v>94</v>
      </c>
      <c r="E128" s="3" t="s">
        <v>29</v>
      </c>
      <c r="F128" s="3" t="s">
        <v>106</v>
      </c>
      <c r="G128" s="305">
        <f>'AGOST-18'!I128</f>
        <v>5128.9799999999996</v>
      </c>
      <c r="H128" s="51"/>
      <c r="I128" s="17">
        <f t="shared" si="2"/>
        <v>5128.9799999999996</v>
      </c>
      <c r="J128" s="30"/>
      <c r="K128" s="29"/>
    </row>
    <row r="129" spans="1:11" ht="30">
      <c r="A129" s="4">
        <v>51107</v>
      </c>
      <c r="B129" s="382" t="s">
        <v>1172</v>
      </c>
      <c r="C129" s="2"/>
      <c r="D129" s="3" t="s">
        <v>94</v>
      </c>
      <c r="E129" s="3" t="s">
        <v>29</v>
      </c>
      <c r="F129" s="3" t="s">
        <v>106</v>
      </c>
      <c r="G129" s="305">
        <f>'AGOST-18'!I129</f>
        <v>450</v>
      </c>
      <c r="H129" s="51"/>
      <c r="I129" s="17">
        <f t="shared" si="2"/>
        <v>450</v>
      </c>
      <c r="J129" s="30"/>
      <c r="K129" s="29"/>
    </row>
    <row r="130" spans="1:11">
      <c r="A130" s="4">
        <v>51201</v>
      </c>
      <c r="B130" s="2" t="s">
        <v>44</v>
      </c>
      <c r="C130" s="2"/>
      <c r="D130" s="3" t="s">
        <v>94</v>
      </c>
      <c r="E130" s="3" t="s">
        <v>29</v>
      </c>
      <c r="F130" s="3" t="s">
        <v>30</v>
      </c>
      <c r="G130" s="305">
        <f>'AGOST-18'!I130</f>
        <v>704.02</v>
      </c>
      <c r="H130" s="51">
        <f>343.98+400</f>
        <v>743.98</v>
      </c>
      <c r="I130" s="17">
        <f t="shared" si="2"/>
        <v>2460.04</v>
      </c>
      <c r="J130" s="30">
        <v>2500</v>
      </c>
      <c r="K130" s="29"/>
    </row>
    <row r="131" spans="1:11">
      <c r="A131" s="4">
        <v>51301</v>
      </c>
      <c r="B131" s="2" t="s">
        <v>45</v>
      </c>
      <c r="C131" s="2"/>
      <c r="D131" s="3" t="s">
        <v>94</v>
      </c>
      <c r="E131" s="3" t="s">
        <v>29</v>
      </c>
      <c r="F131" s="3" t="s">
        <v>30</v>
      </c>
      <c r="G131" s="305">
        <f>'AGOST-18'!I131</f>
        <v>1031.4300000000003</v>
      </c>
      <c r="H131" s="51"/>
      <c r="I131" s="17">
        <f t="shared" si="2"/>
        <v>1031.4300000000003</v>
      </c>
      <c r="J131" s="30"/>
      <c r="K131" s="29"/>
    </row>
    <row r="132" spans="1:11">
      <c r="A132" s="4">
        <v>51999</v>
      </c>
      <c r="B132" s="2" t="s">
        <v>47</v>
      </c>
      <c r="C132" s="2"/>
      <c r="D132" s="3" t="s">
        <v>94</v>
      </c>
      <c r="E132" s="3" t="s">
        <v>29</v>
      </c>
      <c r="F132" s="3" t="s">
        <v>30</v>
      </c>
      <c r="G132" s="305">
        <f>'AGOST-18'!I132</f>
        <v>450</v>
      </c>
      <c r="H132" s="51"/>
      <c r="I132" s="17">
        <f t="shared" si="2"/>
        <v>450</v>
      </c>
      <c r="J132" s="30"/>
      <c r="K132" s="29"/>
    </row>
    <row r="133" spans="1:11" ht="25.5">
      <c r="A133" s="4">
        <v>51401</v>
      </c>
      <c r="B133" s="5" t="s">
        <v>138</v>
      </c>
      <c r="C133" s="2"/>
      <c r="D133" s="3" t="s">
        <v>94</v>
      </c>
      <c r="E133" s="3" t="s">
        <v>29</v>
      </c>
      <c r="F133" s="3" t="s">
        <v>106</v>
      </c>
      <c r="G133" s="305">
        <f>'AGOST-18'!I133</f>
        <v>851.69999999999948</v>
      </c>
      <c r="H133" s="51">
        <f>397.16</f>
        <v>397.16</v>
      </c>
      <c r="I133" s="17">
        <f t="shared" si="2"/>
        <v>1454.5399999999995</v>
      </c>
      <c r="J133" s="35">
        <v>1000</v>
      </c>
      <c r="K133" s="34"/>
    </row>
    <row r="134" spans="1:11" ht="33" customHeight="1">
      <c r="A134" s="4">
        <v>51501</v>
      </c>
      <c r="B134" s="5" t="s">
        <v>182</v>
      </c>
      <c r="C134" s="2"/>
      <c r="D134" s="3" t="s">
        <v>94</v>
      </c>
      <c r="E134" s="3" t="s">
        <v>29</v>
      </c>
      <c r="F134" s="3" t="s">
        <v>30</v>
      </c>
      <c r="G134" s="305">
        <f>'AGOST-18'!I134</f>
        <v>1332.56</v>
      </c>
      <c r="H134" s="51">
        <f>126.66+312.3</f>
        <v>438.96000000000004</v>
      </c>
      <c r="I134" s="17">
        <f t="shared" si="2"/>
        <v>1893.6</v>
      </c>
      <c r="J134" s="35">
        <v>1000</v>
      </c>
      <c r="K134" s="27"/>
    </row>
    <row r="135" spans="1:11">
      <c r="A135" s="4">
        <v>54105</v>
      </c>
      <c r="B135" s="2" t="s">
        <v>116</v>
      </c>
      <c r="C135" s="2"/>
      <c r="D135" s="3" t="s">
        <v>94</v>
      </c>
      <c r="E135" s="3" t="s">
        <v>29</v>
      </c>
      <c r="F135" s="3" t="s">
        <v>30</v>
      </c>
      <c r="G135" s="305">
        <f>'AGOST-18'!I135</f>
        <v>4000</v>
      </c>
      <c r="H135" s="51"/>
      <c r="I135" s="17">
        <f t="shared" si="2"/>
        <v>3000</v>
      </c>
      <c r="J135" s="30"/>
      <c r="K135" s="29">
        <v>1000</v>
      </c>
    </row>
    <row r="136" spans="1:11">
      <c r="A136" s="4">
        <v>54114</v>
      </c>
      <c r="B136" s="2" t="s">
        <v>56</v>
      </c>
      <c r="C136" s="2"/>
      <c r="D136" s="3" t="s">
        <v>94</v>
      </c>
      <c r="E136" s="3" t="s">
        <v>29</v>
      </c>
      <c r="F136" s="3" t="s">
        <v>30</v>
      </c>
      <c r="G136" s="305">
        <f>'AGOST-18'!I136</f>
        <v>3504.2</v>
      </c>
      <c r="H136" s="51"/>
      <c r="I136" s="17">
        <f t="shared" si="2"/>
        <v>3504.2</v>
      </c>
      <c r="J136" s="35"/>
      <c r="K136" s="35"/>
    </row>
    <row r="137" spans="1:11">
      <c r="A137" s="4">
        <v>54115</v>
      </c>
      <c r="B137" s="2" t="s">
        <v>57</v>
      </c>
      <c r="C137" s="2"/>
      <c r="D137" s="3" t="s">
        <v>94</v>
      </c>
      <c r="E137" s="3" t="s">
        <v>29</v>
      </c>
      <c r="F137" s="3" t="s">
        <v>30</v>
      </c>
      <c r="G137" s="305">
        <f>'AGOST-18'!I137</f>
        <v>4360</v>
      </c>
      <c r="H137" s="51"/>
      <c r="I137" s="17">
        <f t="shared" si="2"/>
        <v>3360</v>
      </c>
      <c r="J137" s="29"/>
      <c r="K137" s="28">
        <v>1000</v>
      </c>
    </row>
    <row r="138" spans="1:11" ht="21">
      <c r="A138" s="38" t="s">
        <v>8</v>
      </c>
      <c r="B138" s="39" t="s">
        <v>117</v>
      </c>
      <c r="C138" s="39"/>
      <c r="D138" s="39" t="s">
        <v>94</v>
      </c>
      <c r="E138" s="39" t="s">
        <v>29</v>
      </c>
      <c r="F138" s="39" t="s">
        <v>30</v>
      </c>
      <c r="G138" s="305">
        <f>SUM(G127:G137)</f>
        <v>52984.03</v>
      </c>
      <c r="H138" s="95">
        <f>SUM(H127:H137)</f>
        <v>6643.0999999999995</v>
      </c>
      <c r="I138" s="423">
        <f>G138-H138+J138-K138</f>
        <v>43840.93</v>
      </c>
      <c r="J138" s="107">
        <f>SUM(J127:J137)</f>
        <v>4500</v>
      </c>
      <c r="K138" s="107">
        <f>SUM(K127:K137)</f>
        <v>7000</v>
      </c>
    </row>
    <row r="139" spans="1:11">
      <c r="A139" s="4">
        <v>51101</v>
      </c>
      <c r="B139" s="2" t="s">
        <v>183</v>
      </c>
      <c r="C139" s="2"/>
      <c r="D139" s="3" t="s">
        <v>97</v>
      </c>
      <c r="E139" s="3" t="s">
        <v>29</v>
      </c>
      <c r="F139" s="3" t="s">
        <v>106</v>
      </c>
      <c r="G139" s="305">
        <f>'AGOST-18'!I139</f>
        <v>81612.300000000032</v>
      </c>
      <c r="H139" s="51">
        <f>14923.21+1110</f>
        <v>16033.21</v>
      </c>
      <c r="I139" s="17">
        <f t="shared" si="2"/>
        <v>56731.090000000026</v>
      </c>
      <c r="J139" s="30"/>
      <c r="K139" s="35">
        <f>8348+500</f>
        <v>8848</v>
      </c>
    </row>
    <row r="140" spans="1:11">
      <c r="A140" s="4">
        <v>51103</v>
      </c>
      <c r="B140" s="2" t="s">
        <v>181</v>
      </c>
      <c r="C140" s="2"/>
      <c r="D140" s="3" t="s">
        <v>97</v>
      </c>
      <c r="E140" s="3" t="s">
        <v>29</v>
      </c>
      <c r="F140" s="3" t="s">
        <v>106</v>
      </c>
      <c r="G140" s="305">
        <f>'AGOST-18'!I140</f>
        <v>19385.310000000001</v>
      </c>
      <c r="H140" s="51"/>
      <c r="I140" s="248">
        <f>G140-H140+J140-K140</f>
        <v>11385.310000000001</v>
      </c>
      <c r="J140" s="30"/>
      <c r="K140" s="30">
        <v>8000</v>
      </c>
    </row>
    <row r="141" spans="1:11">
      <c r="A141" s="4">
        <v>51107</v>
      </c>
      <c r="B141" s="2" t="s">
        <v>1169</v>
      </c>
      <c r="C141" s="2"/>
      <c r="D141" s="3" t="s">
        <v>97</v>
      </c>
      <c r="E141" s="3" t="s">
        <v>29</v>
      </c>
      <c r="F141" s="3" t="s">
        <v>30</v>
      </c>
      <c r="G141" s="305">
        <f>'AGOST-18'!I141</f>
        <v>1765.5</v>
      </c>
      <c r="H141" s="51">
        <f>40</f>
        <v>40</v>
      </c>
      <c r="I141" s="17">
        <f t="shared" si="2"/>
        <v>1725.5</v>
      </c>
      <c r="J141" s="30"/>
      <c r="K141" s="395"/>
    </row>
    <row r="142" spans="1:11">
      <c r="A142" s="4">
        <v>51201</v>
      </c>
      <c r="B142" s="2" t="s">
        <v>119</v>
      </c>
      <c r="C142" s="2"/>
      <c r="D142" s="3" t="s">
        <v>97</v>
      </c>
      <c r="E142" s="3" t="s">
        <v>29</v>
      </c>
      <c r="F142" s="3" t="s">
        <v>30</v>
      </c>
      <c r="G142" s="305">
        <f>'AGOST-18'!I142</f>
        <v>854.17000000000007</v>
      </c>
      <c r="H142" s="51">
        <f>330+330+330+165</f>
        <v>1155</v>
      </c>
      <c r="I142" s="17">
        <f t="shared" si="2"/>
        <v>1699.17</v>
      </c>
      <c r="J142" s="30">
        <v>2000</v>
      </c>
      <c r="K142" s="277"/>
    </row>
    <row r="143" spans="1:11">
      <c r="A143" s="4">
        <v>51301</v>
      </c>
      <c r="B143" s="2" t="s">
        <v>45</v>
      </c>
      <c r="C143" s="2"/>
      <c r="D143" s="3" t="s">
        <v>97</v>
      </c>
      <c r="E143" s="3" t="s">
        <v>29</v>
      </c>
      <c r="F143" s="3" t="s">
        <v>106</v>
      </c>
      <c r="G143" s="305">
        <f>'AGOST-18'!I143</f>
        <v>595.92999999999893</v>
      </c>
      <c r="H143" s="51"/>
      <c r="I143" s="17">
        <f t="shared" si="2"/>
        <v>595.92999999999893</v>
      </c>
      <c r="J143" s="20"/>
      <c r="K143" s="35"/>
    </row>
    <row r="144" spans="1:11" ht="34.5" customHeight="1">
      <c r="A144" s="4">
        <v>51401</v>
      </c>
      <c r="B144" s="5" t="s">
        <v>139</v>
      </c>
      <c r="C144" s="2"/>
      <c r="D144" s="3" t="s">
        <v>97</v>
      </c>
      <c r="E144" s="3" t="s">
        <v>29</v>
      </c>
      <c r="F144" s="3" t="s">
        <v>106</v>
      </c>
      <c r="G144" s="305">
        <f>'AGOST-18'!I144</f>
        <v>2938.1400000000012</v>
      </c>
      <c r="H144" s="51">
        <f>93.93+1377.14</f>
        <v>1471.0700000000002</v>
      </c>
      <c r="I144" s="17">
        <f t="shared" si="2"/>
        <v>3467.0700000000011</v>
      </c>
      <c r="J144" s="35">
        <v>2000</v>
      </c>
      <c r="K144" s="35"/>
    </row>
    <row r="145" spans="1:11" ht="45" customHeight="1">
      <c r="A145" s="4">
        <v>51501</v>
      </c>
      <c r="B145" s="5" t="s">
        <v>185</v>
      </c>
      <c r="C145" s="2"/>
      <c r="D145" s="3" t="s">
        <v>97</v>
      </c>
      <c r="E145" s="3" t="s">
        <v>29</v>
      </c>
      <c r="F145" s="3" t="s">
        <v>106</v>
      </c>
      <c r="G145" s="305">
        <f>'AGOST-18'!I145</f>
        <v>4587.99</v>
      </c>
      <c r="H145" s="51">
        <f>858.31+498.15</f>
        <v>1356.46</v>
      </c>
      <c r="I145" s="17">
        <f t="shared" si="2"/>
        <v>5731.53</v>
      </c>
      <c r="J145" s="35">
        <v>2500</v>
      </c>
      <c r="K145" s="35"/>
    </row>
    <row r="146" spans="1:11" ht="20.25" customHeight="1">
      <c r="A146" s="4">
        <v>54110</v>
      </c>
      <c r="B146" s="5" t="s">
        <v>108</v>
      </c>
      <c r="C146" s="2"/>
      <c r="D146" s="3" t="s">
        <v>97</v>
      </c>
      <c r="E146" s="3" t="s">
        <v>29</v>
      </c>
      <c r="F146" s="3" t="s">
        <v>106</v>
      </c>
      <c r="G146" s="305">
        <f>'AGOST-18'!I146</f>
        <v>1</v>
      </c>
      <c r="H146" s="51"/>
      <c r="I146" s="17">
        <f t="shared" si="2"/>
        <v>1</v>
      </c>
      <c r="J146" s="35"/>
      <c r="K146" s="35"/>
    </row>
    <row r="147" spans="1:11">
      <c r="A147" s="4">
        <v>54121</v>
      </c>
      <c r="B147" s="2" t="s">
        <v>120</v>
      </c>
      <c r="C147" s="2"/>
      <c r="D147" s="3" t="s">
        <v>97</v>
      </c>
      <c r="E147" s="3" t="s">
        <v>29</v>
      </c>
      <c r="F147" s="3" t="s">
        <v>106</v>
      </c>
      <c r="G147" s="305">
        <f>'AGOST-18'!I147</f>
        <v>657</v>
      </c>
      <c r="H147" s="51"/>
      <c r="I147" s="17">
        <f t="shared" si="2"/>
        <v>657</v>
      </c>
      <c r="J147" s="35"/>
      <c r="K147" s="29"/>
    </row>
    <row r="148" spans="1:11">
      <c r="A148" s="4">
        <v>54301</v>
      </c>
      <c r="B148" s="2" t="s">
        <v>140</v>
      </c>
      <c r="C148" s="2"/>
      <c r="D148" s="3" t="s">
        <v>97</v>
      </c>
      <c r="E148" s="3" t="s">
        <v>29</v>
      </c>
      <c r="F148" s="3" t="s">
        <v>106</v>
      </c>
      <c r="G148" s="305">
        <f>'AGOST-18'!I148</f>
        <v>1</v>
      </c>
      <c r="H148" s="51"/>
      <c r="I148" s="17">
        <f t="shared" si="2"/>
        <v>1</v>
      </c>
      <c r="J148" s="35"/>
      <c r="K148" s="29"/>
    </row>
    <row r="149" spans="1:11">
      <c r="A149" s="4">
        <v>54302</v>
      </c>
      <c r="B149" s="2" t="s">
        <v>121</v>
      </c>
      <c r="C149" s="2"/>
      <c r="D149" s="3" t="s">
        <v>122</v>
      </c>
      <c r="E149" s="3" t="s">
        <v>29</v>
      </c>
      <c r="F149" s="3" t="s">
        <v>30</v>
      </c>
      <c r="G149" s="305">
        <f>'AGOST-18'!I149</f>
        <v>1</v>
      </c>
      <c r="H149" s="51"/>
      <c r="I149" s="17">
        <f t="shared" si="2"/>
        <v>1</v>
      </c>
      <c r="J149" s="35"/>
      <c r="K149" s="29"/>
    </row>
    <row r="150" spans="1:11" ht="45">
      <c r="A150" s="4">
        <v>54501</v>
      </c>
      <c r="B150" s="7" t="s">
        <v>1055</v>
      </c>
      <c r="C150" s="2"/>
      <c r="D150" s="3" t="s">
        <v>122</v>
      </c>
      <c r="E150" s="3" t="s">
        <v>29</v>
      </c>
      <c r="F150" s="3" t="s">
        <v>30</v>
      </c>
      <c r="G150" s="305">
        <f>'AGOST-18'!I150</f>
        <v>25</v>
      </c>
      <c r="H150" s="51"/>
      <c r="I150" s="17">
        <f>G150-H150+J150-K150</f>
        <v>25</v>
      </c>
      <c r="J150" s="22"/>
      <c r="K150" s="29"/>
    </row>
    <row r="151" spans="1:11" ht="21">
      <c r="A151" s="38" t="s">
        <v>8</v>
      </c>
      <c r="B151" s="39" t="s">
        <v>123</v>
      </c>
      <c r="C151" s="39"/>
      <c r="D151" s="39" t="s">
        <v>97</v>
      </c>
      <c r="E151" s="39" t="s">
        <v>29</v>
      </c>
      <c r="F151" s="39" t="s">
        <v>30</v>
      </c>
      <c r="G151" s="305">
        <f>SUM(G139:G150)</f>
        <v>112424.34000000003</v>
      </c>
      <c r="H151" s="95">
        <f>SUM(H139:H150)</f>
        <v>20055.739999999998</v>
      </c>
      <c r="I151" s="423">
        <f>G151-H151+J151-K151</f>
        <v>82020.600000000035</v>
      </c>
      <c r="J151" s="107">
        <f>SUM(J141:J150)</f>
        <v>6500</v>
      </c>
      <c r="K151" s="107">
        <f>SUM(K139:K150)</f>
        <v>16848</v>
      </c>
    </row>
    <row r="152" spans="1:11">
      <c r="A152" s="1">
        <v>54305</v>
      </c>
      <c r="B152" s="2" t="s">
        <v>0</v>
      </c>
      <c r="C152" s="2"/>
      <c r="D152" s="3" t="s">
        <v>1</v>
      </c>
      <c r="E152" s="3" t="s">
        <v>25</v>
      </c>
      <c r="F152" s="3" t="s">
        <v>26</v>
      </c>
      <c r="G152" s="305">
        <f>'AGOST-18'!I152</f>
        <v>1500</v>
      </c>
      <c r="H152" s="51"/>
      <c r="I152" s="17">
        <f t="shared" ref="I152:I282" si="3">G152-H152+J152-K152</f>
        <v>1500</v>
      </c>
      <c r="J152" s="37"/>
      <c r="K152" s="36"/>
    </row>
    <row r="153" spans="1:11" ht="30.75" customHeight="1">
      <c r="A153" s="4">
        <v>54313</v>
      </c>
      <c r="B153" s="5" t="s">
        <v>2</v>
      </c>
      <c r="C153" s="5"/>
      <c r="D153" s="3" t="s">
        <v>1</v>
      </c>
      <c r="E153" s="3" t="s">
        <v>25</v>
      </c>
      <c r="F153" s="3" t="s">
        <v>26</v>
      </c>
      <c r="G153" s="305">
        <f>'AGOST-18'!I153</f>
        <v>1246.32</v>
      </c>
      <c r="H153" s="51"/>
      <c r="I153" s="17">
        <f t="shared" si="3"/>
        <v>1246.32</v>
      </c>
      <c r="J153" s="37"/>
      <c r="K153" s="36"/>
    </row>
    <row r="154" spans="1:11">
      <c r="A154" s="4">
        <v>54503</v>
      </c>
      <c r="B154" s="5" t="s">
        <v>3</v>
      </c>
      <c r="C154" s="2"/>
      <c r="D154" s="3" t="s">
        <v>1</v>
      </c>
      <c r="E154" s="3" t="s">
        <v>25</v>
      </c>
      <c r="F154" s="3" t="s">
        <v>26</v>
      </c>
      <c r="G154" s="305">
        <f>'AGOST-18'!I154</f>
        <v>2000</v>
      </c>
      <c r="H154" s="51"/>
      <c r="I154" s="17">
        <f t="shared" si="3"/>
        <v>2000</v>
      </c>
      <c r="J154" s="37"/>
      <c r="K154" s="36"/>
    </row>
    <row r="155" spans="1:11">
      <c r="A155" s="4">
        <v>54505</v>
      </c>
      <c r="B155" s="2" t="s">
        <v>4</v>
      </c>
      <c r="C155" s="2"/>
      <c r="D155" s="3" t="s">
        <v>1</v>
      </c>
      <c r="E155" s="3" t="s">
        <v>25</v>
      </c>
      <c r="F155" s="3" t="s">
        <v>27</v>
      </c>
      <c r="G155" s="305">
        <f>'AGOST-18'!I155</f>
        <v>2000</v>
      </c>
      <c r="H155" s="51"/>
      <c r="I155" s="17">
        <f t="shared" si="3"/>
        <v>2000</v>
      </c>
      <c r="J155" s="37"/>
      <c r="K155" s="36"/>
    </row>
    <row r="156" spans="1:11" ht="30">
      <c r="A156" s="11">
        <v>54599</v>
      </c>
      <c r="B156" s="54" t="s">
        <v>5</v>
      </c>
      <c r="C156" s="68"/>
      <c r="D156" s="14" t="s">
        <v>1</v>
      </c>
      <c r="E156" s="14" t="s">
        <v>25</v>
      </c>
      <c r="F156" s="14" t="s">
        <v>27</v>
      </c>
      <c r="G156" s="305">
        <f>'AGOST-18'!I156</f>
        <v>367.60999999999967</v>
      </c>
      <c r="H156" s="51"/>
      <c r="I156" s="17">
        <f t="shared" si="3"/>
        <v>367.60999999999967</v>
      </c>
      <c r="J156" s="62"/>
      <c r="K156" s="63"/>
    </row>
    <row r="157" spans="1:11">
      <c r="A157" s="11">
        <v>55603</v>
      </c>
      <c r="B157" s="54" t="s">
        <v>6</v>
      </c>
      <c r="C157" s="55"/>
      <c r="D157" s="14" t="s">
        <v>1</v>
      </c>
      <c r="E157" s="14" t="s">
        <v>25</v>
      </c>
      <c r="F157" s="14" t="s">
        <v>26</v>
      </c>
      <c r="G157" s="305">
        <f>'AGOST-18'!I157</f>
        <v>97.4</v>
      </c>
      <c r="H157" s="51"/>
      <c r="I157" s="17">
        <f t="shared" si="3"/>
        <v>97.4</v>
      </c>
      <c r="J157" s="64"/>
      <c r="K157" s="65"/>
    </row>
    <row r="158" spans="1:11" ht="26.25">
      <c r="A158" s="4">
        <v>61599</v>
      </c>
      <c r="B158" s="5" t="s">
        <v>7</v>
      </c>
      <c r="C158" s="5"/>
      <c r="D158" s="3" t="s">
        <v>1</v>
      </c>
      <c r="E158" s="3" t="s">
        <v>25</v>
      </c>
      <c r="F158" s="3" t="s">
        <v>26</v>
      </c>
      <c r="G158" s="305">
        <f>'AGOST-18'!I158</f>
        <v>687.83999999999992</v>
      </c>
      <c r="H158" s="51"/>
      <c r="I158" s="17">
        <f t="shared" si="3"/>
        <v>687.83999999999992</v>
      </c>
      <c r="J158" s="37"/>
      <c r="K158" s="36"/>
    </row>
    <row r="159" spans="1:11" ht="21">
      <c r="A159" s="38" t="s">
        <v>8</v>
      </c>
      <c r="B159" s="39" t="s">
        <v>9</v>
      </c>
      <c r="C159" s="39"/>
      <c r="D159" s="39" t="s">
        <v>1</v>
      </c>
      <c r="E159" s="39" t="s">
        <v>25</v>
      </c>
      <c r="F159" s="39" t="s">
        <v>27</v>
      </c>
      <c r="G159" s="305">
        <f>SUM(G152:G158)</f>
        <v>7899.1699999999992</v>
      </c>
      <c r="H159" s="95">
        <f>SUM(H152:H158)</f>
        <v>0</v>
      </c>
      <c r="I159" s="423">
        <f>G159-H159+J159-K159</f>
        <v>7899.1699999999992</v>
      </c>
      <c r="J159" s="40"/>
      <c r="K159" s="40"/>
    </row>
    <row r="160" spans="1:11" ht="28.5" customHeight="1">
      <c r="A160" s="367">
        <v>54104</v>
      </c>
      <c r="B160" s="7" t="s">
        <v>186</v>
      </c>
      <c r="C160" s="6"/>
      <c r="D160" s="3" t="s">
        <v>11</v>
      </c>
      <c r="E160" s="3" t="s">
        <v>25</v>
      </c>
      <c r="F160" s="3" t="s">
        <v>26</v>
      </c>
      <c r="G160" s="305">
        <f>'AGOST-18'!I160</f>
        <v>3000</v>
      </c>
      <c r="H160" s="51"/>
      <c r="I160" s="17">
        <f t="shared" si="3"/>
        <v>3000</v>
      </c>
      <c r="J160" s="37"/>
      <c r="K160" s="36"/>
    </row>
    <row r="161" spans="1:11" ht="44.25" customHeight="1">
      <c r="A161" s="4">
        <v>54117</v>
      </c>
      <c r="B161" s="7" t="s">
        <v>187</v>
      </c>
      <c r="C161" s="6"/>
      <c r="D161" s="3" t="s">
        <v>11</v>
      </c>
      <c r="E161" s="3" t="s">
        <v>25</v>
      </c>
      <c r="F161" s="3" t="s">
        <v>26</v>
      </c>
      <c r="G161" s="305">
        <f>'AGOST-18'!I161</f>
        <v>1500</v>
      </c>
      <c r="H161" s="51"/>
      <c r="I161" s="17">
        <f t="shared" si="3"/>
        <v>1500</v>
      </c>
      <c r="J161" s="37"/>
      <c r="K161" s="36"/>
    </row>
    <row r="162" spans="1:11" ht="30.75" customHeight="1">
      <c r="A162" s="4">
        <v>55603</v>
      </c>
      <c r="B162" s="5" t="s">
        <v>13</v>
      </c>
      <c r="C162" s="6"/>
      <c r="D162" s="3" t="s">
        <v>11</v>
      </c>
      <c r="E162" s="3" t="s">
        <v>25</v>
      </c>
      <c r="F162" s="3" t="s">
        <v>26</v>
      </c>
      <c r="G162" s="305">
        <f>'AGOST-18'!I162</f>
        <v>764.67000000000007</v>
      </c>
      <c r="H162" s="51"/>
      <c r="I162" s="17">
        <f t="shared" si="3"/>
        <v>764.67000000000007</v>
      </c>
      <c r="J162" s="37"/>
      <c r="K162" s="385"/>
    </row>
    <row r="163" spans="1:11" ht="30.75" customHeight="1">
      <c r="A163" s="66" t="s">
        <v>14</v>
      </c>
      <c r="B163" s="67" t="s">
        <v>188</v>
      </c>
      <c r="C163" s="55"/>
      <c r="D163" s="14" t="s">
        <v>11</v>
      </c>
      <c r="E163" s="14" t="s">
        <v>25</v>
      </c>
      <c r="F163" s="50" t="s">
        <v>26</v>
      </c>
      <c r="G163" s="305">
        <f>'AGOST-18'!I163</f>
        <v>0.26000000000021828</v>
      </c>
      <c r="H163" s="51"/>
      <c r="I163" s="108">
        <f t="shared" si="3"/>
        <v>0.26000000000021828</v>
      </c>
      <c r="J163" s="387"/>
      <c r="K163" s="54"/>
    </row>
    <row r="164" spans="1:11" ht="36.75" customHeight="1">
      <c r="A164" s="11">
        <v>61104</v>
      </c>
      <c r="B164" s="54" t="s">
        <v>189</v>
      </c>
      <c r="C164" s="55"/>
      <c r="D164" s="14" t="s">
        <v>11</v>
      </c>
      <c r="E164" s="14" t="s">
        <v>25</v>
      </c>
      <c r="F164" s="14" t="s">
        <v>27</v>
      </c>
      <c r="G164" s="305">
        <f>'AGOST-18'!I164</f>
        <v>889.86000000000035</v>
      </c>
      <c r="H164" s="51">
        <f>263</f>
        <v>263</v>
      </c>
      <c r="I164" s="17">
        <f t="shared" si="3"/>
        <v>626.86000000000035</v>
      </c>
      <c r="J164" s="62"/>
      <c r="K164" s="320"/>
    </row>
    <row r="165" spans="1:11" ht="31.5" customHeight="1">
      <c r="A165" s="11">
        <v>61109</v>
      </c>
      <c r="B165" s="54" t="s">
        <v>190</v>
      </c>
      <c r="C165" s="55"/>
      <c r="D165" s="14" t="s">
        <v>11</v>
      </c>
      <c r="E165" s="14" t="s">
        <v>25</v>
      </c>
      <c r="F165" s="14" t="s">
        <v>26</v>
      </c>
      <c r="G165" s="305">
        <f>'AGOST-18'!I165</f>
        <v>1109</v>
      </c>
      <c r="H165" s="51">
        <f>65.5+370</f>
        <v>435.5</v>
      </c>
      <c r="I165" s="17">
        <f t="shared" si="3"/>
        <v>673.5</v>
      </c>
      <c r="J165" s="62"/>
      <c r="K165" s="387"/>
    </row>
    <row r="166" spans="1:11" ht="30.75" customHeight="1">
      <c r="A166" s="11" t="s">
        <v>160</v>
      </c>
      <c r="B166" s="54" t="s">
        <v>194</v>
      </c>
      <c r="C166" s="55"/>
      <c r="D166" s="14" t="s">
        <v>11</v>
      </c>
      <c r="E166" s="14" t="s">
        <v>25</v>
      </c>
      <c r="F166" s="14" t="s">
        <v>26</v>
      </c>
      <c r="G166" s="305">
        <f>'AGOST-18'!I166</f>
        <v>0</v>
      </c>
      <c r="H166" s="51"/>
      <c r="I166" s="17">
        <f t="shared" si="3"/>
        <v>0</v>
      </c>
      <c r="J166" s="62"/>
      <c r="K166" s="63"/>
    </row>
    <row r="167" spans="1:11" ht="27.75" customHeight="1">
      <c r="A167" s="11" t="s">
        <v>191</v>
      </c>
      <c r="B167" s="54" t="s">
        <v>195</v>
      </c>
      <c r="C167" s="55"/>
      <c r="D167" s="14" t="s">
        <v>11</v>
      </c>
      <c r="E167" s="14" t="s">
        <v>25</v>
      </c>
      <c r="F167" s="14" t="s">
        <v>26</v>
      </c>
      <c r="G167" s="305">
        <f>'AGOST-18'!I167</f>
        <v>15000</v>
      </c>
      <c r="H167" s="51"/>
      <c r="I167" s="17">
        <f t="shared" si="3"/>
        <v>15000</v>
      </c>
      <c r="J167" s="64"/>
      <c r="K167" s="65"/>
    </row>
    <row r="168" spans="1:11" ht="31.5" customHeight="1">
      <c r="A168" s="11" t="s">
        <v>192</v>
      </c>
      <c r="B168" s="53" t="s">
        <v>196</v>
      </c>
      <c r="C168" s="8"/>
      <c r="D168" s="3" t="s">
        <v>11</v>
      </c>
      <c r="E168" s="3" t="s">
        <v>25</v>
      </c>
      <c r="F168" s="3" t="s">
        <v>26</v>
      </c>
      <c r="G168" s="305">
        <f>'AGOST-18'!I168</f>
        <v>10000</v>
      </c>
      <c r="H168" s="51"/>
      <c r="I168" s="17">
        <f t="shared" si="3"/>
        <v>10000</v>
      </c>
      <c r="J168" s="45"/>
      <c r="K168" s="46"/>
    </row>
    <row r="169" spans="1:11" ht="45" customHeight="1">
      <c r="A169" s="11" t="s">
        <v>193</v>
      </c>
      <c r="B169" s="53" t="s">
        <v>197</v>
      </c>
      <c r="C169" s="8"/>
      <c r="D169" s="3" t="s">
        <v>11</v>
      </c>
      <c r="E169" s="3" t="s">
        <v>25</v>
      </c>
      <c r="F169" s="3" t="s">
        <v>26</v>
      </c>
      <c r="G169" s="305">
        <f>'AGOST-18'!I169</f>
        <v>10000</v>
      </c>
      <c r="H169" s="51"/>
      <c r="I169" s="17">
        <f t="shared" si="3"/>
        <v>10000</v>
      </c>
      <c r="J169" s="45"/>
      <c r="K169" s="46"/>
    </row>
    <row r="170" spans="1:11" ht="42.75" customHeight="1">
      <c r="A170" s="11" t="s">
        <v>198</v>
      </c>
      <c r="B170" s="53" t="s">
        <v>1029</v>
      </c>
      <c r="C170" s="6"/>
      <c r="D170" s="3" t="s">
        <v>11</v>
      </c>
      <c r="E170" s="3" t="s">
        <v>25</v>
      </c>
      <c r="F170" s="3" t="s">
        <v>26</v>
      </c>
      <c r="G170" s="305">
        <f>'AGOST-18'!I170</f>
        <v>14000</v>
      </c>
      <c r="H170" s="51"/>
      <c r="I170" s="17">
        <f t="shared" si="3"/>
        <v>14000</v>
      </c>
      <c r="J170" s="45"/>
      <c r="K170" s="46"/>
    </row>
    <row r="171" spans="1:11" ht="85.5">
      <c r="A171" s="144" t="s">
        <v>200</v>
      </c>
      <c r="B171" s="54" t="s">
        <v>202</v>
      </c>
      <c r="C171" s="343" t="s">
        <v>1096</v>
      </c>
      <c r="D171" s="14" t="s">
        <v>11</v>
      </c>
      <c r="E171" s="14" t="s">
        <v>25</v>
      </c>
      <c r="F171" s="14" t="s">
        <v>26</v>
      </c>
      <c r="G171" s="305">
        <f>'AGOST-18'!I171</f>
        <v>0</v>
      </c>
      <c r="H171" s="51"/>
      <c r="I171" s="17">
        <f t="shared" si="3"/>
        <v>0</v>
      </c>
      <c r="J171" s="64"/>
      <c r="K171" s="261"/>
    </row>
    <row r="172" spans="1:11" ht="36.75" customHeight="1">
      <c r="A172" s="11" t="s">
        <v>556</v>
      </c>
      <c r="B172" s="145" t="s">
        <v>1030</v>
      </c>
      <c r="C172" s="55" t="s">
        <v>1097</v>
      </c>
      <c r="D172" s="14" t="s">
        <v>11</v>
      </c>
      <c r="E172" s="14" t="s">
        <v>25</v>
      </c>
      <c r="F172" s="14" t="s">
        <v>26</v>
      </c>
      <c r="G172" s="305">
        <f>'AGOST-18'!I172</f>
        <v>111.26999999999953</v>
      </c>
      <c r="H172" s="51">
        <f>277.9+217.84+217.84+186.76+140+140+140+140+233.38+277.9+217.84+217.84+186.76+140+140+140+140+233.38</f>
        <v>3387.4400000000005</v>
      </c>
      <c r="I172" s="17">
        <f t="shared" si="3"/>
        <v>223.82999999999902</v>
      </c>
      <c r="J172" s="108">
        <v>3500</v>
      </c>
      <c r="K172" s="65"/>
    </row>
    <row r="173" spans="1:11" ht="36.75" customHeight="1">
      <c r="A173" s="144" t="s">
        <v>1038</v>
      </c>
      <c r="B173" s="250" t="s">
        <v>1007</v>
      </c>
      <c r="C173" s="55" t="s">
        <v>1097</v>
      </c>
      <c r="D173" s="14" t="s">
        <v>11</v>
      </c>
      <c r="E173" s="14" t="s">
        <v>25</v>
      </c>
      <c r="F173" s="14" t="s">
        <v>26</v>
      </c>
      <c r="G173" s="305">
        <f>'AGOST-18'!I173</f>
        <v>4582.5</v>
      </c>
      <c r="H173" s="51"/>
      <c r="I173" s="17">
        <f t="shared" si="3"/>
        <v>1082.5</v>
      </c>
      <c r="J173" s="108"/>
      <c r="K173" s="269">
        <v>3500</v>
      </c>
    </row>
    <row r="174" spans="1:11" ht="36" customHeight="1">
      <c r="A174" s="144" t="s">
        <v>1138</v>
      </c>
      <c r="B174" s="250" t="s">
        <v>1139</v>
      </c>
      <c r="C174" s="55" t="s">
        <v>1097</v>
      </c>
      <c r="D174" s="14" t="s">
        <v>11</v>
      </c>
      <c r="E174" s="14" t="s">
        <v>25</v>
      </c>
      <c r="F174" s="14" t="s">
        <v>26</v>
      </c>
      <c r="G174" s="305">
        <f>'AGOST-18'!I174</f>
        <v>246.8</v>
      </c>
      <c r="H174" s="51"/>
      <c r="I174" s="17">
        <f t="shared" si="3"/>
        <v>246.8</v>
      </c>
      <c r="J174" s="108"/>
      <c r="K174" s="269"/>
    </row>
    <row r="175" spans="1:11" ht="38.25" customHeight="1">
      <c r="A175" s="144" t="s">
        <v>571</v>
      </c>
      <c r="B175" s="250" t="s">
        <v>1067</v>
      </c>
      <c r="C175" s="55" t="s">
        <v>1097</v>
      </c>
      <c r="D175" s="14" t="s">
        <v>11</v>
      </c>
      <c r="E175" s="14" t="s">
        <v>25</v>
      </c>
      <c r="F175" s="14" t="s">
        <v>26</v>
      </c>
      <c r="G175" s="305">
        <f>'AGOST-18'!I175</f>
        <v>1.789999999999992</v>
      </c>
      <c r="H175" s="51"/>
      <c r="I175" s="17">
        <f t="shared" si="3"/>
        <v>1.789999999999992</v>
      </c>
      <c r="J175" s="108"/>
      <c r="K175" s="269"/>
    </row>
    <row r="176" spans="1:11" ht="38.25" customHeight="1">
      <c r="A176" s="144">
        <v>54599</v>
      </c>
      <c r="B176" s="250" t="s">
        <v>1184</v>
      </c>
      <c r="C176" s="55"/>
      <c r="D176" s="14" t="s">
        <v>11</v>
      </c>
      <c r="E176" s="14" t="s">
        <v>25</v>
      </c>
      <c r="F176" s="14" t="s">
        <v>26</v>
      </c>
      <c r="G176" s="305">
        <f>'AGOST-18'!I176</f>
        <v>4.5</v>
      </c>
      <c r="H176" s="51"/>
      <c r="I176" s="17">
        <f t="shared" si="3"/>
        <v>0.85000000000000009</v>
      </c>
      <c r="J176" s="108"/>
      <c r="K176" s="269">
        <v>3.65</v>
      </c>
    </row>
    <row r="177" spans="1:11" ht="40.5" customHeight="1">
      <c r="A177" s="144" t="s">
        <v>969</v>
      </c>
      <c r="B177" s="145" t="s">
        <v>1039</v>
      </c>
      <c r="C177" s="55" t="s">
        <v>1097</v>
      </c>
      <c r="D177" s="14" t="s">
        <v>11</v>
      </c>
      <c r="E177" s="14" t="s">
        <v>25</v>
      </c>
      <c r="F177" s="14" t="s">
        <v>26</v>
      </c>
      <c r="G177" s="305">
        <f>'AGOST-18'!I177</f>
        <v>-3.6500000000000004</v>
      </c>
      <c r="H177" s="51"/>
      <c r="I177" s="18">
        <f t="shared" si="3"/>
        <v>-4.4408920985006262E-16</v>
      </c>
      <c r="J177" s="108">
        <v>3.65</v>
      </c>
      <c r="K177" s="65"/>
    </row>
    <row r="178" spans="1:11" ht="106.5">
      <c r="A178" s="144" t="s">
        <v>201</v>
      </c>
      <c r="B178" s="54" t="s">
        <v>204</v>
      </c>
      <c r="C178" s="343" t="s">
        <v>1098</v>
      </c>
      <c r="D178" s="14" t="s">
        <v>11</v>
      </c>
      <c r="E178" s="14" t="s">
        <v>25</v>
      </c>
      <c r="F178" s="14" t="s">
        <v>26</v>
      </c>
      <c r="G178" s="305">
        <f>'AGOST-18'!I178</f>
        <v>0</v>
      </c>
      <c r="H178" s="51"/>
      <c r="I178" s="17">
        <f t="shared" si="3"/>
        <v>0</v>
      </c>
      <c r="J178" s="62"/>
      <c r="K178" s="63"/>
    </row>
    <row r="179" spans="1:11" ht="19.5" customHeight="1">
      <c r="A179" s="11" t="s">
        <v>203</v>
      </c>
      <c r="B179" s="145" t="s">
        <v>206</v>
      </c>
      <c r="C179" s="55" t="s">
        <v>1099</v>
      </c>
      <c r="D179" s="14" t="s">
        <v>11</v>
      </c>
      <c r="E179" s="14" t="s">
        <v>25</v>
      </c>
      <c r="F179" s="14" t="s">
        <v>26</v>
      </c>
      <c r="G179" s="305">
        <f>'AGOST-18'!I179</f>
        <v>782.93999999999915</v>
      </c>
      <c r="H179" s="51">
        <f>277.9+217.84+140+140+140+140+140+140+140+233.38+277.9+217.84+140+140+140+140+140+140+140+233.38</f>
        <v>3418.2400000000002</v>
      </c>
      <c r="I179" s="17">
        <f t="shared" si="3"/>
        <v>1364.6999999999989</v>
      </c>
      <c r="J179" s="108">
        <v>4000</v>
      </c>
      <c r="K179" s="65"/>
    </row>
    <row r="180" spans="1:11" ht="36">
      <c r="A180" s="11" t="s">
        <v>1041</v>
      </c>
      <c r="B180" s="145" t="s">
        <v>1042</v>
      </c>
      <c r="C180" s="55" t="s">
        <v>1099</v>
      </c>
      <c r="D180" s="14" t="s">
        <v>11</v>
      </c>
      <c r="E180" s="14" t="s">
        <v>25</v>
      </c>
      <c r="F180" s="14" t="s">
        <v>26</v>
      </c>
      <c r="G180" s="305">
        <f>'AGOST-18'!I180</f>
        <v>0</v>
      </c>
      <c r="H180" s="51"/>
      <c r="I180" s="17">
        <f t="shared" si="3"/>
        <v>0</v>
      </c>
      <c r="J180" s="108"/>
      <c r="K180" s="65"/>
    </row>
    <row r="181" spans="1:11" ht="20.25" customHeight="1">
      <c r="A181" s="11" t="s">
        <v>205</v>
      </c>
      <c r="B181" s="145" t="s">
        <v>207</v>
      </c>
      <c r="C181" s="55" t="s">
        <v>1099</v>
      </c>
      <c r="D181" s="14" t="s">
        <v>11</v>
      </c>
      <c r="E181" s="14" t="s">
        <v>25</v>
      </c>
      <c r="F181" s="14" t="s">
        <v>26</v>
      </c>
      <c r="G181" s="305">
        <f>'AGOST-18'!I181</f>
        <v>200</v>
      </c>
      <c r="H181" s="51"/>
      <c r="I181" s="17">
        <f t="shared" si="3"/>
        <v>200</v>
      </c>
      <c r="J181" s="64"/>
      <c r="K181" s="65"/>
    </row>
    <row r="182" spans="1:11" ht="36">
      <c r="A182" s="11" t="s">
        <v>208</v>
      </c>
      <c r="B182" s="145" t="s">
        <v>209</v>
      </c>
      <c r="C182" s="55" t="s">
        <v>1099</v>
      </c>
      <c r="D182" s="14" t="s">
        <v>11</v>
      </c>
      <c r="E182" s="14" t="s">
        <v>25</v>
      </c>
      <c r="F182" s="14" t="s">
        <v>26</v>
      </c>
      <c r="G182" s="305">
        <f>'AGOST-18'!I182</f>
        <v>14633.91</v>
      </c>
      <c r="H182" s="51"/>
      <c r="I182" s="17">
        <f t="shared" si="3"/>
        <v>11633.91</v>
      </c>
      <c r="J182" s="64"/>
      <c r="K182" s="269">
        <v>3000</v>
      </c>
    </row>
    <row r="183" spans="1:11" ht="24">
      <c r="A183" s="11" t="s">
        <v>210</v>
      </c>
      <c r="B183" s="145" t="s">
        <v>211</v>
      </c>
      <c r="C183" s="55" t="s">
        <v>1099</v>
      </c>
      <c r="D183" s="14" t="s">
        <v>11</v>
      </c>
      <c r="E183" s="14" t="s">
        <v>25</v>
      </c>
      <c r="F183" s="14" t="s">
        <v>26</v>
      </c>
      <c r="G183" s="305">
        <f>'AGOST-18'!I183</f>
        <v>1428.25</v>
      </c>
      <c r="H183" s="276"/>
      <c r="I183" s="18">
        <f t="shared" si="3"/>
        <v>1428.25</v>
      </c>
      <c r="J183" s="108"/>
      <c r="K183" s="65"/>
    </row>
    <row r="184" spans="1:11" ht="34.5" customHeight="1">
      <c r="A184" s="11" t="s">
        <v>212</v>
      </c>
      <c r="B184" s="145" t="s">
        <v>213</v>
      </c>
      <c r="C184" s="55" t="s">
        <v>1099</v>
      </c>
      <c r="D184" s="3" t="s">
        <v>11</v>
      </c>
      <c r="E184" s="3" t="s">
        <v>25</v>
      </c>
      <c r="F184" s="3" t="s">
        <v>26</v>
      </c>
      <c r="G184" s="305">
        <f>'AGOST-18'!I184</f>
        <v>85.090000000000032</v>
      </c>
      <c r="H184" s="51">
        <f>43.6</f>
        <v>43.6</v>
      </c>
      <c r="I184" s="17">
        <f t="shared" si="3"/>
        <v>41.49000000000003</v>
      </c>
      <c r="J184" s="45"/>
      <c r="K184" s="46"/>
    </row>
    <row r="185" spans="1:11" ht="34.5" customHeight="1">
      <c r="A185" s="11" t="s">
        <v>1143</v>
      </c>
      <c r="B185" s="145" t="s">
        <v>1140</v>
      </c>
      <c r="C185" s="55" t="s">
        <v>1099</v>
      </c>
      <c r="D185" s="3" t="s">
        <v>11</v>
      </c>
      <c r="E185" s="3" t="s">
        <v>25</v>
      </c>
      <c r="F185" s="3" t="s">
        <v>26</v>
      </c>
      <c r="G185" s="305">
        <f>'AGOST-18'!I185</f>
        <v>270</v>
      </c>
      <c r="H185" s="51"/>
      <c r="I185" s="17">
        <f t="shared" si="3"/>
        <v>270</v>
      </c>
      <c r="J185" s="126"/>
      <c r="K185" s="46"/>
    </row>
    <row r="186" spans="1:11" ht="37.5" customHeight="1">
      <c r="A186" s="11" t="s">
        <v>1043</v>
      </c>
      <c r="B186" s="145" t="s">
        <v>1044</v>
      </c>
      <c r="C186" s="55" t="s">
        <v>1099</v>
      </c>
      <c r="D186" s="3" t="s">
        <v>11</v>
      </c>
      <c r="E186" s="3" t="s">
        <v>25</v>
      </c>
      <c r="F186" s="3" t="s">
        <v>26</v>
      </c>
      <c r="G186" s="305">
        <f>'AGOST-18'!I186</f>
        <v>1.8099999999999454</v>
      </c>
      <c r="H186" s="51"/>
      <c r="I186" s="17">
        <f t="shared" si="3"/>
        <v>1.8099999999999454</v>
      </c>
      <c r="J186" s="126"/>
      <c r="K186" s="46"/>
    </row>
    <row r="187" spans="1:11" ht="28.5" customHeight="1">
      <c r="A187" s="11" t="s">
        <v>215</v>
      </c>
      <c r="B187" s="145" t="s">
        <v>214</v>
      </c>
      <c r="C187" s="55" t="s">
        <v>1099</v>
      </c>
      <c r="D187" s="3" t="s">
        <v>11</v>
      </c>
      <c r="E187" s="3" t="s">
        <v>25</v>
      </c>
      <c r="F187" s="3" t="s">
        <v>26</v>
      </c>
      <c r="G187" s="305">
        <f>'AGOST-18'!I187</f>
        <v>4915</v>
      </c>
      <c r="H187" s="51"/>
      <c r="I187" s="17">
        <f t="shared" si="3"/>
        <v>4915</v>
      </c>
      <c r="J187" s="45"/>
      <c r="K187" s="46"/>
    </row>
    <row r="188" spans="1:11" ht="27.75" customHeight="1">
      <c r="A188" s="11" t="s">
        <v>216</v>
      </c>
      <c r="B188" s="145" t="s">
        <v>217</v>
      </c>
      <c r="C188" s="55" t="s">
        <v>1099</v>
      </c>
      <c r="D188" s="3" t="s">
        <v>11</v>
      </c>
      <c r="E188" s="3" t="s">
        <v>25</v>
      </c>
      <c r="F188" s="3" t="s">
        <v>26</v>
      </c>
      <c r="G188" s="305">
        <f>'AGOST-18'!I188</f>
        <v>7764.9</v>
      </c>
      <c r="H188" s="51"/>
      <c r="I188" s="17">
        <f t="shared" si="3"/>
        <v>6364.9</v>
      </c>
      <c r="J188" s="126"/>
      <c r="K188" s="270">
        <v>1400</v>
      </c>
    </row>
    <row r="189" spans="1:11" ht="44.25" customHeight="1">
      <c r="A189" s="141" t="s">
        <v>1208</v>
      </c>
      <c r="B189" s="250" t="s">
        <v>1206</v>
      </c>
      <c r="C189" s="55"/>
      <c r="D189" s="3" t="s">
        <v>11</v>
      </c>
      <c r="E189" s="3" t="s">
        <v>25</v>
      </c>
      <c r="F189" s="3" t="s">
        <v>26</v>
      </c>
      <c r="G189" s="305"/>
      <c r="H189" s="51">
        <v>395.5</v>
      </c>
      <c r="I189" s="17">
        <f t="shared" si="3"/>
        <v>4.5</v>
      </c>
      <c r="J189" s="126">
        <v>400</v>
      </c>
      <c r="K189" s="270"/>
    </row>
    <row r="190" spans="1:11" ht="36" customHeight="1">
      <c r="A190" s="11" t="s">
        <v>218</v>
      </c>
      <c r="B190" s="145" t="s">
        <v>219</v>
      </c>
      <c r="C190" s="55" t="s">
        <v>1099</v>
      </c>
      <c r="D190" s="3" t="s">
        <v>11</v>
      </c>
      <c r="E190" s="3" t="s">
        <v>25</v>
      </c>
      <c r="F190" s="3" t="s">
        <v>26</v>
      </c>
      <c r="G190" s="305">
        <f>'AGOST-18'!I189</f>
        <v>42.65</v>
      </c>
      <c r="H190" s="51"/>
      <c r="I190" s="17">
        <f t="shared" si="3"/>
        <v>42.65</v>
      </c>
      <c r="J190" s="45"/>
      <c r="K190" s="46"/>
    </row>
    <row r="191" spans="1:11" ht="111.75" customHeight="1">
      <c r="A191" s="144" t="s">
        <v>220</v>
      </c>
      <c r="B191" s="54" t="s">
        <v>221</v>
      </c>
      <c r="C191" s="343" t="s">
        <v>1100</v>
      </c>
      <c r="D191" s="3"/>
      <c r="E191" s="3"/>
      <c r="F191" s="3"/>
      <c r="G191" s="305">
        <f>'AGOST-18'!I190</f>
        <v>0</v>
      </c>
      <c r="H191" s="51"/>
      <c r="I191" s="17"/>
      <c r="J191" s="45"/>
      <c r="K191" s="46"/>
    </row>
    <row r="192" spans="1:11" ht="18" customHeight="1">
      <c r="A192" s="11" t="s">
        <v>222</v>
      </c>
      <c r="B192" s="145" t="s">
        <v>223</v>
      </c>
      <c r="C192" s="55" t="s">
        <v>1101</v>
      </c>
      <c r="D192" s="3" t="s">
        <v>11</v>
      </c>
      <c r="E192" s="3" t="s">
        <v>25</v>
      </c>
      <c r="F192" s="3" t="s">
        <v>26</v>
      </c>
      <c r="G192" s="305">
        <f>'AGOST-18'!I191</f>
        <v>3670.2999999999988</v>
      </c>
      <c r="H192" s="51">
        <f>277.9+217.84+217.84+217.84+140+140+140+140+140+140+140+233.38+277.9+217.84+217.84+217.84+140+140+140+140+140+140+140+233.38</f>
        <v>4289.6000000000004</v>
      </c>
      <c r="I192" s="17">
        <f t="shared" si="3"/>
        <v>9089.81</v>
      </c>
      <c r="J192" s="126">
        <v>10000</v>
      </c>
      <c r="K192" s="465">
        <v>290.89</v>
      </c>
    </row>
    <row r="193" spans="1:11" ht="38.25" customHeight="1">
      <c r="A193" s="11" t="s">
        <v>1209</v>
      </c>
      <c r="B193" s="146" t="s">
        <v>1207</v>
      </c>
      <c r="C193" s="55"/>
      <c r="D193" s="3" t="s">
        <v>11</v>
      </c>
      <c r="E193" s="3" t="s">
        <v>25</v>
      </c>
      <c r="F193" s="3" t="s">
        <v>26</v>
      </c>
      <c r="G193" s="305"/>
      <c r="H193" s="51">
        <v>148</v>
      </c>
      <c r="I193" s="17">
        <f t="shared" si="3"/>
        <v>52</v>
      </c>
      <c r="J193" s="126">
        <v>200</v>
      </c>
      <c r="K193" s="46"/>
    </row>
    <row r="194" spans="1:11" ht="30" customHeight="1">
      <c r="A194" s="11" t="s">
        <v>225</v>
      </c>
      <c r="B194" s="145" t="s">
        <v>224</v>
      </c>
      <c r="C194" s="55"/>
      <c r="D194" s="3" t="s">
        <v>11</v>
      </c>
      <c r="E194" s="3" t="s">
        <v>25</v>
      </c>
      <c r="F194" s="3" t="s">
        <v>26</v>
      </c>
      <c r="G194" s="305">
        <f>'AGOST-18'!I192</f>
        <v>100</v>
      </c>
      <c r="H194" s="51"/>
      <c r="I194" s="17">
        <f t="shared" si="3"/>
        <v>100</v>
      </c>
      <c r="J194" s="126"/>
      <c r="K194" s="46"/>
    </row>
    <row r="195" spans="1:11" ht="33.75" customHeight="1">
      <c r="A195" s="11" t="s">
        <v>226</v>
      </c>
      <c r="B195" s="145" t="s">
        <v>227</v>
      </c>
      <c r="C195" s="55" t="s">
        <v>1101</v>
      </c>
      <c r="D195" s="3" t="s">
        <v>11</v>
      </c>
      <c r="E195" s="3" t="s">
        <v>25</v>
      </c>
      <c r="F195" s="3" t="s">
        <v>26</v>
      </c>
      <c r="G195" s="305">
        <f>'AGOST-18'!I193</f>
        <v>25560.400000000001</v>
      </c>
      <c r="H195" s="51">
        <f>587.15+3933.1</f>
        <v>4520.25</v>
      </c>
      <c r="I195" s="17">
        <f t="shared" si="3"/>
        <v>19040.150000000001</v>
      </c>
      <c r="J195" s="126"/>
      <c r="K195" s="324">
        <v>2000</v>
      </c>
    </row>
    <row r="196" spans="1:11" ht="28.5" customHeight="1">
      <c r="A196" s="11" t="s">
        <v>228</v>
      </c>
      <c r="B196" s="145" t="s">
        <v>229</v>
      </c>
      <c r="C196" s="55"/>
      <c r="D196" s="3" t="s">
        <v>11</v>
      </c>
      <c r="E196" s="3" t="s">
        <v>25</v>
      </c>
      <c r="F196" s="3" t="s">
        <v>26</v>
      </c>
      <c r="G196" s="305">
        <f>'AGOST-18'!I194</f>
        <v>20144.599999999999</v>
      </c>
      <c r="H196" s="51">
        <f>11543.9</f>
        <v>11543.9</v>
      </c>
      <c r="I196" s="17">
        <f t="shared" si="3"/>
        <v>6600.6999999999989</v>
      </c>
      <c r="J196" s="126"/>
      <c r="K196" s="324">
        <v>2000</v>
      </c>
    </row>
    <row r="197" spans="1:11" ht="26.25" customHeight="1">
      <c r="A197" s="11" t="s">
        <v>230</v>
      </c>
      <c r="B197" s="145" t="s">
        <v>231</v>
      </c>
      <c r="C197" s="55"/>
      <c r="D197" s="3" t="s">
        <v>11</v>
      </c>
      <c r="E197" s="3" t="s">
        <v>25</v>
      </c>
      <c r="F197" s="3" t="s">
        <v>26</v>
      </c>
      <c r="G197" s="305">
        <f>'AGOST-18'!I195</f>
        <v>100</v>
      </c>
      <c r="H197" s="51">
        <v>5.4</v>
      </c>
      <c r="I197" s="17">
        <f t="shared" si="3"/>
        <v>94.6</v>
      </c>
      <c r="J197" s="126"/>
      <c r="K197" s="324"/>
    </row>
    <row r="198" spans="1:11" ht="23.25" customHeight="1">
      <c r="A198" s="11" t="s">
        <v>232</v>
      </c>
      <c r="B198" s="145" t="s">
        <v>233</v>
      </c>
      <c r="C198" s="55"/>
      <c r="D198" s="3" t="s">
        <v>11</v>
      </c>
      <c r="E198" s="3" t="s">
        <v>25</v>
      </c>
      <c r="F198" s="3" t="s">
        <v>26</v>
      </c>
      <c r="G198" s="305">
        <f>'AGOST-18'!I196</f>
        <v>20200</v>
      </c>
      <c r="H198" s="51"/>
      <c r="I198" s="17">
        <f t="shared" si="3"/>
        <v>17000</v>
      </c>
      <c r="J198" s="126"/>
      <c r="K198" s="324">
        <v>3200</v>
      </c>
    </row>
    <row r="199" spans="1:11" ht="28.5" customHeight="1">
      <c r="A199" s="11" t="s">
        <v>234</v>
      </c>
      <c r="B199" s="145" t="s">
        <v>237</v>
      </c>
      <c r="C199" s="55"/>
      <c r="D199" s="3" t="s">
        <v>11</v>
      </c>
      <c r="E199" s="3" t="s">
        <v>25</v>
      </c>
      <c r="F199" s="3" t="s">
        <v>26</v>
      </c>
      <c r="G199" s="305">
        <f>'AGOST-18'!I197</f>
        <v>20500</v>
      </c>
      <c r="H199" s="51"/>
      <c r="I199" s="17">
        <f t="shared" si="3"/>
        <v>17500</v>
      </c>
      <c r="J199" s="126"/>
      <c r="K199" s="324">
        <v>3000</v>
      </c>
    </row>
    <row r="200" spans="1:11" ht="45" customHeight="1">
      <c r="A200" s="11" t="s">
        <v>1182</v>
      </c>
      <c r="B200" s="145" t="s">
        <v>1185</v>
      </c>
      <c r="C200" s="55"/>
      <c r="D200" s="3" t="s">
        <v>11</v>
      </c>
      <c r="E200" s="3" t="s">
        <v>25</v>
      </c>
      <c r="F200" s="3" t="s">
        <v>1181</v>
      </c>
      <c r="G200" s="305">
        <f>'AGOST-18'!I198</f>
        <v>5</v>
      </c>
      <c r="H200" s="51"/>
      <c r="I200" s="17">
        <f t="shared" si="3"/>
        <v>5</v>
      </c>
      <c r="J200" s="126"/>
      <c r="K200" s="46"/>
    </row>
    <row r="201" spans="1:11" ht="24" customHeight="1">
      <c r="A201" s="11" t="s">
        <v>235</v>
      </c>
      <c r="B201" s="145" t="s">
        <v>236</v>
      </c>
      <c r="C201" s="55" t="s">
        <v>1101</v>
      </c>
      <c r="D201" s="3" t="s">
        <v>11</v>
      </c>
      <c r="E201" s="3" t="s">
        <v>25</v>
      </c>
      <c r="F201" s="3" t="s">
        <v>26</v>
      </c>
      <c r="G201" s="305">
        <f>'AGOST-18'!I199</f>
        <v>40.050000000000004</v>
      </c>
      <c r="H201" s="51"/>
      <c r="I201" s="17">
        <f t="shared" si="3"/>
        <v>40.050000000000004</v>
      </c>
      <c r="J201" s="45"/>
      <c r="K201" s="46"/>
    </row>
    <row r="202" spans="1:11" ht="87" customHeight="1">
      <c r="A202" s="144" t="s">
        <v>238</v>
      </c>
      <c r="B202" s="54" t="s">
        <v>239</v>
      </c>
      <c r="C202" s="55"/>
      <c r="D202" s="3"/>
      <c r="E202" s="3"/>
      <c r="F202" s="3"/>
      <c r="G202" s="305">
        <f>'AGOST-18'!I200</f>
        <v>0</v>
      </c>
      <c r="H202" s="51"/>
      <c r="I202" s="17"/>
      <c r="J202" s="45"/>
      <c r="K202" s="46"/>
    </row>
    <row r="203" spans="1:11" ht="24" customHeight="1">
      <c r="A203" s="11" t="s">
        <v>240</v>
      </c>
      <c r="B203" s="145" t="s">
        <v>243</v>
      </c>
      <c r="C203" s="55"/>
      <c r="D203" s="3" t="s">
        <v>11</v>
      </c>
      <c r="E203" s="3" t="s">
        <v>25</v>
      </c>
      <c r="F203" s="3" t="s">
        <v>26</v>
      </c>
      <c r="G203" s="305">
        <f>'AGOST-18'!I201</f>
        <v>0</v>
      </c>
      <c r="H203" s="51"/>
      <c r="I203" s="17">
        <f t="shared" si="3"/>
        <v>0</v>
      </c>
      <c r="J203" s="45"/>
      <c r="K203" s="280"/>
    </row>
    <row r="204" spans="1:11" ht="24" customHeight="1">
      <c r="A204" s="11" t="s">
        <v>241</v>
      </c>
      <c r="B204" s="145" t="s">
        <v>242</v>
      </c>
      <c r="C204" s="55"/>
      <c r="D204" s="3" t="s">
        <v>11</v>
      </c>
      <c r="E204" s="3" t="s">
        <v>25</v>
      </c>
      <c r="F204" s="3" t="s">
        <v>26</v>
      </c>
      <c r="G204" s="305">
        <f>'AGOST-18'!I202</f>
        <v>0</v>
      </c>
      <c r="H204" s="51"/>
      <c r="I204" s="17">
        <f t="shared" si="3"/>
        <v>0</v>
      </c>
      <c r="J204" s="45"/>
      <c r="K204" s="280"/>
    </row>
    <row r="205" spans="1:11" ht="40.5" customHeight="1">
      <c r="A205" s="11" t="s">
        <v>245</v>
      </c>
      <c r="B205" s="145" t="s">
        <v>244</v>
      </c>
      <c r="C205" s="55"/>
      <c r="D205" s="3" t="s">
        <v>11</v>
      </c>
      <c r="E205" s="3" t="s">
        <v>25</v>
      </c>
      <c r="F205" s="3" t="s">
        <v>26</v>
      </c>
      <c r="G205" s="305">
        <f>'AGOST-18'!I203</f>
        <v>0</v>
      </c>
      <c r="H205" s="51"/>
      <c r="I205" s="17">
        <f t="shared" si="3"/>
        <v>0</v>
      </c>
      <c r="J205" s="45"/>
      <c r="K205" s="280"/>
    </row>
    <row r="206" spans="1:11" ht="24" customHeight="1">
      <c r="A206" s="11" t="s">
        <v>246</v>
      </c>
      <c r="B206" s="145" t="s">
        <v>247</v>
      </c>
      <c r="C206" s="55"/>
      <c r="D206" s="3" t="s">
        <v>11</v>
      </c>
      <c r="E206" s="3" t="s">
        <v>25</v>
      </c>
      <c r="F206" s="3" t="s">
        <v>26</v>
      </c>
      <c r="G206" s="305">
        <f>'AGOST-18'!I204</f>
        <v>0</v>
      </c>
      <c r="H206" s="51"/>
      <c r="I206" s="17">
        <f t="shared" si="3"/>
        <v>0</v>
      </c>
      <c r="J206" s="45"/>
      <c r="K206" s="280"/>
    </row>
    <row r="207" spans="1:11" ht="24" customHeight="1">
      <c r="A207" s="11" t="s">
        <v>249</v>
      </c>
      <c r="B207" s="145" t="s">
        <v>248</v>
      </c>
      <c r="C207" s="55"/>
      <c r="D207" s="3" t="s">
        <v>11</v>
      </c>
      <c r="E207" s="3" t="s">
        <v>25</v>
      </c>
      <c r="F207" s="3" t="s">
        <v>26</v>
      </c>
      <c r="G207" s="305">
        <f>'AGOST-18'!I205</f>
        <v>0</v>
      </c>
      <c r="H207" s="51"/>
      <c r="I207" s="17">
        <f t="shared" si="3"/>
        <v>0</v>
      </c>
      <c r="J207" s="45"/>
      <c r="K207" s="280"/>
    </row>
    <row r="208" spans="1:11" ht="24" customHeight="1">
      <c r="A208" s="11" t="s">
        <v>251</v>
      </c>
      <c r="B208" s="145" t="s">
        <v>252</v>
      </c>
      <c r="C208" s="55"/>
      <c r="D208" s="3" t="s">
        <v>11</v>
      </c>
      <c r="E208" s="3" t="s">
        <v>25</v>
      </c>
      <c r="F208" s="3" t="s">
        <v>26</v>
      </c>
      <c r="G208" s="305">
        <f>'AGOST-18'!I206</f>
        <v>0</v>
      </c>
      <c r="H208" s="51"/>
      <c r="I208" s="17">
        <f t="shared" si="3"/>
        <v>0</v>
      </c>
      <c r="J208" s="45"/>
      <c r="K208" s="280"/>
    </row>
    <row r="209" spans="1:11" ht="24" customHeight="1">
      <c r="A209" s="11" t="s">
        <v>250</v>
      </c>
      <c r="B209" s="145" t="s">
        <v>253</v>
      </c>
      <c r="C209" s="55"/>
      <c r="D209" s="3" t="s">
        <v>11</v>
      </c>
      <c r="E209" s="3" t="s">
        <v>25</v>
      </c>
      <c r="F209" s="3" t="s">
        <v>26</v>
      </c>
      <c r="G209" s="305">
        <f>'AGOST-18'!I207</f>
        <v>0</v>
      </c>
      <c r="H209" s="51"/>
      <c r="I209" s="17">
        <f t="shared" si="3"/>
        <v>0</v>
      </c>
      <c r="J209" s="45"/>
      <c r="K209" s="280"/>
    </row>
    <row r="210" spans="1:11" ht="24" customHeight="1">
      <c r="A210" s="11" t="s">
        <v>255</v>
      </c>
      <c r="B210" s="145" t="s">
        <v>254</v>
      </c>
      <c r="C210" s="55"/>
      <c r="D210" s="3" t="s">
        <v>11</v>
      </c>
      <c r="E210" s="3" t="s">
        <v>25</v>
      </c>
      <c r="F210" s="3" t="s">
        <v>26</v>
      </c>
      <c r="G210" s="305">
        <f>'AGOST-18'!I208</f>
        <v>0</v>
      </c>
      <c r="H210" s="51"/>
      <c r="I210" s="17">
        <f t="shared" si="3"/>
        <v>0</v>
      </c>
      <c r="J210" s="45"/>
      <c r="K210" s="280"/>
    </row>
    <row r="211" spans="1:11" ht="87" customHeight="1">
      <c r="A211" s="144" t="s">
        <v>256</v>
      </c>
      <c r="B211" s="54" t="s">
        <v>257</v>
      </c>
      <c r="C211" s="55"/>
      <c r="D211" s="3"/>
      <c r="E211" s="3"/>
      <c r="F211" s="3"/>
      <c r="G211" s="305">
        <f>'AGOST-18'!I209</f>
        <v>0</v>
      </c>
      <c r="H211" s="51"/>
      <c r="I211" s="17"/>
      <c r="J211" s="45"/>
      <c r="K211" s="46"/>
    </row>
    <row r="212" spans="1:11" ht="24" customHeight="1">
      <c r="A212" s="11" t="s">
        <v>258</v>
      </c>
      <c r="B212" s="145" t="s">
        <v>263</v>
      </c>
      <c r="C212" s="55"/>
      <c r="D212" s="3" t="s">
        <v>11</v>
      </c>
      <c r="E212" s="3" t="s">
        <v>25</v>
      </c>
      <c r="F212" s="3" t="s">
        <v>26</v>
      </c>
      <c r="G212" s="305">
        <f>'AGOST-18'!I210</f>
        <v>0</v>
      </c>
      <c r="H212" s="51"/>
      <c r="I212" s="17">
        <f t="shared" si="3"/>
        <v>0</v>
      </c>
      <c r="J212" s="45"/>
      <c r="K212" s="280"/>
    </row>
    <row r="213" spans="1:11" ht="24" customHeight="1">
      <c r="A213" s="11" t="s">
        <v>259</v>
      </c>
      <c r="B213" s="145" t="s">
        <v>262</v>
      </c>
      <c r="C213" s="55"/>
      <c r="D213" s="3" t="s">
        <v>11</v>
      </c>
      <c r="E213" s="3" t="s">
        <v>25</v>
      </c>
      <c r="F213" s="3" t="s">
        <v>26</v>
      </c>
      <c r="G213" s="305">
        <f>'AGOST-18'!I211</f>
        <v>0</v>
      </c>
      <c r="H213" s="51"/>
      <c r="I213" s="17">
        <f t="shared" si="3"/>
        <v>0</v>
      </c>
      <c r="J213" s="45"/>
      <c r="K213" s="280"/>
    </row>
    <row r="214" spans="1:11" ht="24" customHeight="1">
      <c r="A214" s="11" t="s">
        <v>260</v>
      </c>
      <c r="B214" s="145" t="s">
        <v>261</v>
      </c>
      <c r="C214" s="55"/>
      <c r="D214" s="3" t="s">
        <v>11</v>
      </c>
      <c r="E214" s="3" t="s">
        <v>25</v>
      </c>
      <c r="F214" s="3" t="s">
        <v>26</v>
      </c>
      <c r="G214" s="305">
        <f>'AGOST-18'!I212</f>
        <v>0</v>
      </c>
      <c r="H214" s="51"/>
      <c r="I214" s="17">
        <f t="shared" si="3"/>
        <v>0</v>
      </c>
      <c r="J214" s="45"/>
      <c r="K214" s="280"/>
    </row>
    <row r="215" spans="1:11" ht="60" customHeight="1">
      <c r="A215" s="144" t="s">
        <v>264</v>
      </c>
      <c r="B215" s="54" t="s">
        <v>287</v>
      </c>
      <c r="C215" s="55"/>
      <c r="D215" s="3"/>
      <c r="E215" s="3"/>
      <c r="F215" s="3"/>
      <c r="G215" s="305">
        <f>'AGOST-18'!I213</f>
        <v>0</v>
      </c>
      <c r="H215" s="51"/>
      <c r="I215" s="17"/>
      <c r="J215" s="45"/>
      <c r="K215" s="46"/>
    </row>
    <row r="216" spans="1:11" ht="24" customHeight="1">
      <c r="A216" s="11" t="s">
        <v>265</v>
      </c>
      <c r="B216" s="145" t="s">
        <v>1046</v>
      </c>
      <c r="C216" s="55"/>
      <c r="D216" s="3" t="s">
        <v>11</v>
      </c>
      <c r="E216" s="3" t="s">
        <v>25</v>
      </c>
      <c r="F216" s="3" t="s">
        <v>26</v>
      </c>
      <c r="G216" s="305">
        <f>'AGOST-18'!I214</f>
        <v>0</v>
      </c>
      <c r="H216" s="51"/>
      <c r="I216" s="17">
        <f t="shared" si="3"/>
        <v>0</v>
      </c>
      <c r="J216" s="45"/>
      <c r="K216" s="385"/>
    </row>
    <row r="217" spans="1:11" ht="24" customHeight="1">
      <c r="A217" s="11" t="s">
        <v>266</v>
      </c>
      <c r="B217" s="145" t="s">
        <v>268</v>
      </c>
      <c r="C217" s="55"/>
      <c r="D217" s="3" t="s">
        <v>11</v>
      </c>
      <c r="E217" s="3" t="s">
        <v>25</v>
      </c>
      <c r="F217" s="3" t="s">
        <v>26</v>
      </c>
      <c r="G217" s="305">
        <f>'AGOST-18'!I215</f>
        <v>0</v>
      </c>
      <c r="H217" s="51"/>
      <c r="I217" s="17">
        <f t="shared" si="3"/>
        <v>0</v>
      </c>
      <c r="J217" s="45"/>
      <c r="K217" s="385"/>
    </row>
    <row r="218" spans="1:11" ht="71.25" customHeight="1">
      <c r="A218" s="144" t="s">
        <v>269</v>
      </c>
      <c r="B218" s="54" t="s">
        <v>286</v>
      </c>
      <c r="C218" s="343" t="s">
        <v>1111</v>
      </c>
      <c r="D218" s="3"/>
      <c r="E218" s="3"/>
      <c r="F218" s="3"/>
      <c r="G218" s="305">
        <f>'AGOST-18'!I216</f>
        <v>0</v>
      </c>
      <c r="H218" s="51"/>
      <c r="I218" s="17"/>
      <c r="J218" s="45"/>
      <c r="K218" s="46"/>
    </row>
    <row r="219" spans="1:11" ht="27.75" customHeight="1">
      <c r="A219" s="11" t="s">
        <v>273</v>
      </c>
      <c r="B219" s="145" t="s">
        <v>270</v>
      </c>
      <c r="C219" s="55"/>
      <c r="D219" s="3" t="s">
        <v>11</v>
      </c>
      <c r="E219" s="3" t="s">
        <v>25</v>
      </c>
      <c r="F219" s="3" t="s">
        <v>26</v>
      </c>
      <c r="G219" s="305">
        <f>'AGOST-18'!I217</f>
        <v>2435</v>
      </c>
      <c r="H219" s="51"/>
      <c r="I219" s="17">
        <f t="shared" si="3"/>
        <v>2435</v>
      </c>
      <c r="J219" s="45"/>
      <c r="K219" s="46"/>
    </row>
    <row r="220" spans="1:11" ht="24" customHeight="1">
      <c r="A220" s="11" t="s">
        <v>272</v>
      </c>
      <c r="B220" s="145" t="s">
        <v>271</v>
      </c>
      <c r="C220" s="55"/>
      <c r="D220" s="3" t="s">
        <v>11</v>
      </c>
      <c r="E220" s="3" t="s">
        <v>25</v>
      </c>
      <c r="F220" s="3" t="s">
        <v>26</v>
      </c>
      <c r="G220" s="305">
        <f>'AGOST-18'!I218</f>
        <v>8174.13</v>
      </c>
      <c r="H220" s="51"/>
      <c r="I220" s="17">
        <f t="shared" si="3"/>
        <v>8174.13</v>
      </c>
      <c r="J220" s="45"/>
      <c r="K220" s="126"/>
    </row>
    <row r="221" spans="1:11" ht="24" customHeight="1">
      <c r="A221" s="11" t="s">
        <v>274</v>
      </c>
      <c r="B221" s="145" t="s">
        <v>275</v>
      </c>
      <c r="C221" s="55"/>
      <c r="D221" s="3" t="s">
        <v>11</v>
      </c>
      <c r="E221" s="3" t="s">
        <v>25</v>
      </c>
      <c r="F221" s="3" t="s">
        <v>26</v>
      </c>
      <c r="G221" s="305">
        <f>'AGOST-18'!I219</f>
        <v>1579.31</v>
      </c>
      <c r="H221" s="51">
        <f>831.23</f>
        <v>831.23</v>
      </c>
      <c r="I221" s="17">
        <f t="shared" si="3"/>
        <v>748.07999999999993</v>
      </c>
      <c r="J221" s="45"/>
      <c r="K221" s="46"/>
    </row>
    <row r="222" spans="1:11" ht="24" customHeight="1">
      <c r="A222" s="11" t="s">
        <v>276</v>
      </c>
      <c r="B222" s="145" t="s">
        <v>277</v>
      </c>
      <c r="C222" s="55"/>
      <c r="D222" s="3" t="s">
        <v>11</v>
      </c>
      <c r="E222" s="3" t="s">
        <v>25</v>
      </c>
      <c r="F222" s="3" t="s">
        <v>26</v>
      </c>
      <c r="G222" s="305">
        <f>'AGOST-18'!I220</f>
        <v>10810.009999999998</v>
      </c>
      <c r="H222" s="51">
        <f>1712+258.6+944.46</f>
        <v>2915.06</v>
      </c>
      <c r="I222" s="17">
        <f t="shared" si="3"/>
        <v>7894.9499999999989</v>
      </c>
      <c r="J222" s="45"/>
      <c r="K222" s="279"/>
    </row>
    <row r="223" spans="1:11" ht="24" customHeight="1">
      <c r="A223" s="11" t="s">
        <v>278</v>
      </c>
      <c r="B223" s="145" t="s">
        <v>279</v>
      </c>
      <c r="C223" s="55"/>
      <c r="D223" s="3" t="s">
        <v>11</v>
      </c>
      <c r="E223" s="3" t="s">
        <v>25</v>
      </c>
      <c r="F223" s="3" t="s">
        <v>26</v>
      </c>
      <c r="G223" s="305">
        <f>'AGOST-18'!I221</f>
        <v>980</v>
      </c>
      <c r="H223" s="51">
        <f>461.9</f>
        <v>461.9</v>
      </c>
      <c r="I223" s="17">
        <f t="shared" si="3"/>
        <v>518.1</v>
      </c>
      <c r="J223" s="45"/>
      <c r="K223" s="46"/>
    </row>
    <row r="224" spans="1:11" ht="24" customHeight="1">
      <c r="A224" s="11" t="s">
        <v>280</v>
      </c>
      <c r="B224" s="145" t="s">
        <v>281</v>
      </c>
      <c r="C224" s="55"/>
      <c r="D224" s="3" t="s">
        <v>11</v>
      </c>
      <c r="E224" s="3" t="s">
        <v>25</v>
      </c>
      <c r="F224" s="3" t="s">
        <v>26</v>
      </c>
      <c r="G224" s="305">
        <f>'AGOST-18'!I222</f>
        <v>1290</v>
      </c>
      <c r="H224" s="51"/>
      <c r="I224" s="17">
        <f t="shared" si="3"/>
        <v>1290</v>
      </c>
      <c r="J224" s="126"/>
      <c r="K224" s="46"/>
    </row>
    <row r="225" spans="1:11" ht="24" customHeight="1">
      <c r="A225" s="11" t="s">
        <v>282</v>
      </c>
      <c r="B225" s="145" t="s">
        <v>283</v>
      </c>
      <c r="C225" s="55"/>
      <c r="D225" s="3" t="s">
        <v>11</v>
      </c>
      <c r="E225" s="3" t="s">
        <v>25</v>
      </c>
      <c r="F225" s="3" t="s">
        <v>26</v>
      </c>
      <c r="G225" s="305">
        <f>'AGOST-18'!I223</f>
        <v>927.06000000000029</v>
      </c>
      <c r="H225" s="51"/>
      <c r="I225" s="17">
        <f t="shared" si="3"/>
        <v>927.06000000000029</v>
      </c>
      <c r="J225" s="126"/>
      <c r="K225" s="46"/>
    </row>
    <row r="226" spans="1:11" ht="24" customHeight="1">
      <c r="A226" s="11" t="s">
        <v>284</v>
      </c>
      <c r="B226" s="145" t="s">
        <v>285</v>
      </c>
      <c r="C226" s="55"/>
      <c r="D226" s="3" t="s">
        <v>11</v>
      </c>
      <c r="E226" s="3" t="s">
        <v>25</v>
      </c>
      <c r="F226" s="3" t="s">
        <v>26</v>
      </c>
      <c r="G226" s="305">
        <f>'AGOST-18'!I224</f>
        <v>14.17</v>
      </c>
      <c r="H226" s="51"/>
      <c r="I226" s="17">
        <f t="shared" si="3"/>
        <v>14.17</v>
      </c>
      <c r="J226" s="45"/>
      <c r="K226" s="46"/>
    </row>
    <row r="227" spans="1:11" ht="102" customHeight="1">
      <c r="A227" s="144" t="s">
        <v>289</v>
      </c>
      <c r="B227" s="54" t="s">
        <v>1198</v>
      </c>
      <c r="C227" s="55" t="s">
        <v>1057</v>
      </c>
      <c r="D227" s="3"/>
      <c r="E227" s="3"/>
      <c r="F227" s="3"/>
      <c r="G227" s="305">
        <f>'AGOST-18'!I225</f>
        <v>0</v>
      </c>
      <c r="H227" s="275"/>
      <c r="I227" s="17"/>
      <c r="J227" s="45"/>
      <c r="K227" s="46"/>
    </row>
    <row r="228" spans="1:11" ht="24" customHeight="1">
      <c r="A228" s="11" t="s">
        <v>290</v>
      </c>
      <c r="B228" s="145" t="s">
        <v>291</v>
      </c>
      <c r="C228" s="55"/>
      <c r="D228" s="3" t="s">
        <v>11</v>
      </c>
      <c r="E228" s="3" t="s">
        <v>25</v>
      </c>
      <c r="F228" s="3" t="s">
        <v>26</v>
      </c>
      <c r="G228" s="305">
        <f>'AGOST-18'!I226</f>
        <v>500</v>
      </c>
      <c r="H228" s="51"/>
      <c r="I228" s="17">
        <f t="shared" si="3"/>
        <v>500</v>
      </c>
      <c r="J228" s="45"/>
      <c r="K228" s="46"/>
    </row>
    <row r="229" spans="1:11" ht="24" customHeight="1">
      <c r="A229" s="11" t="s">
        <v>292</v>
      </c>
      <c r="B229" s="145" t="s">
        <v>293</v>
      </c>
      <c r="C229" s="55"/>
      <c r="D229" s="3" t="s">
        <v>11</v>
      </c>
      <c r="E229" s="3" t="s">
        <v>25</v>
      </c>
      <c r="F229" s="3" t="s">
        <v>26</v>
      </c>
      <c r="G229" s="305">
        <f>'AGOST-18'!I227</f>
        <v>0</v>
      </c>
      <c r="H229" s="51"/>
      <c r="I229" s="17">
        <f t="shared" si="3"/>
        <v>0</v>
      </c>
      <c r="J229" s="45"/>
      <c r="K229" s="280"/>
    </row>
    <row r="230" spans="1:11" ht="18" customHeight="1">
      <c r="A230" s="11" t="s">
        <v>294</v>
      </c>
      <c r="B230" s="145" t="s">
        <v>295</v>
      </c>
      <c r="C230" s="55"/>
      <c r="D230" s="3" t="s">
        <v>11</v>
      </c>
      <c r="E230" s="3" t="s">
        <v>25</v>
      </c>
      <c r="F230" s="3" t="s">
        <v>26</v>
      </c>
      <c r="G230" s="305">
        <f>'AGOST-18'!I228</f>
        <v>97.4</v>
      </c>
      <c r="H230" s="51"/>
      <c r="I230" s="17">
        <f t="shared" si="3"/>
        <v>97.4</v>
      </c>
      <c r="J230" s="45"/>
      <c r="K230" s="46"/>
    </row>
    <row r="231" spans="1:11" ht="19.5" customHeight="1">
      <c r="A231" s="11" t="s">
        <v>296</v>
      </c>
      <c r="B231" s="145" t="s">
        <v>297</v>
      </c>
      <c r="C231" s="55"/>
      <c r="D231" s="3" t="s">
        <v>11</v>
      </c>
      <c r="E231" s="3" t="s">
        <v>25</v>
      </c>
      <c r="F231" s="3" t="s">
        <v>26</v>
      </c>
      <c r="G231" s="305">
        <f>'AGOST-18'!I229</f>
        <v>26160</v>
      </c>
      <c r="H231" s="51">
        <f>160+7520</f>
        <v>7680</v>
      </c>
      <c r="I231" s="17">
        <f t="shared" si="3"/>
        <v>18480</v>
      </c>
      <c r="J231" s="45"/>
      <c r="K231" s="46"/>
    </row>
    <row r="232" spans="1:11" ht="21" customHeight="1">
      <c r="A232" s="11" t="s">
        <v>298</v>
      </c>
      <c r="B232" s="145" t="s">
        <v>299</v>
      </c>
      <c r="C232" s="55"/>
      <c r="D232" s="3" t="s">
        <v>11</v>
      </c>
      <c r="E232" s="3" t="s">
        <v>25</v>
      </c>
      <c r="F232" s="3" t="s">
        <v>26</v>
      </c>
      <c r="G232" s="305">
        <f>'AGOST-18'!I230</f>
        <v>862.29</v>
      </c>
      <c r="H232" s="51"/>
      <c r="I232" s="17">
        <f t="shared" si="3"/>
        <v>862.29</v>
      </c>
      <c r="J232" s="45"/>
      <c r="K232" s="385"/>
    </row>
    <row r="233" spans="1:11" ht="75" customHeight="1">
      <c r="A233" s="144" t="s">
        <v>300</v>
      </c>
      <c r="B233" s="54" t="s">
        <v>301</v>
      </c>
      <c r="C233" s="343" t="s">
        <v>1112</v>
      </c>
      <c r="D233" s="3"/>
      <c r="E233" s="3"/>
      <c r="F233" s="3"/>
      <c r="G233" s="305">
        <f>'AGOST-18'!I231</f>
        <v>0</v>
      </c>
      <c r="H233" s="51"/>
      <c r="I233" s="17"/>
      <c r="J233" s="45"/>
      <c r="K233" s="46"/>
    </row>
    <row r="234" spans="1:11" ht="18.75" customHeight="1">
      <c r="A234" s="11" t="s">
        <v>302</v>
      </c>
      <c r="B234" s="145" t="s">
        <v>309</v>
      </c>
      <c r="C234" s="55"/>
      <c r="D234" s="3" t="s">
        <v>11</v>
      </c>
      <c r="E234" s="3" t="s">
        <v>25</v>
      </c>
      <c r="F234" s="3" t="s">
        <v>26</v>
      </c>
      <c r="G234" s="305">
        <f>'AGOST-18'!I232</f>
        <v>2.2737367544323206E-13</v>
      </c>
      <c r="H234" s="51">
        <f>166.67+166.67</f>
        <v>333.34</v>
      </c>
      <c r="I234" s="17">
        <f t="shared" si="3"/>
        <v>1066.6600000000003</v>
      </c>
      <c r="J234" s="126">
        <v>1400</v>
      </c>
      <c r="K234" s="321"/>
    </row>
    <row r="235" spans="1:11" ht="18.75" customHeight="1">
      <c r="A235" s="11" t="s">
        <v>303</v>
      </c>
      <c r="B235" s="145" t="s">
        <v>310</v>
      </c>
      <c r="C235" s="55"/>
      <c r="D235" s="3" t="s">
        <v>11</v>
      </c>
      <c r="E235" s="3" t="s">
        <v>25</v>
      </c>
      <c r="F235" s="3" t="s">
        <v>26</v>
      </c>
      <c r="G235" s="305">
        <f>'AGOST-18'!I233</f>
        <v>5000</v>
      </c>
      <c r="H235" s="51"/>
      <c r="I235" s="17">
        <f t="shared" si="3"/>
        <v>4000</v>
      </c>
      <c r="J235" s="45"/>
      <c r="K235" s="411">
        <v>1000</v>
      </c>
    </row>
    <row r="236" spans="1:11" ht="24.75" customHeight="1">
      <c r="A236" s="11" t="s">
        <v>304</v>
      </c>
      <c r="B236" s="145" t="s">
        <v>311</v>
      </c>
      <c r="C236" s="55"/>
      <c r="D236" s="3" t="s">
        <v>11</v>
      </c>
      <c r="E236" s="3" t="s">
        <v>25</v>
      </c>
      <c r="F236" s="3" t="s">
        <v>26</v>
      </c>
      <c r="G236" s="305">
        <f>'AGOST-18'!I234</f>
        <v>1000</v>
      </c>
      <c r="H236" s="51"/>
      <c r="I236" s="17">
        <f t="shared" si="3"/>
        <v>1000</v>
      </c>
      <c r="J236" s="45"/>
      <c r="K236" s="322"/>
    </row>
    <row r="237" spans="1:11" ht="16.5" customHeight="1">
      <c r="A237" s="11" t="s">
        <v>305</v>
      </c>
      <c r="B237" s="145" t="s">
        <v>312</v>
      </c>
      <c r="C237" s="55"/>
      <c r="D237" s="3" t="s">
        <v>11</v>
      </c>
      <c r="E237" s="3" t="s">
        <v>25</v>
      </c>
      <c r="F237" s="3" t="s">
        <v>26</v>
      </c>
      <c r="G237" s="305">
        <f>'AGOST-18'!I235</f>
        <v>1104.78</v>
      </c>
      <c r="H237" s="51"/>
      <c r="I237" s="17">
        <f t="shared" si="3"/>
        <v>1104.78</v>
      </c>
      <c r="J237" s="45"/>
      <c r="K237" s="323"/>
    </row>
    <row r="238" spans="1:11" ht="22.5" customHeight="1">
      <c r="A238" s="11" t="s">
        <v>306</v>
      </c>
      <c r="B238" s="145" t="s">
        <v>313</v>
      </c>
      <c r="C238" s="55"/>
      <c r="D238" s="3" t="s">
        <v>11</v>
      </c>
      <c r="E238" s="3" t="s">
        <v>25</v>
      </c>
      <c r="F238" s="3" t="s">
        <v>26</v>
      </c>
      <c r="G238" s="305">
        <f>'AGOST-18'!I236</f>
        <v>1918.3400000000001</v>
      </c>
      <c r="H238" s="51"/>
      <c r="I238" s="17">
        <f t="shared" si="3"/>
        <v>1218.3400000000001</v>
      </c>
      <c r="J238" s="45"/>
      <c r="K238" s="324">
        <v>700</v>
      </c>
    </row>
    <row r="239" spans="1:11" ht="19.5" customHeight="1">
      <c r="A239" s="11" t="s">
        <v>307</v>
      </c>
      <c r="B239" s="145" t="s">
        <v>314</v>
      </c>
      <c r="C239" s="55"/>
      <c r="D239" s="3" t="s">
        <v>11</v>
      </c>
      <c r="E239" s="3" t="s">
        <v>25</v>
      </c>
      <c r="F239" s="3" t="s">
        <v>26</v>
      </c>
      <c r="G239" s="305">
        <f>'AGOST-18'!I237</f>
        <v>9.17</v>
      </c>
      <c r="H239" s="51"/>
      <c r="I239" s="17">
        <f t="shared" si="3"/>
        <v>9.17</v>
      </c>
      <c r="J239" s="45"/>
      <c r="K239" s="324"/>
    </row>
    <row r="240" spans="1:11" ht="24" customHeight="1">
      <c r="A240" s="11" t="s">
        <v>308</v>
      </c>
      <c r="B240" s="145" t="s">
        <v>315</v>
      </c>
      <c r="C240" s="55"/>
      <c r="D240" s="3" t="s">
        <v>11</v>
      </c>
      <c r="E240" s="3" t="s">
        <v>25</v>
      </c>
      <c r="F240" s="3" t="s">
        <v>26</v>
      </c>
      <c r="G240" s="305">
        <f>'AGOST-18'!I238</f>
        <v>0</v>
      </c>
      <c r="H240" s="51">
        <f>275</f>
        <v>275</v>
      </c>
      <c r="I240" s="17">
        <f t="shared" si="3"/>
        <v>25</v>
      </c>
      <c r="J240" s="126">
        <v>300</v>
      </c>
      <c r="K240" s="324"/>
    </row>
    <row r="241" spans="1:11" ht="72.75" customHeight="1">
      <c r="A241" s="144" t="s">
        <v>316</v>
      </c>
      <c r="B241" s="54" t="s">
        <v>317</v>
      </c>
      <c r="C241" s="343" t="s">
        <v>1113</v>
      </c>
      <c r="D241" s="3"/>
      <c r="E241" s="3"/>
      <c r="F241" s="3"/>
      <c r="G241" s="305">
        <f>'AGOST-18'!I239</f>
        <v>0</v>
      </c>
      <c r="H241" s="51"/>
      <c r="I241" s="17"/>
      <c r="J241" s="45"/>
      <c r="K241" s="46"/>
    </row>
    <row r="242" spans="1:11" ht="20.25" customHeight="1">
      <c r="A242" s="11" t="s">
        <v>318</v>
      </c>
      <c r="B242" s="145" t="s">
        <v>322</v>
      </c>
      <c r="C242" s="55"/>
      <c r="D242" s="3" t="s">
        <v>11</v>
      </c>
      <c r="E242" s="3" t="s">
        <v>25</v>
      </c>
      <c r="F242" s="3" t="s">
        <v>26</v>
      </c>
      <c r="G242" s="305">
        <f>'AGOST-18'!I240</f>
        <v>666.66000000000031</v>
      </c>
      <c r="H242" s="51">
        <f>333.34</f>
        <v>333.34</v>
      </c>
      <c r="I242" s="17">
        <f t="shared" ref="I242:I276" si="4">G242-H242+J242-K242</f>
        <v>333.32000000000033</v>
      </c>
      <c r="J242" s="45"/>
      <c r="K242" s="46"/>
    </row>
    <row r="243" spans="1:11" ht="36.75" customHeight="1">
      <c r="A243" s="11" t="s">
        <v>1009</v>
      </c>
      <c r="B243" s="145" t="s">
        <v>1011</v>
      </c>
      <c r="C243" s="55"/>
      <c r="D243" s="3" t="s">
        <v>11</v>
      </c>
      <c r="E243" s="3" t="s">
        <v>25</v>
      </c>
      <c r="F243" s="3" t="s">
        <v>26</v>
      </c>
      <c r="G243" s="305">
        <f>'AGOST-18'!I241</f>
        <v>400</v>
      </c>
      <c r="H243" s="51">
        <f>225</f>
        <v>225</v>
      </c>
      <c r="I243" s="17">
        <f t="shared" si="4"/>
        <v>175</v>
      </c>
      <c r="J243" s="126"/>
      <c r="K243" s="46"/>
    </row>
    <row r="244" spans="1:11" ht="31.5" customHeight="1">
      <c r="A244" s="11" t="s">
        <v>319</v>
      </c>
      <c r="B244" s="145" t="s">
        <v>1010</v>
      </c>
      <c r="C244" s="55"/>
      <c r="D244" s="3" t="s">
        <v>11</v>
      </c>
      <c r="E244" s="3" t="s">
        <v>25</v>
      </c>
      <c r="F244" s="3" t="s">
        <v>26</v>
      </c>
      <c r="G244" s="305">
        <f>'AGOST-18'!I242</f>
        <v>1728</v>
      </c>
      <c r="H244" s="51"/>
      <c r="I244" s="17">
        <f t="shared" si="4"/>
        <v>1728</v>
      </c>
      <c r="J244" s="45"/>
      <c r="K244" s="260"/>
    </row>
    <row r="245" spans="1:11" ht="20.25" customHeight="1">
      <c r="A245" s="11" t="s">
        <v>320</v>
      </c>
      <c r="B245" s="145" t="s">
        <v>324</v>
      </c>
      <c r="C245" s="55"/>
      <c r="D245" s="3" t="s">
        <v>11</v>
      </c>
      <c r="E245" s="3" t="s">
        <v>25</v>
      </c>
      <c r="F245" s="3" t="s">
        <v>26</v>
      </c>
      <c r="G245" s="305">
        <f>'AGOST-18'!I243</f>
        <v>15.87</v>
      </c>
      <c r="H245" s="51"/>
      <c r="I245" s="17">
        <f t="shared" si="4"/>
        <v>15.87</v>
      </c>
      <c r="J245" s="45"/>
      <c r="K245" s="46"/>
    </row>
    <row r="246" spans="1:11" ht="29.25" customHeight="1">
      <c r="A246" s="11" t="s">
        <v>321</v>
      </c>
      <c r="B246" s="145" t="s">
        <v>325</v>
      </c>
      <c r="C246" s="55"/>
      <c r="D246" s="3" t="s">
        <v>11</v>
      </c>
      <c r="E246" s="3" t="s">
        <v>25</v>
      </c>
      <c r="F246" s="3" t="s">
        <v>26</v>
      </c>
      <c r="G246" s="305">
        <f>'AGOST-18'!I244</f>
        <v>1980</v>
      </c>
      <c r="H246" s="51"/>
      <c r="I246" s="17">
        <f t="shared" si="4"/>
        <v>1980</v>
      </c>
      <c r="J246" s="45"/>
      <c r="K246" s="46"/>
    </row>
    <row r="247" spans="1:11" ht="66" customHeight="1">
      <c r="A247" s="271" t="s">
        <v>326</v>
      </c>
      <c r="B247" s="54" t="s">
        <v>327</v>
      </c>
      <c r="C247" s="55"/>
      <c r="D247" s="3"/>
      <c r="E247" s="3"/>
      <c r="F247" s="3"/>
      <c r="G247" s="305">
        <f>'AGOST-18'!I245</f>
        <v>0</v>
      </c>
      <c r="H247" s="51"/>
      <c r="I247" s="17"/>
      <c r="J247" s="45"/>
      <c r="K247" s="46"/>
    </row>
    <row r="248" spans="1:11" ht="23.25" customHeight="1">
      <c r="A248" s="11" t="s">
        <v>328</v>
      </c>
      <c r="B248" s="145" t="s">
        <v>329</v>
      </c>
      <c r="C248" s="55"/>
      <c r="D248" s="3" t="s">
        <v>11</v>
      </c>
      <c r="E248" s="3" t="s">
        <v>25</v>
      </c>
      <c r="F248" s="3" t="s">
        <v>26</v>
      </c>
      <c r="G248" s="305">
        <f>'AGOST-18'!I246</f>
        <v>0</v>
      </c>
      <c r="H248" s="51"/>
      <c r="I248" s="17">
        <f t="shared" si="4"/>
        <v>0</v>
      </c>
      <c r="J248" s="45"/>
      <c r="K248" s="324"/>
    </row>
    <row r="249" spans="1:11" ht="26.25" customHeight="1">
      <c r="A249" s="11" t="s">
        <v>330</v>
      </c>
      <c r="B249" s="145" t="s">
        <v>331</v>
      </c>
      <c r="C249" s="55"/>
      <c r="D249" s="3" t="s">
        <v>11</v>
      </c>
      <c r="E249" s="3" t="s">
        <v>25</v>
      </c>
      <c r="F249" s="3" t="s">
        <v>26</v>
      </c>
      <c r="G249" s="305">
        <f>'AGOST-18'!I247</f>
        <v>0</v>
      </c>
      <c r="H249" s="51"/>
      <c r="I249" s="17">
        <f t="shared" si="4"/>
        <v>0</v>
      </c>
      <c r="J249" s="45"/>
      <c r="K249" s="324"/>
    </row>
    <row r="250" spans="1:11" ht="18.75" customHeight="1">
      <c r="A250" s="11" t="s">
        <v>332</v>
      </c>
      <c r="B250" s="145" t="s">
        <v>333</v>
      </c>
      <c r="C250" s="55"/>
      <c r="D250" s="3" t="s">
        <v>11</v>
      </c>
      <c r="E250" s="3" t="s">
        <v>25</v>
      </c>
      <c r="F250" s="3" t="s">
        <v>26</v>
      </c>
      <c r="G250" s="305">
        <f>'AGOST-18'!I248</f>
        <v>0</v>
      </c>
      <c r="H250" s="51"/>
      <c r="I250" s="17">
        <f t="shared" si="4"/>
        <v>0</v>
      </c>
      <c r="J250" s="45"/>
      <c r="K250" s="324"/>
    </row>
    <row r="251" spans="1:11" ht="18" customHeight="1">
      <c r="A251" s="11" t="s">
        <v>334</v>
      </c>
      <c r="B251" s="145" t="s">
        <v>335</v>
      </c>
      <c r="C251" s="55"/>
      <c r="D251" s="3" t="s">
        <v>11</v>
      </c>
      <c r="E251" s="3" t="s">
        <v>25</v>
      </c>
      <c r="F251" s="3" t="s">
        <v>26</v>
      </c>
      <c r="G251" s="305">
        <f>'AGOST-18'!I249</f>
        <v>0</v>
      </c>
      <c r="H251" s="51"/>
      <c r="I251" s="17">
        <f t="shared" si="4"/>
        <v>0</v>
      </c>
      <c r="J251" s="45"/>
      <c r="K251" s="324"/>
    </row>
    <row r="252" spans="1:11" ht="24.75" customHeight="1">
      <c r="A252" s="11" t="s">
        <v>336</v>
      </c>
      <c r="B252" s="145" t="s">
        <v>337</v>
      </c>
      <c r="C252" s="55"/>
      <c r="D252" s="3" t="s">
        <v>11</v>
      </c>
      <c r="E252" s="3" t="s">
        <v>25</v>
      </c>
      <c r="F252" s="3" t="s">
        <v>26</v>
      </c>
      <c r="G252" s="305">
        <f>'AGOST-18'!I250</f>
        <v>0</v>
      </c>
      <c r="H252" s="51"/>
      <c r="I252" s="17">
        <f t="shared" si="4"/>
        <v>0</v>
      </c>
      <c r="J252" s="45"/>
      <c r="K252" s="324"/>
    </row>
    <row r="253" spans="1:11" ht="60.75" customHeight="1">
      <c r="A253" s="144" t="s">
        <v>338</v>
      </c>
      <c r="B253" s="54" t="s">
        <v>339</v>
      </c>
      <c r="C253" s="55" t="s">
        <v>1059</v>
      </c>
      <c r="D253" s="3"/>
      <c r="E253" s="3"/>
      <c r="F253" s="3"/>
      <c r="G253" s="305">
        <f>'AGOST-18'!I251</f>
        <v>0</v>
      </c>
      <c r="H253" s="51"/>
      <c r="I253" s="17"/>
      <c r="J253" s="45"/>
      <c r="K253" s="46"/>
    </row>
    <row r="254" spans="1:11" ht="18.75" customHeight="1">
      <c r="A254" s="11" t="s">
        <v>340</v>
      </c>
      <c r="B254" s="145" t="s">
        <v>344</v>
      </c>
      <c r="C254" s="55"/>
      <c r="D254" s="3" t="s">
        <v>11</v>
      </c>
      <c r="E254" s="3" t="s">
        <v>25</v>
      </c>
      <c r="F254" s="3" t="s">
        <v>26</v>
      </c>
      <c r="G254" s="305">
        <f>'AGOST-18'!I252</f>
        <v>0</v>
      </c>
      <c r="H254" s="51"/>
      <c r="I254" s="17">
        <f t="shared" si="4"/>
        <v>0</v>
      </c>
      <c r="J254" s="45"/>
      <c r="K254" s="280"/>
    </row>
    <row r="255" spans="1:11" ht="31.5" customHeight="1">
      <c r="A255" s="11" t="s">
        <v>341</v>
      </c>
      <c r="B255" s="145" t="s">
        <v>345</v>
      </c>
      <c r="C255" s="55" t="s">
        <v>1059</v>
      </c>
      <c r="D255" s="3" t="s">
        <v>11</v>
      </c>
      <c r="E255" s="3" t="s">
        <v>25</v>
      </c>
      <c r="F255" s="3" t="s">
        <v>26</v>
      </c>
      <c r="G255" s="305">
        <f>'AGOST-18'!I253</f>
        <v>0</v>
      </c>
      <c r="H255" s="51"/>
      <c r="I255" s="17">
        <f t="shared" si="4"/>
        <v>0</v>
      </c>
      <c r="J255" s="45"/>
      <c r="K255" s="280"/>
    </row>
    <row r="256" spans="1:11" ht="20.25" customHeight="1">
      <c r="A256" s="11" t="s">
        <v>342</v>
      </c>
      <c r="B256" s="145" t="s">
        <v>346</v>
      </c>
      <c r="C256" s="55"/>
      <c r="D256" s="3" t="s">
        <v>11</v>
      </c>
      <c r="E256" s="3" t="s">
        <v>25</v>
      </c>
      <c r="F256" s="3" t="s">
        <v>26</v>
      </c>
      <c r="G256" s="305">
        <f>'AGOST-18'!I254</f>
        <v>0</v>
      </c>
      <c r="H256" s="51"/>
      <c r="I256" s="17">
        <f t="shared" si="4"/>
        <v>0</v>
      </c>
      <c r="J256" s="45"/>
      <c r="K256" s="280"/>
    </row>
    <row r="257" spans="1:11" ht="24" customHeight="1">
      <c r="A257" s="11" t="s">
        <v>343</v>
      </c>
      <c r="B257" s="145" t="s">
        <v>347</v>
      </c>
      <c r="C257" s="55"/>
      <c r="D257" s="3" t="s">
        <v>11</v>
      </c>
      <c r="E257" s="3" t="s">
        <v>25</v>
      </c>
      <c r="F257" s="3" t="s">
        <v>26</v>
      </c>
      <c r="G257" s="305">
        <f>'AGOST-18'!I255</f>
        <v>0</v>
      </c>
      <c r="H257" s="51"/>
      <c r="I257" s="17">
        <f t="shared" si="4"/>
        <v>0</v>
      </c>
      <c r="J257" s="45"/>
      <c r="K257" s="280"/>
    </row>
    <row r="258" spans="1:11" ht="70.5" customHeight="1">
      <c r="A258" s="144" t="s">
        <v>348</v>
      </c>
      <c r="B258" s="54" t="s">
        <v>349</v>
      </c>
      <c r="C258" s="55"/>
      <c r="D258" s="3"/>
      <c r="E258" s="3"/>
      <c r="F258" s="3"/>
      <c r="G258" s="305">
        <f>'AGOST-18'!I256</f>
        <v>0</v>
      </c>
      <c r="H258" s="51"/>
      <c r="I258" s="17"/>
      <c r="J258" s="45"/>
      <c r="K258" s="46"/>
    </row>
    <row r="259" spans="1:11" ht="23.25" customHeight="1">
      <c r="A259" s="11" t="s">
        <v>350</v>
      </c>
      <c r="B259" s="145" t="s">
        <v>355</v>
      </c>
      <c r="C259" s="55"/>
      <c r="D259" s="3" t="s">
        <v>11</v>
      </c>
      <c r="E259" s="3" t="s">
        <v>25</v>
      </c>
      <c r="F259" s="3" t="s">
        <v>26</v>
      </c>
      <c r="G259" s="305">
        <f>'AGOST-18'!I257</f>
        <v>0</v>
      </c>
      <c r="H259" s="51"/>
      <c r="I259" s="17">
        <f t="shared" si="4"/>
        <v>0</v>
      </c>
      <c r="J259" s="45"/>
      <c r="K259" s="324"/>
    </row>
    <row r="260" spans="1:11" ht="22.5" customHeight="1">
      <c r="A260" s="11" t="s">
        <v>351</v>
      </c>
      <c r="B260" s="145" t="s">
        <v>354</v>
      </c>
      <c r="C260" s="55"/>
      <c r="D260" s="3" t="s">
        <v>11</v>
      </c>
      <c r="E260" s="3" t="s">
        <v>25</v>
      </c>
      <c r="F260" s="3" t="s">
        <v>26</v>
      </c>
      <c r="G260" s="305">
        <f>'AGOST-18'!I258</f>
        <v>0</v>
      </c>
      <c r="H260" s="51"/>
      <c r="I260" s="17">
        <f t="shared" si="4"/>
        <v>0</v>
      </c>
      <c r="J260" s="45"/>
      <c r="K260" s="324"/>
    </row>
    <row r="261" spans="1:11" ht="24.75" customHeight="1">
      <c r="A261" s="11" t="s">
        <v>352</v>
      </c>
      <c r="B261" s="145" t="s">
        <v>356</v>
      </c>
      <c r="C261" s="55"/>
      <c r="D261" s="3" t="s">
        <v>11</v>
      </c>
      <c r="E261" s="3" t="s">
        <v>25</v>
      </c>
      <c r="F261" s="3" t="s">
        <v>26</v>
      </c>
      <c r="G261" s="305">
        <f>'AGOST-18'!I259</f>
        <v>0</v>
      </c>
      <c r="H261" s="51"/>
      <c r="I261" s="17">
        <f t="shared" si="4"/>
        <v>0</v>
      </c>
      <c r="J261" s="45"/>
      <c r="K261" s="385"/>
    </row>
    <row r="262" spans="1:11" ht="24.75" customHeight="1">
      <c r="A262" s="11" t="s">
        <v>353</v>
      </c>
      <c r="B262" s="145" t="s">
        <v>357</v>
      </c>
      <c r="C262" s="55"/>
      <c r="D262" s="3" t="s">
        <v>11</v>
      </c>
      <c r="E262" s="3" t="s">
        <v>25</v>
      </c>
      <c r="F262" s="3" t="s">
        <v>26</v>
      </c>
      <c r="G262" s="305">
        <f>'AGOST-18'!I260</f>
        <v>0</v>
      </c>
      <c r="H262" s="51"/>
      <c r="I262" s="17">
        <f t="shared" si="4"/>
        <v>0</v>
      </c>
      <c r="J262" s="45"/>
      <c r="K262" s="385"/>
    </row>
    <row r="263" spans="1:11" ht="59.25" customHeight="1">
      <c r="A263" s="144" t="s">
        <v>358</v>
      </c>
      <c r="B263" s="54" t="s">
        <v>359</v>
      </c>
      <c r="C263" s="55"/>
      <c r="D263" s="3"/>
      <c r="E263" s="3"/>
      <c r="F263" s="3"/>
      <c r="G263" s="305">
        <f>'AGOST-18'!I261</f>
        <v>0</v>
      </c>
      <c r="H263" s="51"/>
      <c r="I263" s="17"/>
      <c r="J263" s="45"/>
      <c r="K263" s="46"/>
    </row>
    <row r="264" spans="1:11" ht="18.75" customHeight="1">
      <c r="A264" s="11" t="s">
        <v>361</v>
      </c>
      <c r="B264" s="146" t="s">
        <v>360</v>
      </c>
      <c r="C264" s="55"/>
      <c r="D264" s="3" t="s">
        <v>11</v>
      </c>
      <c r="E264" s="3" t="s">
        <v>25</v>
      </c>
      <c r="F264" s="3" t="s">
        <v>26</v>
      </c>
      <c r="G264" s="305">
        <f>'AGOST-18'!I262</f>
        <v>3000</v>
      </c>
      <c r="H264" s="51"/>
      <c r="I264" s="17">
        <f t="shared" si="4"/>
        <v>3000</v>
      </c>
      <c r="J264" s="45"/>
      <c r="K264" s="46"/>
    </row>
    <row r="265" spans="1:11" ht="18.75" customHeight="1">
      <c r="A265" s="11" t="s">
        <v>362</v>
      </c>
      <c r="B265" s="145" t="s">
        <v>365</v>
      </c>
      <c r="C265" s="55"/>
      <c r="D265" s="3" t="s">
        <v>11</v>
      </c>
      <c r="E265" s="3" t="s">
        <v>25</v>
      </c>
      <c r="F265" s="3" t="s">
        <v>26</v>
      </c>
      <c r="G265" s="305">
        <f>'AGOST-18'!I263</f>
        <v>500</v>
      </c>
      <c r="H265" s="51"/>
      <c r="I265" s="17">
        <f t="shared" si="4"/>
        <v>500</v>
      </c>
      <c r="J265" s="45"/>
      <c r="K265" s="46"/>
    </row>
    <row r="266" spans="1:11" ht="24.75" customHeight="1">
      <c r="A266" s="11" t="s">
        <v>363</v>
      </c>
      <c r="B266" s="145" t="s">
        <v>366</v>
      </c>
      <c r="C266" s="55"/>
      <c r="D266" s="3" t="s">
        <v>11</v>
      </c>
      <c r="E266" s="3" t="s">
        <v>25</v>
      </c>
      <c r="F266" s="3" t="s">
        <v>26</v>
      </c>
      <c r="G266" s="305">
        <f>'AGOST-18'!I264</f>
        <v>200</v>
      </c>
      <c r="H266" s="51"/>
      <c r="I266" s="17">
        <f t="shared" si="4"/>
        <v>200</v>
      </c>
      <c r="J266" s="45"/>
      <c r="K266" s="46"/>
    </row>
    <row r="267" spans="1:11" ht="28.5" customHeight="1">
      <c r="A267" s="11" t="s">
        <v>364</v>
      </c>
      <c r="B267" s="146" t="s">
        <v>367</v>
      </c>
      <c r="C267" s="55"/>
      <c r="D267" s="3" t="s">
        <v>11</v>
      </c>
      <c r="E267" s="3" t="s">
        <v>25</v>
      </c>
      <c r="F267" s="3" t="s">
        <v>26</v>
      </c>
      <c r="G267" s="305">
        <f>'AGOST-18'!I265</f>
        <v>7280</v>
      </c>
      <c r="H267" s="51"/>
      <c r="I267" s="17">
        <f t="shared" si="4"/>
        <v>7280</v>
      </c>
      <c r="J267" s="45"/>
      <c r="K267" s="46"/>
    </row>
    <row r="268" spans="1:11" ht="27.75" customHeight="1">
      <c r="A268" s="11" t="s">
        <v>368</v>
      </c>
      <c r="B268" s="145" t="s">
        <v>369</v>
      </c>
      <c r="C268" s="55"/>
      <c r="D268" s="3" t="s">
        <v>11</v>
      </c>
      <c r="E268" s="3" t="s">
        <v>25</v>
      </c>
      <c r="F268" s="3" t="s">
        <v>26</v>
      </c>
      <c r="G268" s="305">
        <f>'AGOST-18'!I266</f>
        <v>3000</v>
      </c>
      <c r="H268" s="51"/>
      <c r="I268" s="17">
        <f t="shared" si="4"/>
        <v>3000</v>
      </c>
      <c r="J268" s="45"/>
      <c r="K268" s="46"/>
    </row>
    <row r="269" spans="1:11" ht="23.25" customHeight="1">
      <c r="A269" s="11" t="s">
        <v>370</v>
      </c>
      <c r="B269" s="145" t="s">
        <v>371</v>
      </c>
      <c r="C269" s="55"/>
      <c r="D269" s="3" t="s">
        <v>11</v>
      </c>
      <c r="E269" s="3" t="s">
        <v>25</v>
      </c>
      <c r="F269" s="3" t="s">
        <v>26</v>
      </c>
      <c r="G269" s="305">
        <f>'AGOST-18'!I267</f>
        <v>1000</v>
      </c>
      <c r="H269" s="51"/>
      <c r="I269" s="17">
        <f t="shared" si="4"/>
        <v>1000</v>
      </c>
      <c r="J269" s="45"/>
      <c r="K269" s="46"/>
    </row>
    <row r="270" spans="1:11" ht="24" customHeight="1">
      <c r="A270" s="11" t="s">
        <v>372</v>
      </c>
      <c r="B270" s="145" t="s">
        <v>373</v>
      </c>
      <c r="C270" s="55"/>
      <c r="D270" s="3" t="s">
        <v>11</v>
      </c>
      <c r="E270" s="3" t="s">
        <v>25</v>
      </c>
      <c r="F270" s="3" t="s">
        <v>26</v>
      </c>
      <c r="G270" s="305">
        <f>'AGOST-18'!I268</f>
        <v>18.7</v>
      </c>
      <c r="H270" s="51"/>
      <c r="I270" s="17">
        <f t="shared" si="4"/>
        <v>18.7</v>
      </c>
      <c r="J270" s="45"/>
      <c r="K270" s="46"/>
    </row>
    <row r="271" spans="1:11" ht="69" customHeight="1">
      <c r="A271" s="144" t="s">
        <v>374</v>
      </c>
      <c r="B271" s="54" t="s">
        <v>375</v>
      </c>
      <c r="C271" s="55"/>
      <c r="D271" s="3"/>
      <c r="E271" s="3"/>
      <c r="F271" s="3"/>
      <c r="G271" s="305">
        <f>'AGOST-18'!I269</f>
        <v>0</v>
      </c>
      <c r="H271" s="51"/>
      <c r="I271" s="17"/>
      <c r="J271" s="45"/>
      <c r="K271" s="46"/>
    </row>
    <row r="272" spans="1:11" ht="24" customHeight="1">
      <c r="A272" s="11" t="s">
        <v>376</v>
      </c>
      <c r="B272" s="146" t="s">
        <v>377</v>
      </c>
      <c r="C272" s="55"/>
      <c r="D272" s="3" t="s">
        <v>11</v>
      </c>
      <c r="E272" s="3" t="s">
        <v>25</v>
      </c>
      <c r="F272" s="3" t="s">
        <v>26</v>
      </c>
      <c r="G272" s="305">
        <f>'AGOST-18'!I270</f>
        <v>0</v>
      </c>
      <c r="H272" s="51"/>
      <c r="I272" s="17">
        <f t="shared" si="4"/>
        <v>0</v>
      </c>
      <c r="J272" s="45"/>
      <c r="K272" s="324"/>
    </row>
    <row r="273" spans="1:11" ht="28.5" customHeight="1">
      <c r="A273" s="11" t="s">
        <v>383</v>
      </c>
      <c r="B273" s="145" t="s">
        <v>378</v>
      </c>
      <c r="C273" s="55"/>
      <c r="D273" s="3" t="s">
        <v>11</v>
      </c>
      <c r="E273" s="3" t="s">
        <v>25</v>
      </c>
      <c r="F273" s="3" t="s">
        <v>26</v>
      </c>
      <c r="G273" s="305">
        <f>'AGOST-18'!I271</f>
        <v>0</v>
      </c>
      <c r="H273" s="51"/>
      <c r="I273" s="17">
        <f t="shared" si="4"/>
        <v>0</v>
      </c>
      <c r="J273" s="45"/>
      <c r="K273" s="324"/>
    </row>
    <row r="274" spans="1:11" ht="33" customHeight="1">
      <c r="A274" s="11" t="s">
        <v>384</v>
      </c>
      <c r="B274" s="146" t="s">
        <v>379</v>
      </c>
      <c r="C274" s="55"/>
      <c r="D274" s="3" t="s">
        <v>11</v>
      </c>
      <c r="E274" s="3" t="s">
        <v>25</v>
      </c>
      <c r="F274" s="3" t="s">
        <v>26</v>
      </c>
      <c r="G274" s="305">
        <f>'AGOST-18'!I272</f>
        <v>0</v>
      </c>
      <c r="H274" s="51"/>
      <c r="I274" s="17">
        <f t="shared" si="4"/>
        <v>0</v>
      </c>
      <c r="J274" s="45"/>
      <c r="K274" s="324"/>
    </row>
    <row r="275" spans="1:11" ht="41.25" customHeight="1">
      <c r="A275" s="11" t="s">
        <v>385</v>
      </c>
      <c r="B275" s="145" t="s">
        <v>380</v>
      </c>
      <c r="C275" s="55"/>
      <c r="D275" s="3" t="s">
        <v>11</v>
      </c>
      <c r="E275" s="3" t="s">
        <v>25</v>
      </c>
      <c r="F275" s="3" t="s">
        <v>26</v>
      </c>
      <c r="G275" s="305">
        <f>'AGOST-18'!I273</f>
        <v>0</v>
      </c>
      <c r="H275" s="51"/>
      <c r="I275" s="17">
        <f t="shared" si="4"/>
        <v>0</v>
      </c>
      <c r="J275" s="45"/>
      <c r="K275" s="324"/>
    </row>
    <row r="276" spans="1:11" ht="30" customHeight="1">
      <c r="A276" s="11" t="s">
        <v>386</v>
      </c>
      <c r="B276" s="145" t="s">
        <v>381</v>
      </c>
      <c r="C276" s="55"/>
      <c r="D276" s="3" t="s">
        <v>11</v>
      </c>
      <c r="E276" s="3" t="s">
        <v>25</v>
      </c>
      <c r="F276" s="3" t="s">
        <v>26</v>
      </c>
      <c r="G276" s="305">
        <f>'AGOST-18'!I274</f>
        <v>1464.83</v>
      </c>
      <c r="H276" s="51"/>
      <c r="I276" s="17">
        <f t="shared" si="4"/>
        <v>1464.83</v>
      </c>
      <c r="J276" s="45"/>
      <c r="K276" s="324"/>
    </row>
    <row r="277" spans="1:11" ht="27" customHeight="1">
      <c r="A277" s="11" t="s">
        <v>387</v>
      </c>
      <c r="B277" s="145" t="s">
        <v>382</v>
      </c>
      <c r="C277" s="6"/>
      <c r="D277" s="3" t="s">
        <v>11</v>
      </c>
      <c r="E277" s="3" t="s">
        <v>25</v>
      </c>
      <c r="F277" s="3" t="s">
        <v>26</v>
      </c>
      <c r="G277" s="305">
        <f>'AGOST-18'!I275</f>
        <v>20</v>
      </c>
      <c r="H277" s="51"/>
      <c r="I277" s="17">
        <f t="shared" si="3"/>
        <v>20</v>
      </c>
      <c r="J277" s="45"/>
      <c r="K277" s="46"/>
    </row>
    <row r="278" spans="1:11" ht="143.25" customHeight="1">
      <c r="A278" s="144" t="s">
        <v>388</v>
      </c>
      <c r="B278" s="54" t="s">
        <v>391</v>
      </c>
      <c r="C278" s="55"/>
      <c r="D278" s="14"/>
      <c r="E278" s="14"/>
      <c r="F278" s="14"/>
      <c r="G278" s="305">
        <f>'AGOST-18'!I276</f>
        <v>0</v>
      </c>
      <c r="H278" s="51"/>
      <c r="I278" s="17"/>
      <c r="J278" s="62"/>
      <c r="K278" s="63"/>
    </row>
    <row r="279" spans="1:11" ht="29.25">
      <c r="A279" s="11" t="s">
        <v>389</v>
      </c>
      <c r="B279" s="54" t="s">
        <v>390</v>
      </c>
      <c r="C279" s="55"/>
      <c r="D279" s="14" t="s">
        <v>11</v>
      </c>
      <c r="E279" s="14" t="s">
        <v>25</v>
      </c>
      <c r="F279" s="14" t="s">
        <v>26</v>
      </c>
      <c r="G279" s="305">
        <f>'AGOST-18'!I277</f>
        <v>0</v>
      </c>
      <c r="H279" s="51"/>
      <c r="I279" s="17">
        <f t="shared" si="3"/>
        <v>0</v>
      </c>
      <c r="J279" s="62"/>
      <c r="K279" s="324"/>
    </row>
    <row r="280" spans="1:11" ht="68.25" customHeight="1">
      <c r="A280" s="412" t="s">
        <v>392</v>
      </c>
      <c r="B280" s="54" t="s">
        <v>393</v>
      </c>
      <c r="C280" s="343" t="s">
        <v>1114</v>
      </c>
      <c r="D280" s="14"/>
      <c r="E280" s="14"/>
      <c r="F280" s="14"/>
      <c r="G280" s="305">
        <f>'AGOST-18'!I278</f>
        <v>0</v>
      </c>
      <c r="H280" s="51"/>
      <c r="I280" s="17"/>
      <c r="J280" s="62"/>
      <c r="K280" s="63"/>
    </row>
    <row r="281" spans="1:11">
      <c r="A281" s="11">
        <v>51999</v>
      </c>
      <c r="B281" s="54" t="s">
        <v>394</v>
      </c>
      <c r="C281" s="55"/>
      <c r="D281" s="14" t="s">
        <v>11</v>
      </c>
      <c r="E281" s="14" t="s">
        <v>25</v>
      </c>
      <c r="F281" s="14" t="s">
        <v>26</v>
      </c>
      <c r="G281" s="305">
        <f>'AGOST-18'!I279</f>
        <v>725</v>
      </c>
      <c r="H281" s="51"/>
      <c r="I281" s="17">
        <f t="shared" si="3"/>
        <v>25</v>
      </c>
      <c r="J281" s="108"/>
      <c r="K281" s="320">
        <v>700</v>
      </c>
    </row>
    <row r="282" spans="1:11" ht="29.25">
      <c r="A282" s="11">
        <v>54112</v>
      </c>
      <c r="B282" s="54" t="s">
        <v>395</v>
      </c>
      <c r="C282" s="55"/>
      <c r="D282" s="14" t="s">
        <v>11</v>
      </c>
      <c r="E282" s="14" t="s">
        <v>25</v>
      </c>
      <c r="F282" s="14" t="s">
        <v>26</v>
      </c>
      <c r="G282" s="305">
        <f>'AGOST-18'!I280</f>
        <v>2000</v>
      </c>
      <c r="H282" s="51"/>
      <c r="I282" s="17">
        <f t="shared" si="3"/>
        <v>1000</v>
      </c>
      <c r="J282" s="62"/>
      <c r="K282" s="320">
        <v>1000</v>
      </c>
    </row>
    <row r="283" spans="1:11" ht="29.25">
      <c r="A283" s="11">
        <v>54199</v>
      </c>
      <c r="B283" s="54" t="s">
        <v>396</v>
      </c>
      <c r="C283" s="55"/>
      <c r="D283" s="14" t="s">
        <v>11</v>
      </c>
      <c r="E283" s="14" t="s">
        <v>25</v>
      </c>
      <c r="F283" s="14" t="s">
        <v>26</v>
      </c>
      <c r="G283" s="305">
        <f>'AGOST-18'!I281</f>
        <v>1000</v>
      </c>
      <c r="H283" s="51"/>
      <c r="I283" s="17">
        <f t="shared" ref="I283:I342" si="5">G283-H283+J283-K283</f>
        <v>500</v>
      </c>
      <c r="J283" s="62"/>
      <c r="K283" s="320">
        <v>500</v>
      </c>
    </row>
    <row r="284" spans="1:11">
      <c r="A284" s="11">
        <v>54305</v>
      </c>
      <c r="B284" s="54" t="s">
        <v>397</v>
      </c>
      <c r="C284" s="55"/>
      <c r="D284" s="14" t="s">
        <v>11</v>
      </c>
      <c r="E284" s="14" t="s">
        <v>25</v>
      </c>
      <c r="F284" s="14" t="s">
        <v>26</v>
      </c>
      <c r="G284" s="305">
        <f>'AGOST-18'!I282</f>
        <v>5091.2</v>
      </c>
      <c r="H284" s="51"/>
      <c r="I284" s="17">
        <f t="shared" si="5"/>
        <v>4091.2</v>
      </c>
      <c r="J284" s="62"/>
      <c r="K284" s="108">
        <v>1000</v>
      </c>
    </row>
    <row r="285" spans="1:11" ht="30">
      <c r="A285" s="11">
        <v>54313</v>
      </c>
      <c r="B285" s="54" t="s">
        <v>398</v>
      </c>
      <c r="C285" s="55" t="s">
        <v>1064</v>
      </c>
      <c r="D285" s="14" t="s">
        <v>11</v>
      </c>
      <c r="E285" s="14" t="s">
        <v>25</v>
      </c>
      <c r="F285" s="14" t="s">
        <v>26</v>
      </c>
      <c r="G285" s="305">
        <f>'AGOST-18'!I283</f>
        <v>267</v>
      </c>
      <c r="H285" s="51">
        <f>728.85</f>
        <v>728.85</v>
      </c>
      <c r="I285" s="17">
        <f t="shared" si="5"/>
        <v>138.14999999999998</v>
      </c>
      <c r="J285" s="408">
        <v>600</v>
      </c>
      <c r="K285" s="63"/>
    </row>
    <row r="286" spans="1:11" ht="30">
      <c r="A286" s="11">
        <v>54399</v>
      </c>
      <c r="B286" s="54" t="s">
        <v>399</v>
      </c>
      <c r="C286" s="55"/>
      <c r="D286" s="14" t="s">
        <v>11</v>
      </c>
      <c r="E286" s="14" t="s">
        <v>25</v>
      </c>
      <c r="F286" s="14" t="s">
        <v>26</v>
      </c>
      <c r="G286" s="305">
        <f>'AGOST-18'!I284</f>
        <v>440</v>
      </c>
      <c r="H286" s="51"/>
      <c r="I286" s="17">
        <f t="shared" si="5"/>
        <v>40</v>
      </c>
      <c r="J286" s="62"/>
      <c r="K286" s="387">
        <v>400</v>
      </c>
    </row>
    <row r="287" spans="1:11" ht="30">
      <c r="A287" s="11">
        <v>55603</v>
      </c>
      <c r="B287" s="54" t="s">
        <v>400</v>
      </c>
      <c r="C287" s="55"/>
      <c r="D287" s="14" t="s">
        <v>11</v>
      </c>
      <c r="E287" s="14" t="s">
        <v>25</v>
      </c>
      <c r="F287" s="14" t="s">
        <v>26</v>
      </c>
      <c r="G287" s="305">
        <f>'AGOST-18'!I285</f>
        <v>14.17</v>
      </c>
      <c r="H287" s="51"/>
      <c r="I287" s="17">
        <f t="shared" si="5"/>
        <v>14.17</v>
      </c>
      <c r="J287" s="62"/>
      <c r="K287" s="63"/>
    </row>
    <row r="288" spans="1:11" ht="29.25">
      <c r="A288" s="11">
        <v>61101</v>
      </c>
      <c r="B288" s="54" t="s">
        <v>1183</v>
      </c>
      <c r="C288" s="55"/>
      <c r="D288" s="14" t="s">
        <v>11</v>
      </c>
      <c r="E288" s="14" t="s">
        <v>25</v>
      </c>
      <c r="F288" s="14" t="s">
        <v>1181</v>
      </c>
      <c r="G288" s="305">
        <f>'AGOST-18'!I286</f>
        <v>0</v>
      </c>
      <c r="H288" s="51">
        <f>423.75+1076.88+1076.88</f>
        <v>2577.5100000000002</v>
      </c>
      <c r="I288" s="17">
        <f t="shared" si="5"/>
        <v>422.48999999999978</v>
      </c>
      <c r="J288" s="408">
        <v>3000</v>
      </c>
      <c r="K288" s="63"/>
    </row>
    <row r="289" spans="1:11" ht="75.75" customHeight="1">
      <c r="A289" s="144" t="s">
        <v>401</v>
      </c>
      <c r="B289" s="54" t="s">
        <v>402</v>
      </c>
      <c r="C289" s="55" t="s">
        <v>1063</v>
      </c>
      <c r="D289" s="14"/>
      <c r="E289" s="14"/>
      <c r="F289" s="14"/>
      <c r="G289" s="305">
        <f>'AGOST-18'!I287</f>
        <v>0</v>
      </c>
      <c r="H289" s="51"/>
      <c r="I289" s="17"/>
      <c r="J289" s="62"/>
      <c r="K289" s="63"/>
    </row>
    <row r="290" spans="1:11" ht="20.25" customHeight="1">
      <c r="A290" s="147">
        <v>54119</v>
      </c>
      <c r="B290" s="145" t="s">
        <v>403</v>
      </c>
      <c r="C290" s="55" t="s">
        <v>1063</v>
      </c>
      <c r="D290" s="14" t="s">
        <v>11</v>
      </c>
      <c r="E290" s="14" t="s">
        <v>25</v>
      </c>
      <c r="F290" s="14" t="s">
        <v>26</v>
      </c>
      <c r="G290" s="305">
        <f>'AGOST-18'!I288</f>
        <v>-9.0949470177292824E-13</v>
      </c>
      <c r="H290" s="51"/>
      <c r="I290" s="35">
        <f t="shared" si="5"/>
        <v>-9.0949470177292824E-13</v>
      </c>
      <c r="J290" s="108"/>
      <c r="K290" s="63"/>
    </row>
    <row r="291" spans="1:11" ht="39.75" customHeight="1">
      <c r="A291" s="147">
        <v>51999</v>
      </c>
      <c r="B291" s="145" t="s">
        <v>1051</v>
      </c>
      <c r="C291" s="55" t="s">
        <v>1063</v>
      </c>
      <c r="D291" s="14" t="s">
        <v>11</v>
      </c>
      <c r="E291" s="14" t="s">
        <v>25</v>
      </c>
      <c r="F291" s="14" t="s">
        <v>26</v>
      </c>
      <c r="G291" s="305">
        <f>'AGOST-18'!I289</f>
        <v>7.2830630415410269E-14</v>
      </c>
      <c r="H291" s="51"/>
      <c r="I291" s="17">
        <f t="shared" si="5"/>
        <v>7.2830630415410269E-14</v>
      </c>
      <c r="J291" s="108"/>
      <c r="K291" s="387"/>
    </row>
    <row r="292" spans="1:11" ht="24">
      <c r="A292" s="147">
        <v>54112</v>
      </c>
      <c r="B292" s="145" t="s">
        <v>404</v>
      </c>
      <c r="C292" s="55"/>
      <c r="D292" s="14" t="s">
        <v>11</v>
      </c>
      <c r="E292" s="14" t="s">
        <v>25</v>
      </c>
      <c r="F292" s="14" t="s">
        <v>26</v>
      </c>
      <c r="G292" s="305">
        <f>'AGOST-18'!I290</f>
        <v>0</v>
      </c>
      <c r="H292" s="51"/>
      <c r="I292" s="17">
        <f t="shared" si="5"/>
        <v>0</v>
      </c>
      <c r="J292" s="62"/>
      <c r="K292" s="387"/>
    </row>
    <row r="293" spans="1:11" ht="22.5" customHeight="1">
      <c r="A293" s="147">
        <v>54199</v>
      </c>
      <c r="B293" s="145" t="s">
        <v>405</v>
      </c>
      <c r="C293" s="55"/>
      <c r="D293" s="14" t="s">
        <v>11</v>
      </c>
      <c r="E293" s="14" t="s">
        <v>25</v>
      </c>
      <c r="F293" s="14" t="s">
        <v>26</v>
      </c>
      <c r="G293" s="305">
        <f>'AGOST-18'!I291</f>
        <v>0</v>
      </c>
      <c r="H293" s="51"/>
      <c r="I293" s="17">
        <f t="shared" si="5"/>
        <v>0</v>
      </c>
      <c r="J293" s="62"/>
      <c r="K293" s="387"/>
    </row>
    <row r="294" spans="1:11" ht="24">
      <c r="A294" s="147">
        <v>54399</v>
      </c>
      <c r="B294" s="145" t="s">
        <v>406</v>
      </c>
      <c r="C294" s="55"/>
      <c r="D294" s="14" t="s">
        <v>11</v>
      </c>
      <c r="E294" s="14" t="s">
        <v>25</v>
      </c>
      <c r="F294" s="14" t="s">
        <v>26</v>
      </c>
      <c r="G294" s="305">
        <f>'AGOST-18'!I292</f>
        <v>0</v>
      </c>
      <c r="H294" s="51"/>
      <c r="I294" s="17">
        <f t="shared" si="5"/>
        <v>0</v>
      </c>
      <c r="J294" s="62"/>
      <c r="K294" s="387"/>
    </row>
    <row r="295" spans="1:11" ht="23.25" customHeight="1">
      <c r="A295" s="147">
        <v>55603</v>
      </c>
      <c r="B295" s="145" t="s">
        <v>407</v>
      </c>
      <c r="C295" s="55"/>
      <c r="D295" s="14" t="s">
        <v>11</v>
      </c>
      <c r="E295" s="14" t="s">
        <v>25</v>
      </c>
      <c r="F295" s="14" t="s">
        <v>26</v>
      </c>
      <c r="G295" s="305">
        <f>'AGOST-18'!I293</f>
        <v>0</v>
      </c>
      <c r="H295" s="309"/>
      <c r="I295" s="17">
        <f t="shared" si="5"/>
        <v>0</v>
      </c>
      <c r="J295" s="62"/>
      <c r="K295" s="387"/>
    </row>
    <row r="296" spans="1:11" s="213" customFormat="1" ht="66.75" customHeight="1">
      <c r="A296" s="144" t="s">
        <v>408</v>
      </c>
      <c r="B296" s="54" t="s">
        <v>409</v>
      </c>
      <c r="C296" s="378" t="s">
        <v>1141</v>
      </c>
      <c r="D296" s="14"/>
      <c r="E296" s="14"/>
      <c r="F296" s="14"/>
      <c r="G296" s="305">
        <f>'AGOST-18'!I294</f>
        <v>0</v>
      </c>
      <c r="H296" s="51"/>
      <c r="I296" s="17"/>
      <c r="J296" s="62"/>
      <c r="K296" s="63"/>
    </row>
    <row r="297" spans="1:11" ht="29.25">
      <c r="A297" s="11">
        <v>51999</v>
      </c>
      <c r="B297" s="54" t="s">
        <v>410</v>
      </c>
      <c r="C297" s="55"/>
      <c r="D297" s="14" t="s">
        <v>11</v>
      </c>
      <c r="E297" s="14" t="s">
        <v>25</v>
      </c>
      <c r="F297" s="14" t="s">
        <v>26</v>
      </c>
      <c r="G297" s="305">
        <f>'AGOST-18'!I295</f>
        <v>1468.33</v>
      </c>
      <c r="H297" s="51">
        <f>334+325</f>
        <v>659</v>
      </c>
      <c r="I297" s="17">
        <f t="shared" si="5"/>
        <v>809.32999999999993</v>
      </c>
      <c r="J297" s="62"/>
      <c r="K297" s="63"/>
    </row>
    <row r="298" spans="1:11" ht="43.5">
      <c r="A298" s="11">
        <v>54107</v>
      </c>
      <c r="B298" s="54" t="s">
        <v>1211</v>
      </c>
      <c r="C298" s="55"/>
      <c r="D298" s="14" t="s">
        <v>11</v>
      </c>
      <c r="E298" s="14" t="s">
        <v>25</v>
      </c>
      <c r="F298" s="14" t="s">
        <v>26</v>
      </c>
      <c r="G298" s="305"/>
      <c r="H298" s="51">
        <f>14</f>
        <v>14</v>
      </c>
      <c r="I298" s="17">
        <f t="shared" si="5"/>
        <v>86</v>
      </c>
      <c r="J298" s="408">
        <v>100</v>
      </c>
      <c r="K298" s="63"/>
    </row>
    <row r="299" spans="1:11" ht="29.25">
      <c r="A299" s="11">
        <v>54111</v>
      </c>
      <c r="B299" s="54" t="s">
        <v>411</v>
      </c>
      <c r="C299" s="55" t="s">
        <v>1142</v>
      </c>
      <c r="D299" s="14" t="s">
        <v>11</v>
      </c>
      <c r="E299" s="14" t="s">
        <v>25</v>
      </c>
      <c r="F299" s="14" t="s">
        <v>26</v>
      </c>
      <c r="G299" s="305">
        <f>'AGOST-18'!I296</f>
        <v>2275.33</v>
      </c>
      <c r="H299" s="51"/>
      <c r="I299" s="17">
        <f t="shared" si="5"/>
        <v>2275.33</v>
      </c>
      <c r="J299" s="62"/>
      <c r="K299" s="320"/>
    </row>
    <row r="300" spans="1:11" ht="29.25">
      <c r="A300" s="11">
        <v>54112</v>
      </c>
      <c r="B300" s="54" t="s">
        <v>412</v>
      </c>
      <c r="C300" s="55"/>
      <c r="D300" s="14" t="s">
        <v>11</v>
      </c>
      <c r="E300" s="14" t="s">
        <v>25</v>
      </c>
      <c r="F300" s="14" t="s">
        <v>26</v>
      </c>
      <c r="G300" s="305">
        <f>'AGOST-18'!I297</f>
        <v>1960.8</v>
      </c>
      <c r="H300" s="51">
        <f>443.25</f>
        <v>443.25</v>
      </c>
      <c r="I300" s="17">
        <f t="shared" si="5"/>
        <v>1517.55</v>
      </c>
      <c r="J300" s="62"/>
      <c r="K300" s="320"/>
    </row>
    <row r="301" spans="1:11" ht="30">
      <c r="A301" s="11">
        <v>54118</v>
      </c>
      <c r="B301" s="54" t="s">
        <v>413</v>
      </c>
      <c r="C301" s="55" t="s">
        <v>1142</v>
      </c>
      <c r="D301" s="14" t="s">
        <v>11</v>
      </c>
      <c r="E301" s="14" t="s">
        <v>25</v>
      </c>
      <c r="F301" s="14" t="s">
        <v>26</v>
      </c>
      <c r="G301" s="305">
        <f>'AGOST-18'!I298</f>
        <v>2087.9499999999998</v>
      </c>
      <c r="H301" s="51">
        <f>129+146</f>
        <v>275</v>
      </c>
      <c r="I301" s="17">
        <f t="shared" si="5"/>
        <v>1812.9499999999998</v>
      </c>
      <c r="J301" s="62"/>
      <c r="K301" s="320"/>
    </row>
    <row r="302" spans="1:11" ht="29.25">
      <c r="A302" s="11">
        <v>54199</v>
      </c>
      <c r="B302" s="54" t="s">
        <v>414</v>
      </c>
      <c r="C302" s="55"/>
      <c r="D302" s="14" t="s">
        <v>11</v>
      </c>
      <c r="E302" s="14" t="s">
        <v>25</v>
      </c>
      <c r="F302" s="14" t="s">
        <v>26</v>
      </c>
      <c r="G302" s="305">
        <f>'AGOST-18'!I299</f>
        <v>681.88</v>
      </c>
      <c r="H302" s="51">
        <f>37.9</f>
        <v>37.9</v>
      </c>
      <c r="I302" s="17">
        <f t="shared" si="5"/>
        <v>643.98</v>
      </c>
      <c r="J302" s="62"/>
      <c r="K302" s="320"/>
    </row>
    <row r="303" spans="1:11" ht="30">
      <c r="A303" s="11">
        <v>54301</v>
      </c>
      <c r="B303" s="54" t="s">
        <v>415</v>
      </c>
      <c r="C303" s="55" t="s">
        <v>1142</v>
      </c>
      <c r="D303" s="14" t="s">
        <v>11</v>
      </c>
      <c r="E303" s="14" t="s">
        <v>25</v>
      </c>
      <c r="F303" s="14" t="s">
        <v>26</v>
      </c>
      <c r="G303" s="305">
        <f>'AGOST-18'!I300</f>
        <v>493.25000000000023</v>
      </c>
      <c r="H303" s="51">
        <f>70+90</f>
        <v>160</v>
      </c>
      <c r="I303" s="17">
        <f t="shared" si="5"/>
        <v>333.25000000000023</v>
      </c>
      <c r="J303" s="62"/>
      <c r="K303" s="320"/>
    </row>
    <row r="304" spans="1:11" ht="29.25">
      <c r="A304" s="11">
        <v>54316</v>
      </c>
      <c r="B304" s="54" t="s">
        <v>1146</v>
      </c>
      <c r="C304" s="55" t="s">
        <v>1142</v>
      </c>
      <c r="D304" s="14" t="s">
        <v>11</v>
      </c>
      <c r="E304" s="14" t="s">
        <v>25</v>
      </c>
      <c r="F304" s="14" t="s">
        <v>26</v>
      </c>
      <c r="G304" s="305">
        <f>'AGOST-18'!I301</f>
        <v>410</v>
      </c>
      <c r="H304" s="51"/>
      <c r="I304" s="17">
        <f t="shared" si="5"/>
        <v>410</v>
      </c>
      <c r="J304" s="108"/>
      <c r="K304" s="320"/>
    </row>
    <row r="305" spans="1:11" ht="30">
      <c r="A305" s="11">
        <v>54399</v>
      </c>
      <c r="B305" s="54" t="s">
        <v>416</v>
      </c>
      <c r="C305" s="55"/>
      <c r="D305" s="14" t="s">
        <v>11</v>
      </c>
      <c r="E305" s="14" t="s">
        <v>25</v>
      </c>
      <c r="F305" s="14" t="s">
        <v>26</v>
      </c>
      <c r="G305" s="305">
        <f>'AGOST-18'!I302</f>
        <v>241.5</v>
      </c>
      <c r="H305" s="51"/>
      <c r="I305" s="17">
        <f t="shared" si="5"/>
        <v>141.5</v>
      </c>
      <c r="J305" s="62"/>
      <c r="K305" s="320">
        <v>100</v>
      </c>
    </row>
    <row r="306" spans="1:11" ht="29.25">
      <c r="A306" s="11">
        <v>55603</v>
      </c>
      <c r="B306" s="54" t="s">
        <v>417</v>
      </c>
      <c r="C306" s="55"/>
      <c r="D306" s="14" t="s">
        <v>11</v>
      </c>
      <c r="E306" s="14" t="s">
        <v>25</v>
      </c>
      <c r="F306" s="14" t="s">
        <v>26</v>
      </c>
      <c r="G306" s="305">
        <f>'AGOST-18'!I303</f>
        <v>1.7499999999999991</v>
      </c>
      <c r="H306" s="51"/>
      <c r="I306" s="17">
        <f t="shared" si="5"/>
        <v>1.7499999999999991</v>
      </c>
      <c r="J306" s="62"/>
      <c r="K306" s="63"/>
    </row>
    <row r="307" spans="1:11" ht="64.5" customHeight="1">
      <c r="A307" s="144" t="s">
        <v>418</v>
      </c>
      <c r="B307" s="54" t="s">
        <v>419</v>
      </c>
      <c r="C307" s="344" t="s">
        <v>1144</v>
      </c>
      <c r="D307" s="14"/>
      <c r="E307" s="14"/>
      <c r="F307" s="14"/>
      <c r="G307" s="305">
        <f>'AGOST-18'!I304</f>
        <v>0</v>
      </c>
      <c r="H307" s="51"/>
      <c r="I307" s="17"/>
      <c r="J307" s="62"/>
      <c r="K307" s="63"/>
    </row>
    <row r="308" spans="1:11" ht="20.25" customHeight="1">
      <c r="A308" s="11">
        <v>51202</v>
      </c>
      <c r="B308" s="54" t="s">
        <v>420</v>
      </c>
      <c r="C308" s="55"/>
      <c r="D308" s="14" t="s">
        <v>11</v>
      </c>
      <c r="E308" s="14" t="s">
        <v>25</v>
      </c>
      <c r="F308" s="14" t="s">
        <v>26</v>
      </c>
      <c r="G308" s="305">
        <f>'AGOST-18'!I305</f>
        <v>453.28</v>
      </c>
      <c r="H308" s="51">
        <f>105+70+70+50+50+50+75+60+50+50+50+50+50+100+100+150+50+100+50+75+60+50+50+50+50+50</f>
        <v>1715</v>
      </c>
      <c r="I308" s="17">
        <f t="shared" si="5"/>
        <v>238.27999999999997</v>
      </c>
      <c r="J308" s="408">
        <v>1500</v>
      </c>
      <c r="K308" s="320"/>
    </row>
    <row r="309" spans="1:11" ht="25.5" customHeight="1">
      <c r="A309" s="11">
        <v>54110</v>
      </c>
      <c r="B309" s="54" t="s">
        <v>421</v>
      </c>
      <c r="C309" s="55"/>
      <c r="D309" s="14" t="s">
        <v>11</v>
      </c>
      <c r="E309" s="14" t="s">
        <v>25</v>
      </c>
      <c r="F309" s="14" t="s">
        <v>26</v>
      </c>
      <c r="G309" s="305">
        <f>'AGOST-18'!I306</f>
        <v>4972.3999999999996</v>
      </c>
      <c r="H309" s="51"/>
      <c r="I309" s="17">
        <f t="shared" si="5"/>
        <v>3472.3999999999996</v>
      </c>
      <c r="J309" s="62"/>
      <c r="K309" s="320">
        <v>1500</v>
      </c>
    </row>
    <row r="310" spans="1:11" ht="29.25">
      <c r="A310" s="11">
        <v>54111</v>
      </c>
      <c r="B310" s="54" t="s">
        <v>422</v>
      </c>
      <c r="C310" s="55" t="s">
        <v>1145</v>
      </c>
      <c r="D310" s="14" t="s">
        <v>11</v>
      </c>
      <c r="E310" s="14" t="s">
        <v>25</v>
      </c>
      <c r="F310" s="14" t="s">
        <v>26</v>
      </c>
      <c r="G310" s="305">
        <f>'AGOST-18'!I307</f>
        <v>3010.7799999999997</v>
      </c>
      <c r="H310" s="51"/>
      <c r="I310" s="17">
        <f t="shared" si="5"/>
        <v>3010.7799999999997</v>
      </c>
      <c r="J310" s="108"/>
      <c r="K310" s="320"/>
    </row>
    <row r="311" spans="1:11" ht="29.25">
      <c r="A311" s="11">
        <v>54112</v>
      </c>
      <c r="B311" s="54" t="s">
        <v>423</v>
      </c>
      <c r="C311" s="55" t="s">
        <v>1145</v>
      </c>
      <c r="D311" s="14" t="s">
        <v>11</v>
      </c>
      <c r="E311" s="14" t="s">
        <v>25</v>
      </c>
      <c r="F311" s="14" t="s">
        <v>26</v>
      </c>
      <c r="G311" s="305">
        <f>'AGOST-18'!I308</f>
        <v>1861.25</v>
      </c>
      <c r="H311" s="51">
        <f>370</f>
        <v>370</v>
      </c>
      <c r="I311" s="17">
        <f t="shared" si="5"/>
        <v>1491.25</v>
      </c>
      <c r="J311" s="62"/>
      <c r="K311" s="320"/>
    </row>
    <row r="312" spans="1:11" ht="29.25">
      <c r="A312" s="11">
        <v>54313</v>
      </c>
      <c r="B312" s="54" t="s">
        <v>424</v>
      </c>
      <c r="C312" s="55"/>
      <c r="D312" s="14" t="s">
        <v>11</v>
      </c>
      <c r="E312" s="14" t="s">
        <v>25</v>
      </c>
      <c r="F312" s="14" t="s">
        <v>26</v>
      </c>
      <c r="G312" s="305">
        <f>'AGOST-18'!I309</f>
        <v>490</v>
      </c>
      <c r="H312" s="51"/>
      <c r="I312" s="17">
        <f t="shared" si="5"/>
        <v>490</v>
      </c>
      <c r="J312" s="62"/>
      <c r="K312" s="63"/>
    </row>
    <row r="313" spans="1:11" ht="29.25">
      <c r="A313" s="11">
        <v>54316</v>
      </c>
      <c r="B313" s="54" t="s">
        <v>425</v>
      </c>
      <c r="C313" s="55"/>
      <c r="D313" s="14" t="s">
        <v>11</v>
      </c>
      <c r="E313" s="14" t="s">
        <v>25</v>
      </c>
      <c r="F313" s="14" t="s">
        <v>26</v>
      </c>
      <c r="G313" s="305">
        <f>'AGOST-18'!I310</f>
        <v>270</v>
      </c>
      <c r="H313" s="51">
        <f>450+6580</f>
        <v>7030</v>
      </c>
      <c r="I313" s="17">
        <f t="shared" si="5"/>
        <v>3240</v>
      </c>
      <c r="J313" s="408">
        <v>10000</v>
      </c>
      <c r="K313" s="63"/>
    </row>
    <row r="314" spans="1:11" ht="30">
      <c r="A314" s="11">
        <v>54399</v>
      </c>
      <c r="B314" s="54" t="s">
        <v>399</v>
      </c>
      <c r="C314" s="55"/>
      <c r="D314" s="14" t="s">
        <v>11</v>
      </c>
      <c r="E314" s="14" t="s">
        <v>25</v>
      </c>
      <c r="F314" s="14" t="s">
        <v>26</v>
      </c>
      <c r="G314" s="305">
        <f>'AGOST-18'!I311</f>
        <v>5000</v>
      </c>
      <c r="H314" s="51"/>
      <c r="I314" s="17">
        <f t="shared" si="5"/>
        <v>3000</v>
      </c>
      <c r="J314" s="62"/>
      <c r="K314" s="320">
        <v>2000</v>
      </c>
    </row>
    <row r="315" spans="1:11">
      <c r="A315" s="11">
        <v>55603</v>
      </c>
      <c r="B315" s="54" t="s">
        <v>427</v>
      </c>
      <c r="C315" s="55"/>
      <c r="D315" s="14" t="s">
        <v>11</v>
      </c>
      <c r="E315" s="14" t="s">
        <v>25</v>
      </c>
      <c r="F315" s="14" t="s">
        <v>26</v>
      </c>
      <c r="G315" s="305">
        <f>'AGOST-18'!I312</f>
        <v>4.5699999999999994</v>
      </c>
      <c r="H315" s="51">
        <f>3.39</f>
        <v>3.39</v>
      </c>
      <c r="I315" s="17">
        <f t="shared" si="5"/>
        <v>1.1799999999999993</v>
      </c>
      <c r="J315" s="62"/>
      <c r="K315" s="63"/>
    </row>
    <row r="316" spans="1:11" ht="20.25" customHeight="1">
      <c r="A316" s="11">
        <v>55799</v>
      </c>
      <c r="B316" s="54" t="s">
        <v>428</v>
      </c>
      <c r="C316" s="55"/>
      <c r="D316" s="14" t="s">
        <v>11</v>
      </c>
      <c r="E316" s="14" t="s">
        <v>25</v>
      </c>
      <c r="F316" s="14" t="s">
        <v>26</v>
      </c>
      <c r="G316" s="305">
        <f>'AGOST-18'!I313</f>
        <v>10000</v>
      </c>
      <c r="H316" s="51"/>
      <c r="I316" s="17">
        <f t="shared" si="5"/>
        <v>2000</v>
      </c>
      <c r="J316" s="62"/>
      <c r="K316" s="320">
        <v>8000</v>
      </c>
    </row>
    <row r="317" spans="1:11" ht="77.25" customHeight="1">
      <c r="A317" s="144" t="s">
        <v>429</v>
      </c>
      <c r="B317" s="399" t="s">
        <v>430</v>
      </c>
      <c r="C317" s="343" t="s">
        <v>1102</v>
      </c>
      <c r="D317" s="14"/>
      <c r="E317" s="14"/>
      <c r="F317" s="14"/>
      <c r="G317" s="305">
        <f>'AGOST-18'!I314</f>
        <v>0</v>
      </c>
      <c r="H317" s="51"/>
      <c r="I317" s="17"/>
      <c r="J317" s="62"/>
      <c r="K317" s="63"/>
    </row>
    <row r="318" spans="1:11" ht="33.75" customHeight="1">
      <c r="A318" s="148">
        <v>54199</v>
      </c>
      <c r="B318" s="54" t="s">
        <v>431</v>
      </c>
      <c r="C318" s="55" t="s">
        <v>1103</v>
      </c>
      <c r="D318" s="14" t="s">
        <v>11</v>
      </c>
      <c r="E318" s="14" t="s">
        <v>25</v>
      </c>
      <c r="F318" s="14" t="s">
        <v>26</v>
      </c>
      <c r="G318" s="305">
        <f>'AGOST-18'!I315</f>
        <v>2675</v>
      </c>
      <c r="H318" s="51"/>
      <c r="I318" s="17">
        <f t="shared" si="5"/>
        <v>2675</v>
      </c>
      <c r="J318" s="62"/>
      <c r="K318" s="63"/>
    </row>
    <row r="319" spans="1:11" ht="73.5" customHeight="1">
      <c r="A319" s="148">
        <v>54314</v>
      </c>
      <c r="B319" s="179" t="s">
        <v>1202</v>
      </c>
      <c r="C319" s="55" t="s">
        <v>1103</v>
      </c>
      <c r="D319" s="14" t="s">
        <v>11</v>
      </c>
      <c r="E319" s="14" t="s">
        <v>25</v>
      </c>
      <c r="F319" s="14" t="s">
        <v>26</v>
      </c>
      <c r="G319" s="305">
        <f>'AGOST-18'!I316</f>
        <v>7784.5599999999995</v>
      </c>
      <c r="H319" s="135">
        <f>115+115+117.65+350+150+150</f>
        <v>997.65</v>
      </c>
      <c r="I319" s="17">
        <f t="shared" si="5"/>
        <v>6786.91</v>
      </c>
      <c r="J319" s="62"/>
      <c r="K319" s="63"/>
    </row>
    <row r="320" spans="1:11" ht="30.75" customHeight="1">
      <c r="A320" s="148">
        <v>54399</v>
      </c>
      <c r="B320" s="54" t="s">
        <v>433</v>
      </c>
      <c r="C320" s="55"/>
      <c r="D320" s="14" t="s">
        <v>11</v>
      </c>
      <c r="E320" s="14" t="s">
        <v>25</v>
      </c>
      <c r="F320" s="14" t="s">
        <v>26</v>
      </c>
      <c r="G320" s="305">
        <f>'AGOST-18'!I317</f>
        <v>5000</v>
      </c>
      <c r="H320" s="51"/>
      <c r="I320" s="17">
        <f t="shared" si="5"/>
        <v>5000</v>
      </c>
      <c r="J320" s="62"/>
      <c r="K320" s="63"/>
    </row>
    <row r="321" spans="1:11" ht="33" customHeight="1">
      <c r="A321" s="148">
        <v>55603</v>
      </c>
      <c r="B321" s="54" t="s">
        <v>434</v>
      </c>
      <c r="C321" s="55"/>
      <c r="D321" s="14" t="s">
        <v>11</v>
      </c>
      <c r="E321" s="14" t="s">
        <v>25</v>
      </c>
      <c r="F321" s="14" t="s">
        <v>26</v>
      </c>
      <c r="G321" s="305">
        <f>'AGOST-18'!I318</f>
        <v>4.169999999999999</v>
      </c>
      <c r="H321" s="51"/>
      <c r="I321" s="17">
        <f t="shared" si="5"/>
        <v>4.169999999999999</v>
      </c>
      <c r="J321" s="62"/>
      <c r="K321" s="63"/>
    </row>
    <row r="322" spans="1:11" ht="31.5" customHeight="1">
      <c r="A322" s="148">
        <v>56303</v>
      </c>
      <c r="B322" s="54" t="s">
        <v>986</v>
      </c>
      <c r="C322" s="55"/>
      <c r="D322" s="14" t="s">
        <v>11</v>
      </c>
      <c r="E322" s="14" t="s">
        <v>25</v>
      </c>
      <c r="F322" s="14" t="s">
        <v>26</v>
      </c>
      <c r="G322" s="305">
        <f>'AGOST-18'!I319</f>
        <v>9990</v>
      </c>
      <c r="H322" s="108"/>
      <c r="I322" s="17">
        <f t="shared" si="5"/>
        <v>9990</v>
      </c>
      <c r="J322" s="62"/>
      <c r="K322" s="63"/>
    </row>
    <row r="323" spans="1:11" ht="77.25" customHeight="1">
      <c r="A323" s="144" t="s">
        <v>437</v>
      </c>
      <c r="B323" s="54" t="s">
        <v>436</v>
      </c>
      <c r="C323" s="55"/>
      <c r="D323" s="14" t="s">
        <v>11</v>
      </c>
      <c r="E323" s="14" t="s">
        <v>25</v>
      </c>
      <c r="F323" s="14" t="s">
        <v>26</v>
      </c>
      <c r="G323" s="305">
        <f>'AGOST-18'!I320</f>
        <v>0</v>
      </c>
      <c r="H323" s="51"/>
      <c r="I323" s="17"/>
      <c r="J323" s="62"/>
      <c r="K323" s="63"/>
    </row>
    <row r="324" spans="1:11" ht="28.5" customHeight="1">
      <c r="A324" s="148">
        <v>54199</v>
      </c>
      <c r="B324" s="54" t="s">
        <v>438</v>
      </c>
      <c r="C324" s="55"/>
      <c r="D324" s="14" t="s">
        <v>11</v>
      </c>
      <c r="E324" s="14" t="s">
        <v>25</v>
      </c>
      <c r="F324" s="14" t="s">
        <v>26</v>
      </c>
      <c r="G324" s="305">
        <f>'AGOST-18'!I321</f>
        <v>0</v>
      </c>
      <c r="H324" s="51"/>
      <c r="I324" s="17">
        <f t="shared" si="5"/>
        <v>0</v>
      </c>
      <c r="J324" s="62"/>
      <c r="K324" s="281"/>
    </row>
    <row r="325" spans="1:11" ht="15" customHeight="1">
      <c r="A325" s="148">
        <v>54314</v>
      </c>
      <c r="B325" s="54" t="s">
        <v>439</v>
      </c>
      <c r="C325" s="55"/>
      <c r="D325" s="14" t="s">
        <v>11</v>
      </c>
      <c r="E325" s="14" t="s">
        <v>25</v>
      </c>
      <c r="F325" s="14" t="s">
        <v>26</v>
      </c>
      <c r="G325" s="305">
        <f>'AGOST-18'!I322</f>
        <v>0</v>
      </c>
      <c r="H325" s="51"/>
      <c r="I325" s="17">
        <f t="shared" si="5"/>
        <v>0</v>
      </c>
      <c r="J325" s="62"/>
      <c r="K325" s="281"/>
    </row>
    <row r="326" spans="1:11" ht="27.75" customHeight="1">
      <c r="A326" s="148">
        <v>54399</v>
      </c>
      <c r="B326" s="54" t="s">
        <v>440</v>
      </c>
      <c r="C326" s="55"/>
      <c r="D326" s="14" t="s">
        <v>11</v>
      </c>
      <c r="E326" s="14" t="s">
        <v>25</v>
      </c>
      <c r="F326" s="14" t="s">
        <v>26</v>
      </c>
      <c r="G326" s="305">
        <f>'AGOST-18'!I323</f>
        <v>0</v>
      </c>
      <c r="H326" s="51"/>
      <c r="I326" s="17">
        <f t="shared" si="5"/>
        <v>0</v>
      </c>
      <c r="J326" s="62"/>
      <c r="K326" s="281"/>
    </row>
    <row r="327" spans="1:11" ht="29.25" customHeight="1">
      <c r="A327" s="148">
        <v>55603</v>
      </c>
      <c r="B327" s="54" t="s">
        <v>441</v>
      </c>
      <c r="C327" s="55"/>
      <c r="D327" s="14" t="s">
        <v>11</v>
      </c>
      <c r="E327" s="14" t="s">
        <v>25</v>
      </c>
      <c r="F327" s="14" t="s">
        <v>26</v>
      </c>
      <c r="G327" s="305">
        <f>'AGOST-18'!I324</f>
        <v>0</v>
      </c>
      <c r="H327" s="51"/>
      <c r="I327" s="17">
        <f t="shared" si="5"/>
        <v>0</v>
      </c>
      <c r="J327" s="62"/>
      <c r="K327" s="281"/>
    </row>
    <row r="328" spans="1:11" ht="18" customHeight="1">
      <c r="A328" s="148">
        <v>55799</v>
      </c>
      <c r="B328" s="54" t="s">
        <v>442</v>
      </c>
      <c r="C328" s="55"/>
      <c r="D328" s="14" t="s">
        <v>11</v>
      </c>
      <c r="E328" s="14" t="s">
        <v>25</v>
      </c>
      <c r="F328" s="14" t="s">
        <v>26</v>
      </c>
      <c r="G328" s="305">
        <f>'AGOST-18'!I325</f>
        <v>0</v>
      </c>
      <c r="H328" s="51"/>
      <c r="I328" s="17">
        <f t="shared" si="5"/>
        <v>0</v>
      </c>
      <c r="J328" s="62"/>
      <c r="K328" s="281"/>
    </row>
    <row r="329" spans="1:11" ht="68.25" customHeight="1">
      <c r="A329" s="144" t="s">
        <v>443</v>
      </c>
      <c r="B329" s="339" t="s">
        <v>1136</v>
      </c>
      <c r="C329" s="343" t="s">
        <v>1122</v>
      </c>
      <c r="D329" s="14"/>
      <c r="E329" s="14"/>
      <c r="F329" s="14"/>
      <c r="G329" s="305">
        <f>'AGOST-18'!I326</f>
        <v>0</v>
      </c>
      <c r="H329" s="51"/>
      <c r="I329" s="17"/>
      <c r="J329" s="62"/>
      <c r="K329" s="63"/>
    </row>
    <row r="330" spans="1:11" ht="27.75" customHeight="1">
      <c r="A330" s="148">
        <v>54199</v>
      </c>
      <c r="B330" s="54" t="s">
        <v>445</v>
      </c>
      <c r="C330" s="55"/>
      <c r="D330" s="14" t="s">
        <v>11</v>
      </c>
      <c r="E330" s="14" t="s">
        <v>25</v>
      </c>
      <c r="F330" s="14" t="s">
        <v>26</v>
      </c>
      <c r="G330" s="305">
        <f>'AGOST-18'!I327</f>
        <v>0</v>
      </c>
      <c r="H330" s="51"/>
      <c r="I330" s="17">
        <f t="shared" si="5"/>
        <v>0</v>
      </c>
      <c r="J330" s="62"/>
      <c r="K330" s="320"/>
    </row>
    <row r="331" spans="1:11" ht="24.75" customHeight="1">
      <c r="A331" s="148">
        <v>54314</v>
      </c>
      <c r="B331" s="54" t="s">
        <v>446</v>
      </c>
      <c r="C331" s="55"/>
      <c r="D331" s="14" t="s">
        <v>11</v>
      </c>
      <c r="E331" s="14" t="s">
        <v>25</v>
      </c>
      <c r="F331" s="14" t="s">
        <v>26</v>
      </c>
      <c r="G331" s="305">
        <f>'AGOST-18'!I328</f>
        <v>2.7284841053187847E-12</v>
      </c>
      <c r="H331" s="51"/>
      <c r="I331" s="18">
        <f t="shared" si="5"/>
        <v>2.7284841053187847E-12</v>
      </c>
      <c r="J331" s="108"/>
      <c r="K331" s="320"/>
    </row>
    <row r="332" spans="1:11" ht="33.75" customHeight="1">
      <c r="A332" s="148">
        <v>54313</v>
      </c>
      <c r="B332" s="54" t="s">
        <v>447</v>
      </c>
      <c r="C332" s="55"/>
      <c r="D332" s="14" t="s">
        <v>11</v>
      </c>
      <c r="E332" s="14" t="s">
        <v>25</v>
      </c>
      <c r="F332" s="14" t="s">
        <v>26</v>
      </c>
      <c r="G332" s="305">
        <f>'AGOST-18'!I329</f>
        <v>0</v>
      </c>
      <c r="H332" s="51"/>
      <c r="I332" s="17">
        <f t="shared" si="5"/>
        <v>0</v>
      </c>
      <c r="J332" s="62"/>
      <c r="K332" s="320"/>
    </row>
    <row r="333" spans="1:11" ht="28.5" customHeight="1">
      <c r="A333" s="148">
        <v>55399</v>
      </c>
      <c r="B333" s="149" t="s">
        <v>450</v>
      </c>
      <c r="C333" s="55"/>
      <c r="D333" s="14" t="s">
        <v>11</v>
      </c>
      <c r="E333" s="14" t="s">
        <v>25</v>
      </c>
      <c r="F333" s="14" t="s">
        <v>26</v>
      </c>
      <c r="G333" s="305">
        <f>'AGOST-18'!I330</f>
        <v>0</v>
      </c>
      <c r="H333" s="51"/>
      <c r="I333" s="18">
        <f t="shared" si="5"/>
        <v>0</v>
      </c>
      <c r="J333" s="108"/>
      <c r="K333" s="320"/>
    </row>
    <row r="334" spans="1:11" ht="30.75" customHeight="1">
      <c r="A334" s="148">
        <v>55603</v>
      </c>
      <c r="B334" s="54" t="s">
        <v>448</v>
      </c>
      <c r="C334" s="55"/>
      <c r="D334" s="14" t="s">
        <v>11</v>
      </c>
      <c r="E334" s="14" t="s">
        <v>25</v>
      </c>
      <c r="F334" s="14" t="s">
        <v>26</v>
      </c>
      <c r="G334" s="305">
        <f>'AGOST-18'!I331</f>
        <v>0</v>
      </c>
      <c r="H334" s="51"/>
      <c r="I334" s="17">
        <f t="shared" si="5"/>
        <v>0</v>
      </c>
      <c r="J334" s="62"/>
      <c r="K334" s="320"/>
    </row>
    <row r="335" spans="1:11" ht="31.5" customHeight="1">
      <c r="A335" s="148">
        <v>56303</v>
      </c>
      <c r="B335" s="54" t="s">
        <v>449</v>
      </c>
      <c r="C335" s="55"/>
      <c r="D335" s="14" t="s">
        <v>11</v>
      </c>
      <c r="E335" s="14" t="s">
        <v>25</v>
      </c>
      <c r="F335" s="14" t="s">
        <v>26</v>
      </c>
      <c r="G335" s="305">
        <f>'AGOST-18'!I332</f>
        <v>0</v>
      </c>
      <c r="H335" s="51"/>
      <c r="I335" s="17">
        <f t="shared" si="5"/>
        <v>0</v>
      </c>
      <c r="J335" s="62"/>
      <c r="K335" s="320"/>
    </row>
    <row r="336" spans="1:11" ht="74.25" customHeight="1">
      <c r="A336" s="415" t="s">
        <v>451</v>
      </c>
      <c r="B336" s="54" t="s">
        <v>452</v>
      </c>
      <c r="C336" s="55"/>
      <c r="D336" s="14"/>
      <c r="E336" s="14"/>
      <c r="F336" s="14"/>
      <c r="G336" s="305">
        <f>'AGOST-18'!I333</f>
        <v>0</v>
      </c>
      <c r="H336" s="51"/>
      <c r="I336" s="17"/>
      <c r="J336" s="52"/>
      <c r="K336" s="52"/>
    </row>
    <row r="337" spans="1:11" ht="30.75" customHeight="1">
      <c r="A337" s="4">
        <v>54199</v>
      </c>
      <c r="B337" s="5" t="s">
        <v>453</v>
      </c>
      <c r="C337" s="10"/>
      <c r="D337" s="14" t="s">
        <v>11</v>
      </c>
      <c r="E337" s="14" t="s">
        <v>25</v>
      </c>
      <c r="F337" s="14" t="s">
        <v>26</v>
      </c>
      <c r="G337" s="305">
        <f>'AGOST-18'!I334</f>
        <v>3000</v>
      </c>
      <c r="H337" s="51"/>
      <c r="I337" s="17">
        <f t="shared" si="5"/>
        <v>0</v>
      </c>
      <c r="J337" s="44"/>
      <c r="K337" s="414">
        <v>3000</v>
      </c>
    </row>
    <row r="338" spans="1:11" ht="40.5" customHeight="1">
      <c r="A338" s="11">
        <v>54314</v>
      </c>
      <c r="B338" s="150" t="s">
        <v>454</v>
      </c>
      <c r="C338" s="55"/>
      <c r="D338" s="14" t="s">
        <v>11</v>
      </c>
      <c r="E338" s="14" t="s">
        <v>25</v>
      </c>
      <c r="F338" s="14" t="s">
        <v>26</v>
      </c>
      <c r="G338" s="305">
        <f>'AGOST-18'!I335</f>
        <v>6000</v>
      </c>
      <c r="H338" s="51">
        <f>420+93+226+169.5+600+1884.5+228.2+375+900+3200</f>
        <v>8096.2</v>
      </c>
      <c r="I338" s="17">
        <f t="shared" si="5"/>
        <v>903.80000000000018</v>
      </c>
      <c r="J338" s="108">
        <v>3000</v>
      </c>
      <c r="K338" s="413"/>
    </row>
    <row r="339" spans="1:11" ht="44.25" customHeight="1">
      <c r="A339" s="11">
        <v>54304</v>
      </c>
      <c r="B339" s="150" t="s">
        <v>1210</v>
      </c>
      <c r="C339" s="55"/>
      <c r="D339" s="14" t="s">
        <v>11</v>
      </c>
      <c r="E339" s="14" t="s">
        <v>25</v>
      </c>
      <c r="F339" s="14" t="s">
        <v>26</v>
      </c>
      <c r="G339" s="305"/>
      <c r="H339" s="51">
        <f>50+50+50+50+50+50+50+50+50+50+50+50+50+50+50+50+50+50+50+50+50+50</f>
        <v>1100</v>
      </c>
      <c r="I339" s="17">
        <f t="shared" si="5"/>
        <v>900</v>
      </c>
      <c r="J339" s="108">
        <v>2000</v>
      </c>
      <c r="K339" s="413"/>
    </row>
    <row r="340" spans="1:11" ht="43.5" customHeight="1">
      <c r="A340" s="11">
        <v>54399</v>
      </c>
      <c r="B340" s="349" t="s">
        <v>455</v>
      </c>
      <c r="C340" s="13"/>
      <c r="D340" s="14" t="s">
        <v>11</v>
      </c>
      <c r="E340" s="14" t="s">
        <v>25</v>
      </c>
      <c r="F340" s="14" t="s">
        <v>26</v>
      </c>
      <c r="G340" s="305">
        <f>'AGOST-18'!I336</f>
        <v>0</v>
      </c>
      <c r="H340" s="51"/>
      <c r="I340" s="407">
        <f t="shared" si="5"/>
        <v>0</v>
      </c>
      <c r="J340" s="52"/>
      <c r="K340" s="301"/>
    </row>
    <row r="341" spans="1:11" ht="29.25">
      <c r="A341" s="4">
        <v>55603</v>
      </c>
      <c r="B341" s="150" t="s">
        <v>456</v>
      </c>
      <c r="C341" s="9"/>
      <c r="D341" s="14" t="s">
        <v>11</v>
      </c>
      <c r="E341" s="14" t="s">
        <v>25</v>
      </c>
      <c r="F341" s="14" t="s">
        <v>26</v>
      </c>
      <c r="G341" s="305">
        <f>'AGOST-18'!I337</f>
        <v>10</v>
      </c>
      <c r="H341" s="51">
        <f>2.26</f>
        <v>2.2599999999999998</v>
      </c>
      <c r="I341" s="17">
        <f t="shared" si="5"/>
        <v>7.74</v>
      </c>
      <c r="J341" s="44"/>
      <c r="K341" s="414"/>
    </row>
    <row r="342" spans="1:11" ht="37.5" customHeight="1">
      <c r="A342" s="4">
        <v>55799</v>
      </c>
      <c r="B342" s="150" t="s">
        <v>457</v>
      </c>
      <c r="C342" s="9"/>
      <c r="D342" s="14" t="s">
        <v>11</v>
      </c>
      <c r="E342" s="14" t="s">
        <v>25</v>
      </c>
      <c r="F342" s="14" t="s">
        <v>26</v>
      </c>
      <c r="G342" s="305">
        <f>'AGOST-18'!I338</f>
        <v>1269.74</v>
      </c>
      <c r="H342" s="51"/>
      <c r="I342" s="17">
        <f t="shared" si="5"/>
        <v>0</v>
      </c>
      <c r="J342" s="44"/>
      <c r="K342" s="414">
        <v>1269.74</v>
      </c>
    </row>
    <row r="343" spans="1:11" ht="68.25" customHeight="1">
      <c r="A343" s="144" t="s">
        <v>459</v>
      </c>
      <c r="B343" s="54" t="s">
        <v>458</v>
      </c>
      <c r="C343" s="9"/>
      <c r="D343" s="3"/>
      <c r="E343" s="3"/>
      <c r="F343" s="3"/>
      <c r="G343" s="305">
        <f>'AGOST-18'!I339</f>
        <v>0</v>
      </c>
      <c r="H343" s="51"/>
      <c r="I343" s="17"/>
      <c r="J343" s="44"/>
      <c r="K343" s="44"/>
    </row>
    <row r="344" spans="1:11" ht="25.5" customHeight="1">
      <c r="A344" s="4">
        <v>54314</v>
      </c>
      <c r="B344" s="70" t="s">
        <v>460</v>
      </c>
      <c r="C344" s="5"/>
      <c r="D344" s="14" t="s">
        <v>11</v>
      </c>
      <c r="E344" s="14" t="s">
        <v>25</v>
      </c>
      <c r="F344" s="14" t="s">
        <v>26</v>
      </c>
      <c r="G344" s="305">
        <f>'AGOST-18'!I340</f>
        <v>1370.1399999999999</v>
      </c>
      <c r="H344" s="51"/>
      <c r="I344" s="17">
        <f>G344-H344+J344-K344</f>
        <v>639.87999999999988</v>
      </c>
      <c r="J344" s="44"/>
      <c r="K344" s="419">
        <v>730.26</v>
      </c>
    </row>
    <row r="345" spans="1:11" ht="63.75" customHeight="1">
      <c r="A345" s="144" t="s">
        <v>461</v>
      </c>
      <c r="B345" s="54" t="s">
        <v>470</v>
      </c>
      <c r="C345" s="55"/>
      <c r="D345" s="14"/>
      <c r="E345" s="14"/>
      <c r="F345" s="14"/>
      <c r="G345" s="305">
        <f>'AGOST-18'!I341</f>
        <v>0</v>
      </c>
      <c r="H345" s="51"/>
      <c r="I345" s="17"/>
      <c r="J345" s="62"/>
      <c r="K345" s="63"/>
    </row>
    <row r="346" spans="1:11" ht="33" customHeight="1">
      <c r="A346" s="11">
        <v>54199</v>
      </c>
      <c r="B346" s="70" t="s">
        <v>462</v>
      </c>
      <c r="C346" s="55"/>
      <c r="D346" s="14" t="s">
        <v>11</v>
      </c>
      <c r="E346" s="14" t="s">
        <v>25</v>
      </c>
      <c r="F346" s="14" t="s">
        <v>26</v>
      </c>
      <c r="G346" s="305">
        <f>'AGOST-18'!I342</f>
        <v>2000</v>
      </c>
      <c r="H346" s="51"/>
      <c r="I346" s="17">
        <f>G346-H346+J346-K346</f>
        <v>2000</v>
      </c>
      <c r="J346" s="62"/>
      <c r="K346" s="63"/>
    </row>
    <row r="347" spans="1:11" ht="36.75" customHeight="1">
      <c r="A347" s="11">
        <v>54314</v>
      </c>
      <c r="B347" s="151" t="s">
        <v>463</v>
      </c>
      <c r="C347" s="55"/>
      <c r="D347" s="14" t="s">
        <v>11</v>
      </c>
      <c r="E347" s="14" t="s">
        <v>25</v>
      </c>
      <c r="F347" s="14" t="s">
        <v>26</v>
      </c>
      <c r="G347" s="305">
        <f>'AGOST-18'!I343</f>
        <v>22000</v>
      </c>
      <c r="H347" s="51"/>
      <c r="I347" s="17">
        <f t="shared" ref="I347:I413" si="6">G347-H347+J347-K347</f>
        <v>22000</v>
      </c>
      <c r="J347" s="62"/>
      <c r="K347" s="63"/>
    </row>
    <row r="348" spans="1:11" ht="39" customHeight="1">
      <c r="A348" s="11">
        <v>54313</v>
      </c>
      <c r="B348" s="151" t="s">
        <v>464</v>
      </c>
      <c r="C348" s="55"/>
      <c r="D348" s="14" t="s">
        <v>11</v>
      </c>
      <c r="E348" s="14" t="s">
        <v>25</v>
      </c>
      <c r="F348" s="14" t="s">
        <v>26</v>
      </c>
      <c r="G348" s="305">
        <f>'AGOST-18'!I344</f>
        <v>5000</v>
      </c>
      <c r="H348" s="51"/>
      <c r="I348" s="17">
        <f t="shared" si="6"/>
        <v>5000</v>
      </c>
      <c r="J348" s="62"/>
      <c r="K348" s="63"/>
    </row>
    <row r="349" spans="1:11" ht="33.75" customHeight="1">
      <c r="A349" s="11">
        <v>54399</v>
      </c>
      <c r="B349" s="151" t="s">
        <v>465</v>
      </c>
      <c r="C349" s="13"/>
      <c r="D349" s="14" t="s">
        <v>11</v>
      </c>
      <c r="E349" s="14" t="s">
        <v>25</v>
      </c>
      <c r="F349" s="14" t="s">
        <v>26</v>
      </c>
      <c r="G349" s="305">
        <f>'AGOST-18'!I345</f>
        <v>990</v>
      </c>
      <c r="H349" s="51"/>
      <c r="I349" s="17">
        <f t="shared" si="6"/>
        <v>990</v>
      </c>
      <c r="J349" s="52"/>
      <c r="K349" s="52"/>
    </row>
    <row r="350" spans="1:11" ht="35.25" customHeight="1">
      <c r="A350" s="11">
        <v>55603</v>
      </c>
      <c r="B350" s="151" t="s">
        <v>466</v>
      </c>
      <c r="C350" s="13"/>
      <c r="D350" s="14" t="s">
        <v>11</v>
      </c>
      <c r="E350" s="14" t="s">
        <v>25</v>
      </c>
      <c r="F350" s="14" t="s">
        <v>26</v>
      </c>
      <c r="G350" s="305">
        <f>'AGOST-18'!I346</f>
        <v>10</v>
      </c>
      <c r="H350" s="51"/>
      <c r="I350" s="17">
        <f t="shared" si="6"/>
        <v>10</v>
      </c>
      <c r="J350" s="52"/>
      <c r="K350" s="52"/>
    </row>
    <row r="351" spans="1:11" ht="34.5" customHeight="1">
      <c r="A351" s="11">
        <v>56603</v>
      </c>
      <c r="B351" s="151" t="s">
        <v>467</v>
      </c>
      <c r="C351" s="61"/>
      <c r="D351" s="14" t="s">
        <v>11</v>
      </c>
      <c r="E351" s="14" t="s">
        <v>25</v>
      </c>
      <c r="F351" s="14" t="s">
        <v>26</v>
      </c>
      <c r="G351" s="305">
        <f>'AGOST-18'!I347</f>
        <v>5000</v>
      </c>
      <c r="H351" s="51"/>
      <c r="I351" s="17">
        <f t="shared" si="6"/>
        <v>5000</v>
      </c>
      <c r="J351" s="11"/>
      <c r="K351" s="54"/>
    </row>
    <row r="352" spans="1:11" ht="68.25" customHeight="1">
      <c r="A352" s="144" t="s">
        <v>468</v>
      </c>
      <c r="B352" s="54" t="s">
        <v>987</v>
      </c>
      <c r="C352" s="344" t="s">
        <v>1115</v>
      </c>
      <c r="D352" s="14"/>
      <c r="E352" s="14"/>
      <c r="F352" s="14"/>
      <c r="G352" s="305">
        <f>'AGOST-18'!I348</f>
        <v>0</v>
      </c>
      <c r="H352" s="51"/>
      <c r="I352" s="17"/>
      <c r="J352" s="52"/>
      <c r="K352" s="52"/>
    </row>
    <row r="353" spans="1:11" ht="33" customHeight="1">
      <c r="A353" s="11">
        <v>51202</v>
      </c>
      <c r="B353" s="70" t="s">
        <v>471</v>
      </c>
      <c r="C353" s="61"/>
      <c r="D353" s="14" t="s">
        <v>11</v>
      </c>
      <c r="E353" s="14" t="s">
        <v>25</v>
      </c>
      <c r="F353" s="14" t="s">
        <v>26</v>
      </c>
      <c r="G353" s="305">
        <f>'AGOST-18'!I349</f>
        <v>-5.4001247917767614E-13</v>
      </c>
      <c r="H353" s="51"/>
      <c r="I353" s="17">
        <f t="shared" si="6"/>
        <v>-5.4001247917767614E-13</v>
      </c>
      <c r="J353" s="237"/>
      <c r="K353" s="392"/>
    </row>
    <row r="354" spans="1:11" ht="34.5" customHeight="1">
      <c r="A354" s="11">
        <v>54111</v>
      </c>
      <c r="B354" s="70" t="s">
        <v>472</v>
      </c>
      <c r="C354" s="61"/>
      <c r="D354" s="14" t="s">
        <v>11</v>
      </c>
      <c r="E354" s="14" t="s">
        <v>25</v>
      </c>
      <c r="F354" s="14" t="s">
        <v>26</v>
      </c>
      <c r="G354" s="305">
        <f>'AGOST-18'!I350</f>
        <v>0</v>
      </c>
      <c r="H354" s="51"/>
      <c r="I354" s="17">
        <f t="shared" si="6"/>
        <v>0</v>
      </c>
      <c r="J354" s="44"/>
      <c r="K354" s="316"/>
    </row>
    <row r="355" spans="1:11" ht="41.25" customHeight="1">
      <c r="A355" s="11">
        <v>54112</v>
      </c>
      <c r="B355" s="70" t="s">
        <v>473</v>
      </c>
      <c r="C355" s="12"/>
      <c r="D355" s="14" t="s">
        <v>11</v>
      </c>
      <c r="E355" s="14" t="s">
        <v>25</v>
      </c>
      <c r="F355" s="14" t="s">
        <v>26</v>
      </c>
      <c r="G355" s="305">
        <f>'AGOST-18'!I351</f>
        <v>0</v>
      </c>
      <c r="H355" s="51"/>
      <c r="I355" s="17">
        <f t="shared" si="6"/>
        <v>0</v>
      </c>
      <c r="J355" s="44"/>
      <c r="K355" s="316"/>
    </row>
    <row r="356" spans="1:11" ht="29.25">
      <c r="A356" s="11">
        <v>54118</v>
      </c>
      <c r="B356" s="151" t="s">
        <v>474</v>
      </c>
      <c r="C356" s="61"/>
      <c r="D356" s="14" t="s">
        <v>11</v>
      </c>
      <c r="E356" s="14" t="s">
        <v>25</v>
      </c>
      <c r="F356" s="14" t="s">
        <v>26</v>
      </c>
      <c r="G356" s="305">
        <f>'AGOST-18'!I352</f>
        <v>0</v>
      </c>
      <c r="H356" s="51"/>
      <c r="I356" s="17">
        <f t="shared" si="6"/>
        <v>0</v>
      </c>
      <c r="J356" s="44"/>
      <c r="K356" s="316"/>
    </row>
    <row r="357" spans="1:11" ht="29.25">
      <c r="A357" s="11">
        <v>54313</v>
      </c>
      <c r="B357" s="151" t="s">
        <v>475</v>
      </c>
      <c r="C357" s="12"/>
      <c r="D357" s="14" t="s">
        <v>11</v>
      </c>
      <c r="E357" s="14" t="s">
        <v>25</v>
      </c>
      <c r="F357" s="14" t="s">
        <v>26</v>
      </c>
      <c r="G357" s="305">
        <f>'AGOST-18'!I353</f>
        <v>0</v>
      </c>
      <c r="H357" s="51"/>
      <c r="I357" s="17">
        <f t="shared" si="6"/>
        <v>0</v>
      </c>
      <c r="J357" s="44"/>
      <c r="K357" s="316"/>
    </row>
    <row r="358" spans="1:11" ht="29.25">
      <c r="A358" s="152">
        <v>55603</v>
      </c>
      <c r="B358" s="151" t="s">
        <v>476</v>
      </c>
      <c r="C358" s="154"/>
      <c r="D358" s="14" t="s">
        <v>11</v>
      </c>
      <c r="E358" s="14" t="s">
        <v>25</v>
      </c>
      <c r="F358" s="14" t="s">
        <v>26</v>
      </c>
      <c r="G358" s="305">
        <f>'AGOST-18'!I354</f>
        <v>0</v>
      </c>
      <c r="H358" s="157"/>
      <c r="I358" s="17">
        <f t="shared" si="6"/>
        <v>0</v>
      </c>
      <c r="J358" s="159"/>
      <c r="K358" s="381"/>
    </row>
    <row r="359" spans="1:11" ht="85.5">
      <c r="A359" s="144" t="s">
        <v>477</v>
      </c>
      <c r="B359" s="54" t="s">
        <v>1085</v>
      </c>
      <c r="C359" s="154"/>
      <c r="D359" s="155"/>
      <c r="E359" s="155"/>
      <c r="F359" s="155"/>
      <c r="G359" s="305">
        <f>'AGOST-18'!I355</f>
        <v>0</v>
      </c>
      <c r="H359" s="157"/>
      <c r="I359" s="158"/>
      <c r="J359" s="159"/>
      <c r="K359" s="159"/>
    </row>
    <row r="360" spans="1:11" ht="29.25">
      <c r="A360" s="152">
        <v>51202</v>
      </c>
      <c r="B360" s="164" t="s">
        <v>479</v>
      </c>
      <c r="C360" s="154"/>
      <c r="D360" s="14" t="s">
        <v>11</v>
      </c>
      <c r="E360" s="14" t="s">
        <v>25</v>
      </c>
      <c r="F360" s="14" t="s">
        <v>26</v>
      </c>
      <c r="G360" s="305">
        <f>'AGOST-18'!I356</f>
        <v>0</v>
      </c>
      <c r="H360" s="157"/>
      <c r="I360" s="17">
        <f t="shared" si="6"/>
        <v>0</v>
      </c>
      <c r="J360" s="159"/>
      <c r="K360" s="325"/>
    </row>
    <row r="361" spans="1:11" ht="44.25">
      <c r="A361" s="152">
        <v>54111</v>
      </c>
      <c r="B361" s="164" t="s">
        <v>480</v>
      </c>
      <c r="C361" s="154"/>
      <c r="D361" s="14" t="s">
        <v>11</v>
      </c>
      <c r="E361" s="14" t="s">
        <v>25</v>
      </c>
      <c r="F361" s="14" t="s">
        <v>26</v>
      </c>
      <c r="G361" s="305">
        <f>'AGOST-18'!I357</f>
        <v>0</v>
      </c>
      <c r="H361" s="157"/>
      <c r="I361" s="17">
        <f t="shared" si="6"/>
        <v>0</v>
      </c>
      <c r="J361" s="159"/>
      <c r="K361" s="325"/>
    </row>
    <row r="362" spans="1:11" ht="30">
      <c r="A362" s="152">
        <v>54112</v>
      </c>
      <c r="B362" s="164" t="s">
        <v>481</v>
      </c>
      <c r="C362" s="154"/>
      <c r="D362" s="14" t="s">
        <v>11</v>
      </c>
      <c r="E362" s="14" t="s">
        <v>25</v>
      </c>
      <c r="F362" s="14" t="s">
        <v>26</v>
      </c>
      <c r="G362" s="305">
        <f>'AGOST-18'!I358</f>
        <v>0</v>
      </c>
      <c r="H362" s="157"/>
      <c r="I362" s="17">
        <f t="shared" si="6"/>
        <v>0</v>
      </c>
      <c r="J362" s="159"/>
      <c r="K362" s="325"/>
    </row>
    <row r="363" spans="1:11" ht="29.25">
      <c r="A363" s="152">
        <v>54118</v>
      </c>
      <c r="B363" s="164" t="s">
        <v>482</v>
      </c>
      <c r="C363" s="154"/>
      <c r="D363" s="14" t="s">
        <v>11</v>
      </c>
      <c r="E363" s="14" t="s">
        <v>25</v>
      </c>
      <c r="F363" s="14" t="s">
        <v>26</v>
      </c>
      <c r="G363" s="305">
        <f>'AGOST-18'!I359</f>
        <v>0</v>
      </c>
      <c r="H363" s="157"/>
      <c r="I363" s="17">
        <f t="shared" si="6"/>
        <v>0</v>
      </c>
      <c r="J363" s="159"/>
      <c r="K363" s="325"/>
    </row>
    <row r="364" spans="1:11" ht="30">
      <c r="A364" s="152">
        <v>54313</v>
      </c>
      <c r="B364" s="164" t="s">
        <v>483</v>
      </c>
      <c r="C364" s="154"/>
      <c r="D364" s="14" t="s">
        <v>11</v>
      </c>
      <c r="E364" s="14" t="s">
        <v>25</v>
      </c>
      <c r="F364" s="14" t="s">
        <v>26</v>
      </c>
      <c r="G364" s="305">
        <f>'AGOST-18'!I360</f>
        <v>0</v>
      </c>
      <c r="H364" s="157"/>
      <c r="I364" s="17">
        <f t="shared" si="6"/>
        <v>0</v>
      </c>
      <c r="J364" s="159"/>
      <c r="K364" s="325"/>
    </row>
    <row r="365" spans="1:11" ht="30">
      <c r="A365" s="152">
        <v>54399</v>
      </c>
      <c r="B365" s="164" t="s">
        <v>484</v>
      </c>
      <c r="C365" s="154"/>
      <c r="D365" s="14" t="s">
        <v>11</v>
      </c>
      <c r="E365" s="14" t="s">
        <v>25</v>
      </c>
      <c r="F365" s="14" t="s">
        <v>26</v>
      </c>
      <c r="G365" s="305">
        <f>'AGOST-18'!I361</f>
        <v>0</v>
      </c>
      <c r="H365" s="157"/>
      <c r="I365" s="17">
        <f t="shared" si="6"/>
        <v>0</v>
      </c>
      <c r="J365" s="159"/>
      <c r="K365" s="325"/>
    </row>
    <row r="366" spans="1:11" ht="29.25">
      <c r="A366" s="152">
        <v>55603</v>
      </c>
      <c r="B366" s="164" t="s">
        <v>485</v>
      </c>
      <c r="C366" s="154"/>
      <c r="D366" s="14" t="s">
        <v>11</v>
      </c>
      <c r="E366" s="14" t="s">
        <v>25</v>
      </c>
      <c r="F366" s="14" t="s">
        <v>26</v>
      </c>
      <c r="G366" s="305">
        <f>'AGOST-18'!I362</f>
        <v>0</v>
      </c>
      <c r="H366" s="157"/>
      <c r="I366" s="17">
        <f t="shared" si="6"/>
        <v>0</v>
      </c>
      <c r="J366" s="159"/>
      <c r="K366" s="325"/>
    </row>
    <row r="367" spans="1:11" ht="80.25" customHeight="1">
      <c r="A367" s="144" t="s">
        <v>486</v>
      </c>
      <c r="B367" s="54" t="s">
        <v>487</v>
      </c>
      <c r="C367" s="154"/>
      <c r="D367" s="155"/>
      <c r="E367" s="155"/>
      <c r="F367" s="155"/>
      <c r="G367" s="305">
        <f>'AGOST-18'!I363</f>
        <v>0</v>
      </c>
      <c r="H367" s="157"/>
      <c r="I367" s="158"/>
      <c r="J367" s="159"/>
      <c r="K367" s="159"/>
    </row>
    <row r="368" spans="1:11" ht="29.25">
      <c r="A368" s="152">
        <v>51202</v>
      </c>
      <c r="B368" s="164" t="s">
        <v>488</v>
      </c>
      <c r="C368" s="154"/>
      <c r="D368" s="14" t="s">
        <v>11</v>
      </c>
      <c r="E368" s="14" t="s">
        <v>25</v>
      </c>
      <c r="F368" s="14" t="s">
        <v>26</v>
      </c>
      <c r="G368" s="305">
        <f>'AGOST-18'!I364</f>
        <v>8800</v>
      </c>
      <c r="H368" s="157"/>
      <c r="I368" s="17">
        <f t="shared" si="6"/>
        <v>8800</v>
      </c>
      <c r="J368" s="326"/>
      <c r="K368" s="326"/>
    </row>
    <row r="369" spans="1:11" ht="29.25">
      <c r="A369" s="152">
        <v>51999</v>
      </c>
      <c r="B369" s="164" t="s">
        <v>489</v>
      </c>
      <c r="C369" s="154"/>
      <c r="D369" s="14" t="s">
        <v>11</v>
      </c>
      <c r="E369" s="14" t="s">
        <v>25</v>
      </c>
      <c r="F369" s="14" t="s">
        <v>26</v>
      </c>
      <c r="G369" s="305">
        <f>'AGOST-18'!I365</f>
        <v>2000</v>
      </c>
      <c r="H369" s="157"/>
      <c r="I369" s="17">
        <f t="shared" si="6"/>
        <v>2000</v>
      </c>
      <c r="J369" s="326"/>
      <c r="K369" s="326"/>
    </row>
    <row r="370" spans="1:11" ht="29.25">
      <c r="A370" s="152">
        <v>54111</v>
      </c>
      <c r="B370" s="164" t="s">
        <v>490</v>
      </c>
      <c r="C370" s="154"/>
      <c r="D370" s="14" t="s">
        <v>11</v>
      </c>
      <c r="E370" s="14" t="s">
        <v>25</v>
      </c>
      <c r="F370" s="14" t="s">
        <v>26</v>
      </c>
      <c r="G370" s="305">
        <f>'AGOST-18'!I366</f>
        <v>15000</v>
      </c>
      <c r="H370" s="157"/>
      <c r="I370" s="17">
        <f t="shared" si="6"/>
        <v>15000</v>
      </c>
      <c r="J370" s="326"/>
      <c r="K370" s="326"/>
    </row>
    <row r="371" spans="1:11" ht="29.25">
      <c r="A371" s="152">
        <v>54112</v>
      </c>
      <c r="B371" s="164" t="s">
        <v>491</v>
      </c>
      <c r="C371" s="154"/>
      <c r="D371" s="14" t="s">
        <v>11</v>
      </c>
      <c r="E371" s="14" t="s">
        <v>25</v>
      </c>
      <c r="F371" s="14" t="s">
        <v>26</v>
      </c>
      <c r="G371" s="305">
        <f>'AGOST-18'!I367</f>
        <v>8990</v>
      </c>
      <c r="H371" s="157"/>
      <c r="I371" s="17">
        <f t="shared" si="6"/>
        <v>8990</v>
      </c>
      <c r="J371" s="326"/>
      <c r="K371" s="326"/>
    </row>
    <row r="372" spans="1:11" ht="29.25">
      <c r="A372" s="152">
        <v>54118</v>
      </c>
      <c r="B372" s="164" t="s">
        <v>492</v>
      </c>
      <c r="C372" s="154"/>
      <c r="D372" s="14" t="s">
        <v>11</v>
      </c>
      <c r="E372" s="14" t="s">
        <v>25</v>
      </c>
      <c r="F372" s="14" t="s">
        <v>26</v>
      </c>
      <c r="G372" s="305">
        <f>'AGOST-18'!I368</f>
        <v>5000</v>
      </c>
      <c r="H372" s="157"/>
      <c r="I372" s="17">
        <f t="shared" si="6"/>
        <v>5000</v>
      </c>
      <c r="J372" s="326"/>
      <c r="K372" s="326"/>
    </row>
    <row r="373" spans="1:11" ht="29.25">
      <c r="A373" s="152">
        <v>54199</v>
      </c>
      <c r="B373" s="164" t="s">
        <v>493</v>
      </c>
      <c r="C373" s="154"/>
      <c r="D373" s="14" t="s">
        <v>11</v>
      </c>
      <c r="E373" s="14" t="s">
        <v>25</v>
      </c>
      <c r="F373" s="14" t="s">
        <v>26</v>
      </c>
      <c r="G373" s="305">
        <f>'AGOST-18'!I369</f>
        <v>100</v>
      </c>
      <c r="H373" s="157"/>
      <c r="I373" s="17">
        <f t="shared" si="6"/>
        <v>100</v>
      </c>
      <c r="J373" s="326"/>
      <c r="K373" s="326"/>
    </row>
    <row r="374" spans="1:11" ht="29.25">
      <c r="A374" s="152">
        <v>54399</v>
      </c>
      <c r="B374" s="164" t="s">
        <v>494</v>
      </c>
      <c r="C374" s="154"/>
      <c r="D374" s="14" t="s">
        <v>11</v>
      </c>
      <c r="E374" s="14" t="s">
        <v>25</v>
      </c>
      <c r="F374" s="14" t="s">
        <v>26</v>
      </c>
      <c r="G374" s="305">
        <f>'AGOST-18'!I370</f>
        <v>100</v>
      </c>
      <c r="H374" s="157"/>
      <c r="I374" s="17">
        <f t="shared" si="6"/>
        <v>100</v>
      </c>
      <c r="J374" s="326"/>
      <c r="K374" s="326"/>
    </row>
    <row r="375" spans="1:11" ht="29.25">
      <c r="A375" s="152">
        <v>55603</v>
      </c>
      <c r="B375" s="164" t="s">
        <v>495</v>
      </c>
      <c r="C375" s="154"/>
      <c r="D375" s="14" t="s">
        <v>11</v>
      </c>
      <c r="E375" s="14" t="s">
        <v>25</v>
      </c>
      <c r="F375" s="14" t="s">
        <v>26</v>
      </c>
      <c r="G375" s="305">
        <f>'AGOST-18'!I371</f>
        <v>10</v>
      </c>
      <c r="H375" s="157"/>
      <c r="I375" s="17">
        <f t="shared" si="6"/>
        <v>10</v>
      </c>
      <c r="J375" s="326"/>
      <c r="K375" s="326"/>
    </row>
    <row r="376" spans="1:11" ht="55.5">
      <c r="A376" s="144" t="s">
        <v>504</v>
      </c>
      <c r="B376" s="54" t="s">
        <v>496</v>
      </c>
      <c r="C376" s="154" t="s">
        <v>1066</v>
      </c>
      <c r="D376" s="155"/>
      <c r="E376" s="155"/>
      <c r="F376" s="155"/>
      <c r="G376" s="305">
        <f>'AGOST-18'!I372</f>
        <v>0</v>
      </c>
      <c r="H376" s="157"/>
      <c r="I376" s="158"/>
      <c r="J376" s="159"/>
      <c r="K376" s="159"/>
    </row>
    <row r="377" spans="1:11" ht="29.25">
      <c r="A377" s="152">
        <v>51202</v>
      </c>
      <c r="B377" s="164" t="s">
        <v>500</v>
      </c>
      <c r="C377" s="154"/>
      <c r="D377" s="14" t="s">
        <v>11</v>
      </c>
      <c r="E377" s="14" t="s">
        <v>25</v>
      </c>
      <c r="F377" s="14" t="s">
        <v>26</v>
      </c>
      <c r="G377" s="305">
        <f>'AGOST-18'!I373</f>
        <v>2000</v>
      </c>
      <c r="H377" s="157"/>
      <c r="I377" s="17">
        <f t="shared" si="6"/>
        <v>2000</v>
      </c>
      <c r="J377" s="159"/>
      <c r="K377" s="326"/>
    </row>
    <row r="378" spans="1:11" ht="29.25">
      <c r="A378" s="152">
        <v>54111</v>
      </c>
      <c r="B378" s="164" t="s">
        <v>499</v>
      </c>
      <c r="C378" s="154" t="s">
        <v>1066</v>
      </c>
      <c r="D378" s="14" t="s">
        <v>11</v>
      </c>
      <c r="E378" s="14" t="s">
        <v>25</v>
      </c>
      <c r="F378" s="14" t="s">
        <v>26</v>
      </c>
      <c r="G378" s="305">
        <f>'AGOST-18'!I374</f>
        <v>3076</v>
      </c>
      <c r="H378" s="157"/>
      <c r="I378" s="17">
        <f t="shared" si="6"/>
        <v>3076</v>
      </c>
      <c r="J378" s="159"/>
      <c r="K378" s="326"/>
    </row>
    <row r="379" spans="1:11" ht="29.25">
      <c r="A379" s="152">
        <v>54112</v>
      </c>
      <c r="B379" s="164" t="s">
        <v>497</v>
      </c>
      <c r="C379" s="154" t="s">
        <v>1066</v>
      </c>
      <c r="D379" s="14" t="s">
        <v>11</v>
      </c>
      <c r="E379" s="14" t="s">
        <v>25</v>
      </c>
      <c r="F379" s="14" t="s">
        <v>26</v>
      </c>
      <c r="G379" s="305">
        <f>'AGOST-18'!I375</f>
        <v>3545.2999999999993</v>
      </c>
      <c r="H379" s="157">
        <f>51+1477.5+1500</f>
        <v>3028.5</v>
      </c>
      <c r="I379" s="17">
        <f t="shared" si="6"/>
        <v>516.79999999999927</v>
      </c>
      <c r="J379" s="159"/>
      <c r="K379" s="327"/>
    </row>
    <row r="380" spans="1:11" ht="29.25">
      <c r="A380" s="152">
        <v>54118</v>
      </c>
      <c r="B380" s="164" t="s">
        <v>498</v>
      </c>
      <c r="C380" s="154"/>
      <c r="D380" s="14" t="s">
        <v>11</v>
      </c>
      <c r="E380" s="14" t="s">
        <v>25</v>
      </c>
      <c r="F380" s="14" t="s">
        <v>26</v>
      </c>
      <c r="G380" s="305">
        <f>'AGOST-18'!I376</f>
        <v>1700</v>
      </c>
      <c r="H380" s="157"/>
      <c r="I380" s="17">
        <f t="shared" si="6"/>
        <v>1700</v>
      </c>
      <c r="J380" s="159"/>
      <c r="K380" s="327"/>
    </row>
    <row r="381" spans="1:11" ht="29.25">
      <c r="A381" s="152">
        <v>54313</v>
      </c>
      <c r="B381" s="164" t="s">
        <v>501</v>
      </c>
      <c r="C381" s="154"/>
      <c r="D381" s="14" t="s">
        <v>11</v>
      </c>
      <c r="E381" s="14" t="s">
        <v>25</v>
      </c>
      <c r="F381" s="14" t="s">
        <v>26</v>
      </c>
      <c r="G381" s="305">
        <f>'AGOST-18'!I377</f>
        <v>0</v>
      </c>
      <c r="H381" s="157"/>
      <c r="I381" s="17">
        <f t="shared" si="6"/>
        <v>0</v>
      </c>
      <c r="J381" s="159"/>
      <c r="K381" s="326"/>
    </row>
    <row r="382" spans="1:11" ht="29.25">
      <c r="A382" s="152">
        <v>54399</v>
      </c>
      <c r="B382" s="164" t="s">
        <v>502</v>
      </c>
      <c r="C382" s="154"/>
      <c r="D382" s="14" t="s">
        <v>11</v>
      </c>
      <c r="E382" s="14" t="s">
        <v>25</v>
      </c>
      <c r="F382" s="14" t="s">
        <v>26</v>
      </c>
      <c r="G382" s="305">
        <f>'AGOST-18'!I378</f>
        <v>0</v>
      </c>
      <c r="H382" s="157"/>
      <c r="I382" s="17">
        <f t="shared" si="6"/>
        <v>0</v>
      </c>
      <c r="J382" s="159"/>
      <c r="K382" s="326"/>
    </row>
    <row r="383" spans="1:11" ht="29.25">
      <c r="A383" s="152">
        <v>55603</v>
      </c>
      <c r="B383" s="164" t="s">
        <v>503</v>
      </c>
      <c r="C383" s="154"/>
      <c r="D383" s="14" t="s">
        <v>11</v>
      </c>
      <c r="E383" s="14" t="s">
        <v>25</v>
      </c>
      <c r="F383" s="14" t="s">
        <v>26</v>
      </c>
      <c r="G383" s="305">
        <f>'AGOST-18'!I379</f>
        <v>5.6999999999999993</v>
      </c>
      <c r="H383" s="157"/>
      <c r="I383" s="17">
        <f t="shared" si="6"/>
        <v>5.6999999999999993</v>
      </c>
      <c r="J383" s="159"/>
      <c r="K383" s="159"/>
    </row>
    <row r="384" spans="1:11" ht="84.75">
      <c r="A384" s="144" t="s">
        <v>505</v>
      </c>
      <c r="B384" s="53" t="s">
        <v>510</v>
      </c>
      <c r="C384" s="154"/>
      <c r="D384" s="155"/>
      <c r="E384" s="155"/>
      <c r="F384" s="155"/>
      <c r="G384" s="305">
        <f>'AGOST-18'!I380</f>
        <v>0</v>
      </c>
      <c r="H384" s="157"/>
      <c r="I384" s="158"/>
      <c r="J384" s="159"/>
      <c r="K384" s="159"/>
    </row>
    <row r="385" spans="1:11" ht="29.25">
      <c r="A385" s="152">
        <v>51999</v>
      </c>
      <c r="B385" s="153" t="s">
        <v>506</v>
      </c>
      <c r="C385" s="154"/>
      <c r="D385" s="14" t="s">
        <v>11</v>
      </c>
      <c r="E385" s="14" t="s">
        <v>25</v>
      </c>
      <c r="F385" s="14" t="s">
        <v>26</v>
      </c>
      <c r="G385" s="305">
        <f>'AGOST-18'!I381</f>
        <v>0</v>
      </c>
      <c r="H385" s="157"/>
      <c r="I385" s="17">
        <f t="shared" si="6"/>
        <v>0</v>
      </c>
      <c r="J385" s="159"/>
      <c r="K385" s="326"/>
    </row>
    <row r="386" spans="1:11" ht="29.25">
      <c r="A386" s="152">
        <v>54199</v>
      </c>
      <c r="B386" s="153" t="s">
        <v>507</v>
      </c>
      <c r="C386" s="154"/>
      <c r="D386" s="14" t="s">
        <v>11</v>
      </c>
      <c r="E386" s="14" t="s">
        <v>25</v>
      </c>
      <c r="F386" s="14" t="s">
        <v>26</v>
      </c>
      <c r="G386" s="305">
        <f>'AGOST-18'!I382</f>
        <v>0</v>
      </c>
      <c r="H386" s="157"/>
      <c r="I386" s="17">
        <f t="shared" si="6"/>
        <v>0</v>
      </c>
      <c r="J386" s="159"/>
      <c r="K386" s="326"/>
    </row>
    <row r="387" spans="1:11" ht="43.5">
      <c r="A387" s="152">
        <v>54399</v>
      </c>
      <c r="B387" s="153" t="s">
        <v>508</v>
      </c>
      <c r="C387" s="154"/>
      <c r="D387" s="14" t="s">
        <v>11</v>
      </c>
      <c r="E387" s="14" t="s">
        <v>25</v>
      </c>
      <c r="F387" s="14" t="s">
        <v>26</v>
      </c>
      <c r="G387" s="305">
        <f>'AGOST-18'!I383</f>
        <v>0</v>
      </c>
      <c r="H387" s="157"/>
      <c r="I387" s="17">
        <f t="shared" si="6"/>
        <v>0</v>
      </c>
      <c r="J387" s="159"/>
      <c r="K387" s="326"/>
    </row>
    <row r="388" spans="1:11" ht="29.25">
      <c r="A388" s="152">
        <v>55603</v>
      </c>
      <c r="B388" s="153" t="s">
        <v>509</v>
      </c>
      <c r="C388" s="154"/>
      <c r="D388" s="14" t="s">
        <v>11</v>
      </c>
      <c r="E388" s="14" t="s">
        <v>25</v>
      </c>
      <c r="F388" s="14" t="s">
        <v>26</v>
      </c>
      <c r="G388" s="305">
        <f>'AGOST-18'!I384</f>
        <v>0</v>
      </c>
      <c r="H388" s="157"/>
      <c r="I388" s="17">
        <f t="shared" si="6"/>
        <v>0</v>
      </c>
      <c r="J388" s="159"/>
      <c r="K388" s="326"/>
    </row>
    <row r="389" spans="1:11" ht="94.5" customHeight="1">
      <c r="A389" s="144" t="s">
        <v>511</v>
      </c>
      <c r="B389" s="53" t="s">
        <v>512</v>
      </c>
      <c r="C389" s="154"/>
      <c r="D389" s="155"/>
      <c r="E389" s="155"/>
      <c r="F389" s="155"/>
      <c r="G389" s="305">
        <f>'AGOST-18'!I385</f>
        <v>0</v>
      </c>
      <c r="H389" s="157"/>
      <c r="I389" s="158"/>
      <c r="J389" s="159"/>
      <c r="K389" s="159"/>
    </row>
    <row r="390" spans="1:11" ht="29.25">
      <c r="A390" s="152">
        <v>51999</v>
      </c>
      <c r="B390" s="164" t="s">
        <v>513</v>
      </c>
      <c r="C390" s="154"/>
      <c r="D390" s="14" t="s">
        <v>11</v>
      </c>
      <c r="E390" s="14" t="s">
        <v>25</v>
      </c>
      <c r="F390" s="14" t="s">
        <v>26</v>
      </c>
      <c r="G390" s="305">
        <f>'AGOST-18'!I386</f>
        <v>1000</v>
      </c>
      <c r="H390" s="157"/>
      <c r="I390" s="17">
        <f t="shared" si="6"/>
        <v>1000</v>
      </c>
      <c r="J390" s="159"/>
      <c r="K390" s="159"/>
    </row>
    <row r="391" spans="1:11" ht="29.25">
      <c r="A391" s="152">
        <v>54115</v>
      </c>
      <c r="B391" s="164" t="s">
        <v>514</v>
      </c>
      <c r="C391" s="154"/>
      <c r="D391" s="14" t="s">
        <v>11</v>
      </c>
      <c r="E391" s="14" t="s">
        <v>25</v>
      </c>
      <c r="F391" s="14" t="s">
        <v>26</v>
      </c>
      <c r="G391" s="305">
        <f>'AGOST-18'!I387</f>
        <v>1990</v>
      </c>
      <c r="H391" s="157"/>
      <c r="I391" s="17">
        <f t="shared" si="6"/>
        <v>1990</v>
      </c>
      <c r="J391" s="159"/>
      <c r="K391" s="159"/>
    </row>
    <row r="392" spans="1:11" ht="29.25">
      <c r="A392" s="152">
        <v>61104</v>
      </c>
      <c r="B392" s="164" t="s">
        <v>515</v>
      </c>
      <c r="C392" s="154"/>
      <c r="D392" s="14" t="s">
        <v>11</v>
      </c>
      <c r="E392" s="14" t="s">
        <v>25</v>
      </c>
      <c r="F392" s="14" t="s">
        <v>26</v>
      </c>
      <c r="G392" s="305">
        <f>'AGOST-18'!I388</f>
        <v>2000</v>
      </c>
      <c r="H392" s="157"/>
      <c r="I392" s="17">
        <f t="shared" si="6"/>
        <v>2000</v>
      </c>
      <c r="J392" s="159"/>
      <c r="K392" s="159"/>
    </row>
    <row r="393" spans="1:11" ht="29.25">
      <c r="A393" s="152">
        <v>55603</v>
      </c>
      <c r="B393" s="164" t="s">
        <v>516</v>
      </c>
      <c r="C393" s="154"/>
      <c r="D393" s="14" t="s">
        <v>11</v>
      </c>
      <c r="E393" s="14" t="s">
        <v>25</v>
      </c>
      <c r="F393" s="14" t="s">
        <v>26</v>
      </c>
      <c r="G393" s="305">
        <f>'AGOST-18'!I389</f>
        <v>10</v>
      </c>
      <c r="H393" s="157"/>
      <c r="I393" s="17">
        <f t="shared" si="6"/>
        <v>10</v>
      </c>
      <c r="J393" s="159"/>
      <c r="K393" s="159"/>
    </row>
    <row r="394" spans="1:11" ht="63" customHeight="1">
      <c r="A394" s="144" t="s">
        <v>517</v>
      </c>
      <c r="B394" s="53" t="s">
        <v>518</v>
      </c>
      <c r="C394" s="154"/>
      <c r="D394" s="155"/>
      <c r="E394" s="155"/>
      <c r="F394" s="155"/>
      <c r="G394" s="305">
        <f>'AGOST-18'!I390</f>
        <v>0</v>
      </c>
      <c r="H394" s="157"/>
      <c r="I394" s="158"/>
      <c r="J394" s="159"/>
      <c r="K394" s="159"/>
    </row>
    <row r="395" spans="1:11" ht="29.25">
      <c r="A395" s="152">
        <v>51999</v>
      </c>
      <c r="B395" s="164" t="s">
        <v>519</v>
      </c>
      <c r="C395" s="154"/>
      <c r="D395" s="14" t="s">
        <v>11</v>
      </c>
      <c r="E395" s="14" t="s">
        <v>25</v>
      </c>
      <c r="F395" s="14" t="s">
        <v>26</v>
      </c>
      <c r="G395" s="305">
        <f>'AGOST-18'!I391</f>
        <v>10000</v>
      </c>
      <c r="H395" s="157"/>
      <c r="I395" s="17">
        <f t="shared" si="6"/>
        <v>10000</v>
      </c>
      <c r="J395" s="159"/>
      <c r="K395" s="159"/>
    </row>
    <row r="396" spans="1:11" ht="30">
      <c r="A396" s="152">
        <v>54313</v>
      </c>
      <c r="B396" s="164" t="s">
        <v>520</v>
      </c>
      <c r="C396" s="154"/>
      <c r="D396" s="14" t="s">
        <v>11</v>
      </c>
      <c r="E396" s="14" t="s">
        <v>25</v>
      </c>
      <c r="F396" s="14" t="s">
        <v>26</v>
      </c>
      <c r="G396" s="305">
        <f>'AGOST-18'!I392</f>
        <v>500</v>
      </c>
      <c r="H396" s="157"/>
      <c r="I396" s="17">
        <f t="shared" si="6"/>
        <v>500</v>
      </c>
      <c r="J396" s="159"/>
      <c r="K396" s="159"/>
    </row>
    <row r="397" spans="1:11" ht="30">
      <c r="A397" s="152">
        <v>54399</v>
      </c>
      <c r="B397" s="164" t="s">
        <v>521</v>
      </c>
      <c r="C397" s="154"/>
      <c r="D397" s="14" t="s">
        <v>11</v>
      </c>
      <c r="E397" s="14" t="s">
        <v>25</v>
      </c>
      <c r="F397" s="14" t="s">
        <v>26</v>
      </c>
      <c r="G397" s="305">
        <f>'AGOST-18'!I393</f>
        <v>990</v>
      </c>
      <c r="H397" s="157"/>
      <c r="I397" s="17">
        <f t="shared" si="6"/>
        <v>990</v>
      </c>
      <c r="J397" s="159"/>
      <c r="K397" s="159"/>
    </row>
    <row r="398" spans="1:11" ht="29.25">
      <c r="A398" s="152">
        <v>54599</v>
      </c>
      <c r="B398" s="164" t="s">
        <v>522</v>
      </c>
      <c r="C398" s="154"/>
      <c r="D398" s="14" t="s">
        <v>11</v>
      </c>
      <c r="E398" s="14" t="s">
        <v>25</v>
      </c>
      <c r="F398" s="14" t="s">
        <v>26</v>
      </c>
      <c r="G398" s="305">
        <f>'AGOST-18'!I394</f>
        <v>13500</v>
      </c>
      <c r="H398" s="157"/>
      <c r="I398" s="17">
        <f t="shared" si="6"/>
        <v>13500</v>
      </c>
      <c r="J398" s="159"/>
      <c r="K398" s="159"/>
    </row>
    <row r="399" spans="1:11" ht="29.25">
      <c r="A399" s="152">
        <v>55603</v>
      </c>
      <c r="B399" s="164" t="s">
        <v>523</v>
      </c>
      <c r="C399" s="154"/>
      <c r="D399" s="14" t="s">
        <v>11</v>
      </c>
      <c r="E399" s="14" t="s">
        <v>25</v>
      </c>
      <c r="F399" s="14" t="s">
        <v>26</v>
      </c>
      <c r="G399" s="305">
        <f>'AGOST-18'!I395</f>
        <v>10</v>
      </c>
      <c r="H399" s="157"/>
      <c r="I399" s="17">
        <f t="shared" si="6"/>
        <v>10</v>
      </c>
      <c r="J399" s="159"/>
      <c r="K399" s="159"/>
    </row>
    <row r="400" spans="1:11" ht="69.75">
      <c r="A400" s="144" t="s">
        <v>524</v>
      </c>
      <c r="B400" s="53" t="s">
        <v>525</v>
      </c>
      <c r="C400" s="154"/>
      <c r="D400" s="14" t="s">
        <v>11</v>
      </c>
      <c r="E400" s="14" t="s">
        <v>25</v>
      </c>
      <c r="F400" s="14" t="s">
        <v>26</v>
      </c>
      <c r="G400" s="305">
        <f>'AGOST-18'!I396</f>
        <v>0</v>
      </c>
      <c r="H400" s="157"/>
      <c r="I400" s="158">
        <f t="shared" si="6"/>
        <v>0</v>
      </c>
      <c r="J400" s="159"/>
      <c r="K400" s="328"/>
    </row>
    <row r="401" spans="1:17" ht="44.25">
      <c r="A401" s="144" t="s">
        <v>526</v>
      </c>
      <c r="B401" s="53" t="s">
        <v>527</v>
      </c>
      <c r="C401" s="154"/>
      <c r="D401" s="14" t="s">
        <v>11</v>
      </c>
      <c r="E401" s="14" t="s">
        <v>25</v>
      </c>
      <c r="F401" s="14" t="s">
        <v>26</v>
      </c>
      <c r="G401" s="305">
        <f>'AGOST-18'!I397</f>
        <v>15000</v>
      </c>
      <c r="H401" s="157"/>
      <c r="I401" s="158">
        <f t="shared" si="6"/>
        <v>15000</v>
      </c>
      <c r="J401" s="381"/>
      <c r="K401" s="329"/>
    </row>
    <row r="402" spans="1:17" ht="39.75">
      <c r="A402" s="144" t="s">
        <v>528</v>
      </c>
      <c r="B402" s="53" t="s">
        <v>529</v>
      </c>
      <c r="C402" s="154"/>
      <c r="D402" s="14" t="s">
        <v>11</v>
      </c>
      <c r="E402" s="14" t="s">
        <v>25</v>
      </c>
      <c r="F402" s="14" t="s">
        <v>26</v>
      </c>
      <c r="G402" s="305">
        <f>'AGOST-18'!I398</f>
        <v>8000</v>
      </c>
      <c r="H402" s="157"/>
      <c r="I402" s="158">
        <f t="shared" si="6"/>
        <v>8000</v>
      </c>
      <c r="J402" s="381"/>
      <c r="K402" s="329"/>
    </row>
    <row r="403" spans="1:17" ht="39.75">
      <c r="A403" s="144" t="s">
        <v>530</v>
      </c>
      <c r="B403" s="53" t="s">
        <v>531</v>
      </c>
      <c r="C403" s="154"/>
      <c r="D403" s="14" t="s">
        <v>11</v>
      </c>
      <c r="E403" s="14" t="s">
        <v>25</v>
      </c>
      <c r="F403" s="14" t="s">
        <v>26</v>
      </c>
      <c r="G403" s="305">
        <f>'AGOST-18'!I399</f>
        <v>15000</v>
      </c>
      <c r="H403" s="157"/>
      <c r="I403" s="158">
        <f t="shared" si="6"/>
        <v>15000</v>
      </c>
      <c r="J403" s="381"/>
      <c r="K403" s="329"/>
    </row>
    <row r="404" spans="1:17" ht="55.5">
      <c r="A404" s="144" t="s">
        <v>532</v>
      </c>
      <c r="B404" s="53" t="s">
        <v>533</v>
      </c>
      <c r="C404" s="154"/>
      <c r="D404" s="155"/>
      <c r="E404" s="155"/>
      <c r="F404" s="155"/>
      <c r="G404" s="305">
        <f>'AGOST-18'!I400</f>
        <v>0</v>
      </c>
      <c r="H404" s="157"/>
      <c r="I404" s="158">
        <f t="shared" si="6"/>
        <v>0</v>
      </c>
      <c r="J404" s="159"/>
      <c r="K404" s="159"/>
    </row>
    <row r="405" spans="1:17">
      <c r="A405" s="152">
        <v>51202</v>
      </c>
      <c r="B405" s="153" t="s">
        <v>534</v>
      </c>
      <c r="C405" s="154"/>
      <c r="D405" s="14" t="s">
        <v>11</v>
      </c>
      <c r="E405" s="14" t="s">
        <v>25</v>
      </c>
      <c r="F405" s="14" t="s">
        <v>26</v>
      </c>
      <c r="G405" s="305">
        <f>'AGOST-18'!I401</f>
        <v>8000</v>
      </c>
      <c r="H405" s="157"/>
      <c r="I405" s="158">
        <f t="shared" si="6"/>
        <v>8000</v>
      </c>
      <c r="J405" s="159"/>
      <c r="K405" s="159"/>
    </row>
    <row r="406" spans="1:17" ht="29.25">
      <c r="A406" s="152">
        <v>54111</v>
      </c>
      <c r="B406" s="153" t="s">
        <v>535</v>
      </c>
      <c r="C406" s="154"/>
      <c r="D406" s="14" t="s">
        <v>11</v>
      </c>
      <c r="E406" s="14" t="s">
        <v>25</v>
      </c>
      <c r="F406" s="14" t="s">
        <v>26</v>
      </c>
      <c r="G406" s="305">
        <f>'AGOST-18'!I402</f>
        <v>5500</v>
      </c>
      <c r="H406" s="157"/>
      <c r="I406" s="158">
        <f t="shared" si="6"/>
        <v>5500</v>
      </c>
      <c r="J406" s="159"/>
      <c r="K406" s="159"/>
    </row>
    <row r="407" spans="1:17" ht="29.25">
      <c r="A407" s="152">
        <v>54112</v>
      </c>
      <c r="B407" s="153" t="s">
        <v>536</v>
      </c>
      <c r="C407" s="154"/>
      <c r="D407" s="14" t="s">
        <v>11</v>
      </c>
      <c r="E407" s="14" t="s">
        <v>25</v>
      </c>
      <c r="F407" s="14" t="s">
        <v>26</v>
      </c>
      <c r="G407" s="305">
        <f>'AGOST-18'!I403</f>
        <v>5000</v>
      </c>
      <c r="H407" s="157"/>
      <c r="I407" s="158">
        <f t="shared" si="6"/>
        <v>5000</v>
      </c>
      <c r="J407" s="159"/>
      <c r="K407" s="159"/>
    </row>
    <row r="408" spans="1:17" ht="30">
      <c r="A408" s="152">
        <v>54313</v>
      </c>
      <c r="B408" s="153" t="s">
        <v>537</v>
      </c>
      <c r="C408" s="154"/>
      <c r="D408" s="14" t="s">
        <v>11</v>
      </c>
      <c r="E408" s="14" t="s">
        <v>25</v>
      </c>
      <c r="F408" s="14" t="s">
        <v>26</v>
      </c>
      <c r="G408" s="305">
        <f>'AGOST-18'!I404</f>
        <v>500</v>
      </c>
      <c r="H408" s="157"/>
      <c r="I408" s="158">
        <f t="shared" si="6"/>
        <v>500</v>
      </c>
      <c r="J408" s="159"/>
      <c r="K408" s="159"/>
    </row>
    <row r="409" spans="1:17" ht="30">
      <c r="A409" s="152">
        <v>54399</v>
      </c>
      <c r="B409" s="153" t="s">
        <v>538</v>
      </c>
      <c r="C409" s="154"/>
      <c r="D409" s="14" t="s">
        <v>11</v>
      </c>
      <c r="E409" s="14" t="s">
        <v>25</v>
      </c>
      <c r="F409" s="14" t="s">
        <v>26</v>
      </c>
      <c r="G409" s="305">
        <f>'AGOST-18'!I405</f>
        <v>990</v>
      </c>
      <c r="H409" s="157"/>
      <c r="I409" s="158">
        <f t="shared" si="6"/>
        <v>990</v>
      </c>
      <c r="J409" s="159"/>
      <c r="K409" s="159"/>
    </row>
    <row r="410" spans="1:17" ht="29.25">
      <c r="A410" s="152">
        <v>55603</v>
      </c>
      <c r="B410" s="153" t="s">
        <v>539</v>
      </c>
      <c r="C410" s="154"/>
      <c r="D410" s="14" t="s">
        <v>11</v>
      </c>
      <c r="E410" s="14" t="s">
        <v>25</v>
      </c>
      <c r="F410" s="14" t="s">
        <v>26</v>
      </c>
      <c r="G410" s="305">
        <f>'AGOST-18'!I406</f>
        <v>10</v>
      </c>
      <c r="H410" s="157"/>
      <c r="I410" s="158">
        <f t="shared" si="6"/>
        <v>10</v>
      </c>
      <c r="J410" s="159"/>
      <c r="K410" s="159"/>
    </row>
    <row r="411" spans="1:17" ht="55.5">
      <c r="A411" s="384" t="s">
        <v>540</v>
      </c>
      <c r="B411" s="53" t="s">
        <v>541</v>
      </c>
      <c r="C411" s="154"/>
      <c r="D411" s="155"/>
      <c r="E411" s="155"/>
      <c r="F411" s="155"/>
      <c r="G411" s="305">
        <f>'AGOST-18'!I407</f>
        <v>0</v>
      </c>
      <c r="H411" s="157"/>
      <c r="I411" s="158"/>
      <c r="J411" s="159"/>
      <c r="K411" s="159"/>
    </row>
    <row r="412" spans="1:17" ht="29.25">
      <c r="A412" s="152">
        <v>51202</v>
      </c>
      <c r="B412" s="153" t="s">
        <v>542</v>
      </c>
      <c r="C412" s="154"/>
      <c r="D412" s="14" t="s">
        <v>11</v>
      </c>
      <c r="E412" s="14" t="s">
        <v>25</v>
      </c>
      <c r="F412" s="14" t="s">
        <v>26</v>
      </c>
      <c r="G412" s="305">
        <f>'AGOST-18'!I408</f>
        <v>0</v>
      </c>
      <c r="H412" s="157"/>
      <c r="I412" s="158">
        <f t="shared" si="6"/>
        <v>0</v>
      </c>
      <c r="J412" s="159"/>
      <c r="K412" s="326"/>
    </row>
    <row r="413" spans="1:17" ht="46.5" customHeight="1">
      <c r="A413" s="152">
        <v>54111</v>
      </c>
      <c r="B413" s="153" t="s">
        <v>543</v>
      </c>
      <c r="C413" s="154"/>
      <c r="D413" s="14" t="s">
        <v>11</v>
      </c>
      <c r="E413" s="14" t="s">
        <v>25</v>
      </c>
      <c r="F413" s="14" t="s">
        <v>26</v>
      </c>
      <c r="G413" s="305">
        <f>'AGOST-18'!I409</f>
        <v>0</v>
      </c>
      <c r="H413" s="157"/>
      <c r="I413" s="158">
        <f t="shared" si="6"/>
        <v>0</v>
      </c>
      <c r="J413" s="159"/>
      <c r="K413" s="326"/>
    </row>
    <row r="414" spans="1:17" ht="35.25" customHeight="1">
      <c r="A414" s="152">
        <v>54112</v>
      </c>
      <c r="B414" s="153" t="s">
        <v>544</v>
      </c>
      <c r="C414" s="154"/>
      <c r="D414" s="14" t="s">
        <v>11</v>
      </c>
      <c r="E414" s="14" t="s">
        <v>25</v>
      </c>
      <c r="F414" s="14" t="s">
        <v>26</v>
      </c>
      <c r="G414" s="305">
        <f>'AGOST-18'!I410</f>
        <v>0</v>
      </c>
      <c r="H414" s="157"/>
      <c r="I414" s="158">
        <f t="shared" ref="I414:I429" si="7">G414-H414+J414-K414</f>
        <v>0</v>
      </c>
      <c r="J414" s="159"/>
      <c r="K414" s="326"/>
    </row>
    <row r="415" spans="1:17" ht="36.75" customHeight="1">
      <c r="A415" s="152">
        <v>54313</v>
      </c>
      <c r="B415" s="153" t="s">
        <v>545</v>
      </c>
      <c r="C415" s="154"/>
      <c r="D415" s="14" t="s">
        <v>11</v>
      </c>
      <c r="E415" s="14" t="s">
        <v>25</v>
      </c>
      <c r="F415" s="14" t="s">
        <v>26</v>
      </c>
      <c r="G415" s="305">
        <f>'AGOST-18'!I411</f>
        <v>0</v>
      </c>
      <c r="H415" s="157"/>
      <c r="I415" s="158">
        <f t="shared" si="7"/>
        <v>0</v>
      </c>
      <c r="J415" s="159"/>
      <c r="K415" s="326"/>
      <c r="M415" s="167"/>
      <c r="N415" s="167"/>
      <c r="O415" s="167"/>
      <c r="P415" s="167"/>
      <c r="Q415" s="167"/>
    </row>
    <row r="416" spans="1:17" ht="34.5" customHeight="1">
      <c r="A416" s="152">
        <v>54399</v>
      </c>
      <c r="B416" s="153" t="s">
        <v>546</v>
      </c>
      <c r="C416" s="154"/>
      <c r="D416" s="14" t="s">
        <v>11</v>
      </c>
      <c r="E416" s="14" t="s">
        <v>25</v>
      </c>
      <c r="F416" s="14" t="s">
        <v>26</v>
      </c>
      <c r="G416" s="305">
        <f>'AGOST-18'!I412</f>
        <v>0</v>
      </c>
      <c r="H416" s="157"/>
      <c r="I416" s="158">
        <f t="shared" si="7"/>
        <v>0</v>
      </c>
      <c r="J416" s="159"/>
      <c r="K416" s="326"/>
      <c r="M416" s="167"/>
      <c r="N416" s="167"/>
      <c r="O416" s="167"/>
      <c r="P416" s="167"/>
      <c r="Q416" s="167"/>
    </row>
    <row r="417" spans="1:27" s="47" customFormat="1" ht="29.25">
      <c r="A417" s="11">
        <v>55603</v>
      </c>
      <c r="B417" s="153" t="s">
        <v>547</v>
      </c>
      <c r="C417" s="12"/>
      <c r="D417" s="14" t="s">
        <v>11</v>
      </c>
      <c r="E417" s="14" t="s">
        <v>25</v>
      </c>
      <c r="F417" s="14" t="s">
        <v>26</v>
      </c>
      <c r="G417" s="305">
        <f>'AGOST-18'!I413</f>
        <v>0</v>
      </c>
      <c r="H417" s="51"/>
      <c r="I417" s="158">
        <f t="shared" si="7"/>
        <v>0</v>
      </c>
      <c r="J417" s="44"/>
      <c r="K417" s="330"/>
      <c r="L417" s="167"/>
      <c r="M417" s="167"/>
      <c r="N417" s="167"/>
      <c r="O417" s="167"/>
      <c r="P417" s="167"/>
      <c r="Q417" s="167"/>
      <c r="R417" s="167"/>
      <c r="S417" s="167"/>
      <c r="T417" s="167"/>
      <c r="U417" s="167"/>
      <c r="V417" s="167"/>
      <c r="W417" s="167"/>
      <c r="X417" s="167"/>
      <c r="Y417" s="167"/>
      <c r="Z417" s="167"/>
      <c r="AA417" s="166"/>
    </row>
    <row r="418" spans="1:27" s="47" customFormat="1" ht="28.5">
      <c r="A418" s="144" t="s">
        <v>548</v>
      </c>
      <c r="B418" s="53" t="s">
        <v>549</v>
      </c>
      <c r="C418" s="12"/>
      <c r="D418" s="14" t="s">
        <v>11</v>
      </c>
      <c r="E418" s="14" t="s">
        <v>25</v>
      </c>
      <c r="F418" s="14" t="s">
        <v>26</v>
      </c>
      <c r="G418" s="305">
        <f>'AGOST-18'!I414</f>
        <v>5000</v>
      </c>
      <c r="H418" s="51"/>
      <c r="I418" s="17">
        <f t="shared" si="7"/>
        <v>5000</v>
      </c>
      <c r="J418" s="44"/>
      <c r="K418" s="44"/>
      <c r="L418" s="167"/>
      <c r="M418" s="167"/>
      <c r="N418" s="167"/>
      <c r="O418" s="167"/>
      <c r="P418" s="167"/>
      <c r="Q418" s="167"/>
      <c r="R418" s="167"/>
      <c r="S418" s="167"/>
      <c r="T418" s="167"/>
      <c r="U418" s="167"/>
      <c r="V418" s="167"/>
      <c r="W418" s="167"/>
      <c r="X418" s="167"/>
      <c r="Y418" s="167"/>
      <c r="Z418" s="167"/>
      <c r="AA418" s="166"/>
    </row>
    <row r="419" spans="1:27" s="47" customFormat="1" ht="40.5">
      <c r="A419" s="144" t="s">
        <v>550</v>
      </c>
      <c r="B419" s="53" t="s">
        <v>1026</v>
      </c>
      <c r="C419" s="12"/>
      <c r="D419" s="3"/>
      <c r="E419" s="3"/>
      <c r="F419" s="3"/>
      <c r="G419" s="305">
        <f>'AGOST-18'!I415</f>
        <v>0</v>
      </c>
      <c r="H419" s="51"/>
      <c r="I419" s="17"/>
      <c r="J419" s="44"/>
      <c r="K419" s="52"/>
      <c r="L419" s="167"/>
      <c r="M419" s="167"/>
      <c r="N419" s="167"/>
      <c r="O419" s="167"/>
      <c r="P419" s="167"/>
      <c r="Q419" s="167"/>
      <c r="R419" s="167"/>
      <c r="S419" s="167"/>
      <c r="T419" s="167"/>
      <c r="U419" s="167"/>
      <c r="V419" s="167"/>
      <c r="W419" s="167"/>
      <c r="X419" s="167"/>
      <c r="Y419" s="167"/>
      <c r="Z419" s="167"/>
      <c r="AA419" s="166"/>
    </row>
    <row r="420" spans="1:27" s="47" customFormat="1" ht="20.25" customHeight="1">
      <c r="A420" s="11">
        <v>51999</v>
      </c>
      <c r="B420" s="70" t="s">
        <v>552</v>
      </c>
      <c r="C420" s="12"/>
      <c r="D420" s="14" t="s">
        <v>11</v>
      </c>
      <c r="E420" s="14" t="s">
        <v>25</v>
      </c>
      <c r="F420" s="14" t="s">
        <v>26</v>
      </c>
      <c r="G420" s="305">
        <f>'AGOST-18'!I416</f>
        <v>0</v>
      </c>
      <c r="H420" s="51"/>
      <c r="I420" s="17">
        <f t="shared" si="7"/>
        <v>0</v>
      </c>
      <c r="J420" s="44"/>
      <c r="K420" s="266"/>
      <c r="L420" s="167"/>
      <c r="M420" s="167"/>
      <c r="N420" s="167"/>
      <c r="O420" s="167"/>
      <c r="P420" s="167"/>
      <c r="Q420" s="167"/>
      <c r="R420" s="167"/>
      <c r="S420" s="167"/>
      <c r="T420" s="167"/>
      <c r="U420" s="167"/>
      <c r="V420" s="167"/>
      <c r="W420" s="167"/>
      <c r="X420" s="167"/>
      <c r="Y420" s="167"/>
      <c r="Z420" s="167"/>
    </row>
    <row r="421" spans="1:27" s="47" customFormat="1" ht="23.25" customHeight="1">
      <c r="A421" s="11">
        <v>54399</v>
      </c>
      <c r="B421" s="70" t="s">
        <v>553</v>
      </c>
      <c r="C421" s="12"/>
      <c r="D421" s="14" t="s">
        <v>11</v>
      </c>
      <c r="E421" s="14" t="s">
        <v>25</v>
      </c>
      <c r="F421" s="14" t="s">
        <v>26</v>
      </c>
      <c r="G421" s="305">
        <f>'AGOST-18'!I417</f>
        <v>0</v>
      </c>
      <c r="H421" s="51"/>
      <c r="I421" s="17">
        <f t="shared" si="7"/>
        <v>0</v>
      </c>
      <c r="J421" s="44"/>
      <c r="K421" s="266"/>
      <c r="L421" s="167"/>
      <c r="M421" s="167"/>
      <c r="N421" s="167"/>
      <c r="O421" s="167"/>
      <c r="P421" s="167"/>
      <c r="Q421" s="167"/>
      <c r="R421" s="167"/>
      <c r="S421" s="167"/>
      <c r="T421" s="167"/>
      <c r="U421" s="167"/>
      <c r="V421" s="167"/>
      <c r="W421" s="167"/>
      <c r="X421" s="167"/>
      <c r="Y421" s="167"/>
      <c r="Z421" s="167"/>
    </row>
    <row r="422" spans="1:27" s="47" customFormat="1" ht="20.25" customHeight="1">
      <c r="A422" s="11">
        <v>54599</v>
      </c>
      <c r="B422" s="70" t="s">
        <v>554</v>
      </c>
      <c r="C422" s="12"/>
      <c r="D422" s="14" t="s">
        <v>11</v>
      </c>
      <c r="E422" s="14" t="s">
        <v>25</v>
      </c>
      <c r="F422" s="14" t="s">
        <v>26</v>
      </c>
      <c r="G422" s="305">
        <f>'AGOST-18'!I418</f>
        <v>0</v>
      </c>
      <c r="H422" s="51"/>
      <c r="I422" s="17">
        <f t="shared" si="7"/>
        <v>0</v>
      </c>
      <c r="J422" s="44"/>
      <c r="K422" s="266"/>
      <c r="L422" s="167"/>
      <c r="M422" s="167"/>
      <c r="N422" s="167"/>
      <c r="O422" s="167"/>
      <c r="P422" s="167"/>
      <c r="Q422" s="167"/>
      <c r="R422" s="167"/>
      <c r="S422" s="167"/>
      <c r="T422" s="167"/>
      <c r="U422" s="167"/>
      <c r="V422" s="167"/>
      <c r="W422" s="167"/>
      <c r="X422" s="167"/>
      <c r="Y422" s="167"/>
      <c r="Z422" s="167"/>
    </row>
    <row r="423" spans="1:27" s="47" customFormat="1" ht="44.25" customHeight="1">
      <c r="A423" s="144" t="s">
        <v>909</v>
      </c>
      <c r="B423" s="349" t="s">
        <v>1089</v>
      </c>
      <c r="C423" s="12"/>
      <c r="D423" s="14"/>
      <c r="E423" s="14"/>
      <c r="F423" s="14"/>
      <c r="G423" s="305">
        <f>'AGOST-18'!I419</f>
        <v>0</v>
      </c>
      <c r="H423" s="51"/>
      <c r="I423" s="17"/>
      <c r="J423" s="44"/>
      <c r="K423" s="266"/>
      <c r="L423" s="167"/>
      <c r="M423" s="167"/>
      <c r="N423" s="167"/>
      <c r="O423" s="167"/>
      <c r="P423" s="167"/>
      <c r="Q423" s="167"/>
      <c r="R423" s="167"/>
      <c r="S423" s="167"/>
      <c r="T423" s="167"/>
      <c r="U423" s="167"/>
      <c r="V423" s="167"/>
      <c r="W423" s="167"/>
      <c r="X423" s="167"/>
      <c r="Y423" s="167"/>
      <c r="Z423" s="167"/>
    </row>
    <row r="424" spans="1:27" s="47" customFormat="1" ht="45" customHeight="1">
      <c r="A424" s="11">
        <v>54314</v>
      </c>
      <c r="B424" s="70" t="s">
        <v>1125</v>
      </c>
      <c r="C424" s="12"/>
      <c r="D424" s="14" t="s">
        <v>11</v>
      </c>
      <c r="E424" s="14" t="s">
        <v>25</v>
      </c>
      <c r="F424" s="14" t="s">
        <v>26</v>
      </c>
      <c r="G424" s="305">
        <f>'AGOST-18'!I420</f>
        <v>0</v>
      </c>
      <c r="H424" s="51"/>
      <c r="I424" s="17">
        <f t="shared" si="7"/>
        <v>0</v>
      </c>
      <c r="J424" s="347"/>
      <c r="K424" s="266"/>
      <c r="L424" s="167"/>
      <c r="M424" s="167"/>
      <c r="N424" s="167"/>
      <c r="O424" s="167"/>
      <c r="P424" s="167"/>
      <c r="Q424" s="167"/>
      <c r="R424" s="167"/>
      <c r="S424" s="167"/>
      <c r="T424" s="167"/>
      <c r="U424" s="167"/>
      <c r="V424" s="167"/>
      <c r="W424" s="167"/>
      <c r="X424" s="167"/>
      <c r="Y424" s="167"/>
      <c r="Z424" s="167"/>
    </row>
    <row r="425" spans="1:27" s="47" customFormat="1" ht="30">
      <c r="A425" s="47">
        <v>55603</v>
      </c>
      <c r="B425" s="5" t="s">
        <v>1091</v>
      </c>
      <c r="C425" s="12"/>
      <c r="D425" s="14" t="s">
        <v>11</v>
      </c>
      <c r="E425" s="14" t="s">
        <v>25</v>
      </c>
      <c r="F425" s="14" t="s">
        <v>26</v>
      </c>
      <c r="G425" s="305">
        <f>'AGOST-18'!I421</f>
        <v>0</v>
      </c>
      <c r="H425" s="375"/>
      <c r="I425" s="17">
        <f t="shared" si="7"/>
        <v>0</v>
      </c>
      <c r="J425" s="316"/>
      <c r="K425" s="44"/>
      <c r="L425" s="167"/>
      <c r="M425" s="167"/>
      <c r="N425" s="167"/>
      <c r="O425" s="167"/>
      <c r="P425" s="167"/>
      <c r="Q425" s="167"/>
      <c r="R425" s="167"/>
      <c r="S425" s="167"/>
      <c r="T425" s="167"/>
      <c r="U425" s="167"/>
      <c r="V425" s="167"/>
      <c r="W425" s="167"/>
      <c r="X425" s="167"/>
      <c r="Y425" s="167"/>
      <c r="Z425" s="167"/>
    </row>
    <row r="426" spans="1:27" s="47" customFormat="1">
      <c r="B426" s="5"/>
      <c r="C426" s="12"/>
      <c r="D426" s="14"/>
      <c r="E426" s="14"/>
      <c r="F426" s="14"/>
      <c r="G426" s="305">
        <f>'AGOST-18'!I422</f>
        <v>0</v>
      </c>
      <c r="H426" s="51"/>
      <c r="I426" s="17"/>
      <c r="J426" s="316"/>
      <c r="K426" s="44"/>
      <c r="L426" s="167"/>
      <c r="M426" s="167"/>
      <c r="N426" s="167"/>
      <c r="O426" s="167"/>
      <c r="P426" s="167"/>
      <c r="Q426" s="167"/>
      <c r="R426" s="167"/>
      <c r="S426" s="167"/>
      <c r="T426" s="167"/>
      <c r="U426" s="167"/>
      <c r="V426" s="167"/>
      <c r="W426" s="167"/>
      <c r="X426" s="167"/>
      <c r="Y426" s="167"/>
      <c r="Z426" s="167"/>
    </row>
    <row r="427" spans="1:27" s="47" customFormat="1" ht="75" customHeight="1">
      <c r="A427" s="317" t="s">
        <v>1149</v>
      </c>
      <c r="B427" s="338" t="s">
        <v>1186</v>
      </c>
      <c r="C427" s="318"/>
      <c r="D427" s="14" t="s">
        <v>11</v>
      </c>
      <c r="E427" s="14" t="s">
        <v>25</v>
      </c>
      <c r="F427" s="14" t="s">
        <v>26</v>
      </c>
      <c r="G427" s="305">
        <f>'AGOST-18'!I423</f>
        <v>48166.890000000014</v>
      </c>
      <c r="H427" s="51">
        <f>13465.02+19472.91</f>
        <v>32937.93</v>
      </c>
      <c r="I427" s="17">
        <f t="shared" si="7"/>
        <v>15228.960000000014</v>
      </c>
      <c r="J427" s="316"/>
      <c r="K427" s="388"/>
      <c r="L427" s="167"/>
      <c r="M427" s="167"/>
      <c r="N427" s="167"/>
      <c r="O427" s="167"/>
      <c r="P427" s="167"/>
      <c r="Q427" s="167"/>
      <c r="R427" s="167"/>
      <c r="S427" s="167"/>
      <c r="T427" s="167"/>
      <c r="U427" s="167"/>
      <c r="V427" s="167"/>
      <c r="W427" s="167"/>
      <c r="X427" s="167"/>
      <c r="Y427" s="167"/>
      <c r="Z427" s="167"/>
    </row>
    <row r="428" spans="1:27" s="47" customFormat="1" ht="79.5" customHeight="1">
      <c r="A428" s="47">
        <v>61599</v>
      </c>
      <c r="B428" s="179" t="s">
        <v>1187</v>
      </c>
      <c r="C428" s="12"/>
      <c r="D428" s="14" t="s">
        <v>11</v>
      </c>
      <c r="E428" s="14" t="s">
        <v>25</v>
      </c>
      <c r="F428" s="14" t="s">
        <v>1181</v>
      </c>
      <c r="G428" s="305">
        <f>'AGOST-18'!I424</f>
        <v>0</v>
      </c>
      <c r="H428" s="51"/>
      <c r="I428" s="386">
        <f t="shared" si="7"/>
        <v>0</v>
      </c>
      <c r="J428" s="389"/>
      <c r="K428" s="347"/>
      <c r="L428" s="167"/>
      <c r="M428" s="167"/>
      <c r="N428" s="167"/>
      <c r="O428" s="167"/>
      <c r="P428" s="167"/>
      <c r="Q428" s="167"/>
      <c r="R428" s="167"/>
      <c r="S428" s="167"/>
      <c r="T428" s="167"/>
      <c r="U428" s="167"/>
      <c r="V428" s="167"/>
      <c r="W428" s="167"/>
      <c r="X428" s="167"/>
      <c r="Y428" s="167"/>
      <c r="Z428" s="167"/>
    </row>
    <row r="429" spans="1:27" s="47" customFormat="1" ht="48" customHeight="1">
      <c r="A429" s="47" t="s">
        <v>1150</v>
      </c>
      <c r="B429" s="340" t="s">
        <v>1116</v>
      </c>
      <c r="C429" s="319"/>
      <c r="D429" s="14" t="s">
        <v>11</v>
      </c>
      <c r="E429" s="14" t="s">
        <v>25</v>
      </c>
      <c r="F429" s="14" t="s">
        <v>26</v>
      </c>
      <c r="G429" s="305">
        <f>'AGOST-18'!I425</f>
        <v>60000.05</v>
      </c>
      <c r="H429" s="51">
        <f>14987.7</f>
        <v>14987.7</v>
      </c>
      <c r="I429" s="17">
        <f t="shared" si="7"/>
        <v>45012.350000000006</v>
      </c>
      <c r="J429" s="347"/>
      <c r="K429" s="389"/>
      <c r="L429" s="167"/>
      <c r="M429" s="167"/>
      <c r="N429" s="167"/>
      <c r="O429" s="167"/>
      <c r="P429" s="167"/>
      <c r="Q429" s="167"/>
      <c r="R429" s="167"/>
      <c r="S429" s="167"/>
      <c r="T429" s="167"/>
      <c r="U429" s="167"/>
      <c r="V429" s="167"/>
      <c r="W429" s="167"/>
      <c r="X429" s="167"/>
      <c r="Y429" s="167"/>
      <c r="Z429" s="167"/>
    </row>
    <row r="430" spans="1:27" s="47" customFormat="1" ht="51.75" customHeight="1">
      <c r="A430" s="47">
        <v>54107</v>
      </c>
      <c r="B430" s="5" t="s">
        <v>1148</v>
      </c>
      <c r="C430" s="12"/>
      <c r="D430" s="14"/>
      <c r="E430" s="14"/>
      <c r="F430" s="14"/>
      <c r="G430" s="305">
        <f>'AGOST-18'!I426</f>
        <v>0</v>
      </c>
      <c r="H430" s="51"/>
      <c r="I430" s="17"/>
      <c r="J430" s="316"/>
      <c r="K430" s="44"/>
      <c r="L430" s="167"/>
      <c r="M430" s="167"/>
      <c r="N430" s="167"/>
      <c r="O430" s="167"/>
      <c r="P430" s="167"/>
      <c r="Q430" s="167"/>
      <c r="R430" s="167"/>
      <c r="S430" s="167"/>
      <c r="T430" s="167"/>
      <c r="U430" s="167"/>
      <c r="V430" s="167"/>
      <c r="W430" s="167"/>
      <c r="X430" s="167"/>
      <c r="Y430" s="167"/>
      <c r="Z430" s="167"/>
    </row>
    <row r="431" spans="1:27" s="47" customFormat="1" ht="81.75">
      <c r="A431" s="379" t="s">
        <v>1151</v>
      </c>
      <c r="B431" s="53" t="s">
        <v>1170</v>
      </c>
      <c r="C431" s="344" t="s">
        <v>1157</v>
      </c>
      <c r="D431" s="14"/>
      <c r="E431" s="14"/>
      <c r="F431" s="14"/>
      <c r="G431" s="305">
        <f>'AGOST-18'!I427</f>
        <v>0</v>
      </c>
      <c r="H431" s="51"/>
      <c r="I431" s="17"/>
      <c r="J431" s="316"/>
      <c r="K431" s="44"/>
      <c r="L431" s="167"/>
      <c r="M431" s="167"/>
      <c r="N431" s="167"/>
      <c r="O431" s="167"/>
      <c r="P431" s="167"/>
      <c r="Q431" s="167"/>
      <c r="R431" s="167"/>
      <c r="S431" s="167"/>
      <c r="T431" s="167"/>
      <c r="U431" s="167"/>
      <c r="V431" s="167"/>
      <c r="W431" s="167"/>
      <c r="X431" s="167"/>
      <c r="Y431" s="167"/>
      <c r="Z431" s="167"/>
    </row>
    <row r="432" spans="1:27" s="47" customFormat="1" ht="29.25">
      <c r="A432" s="152">
        <v>51202</v>
      </c>
      <c r="B432" s="153" t="s">
        <v>1152</v>
      </c>
      <c r="C432" s="12" t="s">
        <v>1158</v>
      </c>
      <c r="D432" s="14" t="s">
        <v>11</v>
      </c>
      <c r="E432" s="14" t="s">
        <v>25</v>
      </c>
      <c r="F432" s="14" t="s">
        <v>26</v>
      </c>
      <c r="G432" s="305">
        <f>'AGOST-18'!I428</f>
        <v>3450.2</v>
      </c>
      <c r="H432" s="51">
        <f>210+168+140+60+140+60+90+90+50+50</f>
        <v>1058</v>
      </c>
      <c r="I432" s="17">
        <f t="shared" ref="I432:I443" si="8">G432-H432+J432-K432</f>
        <v>2392.1999999999998</v>
      </c>
      <c r="J432" s="347"/>
      <c r="K432" s="44"/>
      <c r="L432" s="167"/>
      <c r="M432" s="167"/>
      <c r="N432" s="167"/>
      <c r="O432" s="167"/>
      <c r="P432" s="167"/>
      <c r="Q432" s="167"/>
      <c r="R432" s="167"/>
      <c r="S432" s="167"/>
      <c r="T432" s="167"/>
      <c r="U432" s="167"/>
      <c r="V432" s="167"/>
      <c r="W432" s="167"/>
      <c r="X432" s="167"/>
      <c r="Y432" s="167"/>
      <c r="Z432" s="167"/>
    </row>
    <row r="433" spans="1:26" s="47" customFormat="1" ht="59.25">
      <c r="A433" s="152">
        <v>54107</v>
      </c>
      <c r="B433" s="164" t="s">
        <v>1188</v>
      </c>
      <c r="C433" s="12"/>
      <c r="D433" s="14" t="s">
        <v>11</v>
      </c>
      <c r="E433" s="14" t="s">
        <v>25</v>
      </c>
      <c r="F433" s="14" t="s">
        <v>1181</v>
      </c>
      <c r="G433" s="305">
        <f>'AGOST-18'!I429</f>
        <v>0</v>
      </c>
      <c r="H433" s="51"/>
      <c r="I433" s="386">
        <f t="shared" si="8"/>
        <v>0</v>
      </c>
      <c r="J433" s="347"/>
      <c r="K433" s="44"/>
      <c r="L433" s="167"/>
      <c r="M433" s="167"/>
      <c r="N433" s="167"/>
      <c r="O433" s="167"/>
      <c r="P433" s="167"/>
      <c r="Q433" s="167"/>
      <c r="R433" s="167"/>
      <c r="S433" s="167"/>
      <c r="T433" s="167"/>
      <c r="U433" s="167"/>
      <c r="V433" s="167"/>
      <c r="W433" s="167"/>
      <c r="X433" s="167"/>
      <c r="Y433" s="167"/>
      <c r="Z433" s="167"/>
    </row>
    <row r="434" spans="1:26" s="47" customFormat="1" ht="44.25">
      <c r="A434" s="152">
        <v>54111</v>
      </c>
      <c r="B434" s="153" t="s">
        <v>1154</v>
      </c>
      <c r="C434" s="12"/>
      <c r="D434" s="14" t="s">
        <v>11</v>
      </c>
      <c r="E434" s="14" t="s">
        <v>25</v>
      </c>
      <c r="F434" s="14" t="s">
        <v>26</v>
      </c>
      <c r="G434" s="305">
        <f>'AGOST-18'!I430</f>
        <v>5592.4</v>
      </c>
      <c r="H434" s="51">
        <f>1080+170.35+17+26.74+42.5</f>
        <v>1336.59</v>
      </c>
      <c r="I434" s="17">
        <f t="shared" si="8"/>
        <v>4255.8099999999995</v>
      </c>
      <c r="J434" s="347"/>
      <c r="K434" s="44"/>
      <c r="L434" s="167"/>
      <c r="M434" s="167"/>
      <c r="N434" s="167"/>
      <c r="O434" s="167"/>
      <c r="P434" s="167"/>
      <c r="Q434" s="167"/>
      <c r="R434" s="167"/>
      <c r="S434" s="167"/>
      <c r="T434" s="167"/>
      <c r="U434" s="167"/>
      <c r="V434" s="167"/>
      <c r="W434" s="167"/>
      <c r="X434" s="167"/>
      <c r="Y434" s="167"/>
      <c r="Z434" s="167"/>
    </row>
    <row r="435" spans="1:26" s="47" customFormat="1" ht="44.25">
      <c r="A435" s="152">
        <v>54112</v>
      </c>
      <c r="B435" s="153" t="s">
        <v>1153</v>
      </c>
      <c r="C435" s="12"/>
      <c r="D435" s="14" t="s">
        <v>11</v>
      </c>
      <c r="E435" s="14" t="s">
        <v>25</v>
      </c>
      <c r="F435" s="14" t="s">
        <v>26</v>
      </c>
      <c r="G435" s="305">
        <f>'AGOST-18'!I431</f>
        <v>3985</v>
      </c>
      <c r="H435" s="51">
        <f>255.5</f>
        <v>255.5</v>
      </c>
      <c r="I435" s="17">
        <f t="shared" si="8"/>
        <v>3729.5</v>
      </c>
      <c r="J435" s="347"/>
      <c r="K435" s="44"/>
      <c r="L435" s="167"/>
      <c r="M435" s="167"/>
      <c r="N435" s="167"/>
      <c r="O435" s="167"/>
      <c r="P435" s="167"/>
      <c r="Q435" s="167"/>
      <c r="R435" s="167"/>
      <c r="S435" s="167"/>
      <c r="T435" s="167"/>
      <c r="U435" s="167"/>
      <c r="V435" s="167"/>
      <c r="W435" s="167"/>
      <c r="X435" s="167"/>
      <c r="Y435" s="167"/>
      <c r="Z435" s="167"/>
    </row>
    <row r="436" spans="1:26" s="47" customFormat="1" ht="43.5">
      <c r="A436" s="152">
        <v>54118</v>
      </c>
      <c r="B436" s="153" t="s">
        <v>1155</v>
      </c>
      <c r="C436" s="12"/>
      <c r="D436" s="14" t="s">
        <v>11</v>
      </c>
      <c r="E436" s="14" t="s">
        <v>25</v>
      </c>
      <c r="F436" s="14" t="s">
        <v>26</v>
      </c>
      <c r="G436" s="305">
        <f>'AGOST-18'!I432</f>
        <v>1967.9099999999999</v>
      </c>
      <c r="H436" s="51"/>
      <c r="I436" s="17">
        <f t="shared" si="8"/>
        <v>1967.9099999999999</v>
      </c>
      <c r="J436" s="347"/>
      <c r="K436" s="390"/>
      <c r="L436" s="167"/>
      <c r="M436" s="167"/>
      <c r="N436" s="167"/>
      <c r="O436" s="167"/>
      <c r="P436" s="167"/>
      <c r="Q436" s="167"/>
      <c r="R436" s="167"/>
      <c r="S436" s="167"/>
      <c r="T436" s="167"/>
      <c r="U436" s="167"/>
      <c r="V436" s="167"/>
      <c r="W436" s="167"/>
      <c r="X436" s="167"/>
      <c r="Y436" s="167"/>
      <c r="Z436" s="167"/>
    </row>
    <row r="437" spans="1:26" s="47" customFormat="1" ht="43.5">
      <c r="A437" s="152">
        <v>55603</v>
      </c>
      <c r="B437" s="153" t="s">
        <v>1156</v>
      </c>
      <c r="C437" s="12"/>
      <c r="D437" s="14" t="s">
        <v>11</v>
      </c>
      <c r="E437" s="14" t="s">
        <v>25</v>
      </c>
      <c r="F437" s="14" t="s">
        <v>26</v>
      </c>
      <c r="G437" s="305">
        <f>'AGOST-18'!I433</f>
        <v>5.8699999999999992</v>
      </c>
      <c r="H437" s="51"/>
      <c r="I437" s="17">
        <f t="shared" si="8"/>
        <v>5.8699999999999992</v>
      </c>
      <c r="J437" s="347"/>
      <c r="K437" s="44"/>
      <c r="L437" s="167"/>
      <c r="M437" s="167"/>
      <c r="N437" s="167"/>
      <c r="O437" s="167"/>
      <c r="P437" s="167"/>
      <c r="Q437" s="167"/>
      <c r="R437" s="167"/>
      <c r="S437" s="167"/>
      <c r="T437" s="167"/>
      <c r="U437" s="167"/>
      <c r="V437" s="167"/>
      <c r="W437" s="167"/>
      <c r="X437" s="167"/>
      <c r="Y437" s="167"/>
      <c r="Z437" s="167"/>
    </row>
    <row r="438" spans="1:26" s="47" customFormat="1" ht="67.5">
      <c r="A438" s="379" t="s">
        <v>1190</v>
      </c>
      <c r="B438" s="53" t="s">
        <v>1191</v>
      </c>
      <c r="C438" s="12"/>
      <c r="D438" s="14"/>
      <c r="E438" s="14"/>
      <c r="F438" s="14"/>
      <c r="G438" s="305">
        <f>'AGOST-18'!I434</f>
        <v>0</v>
      </c>
      <c r="H438" s="51"/>
      <c r="I438" s="17"/>
      <c r="J438" s="347"/>
      <c r="K438" s="44"/>
      <c r="L438" s="167"/>
      <c r="M438" s="167"/>
      <c r="N438" s="167"/>
      <c r="O438" s="167"/>
      <c r="P438" s="167"/>
      <c r="Q438" s="167"/>
      <c r="R438" s="167"/>
      <c r="S438" s="167"/>
      <c r="T438" s="167"/>
      <c r="U438" s="167"/>
      <c r="V438" s="167"/>
      <c r="W438" s="167"/>
      <c r="X438" s="167"/>
      <c r="Y438" s="167"/>
      <c r="Z438" s="167"/>
    </row>
    <row r="439" spans="1:26" s="47" customFormat="1" ht="29.25">
      <c r="A439" s="152">
        <v>51202</v>
      </c>
      <c r="B439" s="153" t="s">
        <v>1192</v>
      </c>
      <c r="C439" s="12"/>
      <c r="D439" s="14" t="s">
        <v>11</v>
      </c>
      <c r="E439" s="14" t="s">
        <v>25</v>
      </c>
      <c r="F439" s="14" t="s">
        <v>26</v>
      </c>
      <c r="G439" s="305">
        <f>'AGOST-18'!I435</f>
        <v>2500</v>
      </c>
      <c r="H439" s="51"/>
      <c r="I439" s="17">
        <f t="shared" si="8"/>
        <v>2500</v>
      </c>
      <c r="J439" s="347"/>
      <c r="K439" s="44"/>
      <c r="L439" s="167"/>
      <c r="M439" s="167"/>
      <c r="N439" s="167"/>
      <c r="O439" s="167"/>
      <c r="P439" s="167"/>
      <c r="Q439" s="167"/>
      <c r="R439" s="167"/>
      <c r="S439" s="167"/>
      <c r="T439" s="167"/>
      <c r="U439" s="167"/>
      <c r="V439" s="167"/>
      <c r="W439" s="167"/>
      <c r="X439" s="167"/>
      <c r="Y439" s="167"/>
      <c r="Z439" s="167"/>
    </row>
    <row r="440" spans="1:26" s="47" customFormat="1" ht="44.25">
      <c r="A440" s="152">
        <v>54111</v>
      </c>
      <c r="B440" s="153" t="s">
        <v>1193</v>
      </c>
      <c r="C440" s="12"/>
      <c r="D440" s="14" t="s">
        <v>11</v>
      </c>
      <c r="E440" s="14" t="s">
        <v>25</v>
      </c>
      <c r="F440" s="14" t="s">
        <v>26</v>
      </c>
      <c r="G440" s="305">
        <f>'AGOST-18'!I436</f>
        <v>3000</v>
      </c>
      <c r="H440" s="51"/>
      <c r="I440" s="17">
        <f t="shared" si="8"/>
        <v>3000</v>
      </c>
      <c r="J440" s="347"/>
      <c r="K440" s="44"/>
      <c r="L440" s="167"/>
      <c r="M440" s="167"/>
      <c r="N440" s="167"/>
      <c r="O440" s="167"/>
      <c r="P440" s="167"/>
      <c r="Q440" s="167"/>
      <c r="R440" s="167"/>
      <c r="S440" s="167"/>
      <c r="T440" s="167"/>
      <c r="U440" s="167"/>
      <c r="V440" s="167"/>
      <c r="W440" s="167"/>
      <c r="X440" s="167"/>
      <c r="Y440" s="167"/>
      <c r="Z440" s="167"/>
    </row>
    <row r="441" spans="1:26" s="47" customFormat="1" ht="44.25">
      <c r="A441" s="152">
        <v>54112</v>
      </c>
      <c r="B441" s="153" t="s">
        <v>1194</v>
      </c>
      <c r="C441" s="12"/>
      <c r="D441" s="14" t="s">
        <v>11</v>
      </c>
      <c r="E441" s="14" t="s">
        <v>25</v>
      </c>
      <c r="F441" s="14" t="s">
        <v>26</v>
      </c>
      <c r="G441" s="305">
        <f>'AGOST-18'!I437</f>
        <v>1500</v>
      </c>
      <c r="H441" s="51"/>
      <c r="I441" s="17">
        <f t="shared" si="8"/>
        <v>1500</v>
      </c>
      <c r="J441" s="347"/>
      <c r="K441" s="44"/>
      <c r="L441" s="167"/>
      <c r="M441" s="167"/>
      <c r="N441" s="167"/>
      <c r="O441" s="167"/>
      <c r="P441" s="167"/>
      <c r="Q441" s="167"/>
      <c r="R441" s="167"/>
      <c r="S441" s="167"/>
      <c r="T441" s="167"/>
      <c r="U441" s="167"/>
      <c r="V441" s="167"/>
      <c r="W441" s="167"/>
      <c r="X441" s="167"/>
      <c r="Y441" s="167"/>
      <c r="Z441" s="167"/>
    </row>
    <row r="442" spans="1:26" s="47" customFormat="1" ht="29.25">
      <c r="A442" s="152">
        <v>54118</v>
      </c>
      <c r="B442" s="153" t="s">
        <v>1195</v>
      </c>
      <c r="C442" s="12"/>
      <c r="D442" s="14" t="s">
        <v>11</v>
      </c>
      <c r="E442" s="14" t="s">
        <v>25</v>
      </c>
      <c r="F442" s="14" t="s">
        <v>26</v>
      </c>
      <c r="G442" s="305">
        <f>'AGOST-18'!I438</f>
        <v>1505.17</v>
      </c>
      <c r="H442" s="51"/>
      <c r="I442" s="17">
        <f t="shared" si="8"/>
        <v>1505.17</v>
      </c>
      <c r="J442" s="347"/>
      <c r="K442" s="44"/>
      <c r="L442" s="167"/>
      <c r="M442" s="167"/>
      <c r="N442" s="167"/>
      <c r="O442" s="167"/>
      <c r="P442" s="167"/>
      <c r="Q442" s="167"/>
      <c r="R442" s="167"/>
      <c r="S442" s="167"/>
      <c r="T442" s="167"/>
      <c r="U442" s="167"/>
      <c r="V442" s="167"/>
      <c r="W442" s="167"/>
      <c r="X442" s="167"/>
      <c r="Y442" s="167"/>
      <c r="Z442" s="167"/>
    </row>
    <row r="443" spans="1:26" s="47" customFormat="1" ht="29.25">
      <c r="A443" s="152">
        <v>55603</v>
      </c>
      <c r="B443" s="153" t="s">
        <v>1196</v>
      </c>
      <c r="C443" s="12"/>
      <c r="D443" s="14" t="s">
        <v>11</v>
      </c>
      <c r="E443" s="14" t="s">
        <v>25</v>
      </c>
      <c r="F443" s="14" t="s">
        <v>26</v>
      </c>
      <c r="G443" s="305">
        <f>'AGOST-18'!I439</f>
        <v>10</v>
      </c>
      <c r="H443" s="51"/>
      <c r="I443" s="17">
        <f t="shared" si="8"/>
        <v>10</v>
      </c>
      <c r="J443" s="347"/>
      <c r="K443" s="44"/>
      <c r="L443" s="167"/>
      <c r="M443" s="167"/>
      <c r="N443" s="167"/>
      <c r="O443" s="167"/>
      <c r="P443" s="167"/>
      <c r="Q443" s="167"/>
      <c r="R443" s="167"/>
      <c r="S443" s="167"/>
      <c r="T443" s="167"/>
      <c r="U443" s="167"/>
      <c r="V443" s="167"/>
      <c r="W443" s="167"/>
      <c r="X443" s="167"/>
      <c r="Y443" s="167"/>
      <c r="Z443" s="167"/>
    </row>
    <row r="444" spans="1:26" s="47" customFormat="1">
      <c r="A444" s="152"/>
      <c r="B444" s="153"/>
      <c r="C444" s="12"/>
      <c r="D444" s="14"/>
      <c r="E444" s="14"/>
      <c r="F444" s="14"/>
      <c r="G444" s="305">
        <f>'AGOST-18'!I440</f>
        <v>0</v>
      </c>
      <c r="H444" s="51"/>
      <c r="I444" s="17"/>
      <c r="J444" s="347"/>
      <c r="K444" s="44"/>
      <c r="L444" s="167"/>
      <c r="M444" s="167"/>
      <c r="N444" s="167"/>
      <c r="O444" s="167"/>
      <c r="P444" s="167"/>
      <c r="Q444" s="167"/>
      <c r="R444" s="167"/>
      <c r="S444" s="167"/>
      <c r="T444" s="167"/>
      <c r="U444" s="167"/>
      <c r="V444" s="167"/>
      <c r="W444" s="167"/>
      <c r="X444" s="167"/>
      <c r="Y444" s="167"/>
      <c r="Z444" s="167"/>
    </row>
    <row r="445" spans="1:26" s="47" customFormat="1">
      <c r="B445" s="5"/>
      <c r="C445" s="12"/>
      <c r="D445" s="14"/>
      <c r="E445" s="14"/>
      <c r="F445" s="14"/>
      <c r="G445" s="305">
        <f>'AGOST-18'!I441</f>
        <v>0</v>
      </c>
      <c r="H445" s="51"/>
      <c r="I445" s="17"/>
      <c r="J445" s="316"/>
      <c r="K445" s="44"/>
      <c r="L445" s="167"/>
      <c r="M445" s="167"/>
      <c r="N445" s="167"/>
      <c r="O445" s="167"/>
      <c r="P445" s="167"/>
      <c r="Q445" s="167"/>
      <c r="R445" s="167"/>
      <c r="S445" s="167"/>
      <c r="T445" s="167"/>
      <c r="U445" s="167"/>
      <c r="V445" s="167"/>
      <c r="W445" s="167"/>
      <c r="X445" s="167"/>
      <c r="Y445" s="167"/>
      <c r="Z445" s="167"/>
    </row>
    <row r="446" spans="1:26" s="47" customFormat="1">
      <c r="A446" s="11"/>
      <c r="B446" s="5"/>
      <c r="C446" s="12"/>
      <c r="D446" s="3"/>
      <c r="E446" s="3"/>
      <c r="F446" s="3"/>
      <c r="G446" s="305">
        <f>'AGOST-18'!I442</f>
        <v>0</v>
      </c>
      <c r="H446" s="51"/>
      <c r="I446" s="17"/>
      <c r="J446" s="44"/>
      <c r="K446" s="44"/>
      <c r="L446" s="167"/>
      <c r="M446" s="167"/>
      <c r="N446" s="167"/>
      <c r="O446" s="167"/>
      <c r="P446" s="167"/>
      <c r="Q446" s="167"/>
      <c r="R446" s="167"/>
      <c r="S446" s="167"/>
      <c r="T446" s="167"/>
      <c r="U446" s="167"/>
      <c r="V446" s="167"/>
      <c r="W446" s="167"/>
      <c r="X446" s="167"/>
      <c r="Y446" s="167"/>
      <c r="Z446" s="167"/>
    </row>
    <row r="447" spans="1:26">
      <c r="A447" s="160"/>
      <c r="B447" s="161" t="s">
        <v>17</v>
      </c>
      <c r="C447" s="161"/>
      <c r="D447" s="161"/>
      <c r="E447" s="161"/>
      <c r="F447" s="161"/>
      <c r="G447" s="305">
        <f>SUM(G160:G446)</f>
        <v>658122.16000000027</v>
      </c>
      <c r="H447" s="163">
        <f>SUM(H160:H446)</f>
        <v>119319.52999999998</v>
      </c>
      <c r="I447" s="424">
        <f>SUM(I160:I446)</f>
        <v>538511.74</v>
      </c>
      <c r="J447" s="162">
        <f>SUM(J160:J446)</f>
        <v>40003.65</v>
      </c>
      <c r="K447" s="162">
        <f>SUM(K160:K446)</f>
        <v>40294.54</v>
      </c>
      <c r="M447" s="167"/>
      <c r="N447" s="167"/>
      <c r="O447" s="167"/>
      <c r="P447" s="167"/>
      <c r="Q447" s="167"/>
      <c r="R447" s="167"/>
      <c r="S447" s="167"/>
      <c r="T447" s="167"/>
      <c r="U447" s="167"/>
      <c r="V447" s="167"/>
      <c r="W447" s="167"/>
      <c r="X447" s="167"/>
      <c r="Y447" s="167"/>
      <c r="Z447" s="167"/>
    </row>
    <row r="448" spans="1:26" ht="58.5">
      <c r="A448" s="11" t="s">
        <v>555</v>
      </c>
      <c r="B448" s="57" t="s">
        <v>557</v>
      </c>
      <c r="C448" s="344" t="s">
        <v>1159</v>
      </c>
      <c r="D448" s="14" t="s">
        <v>18</v>
      </c>
      <c r="E448" s="14" t="s">
        <v>28</v>
      </c>
      <c r="F448" s="14" t="s">
        <v>26</v>
      </c>
      <c r="G448" s="305">
        <f>'AGOST-18'!I444</f>
        <v>0</v>
      </c>
      <c r="H448" s="51"/>
      <c r="I448" s="17">
        <f t="shared" ref="I448:I519" si="9">G448-H448+J448-K448</f>
        <v>0</v>
      </c>
      <c r="J448" s="52"/>
      <c r="K448" s="143"/>
      <c r="M448" s="167"/>
      <c r="N448" s="167"/>
      <c r="O448" s="167"/>
      <c r="P448" s="167"/>
      <c r="Q448" s="167"/>
      <c r="R448" s="167"/>
      <c r="S448" s="167"/>
      <c r="T448" s="167"/>
      <c r="U448" s="167"/>
      <c r="V448" s="167"/>
      <c r="W448" s="167"/>
      <c r="X448" s="167"/>
      <c r="Y448" s="167"/>
      <c r="Z448" s="167"/>
    </row>
    <row r="449" spans="1:17" ht="58.5">
      <c r="A449" s="11" t="s">
        <v>556</v>
      </c>
      <c r="B449" s="57" t="s">
        <v>558</v>
      </c>
      <c r="C449" s="58"/>
      <c r="D449" s="14" t="s">
        <v>18</v>
      </c>
      <c r="E449" s="14" t="s">
        <v>28</v>
      </c>
      <c r="F449" s="14" t="s">
        <v>26</v>
      </c>
      <c r="G449" s="305">
        <f>'AGOST-18'!I445</f>
        <v>27.269999999998618</v>
      </c>
      <c r="H449" s="51"/>
      <c r="I449" s="17">
        <f t="shared" si="9"/>
        <v>27.269999999998618</v>
      </c>
      <c r="J449" s="391"/>
      <c r="K449" s="137"/>
      <c r="M449" s="167"/>
      <c r="N449" s="167"/>
      <c r="O449" s="167"/>
      <c r="P449" s="167"/>
      <c r="Q449" s="167"/>
    </row>
    <row r="450" spans="1:17" ht="72.75">
      <c r="A450" s="11" t="s">
        <v>560</v>
      </c>
      <c r="B450" s="57" t="s">
        <v>559</v>
      </c>
      <c r="C450" s="59"/>
      <c r="D450" s="14" t="s">
        <v>18</v>
      </c>
      <c r="E450" s="14" t="s">
        <v>28</v>
      </c>
      <c r="F450" s="14" t="s">
        <v>26</v>
      </c>
      <c r="G450" s="305">
        <f>'AGOST-18'!I446</f>
        <v>0</v>
      </c>
      <c r="H450" s="51"/>
      <c r="I450" s="17">
        <f t="shared" si="9"/>
        <v>0</v>
      </c>
      <c r="J450" s="52"/>
      <c r="K450" s="143"/>
    </row>
    <row r="451" spans="1:17" ht="72.75">
      <c r="A451" s="11" t="s">
        <v>561</v>
      </c>
      <c r="B451" s="57" t="s">
        <v>562</v>
      </c>
      <c r="C451" s="59"/>
      <c r="D451" s="14" t="s">
        <v>18</v>
      </c>
      <c r="E451" s="14" t="s">
        <v>28</v>
      </c>
      <c r="F451" s="14" t="s">
        <v>26</v>
      </c>
      <c r="G451" s="305">
        <f>'AGOST-18'!I447</f>
        <v>0</v>
      </c>
      <c r="H451" s="51"/>
      <c r="I451" s="17">
        <f t="shared" si="9"/>
        <v>0</v>
      </c>
      <c r="J451" s="56"/>
      <c r="K451" s="391"/>
    </row>
    <row r="452" spans="1:17" ht="72.75">
      <c r="A452" s="11" t="s">
        <v>1160</v>
      </c>
      <c r="B452" s="57" t="s">
        <v>1161</v>
      </c>
      <c r="C452" s="59"/>
      <c r="D452" s="14" t="s">
        <v>18</v>
      </c>
      <c r="E452" s="14" t="s">
        <v>28</v>
      </c>
      <c r="F452" s="14" t="s">
        <v>26</v>
      </c>
      <c r="G452" s="305">
        <f>'AGOST-18'!I448</f>
        <v>0</v>
      </c>
      <c r="H452" s="51"/>
      <c r="I452" s="17">
        <f t="shared" si="9"/>
        <v>0</v>
      </c>
      <c r="J452" s="137"/>
      <c r="K452" s="392"/>
    </row>
    <row r="453" spans="1:17" ht="72.75">
      <c r="A453" s="11" t="s">
        <v>564</v>
      </c>
      <c r="B453" s="57" t="s">
        <v>563</v>
      </c>
      <c r="C453" s="59"/>
      <c r="D453" s="14" t="s">
        <v>18</v>
      </c>
      <c r="E453" s="14" t="s">
        <v>28</v>
      </c>
      <c r="F453" s="14" t="s">
        <v>26</v>
      </c>
      <c r="G453" s="305">
        <f>'AGOST-18'!I449</f>
        <v>0</v>
      </c>
      <c r="H453" s="51"/>
      <c r="I453" s="17">
        <f t="shared" si="9"/>
        <v>0</v>
      </c>
      <c r="J453" s="52"/>
      <c r="K453" s="391"/>
    </row>
    <row r="454" spans="1:17" ht="72.75">
      <c r="A454" s="11" t="s">
        <v>566</v>
      </c>
      <c r="B454" s="57" t="s">
        <v>567</v>
      </c>
      <c r="C454" s="380" t="s">
        <v>1162</v>
      </c>
      <c r="D454" s="14" t="s">
        <v>18</v>
      </c>
      <c r="E454" s="14" t="s">
        <v>28</v>
      </c>
      <c r="F454" s="14" t="s">
        <v>26</v>
      </c>
      <c r="G454" s="305">
        <f>'AGOST-18'!I450</f>
        <v>1994.1800000000044</v>
      </c>
      <c r="H454" s="51">
        <f>1203+497</f>
        <v>1700</v>
      </c>
      <c r="I454" s="134">
        <f t="shared" si="9"/>
        <v>294.18000000000438</v>
      </c>
      <c r="J454" s="143"/>
      <c r="K454" s="52"/>
    </row>
    <row r="455" spans="1:17" ht="72.75">
      <c r="A455" s="11" t="s">
        <v>565</v>
      </c>
      <c r="B455" s="57" t="s">
        <v>568</v>
      </c>
      <c r="C455" s="59"/>
      <c r="D455" s="14" t="s">
        <v>18</v>
      </c>
      <c r="E455" s="14" t="s">
        <v>28</v>
      </c>
      <c r="F455" s="14" t="s">
        <v>26</v>
      </c>
      <c r="G455" s="305">
        <f>'AGOST-18'!I451</f>
        <v>-4.5474735088646412E-13</v>
      </c>
      <c r="H455" s="51"/>
      <c r="I455" s="17">
        <f t="shared" si="9"/>
        <v>-4.5474735088646412E-13</v>
      </c>
      <c r="J455" s="52"/>
      <c r="K455" s="393"/>
    </row>
    <row r="456" spans="1:17" ht="87">
      <c r="A456" s="11" t="s">
        <v>1117</v>
      </c>
      <c r="B456" s="57" t="s">
        <v>1118</v>
      </c>
      <c r="C456" s="59"/>
      <c r="D456" s="14" t="s">
        <v>18</v>
      </c>
      <c r="E456" s="14" t="s">
        <v>28</v>
      </c>
      <c r="F456" s="14" t="s">
        <v>26</v>
      </c>
      <c r="G456" s="305">
        <f>'AGOST-18'!I452</f>
        <v>0</v>
      </c>
      <c r="H456" s="51"/>
      <c r="I456" s="134">
        <f>G456-H456+J456-K456</f>
        <v>0</v>
      </c>
      <c r="J456" s="137"/>
      <c r="K456" s="393"/>
    </row>
    <row r="457" spans="1:17" ht="87">
      <c r="A457" s="11" t="s">
        <v>1163</v>
      </c>
      <c r="B457" s="57" t="s">
        <v>1164</v>
      </c>
      <c r="C457" s="59"/>
      <c r="D457" s="14" t="s">
        <v>18</v>
      </c>
      <c r="E457" s="14" t="s">
        <v>28</v>
      </c>
      <c r="F457" s="14" t="s">
        <v>26</v>
      </c>
      <c r="G457" s="305">
        <f>'AGOST-18'!I453</f>
        <v>0</v>
      </c>
      <c r="H457" s="51"/>
      <c r="I457" s="134">
        <f>G457-H457+J457-K457</f>
        <v>0</v>
      </c>
      <c r="J457" s="137"/>
      <c r="K457" s="393"/>
    </row>
    <row r="458" spans="1:17" ht="72.75">
      <c r="A458" s="11" t="s">
        <v>569</v>
      </c>
      <c r="B458" s="57" t="s">
        <v>570</v>
      </c>
      <c r="C458" s="286" t="s">
        <v>1072</v>
      </c>
      <c r="D458" s="14" t="s">
        <v>18</v>
      </c>
      <c r="E458" s="14" t="s">
        <v>28</v>
      </c>
      <c r="F458" s="14" t="s">
        <v>26</v>
      </c>
      <c r="G458" s="305">
        <f>'AGOST-18'!I454</f>
        <v>4000</v>
      </c>
      <c r="H458" s="51"/>
      <c r="I458" s="17">
        <f t="shared" si="9"/>
        <v>1000</v>
      </c>
      <c r="J458" s="52"/>
      <c r="K458" s="301">
        <v>3000</v>
      </c>
    </row>
    <row r="459" spans="1:17" ht="72.75">
      <c r="A459" s="11" t="s">
        <v>571</v>
      </c>
      <c r="B459" s="57" t="s">
        <v>572</v>
      </c>
      <c r="C459" s="286"/>
      <c r="D459" s="14" t="s">
        <v>18</v>
      </c>
      <c r="E459" s="14" t="s">
        <v>28</v>
      </c>
      <c r="F459" s="14" t="s">
        <v>26</v>
      </c>
      <c r="G459" s="305">
        <f>'AGOST-18'!I455</f>
        <v>425</v>
      </c>
      <c r="H459" s="51">
        <f>3390</f>
        <v>3390</v>
      </c>
      <c r="I459" s="17">
        <f t="shared" si="9"/>
        <v>35</v>
      </c>
      <c r="J459" s="391">
        <v>3000</v>
      </c>
      <c r="K459" s="137"/>
    </row>
    <row r="460" spans="1:17" ht="72.75">
      <c r="A460" s="11" t="s">
        <v>969</v>
      </c>
      <c r="B460" s="57" t="s">
        <v>970</v>
      </c>
      <c r="C460" s="59"/>
      <c r="D460" s="14" t="s">
        <v>18</v>
      </c>
      <c r="E460" s="14" t="s">
        <v>28</v>
      </c>
      <c r="F460" s="14" t="s">
        <v>26</v>
      </c>
      <c r="G460" s="305">
        <f>'AGOST-18'!I456</f>
        <v>5.43</v>
      </c>
      <c r="H460" s="51"/>
      <c r="I460" s="17">
        <f t="shared" si="9"/>
        <v>5.43</v>
      </c>
      <c r="J460" s="137"/>
      <c r="K460" s="392"/>
    </row>
    <row r="461" spans="1:17" ht="39" customHeight="1">
      <c r="A461" s="11">
        <v>54109</v>
      </c>
      <c r="B461" s="54" t="s">
        <v>1180</v>
      </c>
      <c r="C461" s="13" t="s">
        <v>1165</v>
      </c>
      <c r="D461" s="14" t="s">
        <v>18</v>
      </c>
      <c r="E461" s="14" t="s">
        <v>28</v>
      </c>
      <c r="F461" s="14" t="s">
        <v>26</v>
      </c>
      <c r="G461" s="305">
        <f>'AGOST-18'!I457</f>
        <v>1719.9799999999996</v>
      </c>
      <c r="H461" s="51">
        <f>40</f>
        <v>40</v>
      </c>
      <c r="I461" s="17">
        <f t="shared" si="9"/>
        <v>1679.9799999999996</v>
      </c>
      <c r="J461" s="52"/>
      <c r="K461" s="52"/>
    </row>
    <row r="462" spans="1:17" ht="60">
      <c r="A462" s="11" t="s">
        <v>574</v>
      </c>
      <c r="B462" s="54" t="s">
        <v>575</v>
      </c>
      <c r="C462" s="61" t="s">
        <v>1167</v>
      </c>
      <c r="D462" s="14" t="s">
        <v>18</v>
      </c>
      <c r="E462" s="14" t="s">
        <v>28</v>
      </c>
      <c r="F462" s="14" t="s">
        <v>26</v>
      </c>
      <c r="G462" s="305">
        <f>'AGOST-18'!I458</f>
        <v>1857.0500000000004</v>
      </c>
      <c r="H462" s="51">
        <f>438.25+116</f>
        <v>554.25</v>
      </c>
      <c r="I462" s="17">
        <f t="shared" si="9"/>
        <v>1302.8000000000004</v>
      </c>
      <c r="J462" s="52"/>
      <c r="K462" s="300"/>
    </row>
    <row r="463" spans="1:17" ht="75">
      <c r="A463" s="11" t="s">
        <v>212</v>
      </c>
      <c r="B463" s="54" t="s">
        <v>576</v>
      </c>
      <c r="C463" s="61" t="s">
        <v>1167</v>
      </c>
      <c r="D463" s="14" t="s">
        <v>18</v>
      </c>
      <c r="E463" s="14" t="s">
        <v>28</v>
      </c>
      <c r="F463" s="14" t="s">
        <v>26</v>
      </c>
      <c r="G463" s="305">
        <f>'AGOST-18'!I459</f>
        <v>6404.9000000000005</v>
      </c>
      <c r="H463" s="51">
        <f>185.35+526.3+723</f>
        <v>1434.65</v>
      </c>
      <c r="I463" s="17">
        <f t="shared" si="9"/>
        <v>4970.25</v>
      </c>
      <c r="J463" s="52"/>
      <c r="K463" s="300"/>
    </row>
    <row r="464" spans="1:17" ht="75">
      <c r="A464" s="11" t="s">
        <v>577</v>
      </c>
      <c r="B464" s="54" t="s">
        <v>1094</v>
      </c>
      <c r="C464" s="13"/>
      <c r="D464" s="14" t="s">
        <v>18</v>
      </c>
      <c r="E464" s="14" t="s">
        <v>28</v>
      </c>
      <c r="F464" s="14" t="s">
        <v>26</v>
      </c>
      <c r="G464" s="305">
        <f>'AGOST-18'!I460</f>
        <v>10554.849999999999</v>
      </c>
      <c r="H464" s="51">
        <f>43+322+190</f>
        <v>555</v>
      </c>
      <c r="I464" s="17">
        <f t="shared" si="9"/>
        <v>9999.8499999999985</v>
      </c>
      <c r="J464" s="56"/>
      <c r="K464" s="300"/>
    </row>
    <row r="465" spans="1:510" s="220" customFormat="1" ht="30">
      <c r="A465" s="11" t="s">
        <v>218</v>
      </c>
      <c r="B465" s="54" t="s">
        <v>579</v>
      </c>
      <c r="C465" s="13"/>
      <c r="D465" s="14" t="s">
        <v>18</v>
      </c>
      <c r="E465" s="14" t="s">
        <v>28</v>
      </c>
      <c r="F465" s="14" t="s">
        <v>26</v>
      </c>
      <c r="G465" s="305">
        <f>'AGOST-18'!I461</f>
        <v>2.87</v>
      </c>
      <c r="H465" s="51"/>
      <c r="I465" s="17">
        <f t="shared" si="9"/>
        <v>2.87</v>
      </c>
      <c r="J465" s="56"/>
      <c r="K465" s="56"/>
      <c r="L465" s="167"/>
      <c r="M465" s="167"/>
      <c r="N465" s="167"/>
      <c r="O465" s="167"/>
      <c r="P465" s="167"/>
      <c r="Q465" s="167"/>
      <c r="R465" s="167"/>
      <c r="S465" s="167"/>
      <c r="T465" s="167"/>
      <c r="U465" s="167"/>
      <c r="V465" s="167"/>
      <c r="W465" s="167"/>
      <c r="X465" s="167"/>
      <c r="Y465" s="167"/>
      <c r="Z465" s="167"/>
      <c r="AA465" s="167"/>
      <c r="AB465" s="167"/>
      <c r="AC465" s="167"/>
      <c r="AD465" s="167"/>
      <c r="AE465" s="167"/>
      <c r="AF465" s="167"/>
      <c r="AG465" s="167"/>
      <c r="AH465" s="167"/>
      <c r="AI465" s="167"/>
      <c r="AJ465" s="167"/>
      <c r="AK465" s="167"/>
      <c r="AL465" s="167"/>
      <c r="AM465" s="167"/>
      <c r="AN465" s="167"/>
      <c r="AO465" s="167"/>
      <c r="AP465" s="167"/>
      <c r="AQ465" s="167"/>
      <c r="AR465" s="167"/>
      <c r="AS465" s="167"/>
      <c r="AT465" s="167"/>
      <c r="AU465" s="167"/>
      <c r="AV465" s="167"/>
      <c r="AW465" s="167"/>
      <c r="AX465" s="167"/>
      <c r="AY465" s="167"/>
      <c r="AZ465" s="167"/>
      <c r="BA465" s="167"/>
      <c r="BB465" s="167"/>
      <c r="BC465" s="167"/>
      <c r="BD465" s="167"/>
      <c r="BE465" s="167"/>
      <c r="BF465" s="167"/>
      <c r="BG465" s="167"/>
      <c r="BH465" s="167"/>
      <c r="BI465" s="167"/>
      <c r="BJ465" s="167"/>
      <c r="BK465" s="167"/>
      <c r="BL465" s="167"/>
      <c r="BM465" s="167"/>
      <c r="BN465" s="167"/>
      <c r="BO465" s="167"/>
      <c r="BP465" s="167"/>
      <c r="BQ465" s="167"/>
      <c r="BR465" s="167"/>
      <c r="BS465" s="167"/>
      <c r="BT465" s="167"/>
      <c r="BU465" s="167"/>
      <c r="BV465" s="167"/>
      <c r="BW465" s="167"/>
      <c r="BX465" s="167"/>
      <c r="BY465" s="167"/>
      <c r="BZ465" s="167"/>
      <c r="CA465" s="167"/>
      <c r="CB465" s="167"/>
      <c r="CC465" s="167"/>
      <c r="CD465" s="167"/>
      <c r="CE465" s="167"/>
      <c r="CF465" s="167"/>
      <c r="CG465" s="167"/>
      <c r="CH465" s="167"/>
      <c r="CI465" s="167"/>
      <c r="CJ465" s="167"/>
      <c r="CK465" s="167"/>
      <c r="CL465" s="167"/>
      <c r="CM465" s="167"/>
      <c r="CN465" s="167"/>
      <c r="CO465" s="167"/>
      <c r="CP465" s="167"/>
      <c r="CQ465" s="167"/>
      <c r="CR465" s="167"/>
      <c r="CS465" s="167"/>
      <c r="CT465" s="167"/>
      <c r="CU465" s="167"/>
      <c r="CV465" s="167"/>
      <c r="CW465" s="167"/>
      <c r="CX465" s="167"/>
      <c r="CY465" s="167"/>
      <c r="CZ465" s="167"/>
      <c r="DA465" s="167"/>
      <c r="DB465" s="167"/>
      <c r="DC465" s="167"/>
      <c r="DD465" s="167"/>
      <c r="DE465" s="167"/>
      <c r="DF465" s="167"/>
      <c r="DG465" s="167"/>
      <c r="DH465" s="167"/>
      <c r="DI465" s="167"/>
      <c r="DJ465" s="167"/>
      <c r="DK465" s="167"/>
      <c r="DL465" s="167"/>
      <c r="DM465" s="167"/>
      <c r="DN465" s="167"/>
      <c r="DO465" s="167"/>
      <c r="DP465" s="167"/>
      <c r="DQ465" s="167"/>
      <c r="DR465" s="167"/>
      <c r="DS465" s="167"/>
      <c r="DT465" s="167"/>
      <c r="DU465" s="167"/>
      <c r="DV465" s="167"/>
      <c r="DW465" s="167"/>
      <c r="DX465" s="167"/>
      <c r="DY465" s="167"/>
      <c r="DZ465" s="167"/>
      <c r="EA465" s="167"/>
      <c r="EB465" s="167"/>
      <c r="EC465" s="167"/>
      <c r="ED465" s="167"/>
      <c r="EE465" s="167"/>
      <c r="EF465" s="167"/>
      <c r="EG465" s="167"/>
      <c r="EH465" s="167"/>
      <c r="EI465" s="167"/>
      <c r="EJ465" s="167"/>
      <c r="EK465" s="167"/>
      <c r="EL465" s="167"/>
      <c r="EM465" s="167"/>
      <c r="EN465" s="167"/>
      <c r="EO465" s="167"/>
      <c r="EP465" s="167"/>
      <c r="EQ465" s="167"/>
      <c r="ER465" s="167"/>
      <c r="ES465" s="167"/>
      <c r="ET465" s="167"/>
      <c r="EU465" s="167"/>
      <c r="EV465" s="167"/>
      <c r="EW465" s="167"/>
      <c r="EX465" s="167"/>
      <c r="EY465" s="167"/>
      <c r="EZ465" s="167"/>
      <c r="FA465" s="167"/>
      <c r="FB465" s="167"/>
      <c r="FC465" s="167"/>
      <c r="FD465" s="167"/>
      <c r="FE465" s="167"/>
      <c r="FF465" s="167"/>
      <c r="FG465" s="167"/>
      <c r="FH465" s="167"/>
      <c r="FI465" s="167"/>
      <c r="FJ465" s="167"/>
      <c r="FK465" s="167"/>
      <c r="FL465" s="167"/>
      <c r="FM465" s="167"/>
      <c r="FN465" s="167"/>
      <c r="FO465" s="167"/>
      <c r="FP465" s="167"/>
      <c r="FQ465" s="167"/>
      <c r="FR465" s="167"/>
      <c r="FS465" s="167"/>
      <c r="FT465" s="167"/>
      <c r="FU465" s="167"/>
      <c r="FV465" s="167"/>
      <c r="FW465" s="167"/>
      <c r="FX465" s="167"/>
      <c r="FY465" s="167"/>
      <c r="FZ465" s="167"/>
      <c r="GA465" s="167"/>
      <c r="GB465" s="167"/>
      <c r="GC465" s="167"/>
      <c r="GD465" s="167"/>
      <c r="GE465" s="167"/>
      <c r="GF465" s="167"/>
      <c r="GG465" s="167"/>
      <c r="GH465" s="167"/>
      <c r="GI465" s="167"/>
      <c r="GJ465" s="167"/>
      <c r="GK465" s="167"/>
      <c r="GL465" s="167"/>
      <c r="GM465" s="167"/>
      <c r="GN465" s="167"/>
      <c r="GO465" s="167"/>
      <c r="GP465" s="167"/>
      <c r="GQ465" s="167"/>
      <c r="GR465" s="167"/>
      <c r="GS465" s="167"/>
      <c r="GT465" s="167"/>
      <c r="GU465" s="167"/>
      <c r="GV465" s="167"/>
      <c r="GW465" s="167"/>
      <c r="GX465" s="167"/>
      <c r="GY465" s="167"/>
      <c r="GZ465" s="167"/>
      <c r="HA465" s="167"/>
      <c r="HB465" s="167"/>
      <c r="HC465" s="167"/>
      <c r="HD465" s="167"/>
      <c r="HE465" s="167"/>
      <c r="HF465" s="167"/>
      <c r="HG465" s="167"/>
      <c r="HH465" s="167"/>
      <c r="HI465" s="167"/>
      <c r="HJ465" s="167"/>
      <c r="HK465" s="167"/>
      <c r="HL465" s="167"/>
      <c r="HM465" s="167"/>
      <c r="HN465" s="167"/>
      <c r="HO465" s="167"/>
      <c r="HP465" s="167"/>
      <c r="HQ465" s="167"/>
      <c r="HR465" s="167"/>
      <c r="HS465" s="167"/>
      <c r="HT465" s="167"/>
      <c r="HU465" s="167"/>
      <c r="HV465" s="167"/>
      <c r="HW465" s="167"/>
      <c r="HX465" s="167"/>
      <c r="HY465" s="167"/>
      <c r="HZ465" s="167"/>
      <c r="IA465" s="167"/>
      <c r="IB465" s="167"/>
      <c r="IC465" s="167"/>
      <c r="ID465" s="167"/>
      <c r="IE465" s="167"/>
      <c r="IF465" s="167"/>
      <c r="IG465" s="167"/>
      <c r="IH465" s="167"/>
      <c r="II465" s="167"/>
      <c r="IJ465" s="167"/>
      <c r="IK465" s="167"/>
      <c r="IL465" s="167"/>
      <c r="IM465" s="167"/>
      <c r="IN465" s="167"/>
      <c r="IO465" s="167"/>
      <c r="IP465" s="167"/>
      <c r="IQ465" s="167"/>
      <c r="IR465" s="167"/>
      <c r="IS465" s="167"/>
      <c r="IT465" s="167"/>
      <c r="IU465" s="167"/>
      <c r="IV465" s="167"/>
      <c r="IW465" s="167"/>
      <c r="IX465" s="167"/>
      <c r="IY465" s="167"/>
      <c r="IZ465" s="167"/>
      <c r="JA465" s="167"/>
      <c r="JB465" s="167"/>
      <c r="JC465" s="167"/>
      <c r="JD465" s="167"/>
      <c r="JE465" s="167"/>
      <c r="JF465" s="167"/>
      <c r="JG465" s="167"/>
      <c r="JH465" s="167"/>
      <c r="JI465" s="167"/>
      <c r="JJ465" s="167"/>
      <c r="JK465" s="167"/>
      <c r="JL465" s="167"/>
      <c r="JM465" s="167"/>
      <c r="JN465" s="167"/>
      <c r="JO465" s="167"/>
      <c r="JP465" s="167"/>
      <c r="JQ465" s="167"/>
      <c r="JR465" s="167"/>
      <c r="JS465" s="167"/>
      <c r="JT465" s="167"/>
      <c r="JU465" s="167"/>
      <c r="JV465" s="167"/>
      <c r="JW465" s="167"/>
      <c r="JX465" s="167"/>
      <c r="JY465" s="167"/>
      <c r="JZ465" s="167"/>
      <c r="KA465" s="167"/>
      <c r="KB465" s="167"/>
      <c r="KC465" s="167"/>
      <c r="KD465" s="167"/>
      <c r="KE465" s="167"/>
      <c r="KF465" s="167"/>
      <c r="KG465" s="167"/>
      <c r="KH465" s="167"/>
      <c r="KI465" s="167"/>
      <c r="KJ465" s="167"/>
      <c r="KK465" s="167"/>
      <c r="KL465" s="167"/>
      <c r="KM465" s="167"/>
      <c r="KN465" s="167"/>
      <c r="KO465" s="167"/>
      <c r="KP465" s="167"/>
      <c r="KQ465" s="167"/>
      <c r="KR465" s="167"/>
      <c r="KS465" s="167"/>
      <c r="KT465" s="167"/>
      <c r="KU465" s="167"/>
      <c r="KV465" s="167"/>
      <c r="KW465" s="167"/>
      <c r="KX465" s="167"/>
      <c r="KY465" s="167"/>
      <c r="KZ465" s="167"/>
      <c r="LA465" s="167"/>
      <c r="LB465" s="167"/>
      <c r="LC465" s="167"/>
      <c r="LD465" s="167"/>
      <c r="LE465" s="167"/>
      <c r="LF465" s="167"/>
      <c r="LG465" s="167"/>
      <c r="LH465" s="167"/>
      <c r="LI465" s="167"/>
      <c r="LJ465" s="167"/>
      <c r="LK465" s="167"/>
      <c r="LL465" s="167"/>
      <c r="LM465" s="167"/>
      <c r="LN465" s="167"/>
      <c r="LO465" s="167"/>
      <c r="LP465" s="167"/>
      <c r="LQ465" s="167"/>
      <c r="LR465" s="167"/>
      <c r="LS465" s="167"/>
      <c r="LT465" s="167"/>
      <c r="LU465" s="167"/>
      <c r="LV465" s="167"/>
      <c r="LW465" s="167"/>
      <c r="LX465" s="167"/>
      <c r="LY465" s="167"/>
      <c r="LZ465" s="167"/>
      <c r="MA465" s="167"/>
      <c r="MB465" s="167"/>
      <c r="MC465" s="167"/>
      <c r="MD465" s="167"/>
      <c r="ME465" s="167"/>
      <c r="MF465" s="167"/>
      <c r="MG465" s="167"/>
      <c r="MH465" s="167"/>
      <c r="MI465" s="167"/>
      <c r="MJ465" s="167"/>
      <c r="MK465" s="167"/>
      <c r="ML465" s="167"/>
      <c r="MM465" s="167"/>
      <c r="MN465" s="167"/>
      <c r="MO465" s="167"/>
      <c r="MP465" s="167"/>
      <c r="MQ465" s="167"/>
      <c r="MR465" s="167"/>
      <c r="MS465" s="167"/>
      <c r="MT465" s="167"/>
      <c r="MU465" s="167"/>
      <c r="MV465" s="167"/>
      <c r="MW465" s="167"/>
      <c r="MX465" s="167"/>
      <c r="MY465" s="167"/>
      <c r="MZ465" s="167"/>
      <c r="NA465" s="167"/>
      <c r="NB465" s="167"/>
      <c r="NC465" s="167"/>
      <c r="ND465" s="167"/>
      <c r="NE465" s="167"/>
      <c r="NF465" s="167"/>
      <c r="NG465" s="167"/>
      <c r="NH465" s="167"/>
      <c r="NI465" s="167"/>
      <c r="NJ465" s="167"/>
      <c r="NK465" s="167"/>
      <c r="NL465" s="167"/>
      <c r="NM465" s="167"/>
      <c r="NN465" s="167"/>
      <c r="NO465" s="167"/>
      <c r="NP465" s="167"/>
      <c r="NQ465" s="167"/>
      <c r="NR465" s="167"/>
      <c r="NS465" s="167"/>
      <c r="NT465" s="167"/>
      <c r="NU465" s="167"/>
      <c r="NV465" s="167"/>
      <c r="NW465" s="167"/>
      <c r="NX465" s="167"/>
      <c r="NY465" s="167"/>
      <c r="NZ465" s="167"/>
      <c r="OA465" s="167"/>
      <c r="OB465" s="167"/>
      <c r="OC465" s="167"/>
      <c r="OD465" s="167"/>
      <c r="OE465" s="167"/>
      <c r="OF465" s="167"/>
      <c r="OG465" s="167"/>
      <c r="OH465" s="167"/>
      <c r="OI465" s="167"/>
      <c r="OJ465" s="167"/>
      <c r="OK465" s="167"/>
      <c r="OL465" s="167"/>
      <c r="OM465" s="167"/>
      <c r="ON465" s="167"/>
      <c r="OO465" s="167"/>
      <c r="OP465" s="167"/>
      <c r="OQ465" s="167"/>
      <c r="OR465" s="167"/>
      <c r="OS465" s="167"/>
      <c r="OT465" s="167"/>
      <c r="OU465" s="167"/>
      <c r="OV465" s="167"/>
      <c r="OW465" s="167"/>
      <c r="OX465" s="167"/>
      <c r="OY465" s="167"/>
      <c r="OZ465" s="167"/>
      <c r="PA465" s="167"/>
      <c r="PB465" s="167"/>
      <c r="PC465" s="167"/>
      <c r="PD465" s="167"/>
      <c r="PE465" s="167"/>
      <c r="PF465" s="167"/>
      <c r="PG465" s="167"/>
      <c r="PH465" s="167"/>
      <c r="PI465" s="167"/>
      <c r="PJ465" s="167"/>
      <c r="PK465" s="167"/>
      <c r="PL465" s="167"/>
      <c r="PM465" s="167"/>
      <c r="PN465" s="167"/>
      <c r="PO465" s="167"/>
      <c r="PP465" s="167"/>
      <c r="PQ465" s="167"/>
      <c r="PR465" s="167"/>
      <c r="PS465" s="167"/>
      <c r="PT465" s="167"/>
      <c r="PU465" s="167"/>
      <c r="PV465" s="167"/>
      <c r="PW465" s="167"/>
      <c r="PX465" s="167"/>
      <c r="PY465" s="167"/>
      <c r="PZ465" s="167"/>
      <c r="QA465" s="167"/>
      <c r="QB465" s="167"/>
      <c r="QC465" s="167"/>
      <c r="QD465" s="167"/>
      <c r="QE465" s="167"/>
      <c r="QF465" s="167"/>
      <c r="QG465" s="167"/>
      <c r="QH465" s="167"/>
      <c r="QI465" s="167"/>
      <c r="QJ465" s="167"/>
      <c r="QK465" s="167"/>
      <c r="QL465" s="167"/>
      <c r="QM465" s="167"/>
      <c r="QN465" s="167"/>
      <c r="QO465" s="167"/>
      <c r="QP465" s="167"/>
      <c r="QQ465" s="167"/>
      <c r="QR465" s="167"/>
      <c r="QS465" s="167"/>
      <c r="QT465" s="167"/>
      <c r="QU465" s="167"/>
      <c r="QV465" s="167"/>
      <c r="QW465" s="167"/>
      <c r="QX465" s="167"/>
      <c r="QY465" s="167"/>
      <c r="QZ465" s="167"/>
      <c r="RA465" s="167"/>
      <c r="RB465" s="167"/>
      <c r="RC465" s="167"/>
      <c r="RD465" s="167"/>
      <c r="RE465" s="167"/>
      <c r="RF465" s="167"/>
      <c r="RG465" s="167"/>
      <c r="RH465" s="167"/>
      <c r="RI465" s="167"/>
      <c r="RJ465" s="167"/>
      <c r="RK465" s="167"/>
      <c r="RL465" s="167"/>
      <c r="RM465" s="167"/>
      <c r="RN465" s="167"/>
      <c r="RO465" s="167"/>
      <c r="RP465" s="167"/>
      <c r="RQ465" s="167"/>
      <c r="RR465" s="167"/>
      <c r="RS465" s="167"/>
      <c r="RT465" s="167"/>
      <c r="RU465" s="167"/>
      <c r="RV465" s="167"/>
      <c r="RW465" s="167"/>
      <c r="RX465" s="167"/>
      <c r="RY465" s="167"/>
      <c r="RZ465" s="167"/>
      <c r="SA465" s="167"/>
      <c r="SB465" s="167"/>
      <c r="SC465" s="167"/>
      <c r="SD465" s="167"/>
      <c r="SE465" s="167"/>
      <c r="SF465" s="167"/>
      <c r="SG465" s="167"/>
      <c r="SH465" s="167"/>
      <c r="SI465" s="167"/>
      <c r="SJ465" s="167"/>
      <c r="SK465" s="167"/>
      <c r="SL465" s="167"/>
      <c r="SM465" s="167"/>
      <c r="SN465" s="167"/>
      <c r="SO465" s="167"/>
      <c r="SP465" s="167"/>
    </row>
    <row r="466" spans="1:510" s="229" customFormat="1" ht="9.75" customHeight="1">
      <c r="A466" s="221"/>
      <c r="B466" s="222"/>
      <c r="C466" s="223"/>
      <c r="D466" s="224"/>
      <c r="E466" s="224"/>
      <c r="F466" s="224"/>
      <c r="G466" s="305">
        <f>'AGOST-18'!I462</f>
        <v>0</v>
      </c>
      <c r="H466" s="226"/>
      <c r="I466" s="227"/>
      <c r="J466" s="228"/>
      <c r="K466" s="397"/>
      <c r="L466" s="199"/>
      <c r="M466" s="199"/>
      <c r="N466" s="199"/>
      <c r="O466" s="199"/>
      <c r="P466" s="199"/>
      <c r="Q466" s="199"/>
      <c r="R466" s="199"/>
      <c r="S466" s="199"/>
      <c r="T466" s="199"/>
      <c r="U466" s="199"/>
      <c r="V466" s="199"/>
      <c r="W466" s="199"/>
      <c r="X466" s="199"/>
      <c r="Y466" s="199"/>
      <c r="Z466" s="199"/>
      <c r="AA466" s="199"/>
      <c r="AB466" s="199"/>
      <c r="AC466" s="199"/>
      <c r="AD466" s="199"/>
      <c r="AE466" s="199"/>
      <c r="AF466" s="199"/>
      <c r="AG466" s="199"/>
      <c r="AH466" s="199"/>
      <c r="AI466" s="199"/>
      <c r="AJ466" s="199"/>
      <c r="AK466" s="199"/>
      <c r="AL466" s="199"/>
      <c r="AM466" s="199"/>
      <c r="AN466" s="199"/>
      <c r="AO466" s="199"/>
      <c r="AP466" s="199"/>
      <c r="AQ466" s="199"/>
      <c r="AR466" s="199"/>
      <c r="AS466" s="199"/>
      <c r="AT466" s="199"/>
      <c r="AU466" s="199"/>
      <c r="AV466" s="199"/>
      <c r="AW466" s="199"/>
      <c r="AX466" s="199"/>
      <c r="AY466" s="199"/>
      <c r="AZ466" s="199"/>
      <c r="BA466" s="199"/>
      <c r="BB466" s="199"/>
      <c r="BC466" s="199"/>
      <c r="BD466" s="199"/>
      <c r="BE466" s="199"/>
      <c r="BF466" s="199"/>
      <c r="BG466" s="199"/>
      <c r="BH466" s="199"/>
      <c r="BI466" s="199"/>
      <c r="BJ466" s="199"/>
      <c r="BK466" s="199"/>
      <c r="BL466" s="199"/>
      <c r="BM466" s="199"/>
      <c r="BN466" s="199"/>
      <c r="BO466" s="199"/>
      <c r="BP466" s="199"/>
      <c r="BQ466" s="199"/>
      <c r="BR466" s="199"/>
      <c r="BS466" s="199"/>
      <c r="BT466" s="199"/>
      <c r="BU466" s="199"/>
      <c r="BV466" s="199"/>
      <c r="BW466" s="199"/>
      <c r="BX466" s="199"/>
      <c r="BY466" s="199"/>
      <c r="BZ466" s="199"/>
      <c r="CA466" s="199"/>
      <c r="CB466" s="199"/>
      <c r="CC466" s="199"/>
      <c r="CD466" s="199"/>
      <c r="CE466" s="199"/>
      <c r="CF466" s="199"/>
      <c r="CG466" s="199"/>
      <c r="CH466" s="199"/>
      <c r="CI466" s="199"/>
      <c r="CJ466" s="199"/>
      <c r="CK466" s="199"/>
      <c r="CL466" s="199"/>
      <c r="CM466" s="199"/>
      <c r="CN466" s="199"/>
      <c r="CO466" s="199"/>
      <c r="CP466" s="199"/>
      <c r="CQ466" s="199"/>
      <c r="CR466" s="199"/>
      <c r="CS466" s="199"/>
      <c r="CT466" s="199"/>
      <c r="CU466" s="199"/>
      <c r="CV466" s="199"/>
      <c r="CW466" s="199"/>
      <c r="CX466" s="199"/>
      <c r="CY466" s="199"/>
      <c r="CZ466" s="199"/>
      <c r="DA466" s="199"/>
      <c r="DB466" s="199"/>
      <c r="DC466" s="199"/>
      <c r="DD466" s="199"/>
      <c r="DE466" s="199"/>
      <c r="DF466" s="199"/>
      <c r="DG466" s="199"/>
      <c r="DH466" s="199"/>
      <c r="DI466" s="199"/>
      <c r="DJ466" s="199"/>
      <c r="DK466" s="199"/>
      <c r="DL466" s="199"/>
      <c r="DM466" s="199"/>
      <c r="DN466" s="199"/>
      <c r="DO466" s="199"/>
      <c r="DP466" s="199"/>
      <c r="DQ466" s="199"/>
      <c r="DR466" s="199"/>
      <c r="DS466" s="199"/>
      <c r="DT466" s="199"/>
      <c r="DU466" s="199"/>
      <c r="DV466" s="199"/>
      <c r="DW466" s="199"/>
      <c r="DX466" s="199"/>
      <c r="DY466" s="199"/>
      <c r="DZ466" s="199"/>
      <c r="EA466" s="199"/>
      <c r="EB466" s="199"/>
      <c r="EC466" s="199"/>
      <c r="ED466" s="199"/>
      <c r="EE466" s="199"/>
      <c r="EF466" s="199"/>
      <c r="EG466" s="199"/>
      <c r="EH466" s="199"/>
      <c r="EI466" s="199"/>
      <c r="EJ466" s="199"/>
      <c r="EK466" s="199"/>
      <c r="EL466" s="199"/>
      <c r="EM466" s="199"/>
      <c r="EN466" s="199"/>
      <c r="EO466" s="199"/>
      <c r="EP466" s="199"/>
      <c r="EQ466" s="199"/>
      <c r="ER466" s="199"/>
      <c r="ES466" s="199"/>
      <c r="ET466" s="199"/>
      <c r="EU466" s="199"/>
      <c r="EV466" s="199"/>
      <c r="EW466" s="199"/>
      <c r="EX466" s="199"/>
      <c r="EY466" s="199"/>
      <c r="EZ466" s="199"/>
      <c r="FA466" s="199"/>
      <c r="FB466" s="199"/>
      <c r="FC466" s="199"/>
      <c r="FD466" s="199"/>
      <c r="FE466" s="199"/>
      <c r="FF466" s="199"/>
      <c r="FG466" s="199"/>
      <c r="FH466" s="199"/>
      <c r="FI466" s="199"/>
      <c r="FJ466" s="199"/>
      <c r="FK466" s="199"/>
      <c r="FL466" s="199"/>
      <c r="FM466" s="199"/>
      <c r="FN466" s="199"/>
      <c r="FO466" s="199"/>
      <c r="FP466" s="199"/>
      <c r="FQ466" s="199"/>
      <c r="FR466" s="199"/>
      <c r="FS466" s="199"/>
      <c r="FT466" s="199"/>
      <c r="FU466" s="199"/>
      <c r="FV466" s="199"/>
      <c r="FW466" s="199"/>
      <c r="FX466" s="199"/>
      <c r="FY466" s="199"/>
      <c r="FZ466" s="199"/>
      <c r="GA466" s="199"/>
      <c r="GB466" s="199"/>
      <c r="GC466" s="199"/>
      <c r="GD466" s="199"/>
      <c r="GE466" s="199"/>
      <c r="GF466" s="199"/>
      <c r="GG466" s="199"/>
      <c r="GH466" s="199"/>
      <c r="GI466" s="199"/>
      <c r="GJ466" s="199"/>
      <c r="GK466" s="199"/>
      <c r="GL466" s="199"/>
      <c r="GM466" s="199"/>
      <c r="GN466" s="199"/>
      <c r="GO466" s="199"/>
      <c r="GP466" s="199"/>
      <c r="GQ466" s="199"/>
      <c r="GR466" s="199"/>
      <c r="GS466" s="199"/>
      <c r="GT466" s="199"/>
      <c r="GU466" s="199"/>
      <c r="GV466" s="199"/>
      <c r="GW466" s="199"/>
      <c r="GX466" s="199"/>
      <c r="GY466" s="199"/>
      <c r="GZ466" s="199"/>
      <c r="HA466" s="199"/>
      <c r="HB466" s="199"/>
      <c r="HC466" s="199"/>
      <c r="HD466" s="199"/>
      <c r="HE466" s="199"/>
      <c r="HF466" s="199"/>
      <c r="HG466" s="199"/>
      <c r="HH466" s="199"/>
      <c r="HI466" s="199"/>
      <c r="HJ466" s="199"/>
      <c r="HK466" s="199"/>
      <c r="HL466" s="199"/>
      <c r="HM466" s="199"/>
      <c r="HN466" s="199"/>
      <c r="HO466" s="199"/>
      <c r="HP466" s="199"/>
      <c r="HQ466" s="199"/>
      <c r="HR466" s="199"/>
      <c r="HS466" s="199"/>
      <c r="HT466" s="199"/>
      <c r="HU466" s="199"/>
      <c r="HV466" s="199"/>
      <c r="HW466" s="199"/>
      <c r="HX466" s="199"/>
      <c r="HY466" s="199"/>
      <c r="HZ466" s="199"/>
      <c r="IA466" s="199"/>
      <c r="IB466" s="199"/>
      <c r="IC466" s="199"/>
      <c r="ID466" s="199"/>
      <c r="IE466" s="199"/>
      <c r="IF466" s="199"/>
      <c r="IG466" s="199"/>
      <c r="IH466" s="199"/>
      <c r="II466" s="199"/>
      <c r="IJ466" s="199"/>
      <c r="IK466" s="199"/>
      <c r="IL466" s="199"/>
      <c r="IM466" s="199"/>
      <c r="IN466" s="199"/>
      <c r="IO466" s="199"/>
      <c r="IP466" s="199"/>
      <c r="IQ466" s="199"/>
      <c r="IR466" s="199"/>
      <c r="IS466" s="199"/>
      <c r="IT466" s="199"/>
      <c r="IU466" s="199"/>
      <c r="IV466" s="199"/>
      <c r="IW466" s="199"/>
      <c r="IX466" s="199"/>
      <c r="IY466" s="199"/>
      <c r="IZ466" s="199"/>
      <c r="JA466" s="199"/>
      <c r="JB466" s="199"/>
      <c r="JC466" s="199"/>
      <c r="JD466" s="199"/>
      <c r="JE466" s="199"/>
      <c r="JF466" s="199"/>
      <c r="JG466" s="199"/>
      <c r="JH466" s="199"/>
      <c r="JI466" s="199"/>
      <c r="JJ466" s="199"/>
      <c r="JK466" s="199"/>
      <c r="JL466" s="199"/>
      <c r="JM466" s="199"/>
      <c r="JN466" s="199"/>
      <c r="JO466" s="199"/>
      <c r="JP466" s="199"/>
      <c r="JQ466" s="199"/>
      <c r="JR466" s="199"/>
      <c r="JS466" s="199"/>
      <c r="JT466" s="199"/>
      <c r="JU466" s="199"/>
      <c r="JV466" s="199"/>
      <c r="JW466" s="199"/>
      <c r="JX466" s="199"/>
      <c r="JY466" s="199"/>
      <c r="JZ466" s="199"/>
      <c r="KA466" s="199"/>
      <c r="KB466" s="199"/>
      <c r="KC466" s="199"/>
      <c r="KD466" s="199"/>
      <c r="KE466" s="199"/>
      <c r="KF466" s="199"/>
      <c r="KG466" s="199"/>
      <c r="KH466" s="199"/>
      <c r="KI466" s="199"/>
      <c r="KJ466" s="199"/>
      <c r="KK466" s="199"/>
      <c r="KL466" s="199"/>
      <c r="KM466" s="199"/>
      <c r="KN466" s="199"/>
      <c r="KO466" s="199"/>
      <c r="KP466" s="199"/>
      <c r="KQ466" s="199"/>
      <c r="KR466" s="199"/>
      <c r="KS466" s="199"/>
      <c r="KT466" s="199"/>
      <c r="KU466" s="199"/>
      <c r="KV466" s="199"/>
      <c r="KW466" s="199"/>
      <c r="KX466" s="199"/>
      <c r="KY466" s="199"/>
      <c r="KZ466" s="199"/>
      <c r="LA466" s="199"/>
      <c r="LB466" s="199"/>
      <c r="LC466" s="199"/>
      <c r="LD466" s="199"/>
      <c r="LE466" s="199"/>
      <c r="LF466" s="199"/>
      <c r="LG466" s="199"/>
      <c r="LH466" s="199"/>
      <c r="LI466" s="199"/>
      <c r="LJ466" s="199"/>
      <c r="LK466" s="199"/>
      <c r="LL466" s="199"/>
      <c r="LM466" s="199"/>
      <c r="LN466" s="199"/>
      <c r="LO466" s="199"/>
      <c r="LP466" s="199"/>
      <c r="LQ466" s="199"/>
      <c r="LR466" s="199"/>
      <c r="LS466" s="199"/>
      <c r="LT466" s="199"/>
      <c r="LU466" s="199"/>
      <c r="LV466" s="199"/>
      <c r="LW466" s="199"/>
      <c r="LX466" s="199"/>
      <c r="LY466" s="199"/>
      <c r="LZ466" s="199"/>
      <c r="MA466" s="199"/>
      <c r="MB466" s="199"/>
      <c r="MC466" s="199"/>
      <c r="MD466" s="199"/>
      <c r="ME466" s="199"/>
      <c r="MF466" s="199"/>
      <c r="MG466" s="199"/>
      <c r="MH466" s="199"/>
      <c r="MI466" s="199"/>
      <c r="MJ466" s="199"/>
      <c r="MK466" s="199"/>
      <c r="ML466" s="199"/>
      <c r="MM466" s="199"/>
      <c r="MN466" s="199"/>
      <c r="MO466" s="199"/>
      <c r="MP466" s="199"/>
      <c r="MQ466" s="199"/>
      <c r="MR466" s="199"/>
      <c r="MS466" s="199"/>
      <c r="MT466" s="199"/>
      <c r="MU466" s="199"/>
      <c r="MV466" s="199"/>
      <c r="MW466" s="199"/>
      <c r="MX466" s="199"/>
      <c r="MY466" s="199"/>
      <c r="MZ466" s="199"/>
      <c r="NA466" s="199"/>
      <c r="NB466" s="199"/>
      <c r="NC466" s="199"/>
      <c r="ND466" s="199"/>
      <c r="NE466" s="199"/>
      <c r="NF466" s="199"/>
      <c r="NG466" s="199"/>
      <c r="NH466" s="199"/>
      <c r="NI466" s="199"/>
      <c r="NJ466" s="199"/>
      <c r="NK466" s="199"/>
      <c r="NL466" s="199"/>
      <c r="NM466" s="199"/>
      <c r="NN466" s="199"/>
      <c r="NO466" s="199"/>
      <c r="NP466" s="199"/>
      <c r="NQ466" s="199"/>
      <c r="NR466" s="199"/>
      <c r="NS466" s="199"/>
      <c r="NT466" s="199"/>
      <c r="NU466" s="199"/>
      <c r="NV466" s="199"/>
      <c r="NW466" s="199"/>
      <c r="NX466" s="199"/>
      <c r="NY466" s="199"/>
      <c r="NZ466" s="199"/>
      <c r="OA466" s="199"/>
      <c r="OB466" s="199"/>
      <c r="OC466" s="199"/>
      <c r="OD466" s="199"/>
      <c r="OE466" s="199"/>
      <c r="OF466" s="199"/>
      <c r="OG466" s="199"/>
      <c r="OH466" s="199"/>
      <c r="OI466" s="199"/>
      <c r="OJ466" s="199"/>
      <c r="OK466" s="199"/>
      <c r="OL466" s="199"/>
      <c r="OM466" s="199"/>
      <c r="ON466" s="199"/>
      <c r="OO466" s="199"/>
      <c r="OP466" s="199"/>
      <c r="OQ466" s="199"/>
      <c r="OR466" s="199"/>
      <c r="OS466" s="199"/>
      <c r="OT466" s="199"/>
      <c r="OU466" s="199"/>
      <c r="OV466" s="199"/>
      <c r="OW466" s="199"/>
      <c r="OX466" s="199"/>
      <c r="OY466" s="199"/>
      <c r="OZ466" s="199"/>
      <c r="PA466" s="199"/>
      <c r="PB466" s="199"/>
      <c r="PC466" s="199"/>
      <c r="PD466" s="199"/>
      <c r="PE466" s="199"/>
      <c r="PF466" s="199"/>
      <c r="PG466" s="199"/>
      <c r="PH466" s="199"/>
      <c r="PI466" s="199"/>
      <c r="PJ466" s="199"/>
      <c r="PK466" s="199"/>
      <c r="PL466" s="199"/>
      <c r="PM466" s="199"/>
      <c r="PN466" s="199"/>
      <c r="PO466" s="199"/>
      <c r="PP466" s="199"/>
      <c r="PQ466" s="199"/>
      <c r="PR466" s="199"/>
      <c r="PS466" s="199"/>
      <c r="PT466" s="199"/>
      <c r="PU466" s="199"/>
      <c r="PV466" s="199"/>
      <c r="PW466" s="199"/>
      <c r="PX466" s="199"/>
      <c r="PY466" s="199"/>
      <c r="PZ466" s="199"/>
      <c r="QA466" s="199"/>
      <c r="QB466" s="199"/>
      <c r="QC466" s="199"/>
      <c r="QD466" s="199"/>
      <c r="QE466" s="199"/>
      <c r="QF466" s="199"/>
      <c r="QG466" s="199"/>
      <c r="QH466" s="199"/>
      <c r="QI466" s="199"/>
      <c r="QJ466" s="199"/>
      <c r="QK466" s="199"/>
      <c r="QL466" s="199"/>
      <c r="QM466" s="199"/>
      <c r="QN466" s="199"/>
      <c r="QO466" s="199"/>
      <c r="QP466" s="199"/>
      <c r="QQ466" s="199"/>
      <c r="QR466" s="199"/>
      <c r="QS466" s="199"/>
      <c r="QT466" s="199"/>
      <c r="QU466" s="199"/>
      <c r="QV466" s="199"/>
      <c r="QW466" s="199"/>
      <c r="QX466" s="199"/>
      <c r="QY466" s="199"/>
      <c r="QZ466" s="199"/>
      <c r="RA466" s="199"/>
      <c r="RB466" s="199"/>
      <c r="RC466" s="199"/>
      <c r="RD466" s="199"/>
      <c r="RE466" s="199"/>
      <c r="RF466" s="199"/>
      <c r="RG466" s="199"/>
      <c r="RH466" s="199"/>
      <c r="RI466" s="199"/>
      <c r="RJ466" s="199"/>
      <c r="RK466" s="199"/>
      <c r="RL466" s="199"/>
      <c r="RM466" s="199"/>
      <c r="RN466" s="199"/>
      <c r="RO466" s="199"/>
      <c r="RP466" s="199"/>
      <c r="RQ466" s="199"/>
      <c r="RR466" s="199"/>
      <c r="RS466" s="199"/>
      <c r="RT466" s="199"/>
      <c r="RU466" s="199"/>
      <c r="RV466" s="199"/>
      <c r="RW466" s="199"/>
      <c r="RX466" s="199"/>
      <c r="RY466" s="199"/>
      <c r="RZ466" s="199"/>
      <c r="SA466" s="199"/>
      <c r="SB466" s="199"/>
      <c r="SC466" s="199"/>
      <c r="SD466" s="199"/>
      <c r="SE466" s="199"/>
      <c r="SF466" s="199"/>
      <c r="SG466" s="199"/>
      <c r="SH466" s="199"/>
      <c r="SI466" s="199"/>
      <c r="SJ466" s="199"/>
      <c r="SK466" s="199"/>
      <c r="SL466" s="199"/>
      <c r="SM466" s="199"/>
      <c r="SN466" s="199"/>
      <c r="SO466" s="199"/>
      <c r="SP466" s="199"/>
    </row>
    <row r="467" spans="1:510" ht="52.5">
      <c r="A467" s="214" t="s">
        <v>988</v>
      </c>
      <c r="B467" s="215" t="s">
        <v>581</v>
      </c>
      <c r="C467" s="344" t="s">
        <v>1104</v>
      </c>
      <c r="D467" s="187" t="s">
        <v>18</v>
      </c>
      <c r="E467" s="187" t="s">
        <v>28</v>
      </c>
      <c r="F467" s="187" t="s">
        <v>27</v>
      </c>
      <c r="G467" s="305">
        <f>'AGOST-18'!I463</f>
        <v>6837.57</v>
      </c>
      <c r="H467" s="348">
        <f>1012.5+1161.81</f>
        <v>2174.31</v>
      </c>
      <c r="I467" s="189">
        <f t="shared" si="9"/>
        <v>4663.26</v>
      </c>
      <c r="J467" s="219"/>
      <c r="K467" s="219"/>
    </row>
    <row r="468" spans="1:510" ht="30">
      <c r="A468" s="11" t="s">
        <v>235</v>
      </c>
      <c r="B468" s="54" t="s">
        <v>582</v>
      </c>
      <c r="C468" s="13"/>
      <c r="D468" s="14" t="s">
        <v>18</v>
      </c>
      <c r="E468" s="14" t="s">
        <v>28</v>
      </c>
      <c r="F468" s="14" t="s">
        <v>27</v>
      </c>
      <c r="G468" s="305">
        <f>'AGOST-18'!I464</f>
        <v>2.8699999999999992</v>
      </c>
      <c r="H468" s="276"/>
      <c r="I468" s="17">
        <f t="shared" si="9"/>
        <v>2.8699999999999992</v>
      </c>
      <c r="J468" s="56"/>
      <c r="K468" s="56"/>
    </row>
    <row r="469" spans="1:510" ht="96" customHeight="1">
      <c r="A469" s="11" t="s">
        <v>200</v>
      </c>
      <c r="B469" s="53" t="s">
        <v>584</v>
      </c>
      <c r="C469" s="61"/>
      <c r="D469" s="14"/>
      <c r="E469" s="14"/>
      <c r="F469" s="14"/>
      <c r="G469" s="305">
        <f>'AGOST-18'!I465</f>
        <v>0</v>
      </c>
      <c r="H469" s="51"/>
      <c r="I469" s="17"/>
      <c r="J469" s="56"/>
      <c r="K469" s="56"/>
    </row>
    <row r="470" spans="1:510" ht="30">
      <c r="A470" s="11">
        <v>54111</v>
      </c>
      <c r="B470" s="54" t="s">
        <v>583</v>
      </c>
      <c r="C470" s="13"/>
      <c r="D470" s="14" t="s">
        <v>18</v>
      </c>
      <c r="E470" s="14" t="s">
        <v>28</v>
      </c>
      <c r="F470" s="14" t="s">
        <v>27</v>
      </c>
      <c r="G470" s="305">
        <f>'AGOST-18'!I466</f>
        <v>0</v>
      </c>
      <c r="H470" s="51"/>
      <c r="I470" s="17">
        <f t="shared" si="9"/>
        <v>0</v>
      </c>
      <c r="J470" s="56"/>
      <c r="K470" s="300"/>
    </row>
    <row r="471" spans="1:510" ht="75">
      <c r="A471" s="141" t="s">
        <v>201</v>
      </c>
      <c r="B471" s="53" t="s">
        <v>585</v>
      </c>
      <c r="C471" s="13"/>
      <c r="D471" s="14"/>
      <c r="E471" s="14"/>
      <c r="F471" s="14"/>
      <c r="G471" s="305">
        <f>'AGOST-18'!I467</f>
        <v>0</v>
      </c>
      <c r="H471" s="51"/>
      <c r="I471" s="17"/>
      <c r="J471" s="56"/>
      <c r="K471" s="56"/>
    </row>
    <row r="472" spans="1:510" ht="29.25">
      <c r="A472" s="11">
        <v>54110</v>
      </c>
      <c r="B472" s="54" t="s">
        <v>586</v>
      </c>
      <c r="C472" s="13"/>
      <c r="D472" s="14" t="s">
        <v>18</v>
      </c>
      <c r="E472" s="14" t="s">
        <v>28</v>
      </c>
      <c r="F472" s="14" t="s">
        <v>27</v>
      </c>
      <c r="G472" s="305">
        <f>'AGOST-18'!I468</f>
        <v>0</v>
      </c>
      <c r="H472" s="51"/>
      <c r="I472" s="17">
        <f t="shared" si="9"/>
        <v>0</v>
      </c>
      <c r="J472" s="56"/>
      <c r="K472" s="300"/>
    </row>
    <row r="473" spans="1:510" ht="30">
      <c r="A473" s="11">
        <v>54111</v>
      </c>
      <c r="B473" s="54" t="s">
        <v>587</v>
      </c>
      <c r="C473" s="13"/>
      <c r="D473" s="14" t="s">
        <v>18</v>
      </c>
      <c r="E473" s="14" t="s">
        <v>28</v>
      </c>
      <c r="F473" s="14" t="s">
        <v>27</v>
      </c>
      <c r="G473" s="305">
        <f>'AGOST-18'!I469</f>
        <v>0</v>
      </c>
      <c r="H473" s="51"/>
      <c r="I473" s="17">
        <f t="shared" si="9"/>
        <v>0</v>
      </c>
      <c r="J473" s="56"/>
      <c r="K473" s="300"/>
    </row>
    <row r="474" spans="1:510" ht="29.25">
      <c r="A474" s="11">
        <v>54112</v>
      </c>
      <c r="B474" s="54" t="s">
        <v>588</v>
      </c>
      <c r="C474" s="59"/>
      <c r="D474" s="14" t="s">
        <v>18</v>
      </c>
      <c r="E474" s="14" t="s">
        <v>28</v>
      </c>
      <c r="F474" s="14" t="s">
        <v>27</v>
      </c>
      <c r="G474" s="305">
        <f>'AGOST-18'!I470</f>
        <v>0</v>
      </c>
      <c r="H474" s="51"/>
      <c r="I474" s="17">
        <f t="shared" si="9"/>
        <v>0</v>
      </c>
      <c r="J474" s="56"/>
      <c r="K474" s="300"/>
    </row>
    <row r="475" spans="1:510" ht="29.25">
      <c r="A475" s="11">
        <v>55603</v>
      </c>
      <c r="B475" s="54" t="s">
        <v>974</v>
      </c>
      <c r="C475" s="55"/>
      <c r="D475" s="14" t="s">
        <v>18</v>
      </c>
      <c r="E475" s="14" t="s">
        <v>28</v>
      </c>
      <c r="F475" s="14" t="s">
        <v>27</v>
      </c>
      <c r="G475" s="305">
        <f>'AGOST-18'!I471</f>
        <v>0</v>
      </c>
      <c r="H475" s="51"/>
      <c r="I475" s="17">
        <f t="shared" si="9"/>
        <v>0</v>
      </c>
      <c r="J475" s="11"/>
      <c r="K475" s="129"/>
    </row>
    <row r="476" spans="1:510" ht="90">
      <c r="A476" s="11" t="s">
        <v>220</v>
      </c>
      <c r="B476" s="53" t="s">
        <v>966</v>
      </c>
      <c r="C476" s="55"/>
      <c r="D476" s="14"/>
      <c r="E476" s="14"/>
      <c r="F476" s="14"/>
      <c r="G476" s="305">
        <f>'AGOST-18'!I472</f>
        <v>0</v>
      </c>
      <c r="H476" s="51"/>
      <c r="I476" s="17"/>
      <c r="J476" s="11"/>
      <c r="K476" s="54"/>
    </row>
    <row r="477" spans="1:510" ht="29.25">
      <c r="A477" s="11">
        <v>51202</v>
      </c>
      <c r="B477" s="54" t="s">
        <v>589</v>
      </c>
      <c r="C477" s="55"/>
      <c r="D477" s="14" t="s">
        <v>18</v>
      </c>
      <c r="E477" s="14" t="s">
        <v>28</v>
      </c>
      <c r="F477" s="14" t="s">
        <v>27</v>
      </c>
      <c r="G477" s="305">
        <f>'AGOST-18'!I473</f>
        <v>0</v>
      </c>
      <c r="H477" s="51"/>
      <c r="I477" s="17">
        <f t="shared" si="9"/>
        <v>0</v>
      </c>
      <c r="J477" s="11"/>
      <c r="K477" s="251"/>
    </row>
    <row r="478" spans="1:510" ht="29.25" customHeight="1">
      <c r="A478" s="11">
        <v>54110</v>
      </c>
      <c r="B478" s="54" t="s">
        <v>590</v>
      </c>
      <c r="C478" s="55"/>
      <c r="D478" s="14" t="s">
        <v>18</v>
      </c>
      <c r="E478" s="14" t="s">
        <v>28</v>
      </c>
      <c r="F478" s="14" t="s">
        <v>27</v>
      </c>
      <c r="G478" s="305">
        <f>'AGOST-18'!I474</f>
        <v>0</v>
      </c>
      <c r="H478" s="51"/>
      <c r="I478" s="17">
        <f t="shared" si="9"/>
        <v>0</v>
      </c>
      <c r="J478" s="11"/>
      <c r="K478" s="251"/>
    </row>
    <row r="479" spans="1:510" ht="30">
      <c r="A479" s="11">
        <v>54111</v>
      </c>
      <c r="B479" s="54" t="s">
        <v>591</v>
      </c>
      <c r="C479" s="55"/>
      <c r="D479" s="14" t="s">
        <v>18</v>
      </c>
      <c r="E479" s="14" t="s">
        <v>28</v>
      </c>
      <c r="F479" s="14" t="s">
        <v>27</v>
      </c>
      <c r="G479" s="305">
        <f>'AGOST-18'!I475</f>
        <v>-6.3726801613483985E-14</v>
      </c>
      <c r="H479" s="51"/>
      <c r="I479" s="17">
        <f t="shared" si="9"/>
        <v>-6.3726801613483985E-14</v>
      </c>
      <c r="J479" s="252"/>
      <c r="K479" s="251"/>
    </row>
    <row r="480" spans="1:510" ht="29.25">
      <c r="A480" s="11">
        <v>54112</v>
      </c>
      <c r="B480" s="54" t="s">
        <v>592</v>
      </c>
      <c r="C480" s="55"/>
      <c r="D480" s="14" t="s">
        <v>18</v>
      </c>
      <c r="E480" s="14" t="s">
        <v>28</v>
      </c>
      <c r="F480" s="14" t="s">
        <v>27</v>
      </c>
      <c r="G480" s="305">
        <f>'AGOST-18'!I476</f>
        <v>0</v>
      </c>
      <c r="H480" s="51"/>
      <c r="I480" s="17">
        <f t="shared" si="9"/>
        <v>0</v>
      </c>
      <c r="J480" s="11"/>
      <c r="K480" s="251"/>
    </row>
    <row r="481" spans="1:11" ht="29.25">
      <c r="A481" s="11">
        <v>54313</v>
      </c>
      <c r="B481" s="54" t="s">
        <v>593</v>
      </c>
      <c r="C481" s="55"/>
      <c r="D481" s="14" t="s">
        <v>18</v>
      </c>
      <c r="E481" s="14" t="s">
        <v>28</v>
      </c>
      <c r="F481" s="14" t="s">
        <v>27</v>
      </c>
      <c r="G481" s="305">
        <f>'AGOST-18'!I477</f>
        <v>0</v>
      </c>
      <c r="H481" s="51"/>
      <c r="I481" s="17">
        <f t="shared" si="9"/>
        <v>0</v>
      </c>
      <c r="J481" s="11"/>
      <c r="K481" s="251"/>
    </row>
    <row r="482" spans="1:11" ht="105" customHeight="1">
      <c r="A482" s="11" t="s">
        <v>238</v>
      </c>
      <c r="B482" s="53" t="s">
        <v>595</v>
      </c>
      <c r="C482" s="343" t="s">
        <v>1105</v>
      </c>
      <c r="D482" s="14"/>
      <c r="E482" s="14"/>
      <c r="F482" s="14"/>
      <c r="G482" s="305">
        <f>'AGOST-18'!I478</f>
        <v>0</v>
      </c>
      <c r="H482" s="51"/>
      <c r="I482" s="17"/>
      <c r="J482" s="11"/>
      <c r="K482" s="54"/>
    </row>
    <row r="483" spans="1:11" ht="29.25">
      <c r="A483" s="11">
        <v>51202</v>
      </c>
      <c r="B483" s="54" t="s">
        <v>594</v>
      </c>
      <c r="C483" s="55"/>
      <c r="D483" s="14" t="s">
        <v>18</v>
      </c>
      <c r="E483" s="14" t="s">
        <v>28</v>
      </c>
      <c r="F483" s="14" t="s">
        <v>27</v>
      </c>
      <c r="G483" s="305">
        <f>'AGOST-18'!I479</f>
        <v>0</v>
      </c>
      <c r="H483" s="51"/>
      <c r="I483" s="17">
        <f t="shared" si="9"/>
        <v>0</v>
      </c>
      <c r="J483" s="272"/>
      <c r="K483" s="129"/>
    </row>
    <row r="484" spans="1:11" ht="29.25">
      <c r="A484" s="11">
        <v>54110</v>
      </c>
      <c r="B484" s="54" t="s">
        <v>596</v>
      </c>
      <c r="C484" s="55"/>
      <c r="D484" s="14" t="s">
        <v>18</v>
      </c>
      <c r="E484" s="14" t="s">
        <v>28</v>
      </c>
      <c r="F484" s="14" t="s">
        <v>27</v>
      </c>
      <c r="G484" s="305">
        <f>'AGOST-18'!I480</f>
        <v>0</v>
      </c>
      <c r="H484" s="51"/>
      <c r="I484" s="17">
        <f t="shared" si="9"/>
        <v>0</v>
      </c>
      <c r="J484" s="272"/>
      <c r="K484" s="129"/>
    </row>
    <row r="485" spans="1:11" ht="29.25">
      <c r="A485" s="11">
        <v>54111</v>
      </c>
      <c r="B485" s="54" t="s">
        <v>597</v>
      </c>
      <c r="C485" s="55"/>
      <c r="D485" s="14" t="s">
        <v>18</v>
      </c>
      <c r="E485" s="14" t="s">
        <v>28</v>
      </c>
      <c r="F485" s="14" t="s">
        <v>27</v>
      </c>
      <c r="G485" s="305">
        <f>'AGOST-18'!I481</f>
        <v>0</v>
      </c>
      <c r="H485" s="51"/>
      <c r="I485" s="17">
        <f t="shared" si="9"/>
        <v>0</v>
      </c>
      <c r="J485" s="128"/>
      <c r="K485" s="129"/>
    </row>
    <row r="486" spans="1:11" ht="29.25">
      <c r="A486" s="11">
        <v>54112</v>
      </c>
      <c r="B486" s="54" t="s">
        <v>598</v>
      </c>
      <c r="C486" s="55"/>
      <c r="D486" s="14" t="s">
        <v>18</v>
      </c>
      <c r="E486" s="14" t="s">
        <v>28</v>
      </c>
      <c r="F486" s="14" t="s">
        <v>27</v>
      </c>
      <c r="G486" s="305">
        <f>'AGOST-18'!I482</f>
        <v>0</v>
      </c>
      <c r="H486" s="51"/>
      <c r="I486" s="17">
        <f t="shared" si="9"/>
        <v>0</v>
      </c>
      <c r="J486" s="128"/>
      <c r="K486" s="129"/>
    </row>
    <row r="487" spans="1:11" ht="29.25">
      <c r="A487" s="11">
        <v>54118</v>
      </c>
      <c r="B487" s="54" t="s">
        <v>599</v>
      </c>
      <c r="C487" s="55"/>
      <c r="D487" s="14" t="s">
        <v>18</v>
      </c>
      <c r="E487" s="14" t="s">
        <v>28</v>
      </c>
      <c r="F487" s="14" t="s">
        <v>27</v>
      </c>
      <c r="G487" s="305">
        <f>'AGOST-18'!I483</f>
        <v>0</v>
      </c>
      <c r="H487" s="51"/>
      <c r="I487" s="17">
        <f t="shared" si="9"/>
        <v>0</v>
      </c>
      <c r="J487" s="142"/>
      <c r="K487" s="142"/>
    </row>
    <row r="488" spans="1:11" ht="29.25">
      <c r="A488" s="11">
        <v>54304</v>
      </c>
      <c r="B488" s="54" t="s">
        <v>600</v>
      </c>
      <c r="C488" s="55"/>
      <c r="D488" s="14" t="s">
        <v>18</v>
      </c>
      <c r="E488" s="14" t="s">
        <v>28</v>
      </c>
      <c r="F488" s="14" t="s">
        <v>27</v>
      </c>
      <c r="G488" s="305">
        <f>'AGOST-18'!I484</f>
        <v>0</v>
      </c>
      <c r="H488" s="51"/>
      <c r="I488" s="17">
        <f t="shared" si="9"/>
        <v>0</v>
      </c>
      <c r="J488" s="56"/>
      <c r="K488" s="237"/>
    </row>
    <row r="489" spans="1:11" ht="29.25">
      <c r="A489" s="11">
        <v>54313</v>
      </c>
      <c r="B489" s="54" t="s">
        <v>601</v>
      </c>
      <c r="C489" s="55"/>
      <c r="D489" s="14" t="s">
        <v>18</v>
      </c>
      <c r="E489" s="14" t="s">
        <v>28</v>
      </c>
      <c r="F489" s="14" t="s">
        <v>27</v>
      </c>
      <c r="G489" s="305">
        <f>'AGOST-18'!I485</f>
        <v>0</v>
      </c>
      <c r="H489" s="51"/>
      <c r="I489" s="17">
        <f t="shared" si="9"/>
        <v>0</v>
      </c>
      <c r="J489" s="56"/>
      <c r="K489" s="237"/>
    </row>
    <row r="490" spans="1:11" ht="57.75">
      <c r="A490" s="11">
        <v>54316</v>
      </c>
      <c r="B490" s="54" t="s">
        <v>1047</v>
      </c>
      <c r="C490" s="55"/>
      <c r="D490" s="14" t="s">
        <v>18</v>
      </c>
      <c r="E490" s="14" t="s">
        <v>28</v>
      </c>
      <c r="F490" s="14" t="s">
        <v>27</v>
      </c>
      <c r="G490" s="305">
        <f>'AGOST-18'!I486</f>
        <v>0</v>
      </c>
      <c r="H490" s="51"/>
      <c r="I490" s="17">
        <f t="shared" si="9"/>
        <v>0</v>
      </c>
      <c r="J490" s="137"/>
      <c r="K490" s="237"/>
    </row>
    <row r="491" spans="1:11" ht="29.25">
      <c r="A491" s="11">
        <v>54399</v>
      </c>
      <c r="B491" s="54" t="s">
        <v>602</v>
      </c>
      <c r="C491" s="13"/>
      <c r="D491" s="14" t="s">
        <v>18</v>
      </c>
      <c r="E491" s="14" t="s">
        <v>28</v>
      </c>
      <c r="F491" s="14" t="s">
        <v>27</v>
      </c>
      <c r="G491" s="305">
        <f>'AGOST-18'!I487</f>
        <v>0</v>
      </c>
      <c r="H491" s="51"/>
      <c r="I491" s="17">
        <f t="shared" si="9"/>
        <v>0</v>
      </c>
      <c r="J491" s="56"/>
      <c r="K491" s="300"/>
    </row>
    <row r="492" spans="1:11" ht="29.25">
      <c r="A492" s="11">
        <v>55603</v>
      </c>
      <c r="B492" s="54" t="s">
        <v>603</v>
      </c>
      <c r="C492" s="55"/>
      <c r="D492" s="14" t="s">
        <v>18</v>
      </c>
      <c r="E492" s="14" t="s">
        <v>28</v>
      </c>
      <c r="F492" s="14" t="s">
        <v>27</v>
      </c>
      <c r="G492" s="305">
        <f>'AGOST-18'!I488</f>
        <v>0</v>
      </c>
      <c r="H492" s="51"/>
      <c r="I492" s="17">
        <f t="shared" si="9"/>
        <v>0</v>
      </c>
      <c r="J492" s="56"/>
      <c r="K492" s="300"/>
    </row>
    <row r="493" spans="1:11" ht="102.75" customHeight="1">
      <c r="A493" s="141" t="s">
        <v>256</v>
      </c>
      <c r="B493" s="53" t="s">
        <v>982</v>
      </c>
      <c r="C493" s="13"/>
      <c r="D493" s="14"/>
      <c r="E493" s="14"/>
      <c r="F493" s="14"/>
      <c r="G493" s="305">
        <f>'AGOST-18'!I489</f>
        <v>0</v>
      </c>
      <c r="H493" s="51"/>
      <c r="I493" s="17"/>
      <c r="J493" s="56"/>
      <c r="K493" s="56"/>
    </row>
    <row r="494" spans="1:11" ht="29.25">
      <c r="A494" s="11">
        <v>51202</v>
      </c>
      <c r="B494" s="53" t="s">
        <v>605</v>
      </c>
      <c r="C494" s="13"/>
      <c r="D494" s="14" t="s">
        <v>18</v>
      </c>
      <c r="E494" s="14" t="s">
        <v>28</v>
      </c>
      <c r="F494" s="14" t="s">
        <v>27</v>
      </c>
      <c r="G494" s="305">
        <f>'AGOST-18'!I490</f>
        <v>0</v>
      </c>
      <c r="H494" s="51"/>
      <c r="I494" s="17">
        <f t="shared" si="9"/>
        <v>0</v>
      </c>
      <c r="J494" s="237"/>
      <c r="K494" s="333"/>
    </row>
    <row r="495" spans="1:11" ht="29.25">
      <c r="A495" s="11">
        <v>54110</v>
      </c>
      <c r="B495" s="53" t="s">
        <v>606</v>
      </c>
      <c r="C495" s="13"/>
      <c r="D495" s="14" t="s">
        <v>18</v>
      </c>
      <c r="E495" s="14" t="s">
        <v>28</v>
      </c>
      <c r="F495" s="14" t="s">
        <v>27</v>
      </c>
      <c r="G495" s="305">
        <f>'AGOST-18'!I491</f>
        <v>0</v>
      </c>
      <c r="H495" s="51"/>
      <c r="I495" s="17">
        <f t="shared" si="9"/>
        <v>0</v>
      </c>
      <c r="J495" s="237"/>
      <c r="K495" s="333"/>
    </row>
    <row r="496" spans="1:11" ht="30">
      <c r="A496" s="11">
        <v>54111</v>
      </c>
      <c r="B496" s="53" t="s">
        <v>607</v>
      </c>
      <c r="C496" s="13"/>
      <c r="D496" s="14" t="s">
        <v>18</v>
      </c>
      <c r="E496" s="14" t="s">
        <v>28</v>
      </c>
      <c r="F496" s="14" t="s">
        <v>27</v>
      </c>
      <c r="G496" s="305">
        <f>'AGOST-18'!I492</f>
        <v>0</v>
      </c>
      <c r="H496" s="212"/>
      <c r="I496" s="17">
        <f t="shared" si="9"/>
        <v>0</v>
      </c>
      <c r="J496" s="253"/>
      <c r="K496" s="333"/>
    </row>
    <row r="497" spans="1:11" ht="29.25">
      <c r="A497" s="11">
        <v>54112</v>
      </c>
      <c r="B497" s="53" t="s">
        <v>608</v>
      </c>
      <c r="C497" s="13"/>
      <c r="D497" s="14" t="s">
        <v>18</v>
      </c>
      <c r="E497" s="14" t="s">
        <v>28</v>
      </c>
      <c r="F497" s="14" t="s">
        <v>27</v>
      </c>
      <c r="G497" s="305">
        <f>'AGOST-18'!I493</f>
        <v>0</v>
      </c>
      <c r="H497" s="51"/>
      <c r="I497" s="17">
        <f t="shared" si="9"/>
        <v>0</v>
      </c>
      <c r="J497" s="237"/>
      <c r="K497" s="334"/>
    </row>
    <row r="498" spans="1:11" ht="29.25">
      <c r="A498" s="11">
        <v>54118</v>
      </c>
      <c r="B498" s="53" t="s">
        <v>609</v>
      </c>
      <c r="C498" s="13"/>
      <c r="D498" s="14" t="s">
        <v>18</v>
      </c>
      <c r="E498" s="14" t="s">
        <v>28</v>
      </c>
      <c r="F498" s="14" t="s">
        <v>27</v>
      </c>
      <c r="G498" s="305">
        <f>'AGOST-18'!I494</f>
        <v>0</v>
      </c>
      <c r="H498" s="51"/>
      <c r="I498" s="17">
        <f t="shared" si="9"/>
        <v>0</v>
      </c>
      <c r="J498" s="237"/>
      <c r="K498" s="333"/>
    </row>
    <row r="499" spans="1:11" ht="29.25">
      <c r="A499" s="11">
        <v>54304</v>
      </c>
      <c r="B499" s="53" t="s">
        <v>610</v>
      </c>
      <c r="C499" s="13"/>
      <c r="D499" s="14" t="s">
        <v>18</v>
      </c>
      <c r="E499" s="14" t="s">
        <v>28</v>
      </c>
      <c r="F499" s="14" t="s">
        <v>27</v>
      </c>
      <c r="G499" s="305">
        <f>'AGOST-18'!I495</f>
        <v>0</v>
      </c>
      <c r="H499" s="51"/>
      <c r="I499" s="17">
        <f t="shared" si="9"/>
        <v>0</v>
      </c>
      <c r="J499" s="56"/>
      <c r="K499" s="300"/>
    </row>
    <row r="500" spans="1:11" ht="29.25">
      <c r="A500" s="11">
        <v>54313</v>
      </c>
      <c r="B500" s="53" t="s">
        <v>611</v>
      </c>
      <c r="C500" s="13"/>
      <c r="D500" s="14" t="s">
        <v>18</v>
      </c>
      <c r="E500" s="14" t="s">
        <v>28</v>
      </c>
      <c r="F500" s="14" t="s">
        <v>27</v>
      </c>
      <c r="G500" s="305">
        <f>'AGOST-18'!I496</f>
        <v>0</v>
      </c>
      <c r="H500" s="51"/>
      <c r="I500" s="17">
        <f t="shared" si="9"/>
        <v>0</v>
      </c>
      <c r="J500" s="56"/>
      <c r="K500" s="300"/>
    </row>
    <row r="501" spans="1:11" ht="105">
      <c r="A501" s="141" t="s">
        <v>264</v>
      </c>
      <c r="B501" s="53" t="s">
        <v>981</v>
      </c>
      <c r="C501" s="13"/>
      <c r="D501" s="14"/>
      <c r="E501" s="14"/>
      <c r="F501" s="14"/>
      <c r="G501" s="305">
        <f>'AGOST-18'!I497</f>
        <v>0</v>
      </c>
      <c r="H501" s="51"/>
      <c r="I501" s="17"/>
      <c r="J501" s="56"/>
      <c r="K501" s="331"/>
    </row>
    <row r="502" spans="1:11" ht="29.25">
      <c r="A502" s="11">
        <v>51202</v>
      </c>
      <c r="B502" s="53" t="s">
        <v>613</v>
      </c>
      <c r="C502" s="13"/>
      <c r="D502" s="14" t="s">
        <v>18</v>
      </c>
      <c r="E502" s="14" t="s">
        <v>28</v>
      </c>
      <c r="F502" s="14" t="s">
        <v>27</v>
      </c>
      <c r="G502" s="305">
        <f>'AGOST-18'!I498</f>
        <v>0</v>
      </c>
      <c r="H502" s="51"/>
      <c r="I502" s="17">
        <f t="shared" si="9"/>
        <v>0</v>
      </c>
      <c r="J502" s="56"/>
      <c r="K502" s="335"/>
    </row>
    <row r="503" spans="1:11" ht="29.25">
      <c r="A503" s="11">
        <v>54110</v>
      </c>
      <c r="B503" s="53" t="s">
        <v>614</v>
      </c>
      <c r="C503" s="13"/>
      <c r="D503" s="14" t="s">
        <v>18</v>
      </c>
      <c r="E503" s="14" t="s">
        <v>28</v>
      </c>
      <c r="F503" s="14" t="s">
        <v>27</v>
      </c>
      <c r="G503" s="305">
        <f>'AGOST-18'!I499</f>
        <v>0</v>
      </c>
      <c r="H503" s="51"/>
      <c r="I503" s="17">
        <f t="shared" si="9"/>
        <v>0</v>
      </c>
      <c r="J503" s="56"/>
      <c r="K503" s="336"/>
    </row>
    <row r="504" spans="1:11" ht="43.5">
      <c r="A504" s="11">
        <v>54111</v>
      </c>
      <c r="B504" s="53" t="s">
        <v>615</v>
      </c>
      <c r="C504" s="13"/>
      <c r="D504" s="14" t="s">
        <v>18</v>
      </c>
      <c r="E504" s="14" t="s">
        <v>28</v>
      </c>
      <c r="F504" s="14" t="s">
        <v>27</v>
      </c>
      <c r="G504" s="305">
        <f>'AGOST-18'!I500</f>
        <v>0</v>
      </c>
      <c r="H504" s="51"/>
      <c r="I504" s="17">
        <f t="shared" si="9"/>
        <v>0</v>
      </c>
      <c r="J504" s="239"/>
      <c r="K504" s="333"/>
    </row>
    <row r="505" spans="1:11" ht="43.5">
      <c r="A505" s="11">
        <v>54112</v>
      </c>
      <c r="B505" s="53" t="s">
        <v>616</v>
      </c>
      <c r="C505" s="13"/>
      <c r="D505" s="14" t="s">
        <v>18</v>
      </c>
      <c r="E505" s="14" t="s">
        <v>28</v>
      </c>
      <c r="F505" s="14" t="s">
        <v>27</v>
      </c>
      <c r="G505" s="305">
        <f>'AGOST-18'!I501</f>
        <v>0</v>
      </c>
      <c r="H505" s="51"/>
      <c r="I505" s="17">
        <f t="shared" si="9"/>
        <v>0</v>
      </c>
      <c r="J505" s="56"/>
      <c r="K505" s="336"/>
    </row>
    <row r="506" spans="1:11" ht="43.5">
      <c r="A506" s="11">
        <v>54118</v>
      </c>
      <c r="B506" s="53" t="s">
        <v>617</v>
      </c>
      <c r="C506" s="13"/>
      <c r="D506" s="14" t="s">
        <v>18</v>
      </c>
      <c r="E506" s="14" t="s">
        <v>28</v>
      </c>
      <c r="F506" s="14" t="s">
        <v>27</v>
      </c>
      <c r="G506" s="305">
        <f>'AGOST-18'!I502</f>
        <v>-9.9920072216264089E-16</v>
      </c>
      <c r="H506" s="51"/>
      <c r="I506" s="17">
        <f t="shared" si="9"/>
        <v>-9.9920072216264089E-16</v>
      </c>
      <c r="J506" s="56"/>
      <c r="K506" s="301"/>
    </row>
    <row r="507" spans="1:11" ht="43.5">
      <c r="A507" s="11">
        <v>54304</v>
      </c>
      <c r="B507" s="53" t="s">
        <v>618</v>
      </c>
      <c r="C507" s="13"/>
      <c r="D507" s="14" t="s">
        <v>18</v>
      </c>
      <c r="E507" s="14" t="s">
        <v>28</v>
      </c>
      <c r="F507" s="14" t="s">
        <v>27</v>
      </c>
      <c r="G507" s="305">
        <f>'AGOST-18'!I503</f>
        <v>0</v>
      </c>
      <c r="H507" s="51"/>
      <c r="I507" s="17">
        <f t="shared" si="9"/>
        <v>0</v>
      </c>
      <c r="J507" s="56"/>
      <c r="K507" s="142"/>
    </row>
    <row r="508" spans="1:11" ht="43.5">
      <c r="A508" s="11">
        <v>54313</v>
      </c>
      <c r="B508" s="53" t="s">
        <v>619</v>
      </c>
      <c r="C508" s="13"/>
      <c r="D508" s="14" t="s">
        <v>18</v>
      </c>
      <c r="E508" s="14" t="s">
        <v>28</v>
      </c>
      <c r="F508" s="14" t="s">
        <v>27</v>
      </c>
      <c r="G508" s="305">
        <f>'AGOST-18'!I504</f>
        <v>0</v>
      </c>
      <c r="H508" s="51"/>
      <c r="I508" s="17">
        <f t="shared" si="9"/>
        <v>0</v>
      </c>
      <c r="J508" s="237"/>
      <c r="K508" s="137"/>
    </row>
    <row r="509" spans="1:11" ht="105">
      <c r="A509" s="144" t="s">
        <v>269</v>
      </c>
      <c r="B509" s="53" t="s">
        <v>983</v>
      </c>
      <c r="C509" s="13"/>
      <c r="D509" s="14"/>
      <c r="E509" s="14"/>
      <c r="F509" s="14"/>
      <c r="G509" s="305">
        <f>'AGOST-18'!I505</f>
        <v>0</v>
      </c>
      <c r="H509" s="51"/>
      <c r="I509" s="17"/>
      <c r="J509" s="331"/>
      <c r="K509" s="56"/>
    </row>
    <row r="510" spans="1:11" ht="29.25">
      <c r="A510" s="11">
        <v>51202</v>
      </c>
      <c r="B510" s="54" t="s">
        <v>620</v>
      </c>
      <c r="C510" s="13"/>
      <c r="D510" s="14" t="s">
        <v>18</v>
      </c>
      <c r="E510" s="14" t="s">
        <v>28</v>
      </c>
      <c r="F510" s="14" t="s">
        <v>27</v>
      </c>
      <c r="G510" s="305">
        <f>'AGOST-18'!I506</f>
        <v>6000</v>
      </c>
      <c r="H510" s="51"/>
      <c r="I510" s="17">
        <f t="shared" si="9"/>
        <v>6000</v>
      </c>
      <c r="J510" s="142"/>
      <c r="K510" s="300"/>
    </row>
    <row r="511" spans="1:11" ht="35.25" customHeight="1">
      <c r="A511" s="11">
        <v>54110</v>
      </c>
      <c r="B511" s="54" t="s">
        <v>622</v>
      </c>
      <c r="C511" s="13"/>
      <c r="D511" s="14" t="s">
        <v>18</v>
      </c>
      <c r="E511" s="14" t="s">
        <v>28</v>
      </c>
      <c r="F511" s="14" t="s">
        <v>27</v>
      </c>
      <c r="G511" s="305">
        <f>'AGOST-18'!I507</f>
        <v>300</v>
      </c>
      <c r="H511" s="51"/>
      <c r="I511" s="17">
        <f t="shared" si="9"/>
        <v>300</v>
      </c>
      <c r="J511" s="142"/>
      <c r="K511" s="300"/>
    </row>
    <row r="512" spans="1:11" ht="43.5">
      <c r="A512" s="11">
        <v>54111</v>
      </c>
      <c r="B512" s="54" t="s">
        <v>621</v>
      </c>
      <c r="C512" s="13"/>
      <c r="D512" s="14" t="s">
        <v>18</v>
      </c>
      <c r="E512" s="14" t="s">
        <v>28</v>
      </c>
      <c r="F512" s="14" t="s">
        <v>27</v>
      </c>
      <c r="G512" s="305">
        <f>'AGOST-18'!I508</f>
        <v>7095.87</v>
      </c>
      <c r="H512" s="51"/>
      <c r="I512" s="17">
        <f t="shared" si="9"/>
        <v>7095.87</v>
      </c>
      <c r="J512" s="142"/>
      <c r="K512" s="300"/>
    </row>
    <row r="513" spans="1:11" ht="43.5">
      <c r="A513" s="11">
        <v>54112</v>
      </c>
      <c r="B513" s="54" t="s">
        <v>623</v>
      </c>
      <c r="C513" s="13"/>
      <c r="D513" s="14" t="s">
        <v>18</v>
      </c>
      <c r="E513" s="14" t="s">
        <v>28</v>
      </c>
      <c r="F513" s="14" t="s">
        <v>27</v>
      </c>
      <c r="G513" s="305">
        <f>'AGOST-18'!I509</f>
        <v>5000</v>
      </c>
      <c r="H513" s="51"/>
      <c r="I513" s="17">
        <f t="shared" si="9"/>
        <v>5000</v>
      </c>
      <c r="J513" s="142"/>
      <c r="K513" s="300"/>
    </row>
    <row r="514" spans="1:11" ht="43.5">
      <c r="A514" s="11">
        <v>54118</v>
      </c>
      <c r="B514" s="54" t="s">
        <v>624</v>
      </c>
      <c r="C514" s="13"/>
      <c r="D514" s="14" t="s">
        <v>18</v>
      </c>
      <c r="E514" s="14" t="s">
        <v>28</v>
      </c>
      <c r="F514" s="14" t="s">
        <v>27</v>
      </c>
      <c r="G514" s="305">
        <f>'AGOST-18'!I510</f>
        <v>1000</v>
      </c>
      <c r="H514" s="51"/>
      <c r="I514" s="17">
        <f t="shared" si="9"/>
        <v>1000</v>
      </c>
      <c r="J514" s="142"/>
      <c r="K514" s="300"/>
    </row>
    <row r="515" spans="1:11" ht="43.5">
      <c r="A515" s="11">
        <v>54304</v>
      </c>
      <c r="B515" s="54" t="s">
        <v>625</v>
      </c>
      <c r="C515" s="13"/>
      <c r="D515" s="14" t="s">
        <v>18</v>
      </c>
      <c r="E515" s="14" t="s">
        <v>28</v>
      </c>
      <c r="F515" s="14" t="s">
        <v>27</v>
      </c>
      <c r="G515" s="305">
        <f>'AGOST-18'!I511</f>
        <v>300</v>
      </c>
      <c r="H515" s="51"/>
      <c r="I515" s="17">
        <f t="shared" si="9"/>
        <v>300</v>
      </c>
      <c r="J515" s="142"/>
      <c r="K515" s="300"/>
    </row>
    <row r="516" spans="1:11" ht="43.5">
      <c r="A516" s="11">
        <v>54313</v>
      </c>
      <c r="B516" s="54" t="s">
        <v>626</v>
      </c>
      <c r="C516" s="13"/>
      <c r="D516" s="14" t="s">
        <v>18</v>
      </c>
      <c r="E516" s="14" t="s">
        <v>28</v>
      </c>
      <c r="F516" s="14" t="s">
        <v>27</v>
      </c>
      <c r="G516" s="305">
        <f>'AGOST-18'!I512</f>
        <v>300</v>
      </c>
      <c r="H516" s="51"/>
      <c r="I516" s="17">
        <f t="shared" si="9"/>
        <v>300</v>
      </c>
      <c r="J516" s="142"/>
      <c r="K516" s="300"/>
    </row>
    <row r="517" spans="1:11" ht="105">
      <c r="A517" s="144" t="s">
        <v>289</v>
      </c>
      <c r="B517" s="53" t="s">
        <v>984</v>
      </c>
      <c r="C517" s="13"/>
      <c r="D517" s="14"/>
      <c r="E517" s="14"/>
      <c r="F517" s="14"/>
      <c r="G517" s="305">
        <f>'AGOST-18'!I513</f>
        <v>0</v>
      </c>
      <c r="H517" s="51"/>
      <c r="I517" s="17"/>
      <c r="J517" s="56"/>
      <c r="K517" s="56"/>
    </row>
    <row r="518" spans="1:11" ht="29.25">
      <c r="A518" s="11">
        <v>51202</v>
      </c>
      <c r="B518" s="53" t="s">
        <v>628</v>
      </c>
      <c r="C518" s="13"/>
      <c r="D518" s="14" t="s">
        <v>18</v>
      </c>
      <c r="E518" s="14" t="s">
        <v>28</v>
      </c>
      <c r="F518" s="14" t="s">
        <v>27</v>
      </c>
      <c r="G518" s="305">
        <f>'AGOST-18'!I514</f>
        <v>0</v>
      </c>
      <c r="H518" s="108"/>
      <c r="I518" s="17">
        <f t="shared" si="9"/>
        <v>0</v>
      </c>
      <c r="J518" s="56"/>
      <c r="K518" s="142"/>
    </row>
    <row r="519" spans="1:11" ht="29.25">
      <c r="A519" s="11">
        <v>54110</v>
      </c>
      <c r="B519" s="53" t="s">
        <v>629</v>
      </c>
      <c r="C519" s="13"/>
      <c r="D519" s="14" t="s">
        <v>18</v>
      </c>
      <c r="E519" s="14" t="s">
        <v>28</v>
      </c>
      <c r="F519" s="14" t="s">
        <v>27</v>
      </c>
      <c r="G519" s="305">
        <f>'AGOST-18'!I515</f>
        <v>0</v>
      </c>
      <c r="H519" s="51"/>
      <c r="I519" s="17">
        <f t="shared" si="9"/>
        <v>0</v>
      </c>
      <c r="J519" s="56"/>
      <c r="K519" s="142"/>
    </row>
    <row r="520" spans="1:11" ht="29.25">
      <c r="A520" s="11">
        <v>54111</v>
      </c>
      <c r="B520" s="53" t="s">
        <v>630</v>
      </c>
      <c r="C520" s="13"/>
      <c r="D520" s="14" t="s">
        <v>18</v>
      </c>
      <c r="E520" s="14" t="s">
        <v>28</v>
      </c>
      <c r="F520" s="14" t="s">
        <v>27</v>
      </c>
      <c r="G520" s="305">
        <f>'AGOST-18'!I516</f>
        <v>0</v>
      </c>
      <c r="H520" s="51"/>
      <c r="I520" s="17">
        <f t="shared" ref="I520:I583" si="10">G520-H520+J520-K520</f>
        <v>0</v>
      </c>
      <c r="J520" s="142"/>
      <c r="K520" s="142"/>
    </row>
    <row r="521" spans="1:11" ht="29.25">
      <c r="A521" s="11">
        <v>54112</v>
      </c>
      <c r="B521" s="53" t="s">
        <v>631</v>
      </c>
      <c r="C521" s="13"/>
      <c r="D521" s="14" t="s">
        <v>18</v>
      </c>
      <c r="E521" s="14" t="s">
        <v>28</v>
      </c>
      <c r="F521" s="14" t="s">
        <v>27</v>
      </c>
      <c r="G521" s="305">
        <f>'AGOST-18'!I517</f>
        <v>0</v>
      </c>
      <c r="H521" s="51"/>
      <c r="I521" s="17">
        <f t="shared" si="10"/>
        <v>0</v>
      </c>
      <c r="J521" s="56"/>
      <c r="K521" s="142"/>
    </row>
    <row r="522" spans="1:11" ht="29.25">
      <c r="A522" s="11">
        <v>54118</v>
      </c>
      <c r="B522" s="53" t="s">
        <v>632</v>
      </c>
      <c r="C522" s="13"/>
      <c r="D522" s="14" t="s">
        <v>18</v>
      </c>
      <c r="E522" s="14" t="s">
        <v>28</v>
      </c>
      <c r="F522" s="14" t="s">
        <v>27</v>
      </c>
      <c r="G522" s="305">
        <f>'AGOST-18'!I518</f>
        <v>0</v>
      </c>
      <c r="H522" s="51"/>
      <c r="I522" s="17">
        <f t="shared" si="10"/>
        <v>0</v>
      </c>
      <c r="J522" s="56"/>
      <c r="K522" s="137"/>
    </row>
    <row r="523" spans="1:11" ht="29.25">
      <c r="A523" s="11">
        <v>54304</v>
      </c>
      <c r="B523" s="53" t="s">
        <v>633</v>
      </c>
      <c r="C523" s="13"/>
      <c r="D523" s="14" t="s">
        <v>18</v>
      </c>
      <c r="E523" s="14" t="s">
        <v>28</v>
      </c>
      <c r="F523" s="14" t="s">
        <v>27</v>
      </c>
      <c r="G523" s="305">
        <f>'AGOST-18'!I519</f>
        <v>0</v>
      </c>
      <c r="H523" s="51"/>
      <c r="I523" s="17">
        <f t="shared" si="10"/>
        <v>0</v>
      </c>
      <c r="J523" s="56"/>
      <c r="K523" s="137"/>
    </row>
    <row r="524" spans="1:11" ht="29.25">
      <c r="A524" s="11">
        <v>54313</v>
      </c>
      <c r="B524" s="53" t="s">
        <v>634</v>
      </c>
      <c r="C524" s="13"/>
      <c r="D524" s="14" t="s">
        <v>18</v>
      </c>
      <c r="E524" s="14" t="s">
        <v>28</v>
      </c>
      <c r="F524" s="14" t="s">
        <v>27</v>
      </c>
      <c r="G524" s="305">
        <f>'AGOST-18'!I520</f>
        <v>0</v>
      </c>
      <c r="H524" s="51"/>
      <c r="I524" s="17">
        <f t="shared" si="10"/>
        <v>0</v>
      </c>
      <c r="J524" s="56"/>
      <c r="K524" s="142"/>
    </row>
    <row r="525" spans="1:11" ht="90">
      <c r="A525" s="141" t="s">
        <v>300</v>
      </c>
      <c r="B525" s="53" t="s">
        <v>635</v>
      </c>
      <c r="C525" s="13"/>
      <c r="D525" s="14"/>
      <c r="E525" s="14"/>
      <c r="F525" s="14"/>
      <c r="G525" s="305">
        <f>'AGOST-18'!I521</f>
        <v>0</v>
      </c>
      <c r="H525" s="51"/>
      <c r="I525" s="17"/>
      <c r="J525" s="56"/>
      <c r="K525" s="56"/>
    </row>
    <row r="526" spans="1:11" ht="29.25">
      <c r="A526" s="11">
        <v>51202</v>
      </c>
      <c r="B526" s="53" t="s">
        <v>636</v>
      </c>
      <c r="C526" s="13"/>
      <c r="D526" s="14" t="s">
        <v>18</v>
      </c>
      <c r="E526" s="14" t="s">
        <v>28</v>
      </c>
      <c r="F526" s="14" t="s">
        <v>27</v>
      </c>
      <c r="G526" s="305">
        <f>'AGOST-18'!I522</f>
        <v>0</v>
      </c>
      <c r="H526" s="51"/>
      <c r="I526" s="17">
        <f t="shared" si="10"/>
        <v>0</v>
      </c>
      <c r="J526" s="56"/>
      <c r="K526" s="142"/>
    </row>
    <row r="527" spans="1:11" ht="29.25">
      <c r="A527" s="11">
        <v>54110</v>
      </c>
      <c r="B527" s="53" t="s">
        <v>637</v>
      </c>
      <c r="C527" s="13"/>
      <c r="D527" s="14" t="s">
        <v>18</v>
      </c>
      <c r="E527" s="14" t="s">
        <v>28</v>
      </c>
      <c r="F527" s="14" t="s">
        <v>27</v>
      </c>
      <c r="G527" s="305">
        <f>'AGOST-18'!I523</f>
        <v>0</v>
      </c>
      <c r="H527" s="51"/>
      <c r="I527" s="17">
        <f t="shared" si="10"/>
        <v>0</v>
      </c>
      <c r="J527" s="56"/>
      <c r="K527" s="142"/>
    </row>
    <row r="528" spans="1:11" ht="29.25">
      <c r="A528" s="11">
        <v>54111</v>
      </c>
      <c r="B528" s="53" t="s">
        <v>638</v>
      </c>
      <c r="C528" s="13"/>
      <c r="D528" s="14" t="s">
        <v>18</v>
      </c>
      <c r="E528" s="14" t="s">
        <v>28</v>
      </c>
      <c r="F528" s="14" t="s">
        <v>27</v>
      </c>
      <c r="G528" s="305">
        <f>'AGOST-18'!I524</f>
        <v>1.8207657603852567E-13</v>
      </c>
      <c r="H528" s="211"/>
      <c r="I528" s="17">
        <f t="shared" si="10"/>
        <v>1.8207657603852567E-13</v>
      </c>
      <c r="J528" s="142"/>
      <c r="K528" s="137"/>
    </row>
    <row r="529" spans="1:11" ht="29.25">
      <c r="A529" s="11">
        <v>54304</v>
      </c>
      <c r="B529" s="53" t="s">
        <v>639</v>
      </c>
      <c r="C529" s="55"/>
      <c r="D529" s="14" t="s">
        <v>18</v>
      </c>
      <c r="E529" s="14" t="s">
        <v>28</v>
      </c>
      <c r="F529" s="14" t="s">
        <v>27</v>
      </c>
      <c r="G529" s="305">
        <f>'AGOST-18'!I525</f>
        <v>0</v>
      </c>
      <c r="H529" s="51"/>
      <c r="I529" s="17">
        <f t="shared" si="10"/>
        <v>0</v>
      </c>
      <c r="J529" s="56"/>
      <c r="K529" s="142"/>
    </row>
    <row r="530" spans="1:11" ht="38.25" customHeight="1">
      <c r="A530" s="11">
        <v>54313</v>
      </c>
      <c r="B530" s="53" t="s">
        <v>640</v>
      </c>
      <c r="C530" s="60"/>
      <c r="D530" s="14" t="s">
        <v>18</v>
      </c>
      <c r="E530" s="14" t="s">
        <v>28</v>
      </c>
      <c r="F530" s="14" t="s">
        <v>27</v>
      </c>
      <c r="G530" s="305">
        <f>'AGOST-18'!I526</f>
        <v>0</v>
      </c>
      <c r="H530" s="51"/>
      <c r="I530" s="17">
        <f t="shared" si="10"/>
        <v>0</v>
      </c>
      <c r="J530" s="56"/>
      <c r="K530" s="142"/>
    </row>
    <row r="531" spans="1:11" ht="106.5" customHeight="1">
      <c r="A531" s="141" t="s">
        <v>316</v>
      </c>
      <c r="B531" s="53" t="s">
        <v>641</v>
      </c>
      <c r="C531" s="60" t="s">
        <v>1013</v>
      </c>
      <c r="D531" s="14"/>
      <c r="E531" s="14"/>
      <c r="F531" s="14"/>
      <c r="G531" s="305">
        <f>'AGOST-18'!I527</f>
        <v>0</v>
      </c>
      <c r="H531" s="51"/>
      <c r="I531" s="17"/>
      <c r="J531" s="56"/>
      <c r="K531" s="56"/>
    </row>
    <row r="532" spans="1:11" ht="38.25" customHeight="1">
      <c r="A532" s="11">
        <v>51202</v>
      </c>
      <c r="B532" s="53" t="s">
        <v>642</v>
      </c>
      <c r="C532" s="60"/>
      <c r="D532" s="14" t="s">
        <v>18</v>
      </c>
      <c r="E532" s="14" t="s">
        <v>28</v>
      </c>
      <c r="F532" s="14" t="s">
        <v>27</v>
      </c>
      <c r="G532" s="305">
        <f>'AGOST-18'!I528</f>
        <v>7.2830630415410269E-14</v>
      </c>
      <c r="H532" s="51"/>
      <c r="I532" s="17">
        <f t="shared" si="10"/>
        <v>7.2830630415410269E-14</v>
      </c>
      <c r="J532" s="56"/>
      <c r="K532" s="142"/>
    </row>
    <row r="533" spans="1:11" ht="38.25" customHeight="1">
      <c r="A533" s="11">
        <v>54110</v>
      </c>
      <c r="B533" s="53" t="s">
        <v>643</v>
      </c>
      <c r="C533" s="60"/>
      <c r="D533" s="14" t="s">
        <v>18</v>
      </c>
      <c r="E533" s="14" t="s">
        <v>28</v>
      </c>
      <c r="F533" s="14" t="s">
        <v>27</v>
      </c>
      <c r="G533" s="305">
        <f>'AGOST-18'!I529</f>
        <v>0</v>
      </c>
      <c r="H533" s="51"/>
      <c r="I533" s="17">
        <f t="shared" si="10"/>
        <v>0</v>
      </c>
      <c r="J533" s="56"/>
      <c r="K533" s="142"/>
    </row>
    <row r="534" spans="1:11" ht="38.25" customHeight="1">
      <c r="A534" s="11">
        <v>54111</v>
      </c>
      <c r="B534" s="53" t="s">
        <v>644</v>
      </c>
      <c r="C534" s="60"/>
      <c r="D534" s="14" t="s">
        <v>18</v>
      </c>
      <c r="E534" s="14" t="s">
        <v>28</v>
      </c>
      <c r="F534" s="14" t="s">
        <v>27</v>
      </c>
      <c r="G534" s="305">
        <f>'AGOST-18'!I530</f>
        <v>2.2737367544323206E-13</v>
      </c>
      <c r="H534" s="51"/>
      <c r="I534" s="17">
        <f t="shared" si="10"/>
        <v>2.2737367544323206E-13</v>
      </c>
      <c r="J534" s="137"/>
      <c r="K534" s="142"/>
    </row>
    <row r="535" spans="1:11" ht="38.25" customHeight="1">
      <c r="A535" s="11">
        <v>54304</v>
      </c>
      <c r="B535" s="53" t="s">
        <v>645</v>
      </c>
      <c r="C535" s="60"/>
      <c r="D535" s="14" t="s">
        <v>18</v>
      </c>
      <c r="E535" s="14" t="s">
        <v>28</v>
      </c>
      <c r="F535" s="14" t="s">
        <v>27</v>
      </c>
      <c r="G535" s="305">
        <f>'AGOST-18'!I531</f>
        <v>0</v>
      </c>
      <c r="H535" s="51"/>
      <c r="I535" s="17">
        <f t="shared" si="10"/>
        <v>0</v>
      </c>
      <c r="J535" s="56"/>
      <c r="K535" s="142"/>
    </row>
    <row r="536" spans="1:11" ht="38.25" customHeight="1">
      <c r="A536" s="11">
        <v>54313</v>
      </c>
      <c r="B536" s="53" t="s">
        <v>646</v>
      </c>
      <c r="C536" s="60"/>
      <c r="D536" s="14" t="s">
        <v>18</v>
      </c>
      <c r="E536" s="14" t="s">
        <v>28</v>
      </c>
      <c r="F536" s="14" t="s">
        <v>27</v>
      </c>
      <c r="G536" s="305">
        <f>'AGOST-18'!I532</f>
        <v>0</v>
      </c>
      <c r="H536" s="51"/>
      <c r="I536" s="17">
        <f t="shared" si="10"/>
        <v>0</v>
      </c>
      <c r="J536" s="56"/>
      <c r="K536" s="142"/>
    </row>
    <row r="537" spans="1:11" ht="99" customHeight="1">
      <c r="A537" s="240" t="s">
        <v>326</v>
      </c>
      <c r="B537" s="53" t="s">
        <v>647</v>
      </c>
      <c r="C537" s="345" t="s">
        <v>1106</v>
      </c>
      <c r="D537" s="14"/>
      <c r="E537" s="14"/>
      <c r="F537" s="14"/>
      <c r="G537" s="305">
        <f>'AGOST-18'!I533</f>
        <v>0</v>
      </c>
      <c r="H537" s="51"/>
      <c r="I537" s="17"/>
      <c r="J537" s="56"/>
      <c r="K537" s="56"/>
    </row>
    <row r="538" spans="1:11" ht="38.25" customHeight="1">
      <c r="A538" s="11">
        <v>51202</v>
      </c>
      <c r="B538" s="53" t="s">
        <v>648</v>
      </c>
      <c r="C538" s="60"/>
      <c r="D538" s="14" t="s">
        <v>18</v>
      </c>
      <c r="E538" s="14" t="s">
        <v>28</v>
      </c>
      <c r="F538" s="14" t="s">
        <v>27</v>
      </c>
      <c r="G538" s="305">
        <f>'AGOST-18'!I534</f>
        <v>0</v>
      </c>
      <c r="H538" s="51"/>
      <c r="I538" s="17">
        <f t="shared" si="10"/>
        <v>0</v>
      </c>
      <c r="J538" s="301"/>
      <c r="K538" s="237"/>
    </row>
    <row r="539" spans="1:11" ht="38.25" customHeight="1">
      <c r="A539" s="11">
        <v>54110</v>
      </c>
      <c r="B539" s="53" t="s">
        <v>649</v>
      </c>
      <c r="C539" s="60"/>
      <c r="D539" s="14" t="s">
        <v>18</v>
      </c>
      <c r="E539" s="14" t="s">
        <v>28</v>
      </c>
      <c r="F539" s="14" t="s">
        <v>27</v>
      </c>
      <c r="G539" s="305">
        <f>'AGOST-18'!I535</f>
        <v>0</v>
      </c>
      <c r="H539" s="51"/>
      <c r="I539" s="17">
        <f t="shared" si="10"/>
        <v>0</v>
      </c>
      <c r="J539" s="237"/>
      <c r="K539" s="237"/>
    </row>
    <row r="540" spans="1:11" ht="38.25" customHeight="1">
      <c r="A540" s="11">
        <v>54111</v>
      </c>
      <c r="B540" s="53" t="s">
        <v>650</v>
      </c>
      <c r="C540" s="60" t="s">
        <v>1107</v>
      </c>
      <c r="D540" s="14" t="s">
        <v>18</v>
      </c>
      <c r="E540" s="14" t="s">
        <v>28</v>
      </c>
      <c r="F540" s="14" t="s">
        <v>27</v>
      </c>
      <c r="G540" s="305">
        <f>'AGOST-18'!I536</f>
        <v>0</v>
      </c>
      <c r="H540" s="51"/>
      <c r="I540" s="134">
        <f t="shared" si="10"/>
        <v>0</v>
      </c>
      <c r="J540" s="346"/>
      <c r="K540" s="237"/>
    </row>
    <row r="541" spans="1:11" ht="29.25">
      <c r="A541" s="11">
        <v>54112</v>
      </c>
      <c r="B541" s="53" t="s">
        <v>651</v>
      </c>
      <c r="C541" s="13"/>
      <c r="D541" s="14" t="s">
        <v>18</v>
      </c>
      <c r="E541" s="14" t="s">
        <v>28</v>
      </c>
      <c r="F541" s="14" t="s">
        <v>27</v>
      </c>
      <c r="G541" s="305">
        <f>'AGOST-18'!I537</f>
        <v>0</v>
      </c>
      <c r="H541" s="51"/>
      <c r="I541" s="17">
        <f t="shared" si="10"/>
        <v>0</v>
      </c>
      <c r="J541" s="237"/>
      <c r="K541" s="237"/>
    </row>
    <row r="542" spans="1:11" ht="29.25">
      <c r="A542" s="11">
        <v>54118</v>
      </c>
      <c r="B542" s="53" t="s">
        <v>652</v>
      </c>
      <c r="C542" s="13"/>
      <c r="D542" s="14" t="s">
        <v>18</v>
      </c>
      <c r="E542" s="14" t="s">
        <v>28</v>
      </c>
      <c r="F542" s="14" t="s">
        <v>27</v>
      </c>
      <c r="G542" s="305">
        <f>'AGOST-18'!I538</f>
        <v>0</v>
      </c>
      <c r="H542" s="51"/>
      <c r="I542" s="17">
        <f t="shared" si="10"/>
        <v>0</v>
      </c>
      <c r="J542" s="237"/>
      <c r="K542" s="237"/>
    </row>
    <row r="543" spans="1:11" ht="29.25">
      <c r="A543" s="11">
        <v>54304</v>
      </c>
      <c r="B543" s="53" t="s">
        <v>653</v>
      </c>
      <c r="C543" s="13"/>
      <c r="D543" s="14" t="s">
        <v>18</v>
      </c>
      <c r="E543" s="14" t="s">
        <v>28</v>
      </c>
      <c r="F543" s="14" t="s">
        <v>27</v>
      </c>
      <c r="G543" s="305">
        <f>'AGOST-18'!I539</f>
        <v>0</v>
      </c>
      <c r="H543" s="51"/>
      <c r="I543" s="17">
        <f t="shared" si="10"/>
        <v>0</v>
      </c>
      <c r="J543" s="237"/>
      <c r="K543" s="237"/>
    </row>
    <row r="544" spans="1:11" ht="29.25">
      <c r="A544" s="11">
        <v>54313</v>
      </c>
      <c r="B544" s="53" t="s">
        <v>654</v>
      </c>
      <c r="C544" s="13"/>
      <c r="D544" s="14" t="s">
        <v>18</v>
      </c>
      <c r="E544" s="14" t="s">
        <v>28</v>
      </c>
      <c r="F544" s="14" t="s">
        <v>27</v>
      </c>
      <c r="G544" s="305">
        <f>'AGOST-18'!I540</f>
        <v>0</v>
      </c>
      <c r="H544" s="51"/>
      <c r="I544" s="17">
        <f t="shared" si="10"/>
        <v>0</v>
      </c>
      <c r="J544" s="237"/>
      <c r="K544" s="346"/>
    </row>
    <row r="545" spans="1:11" ht="29.25">
      <c r="A545" s="11">
        <v>54399</v>
      </c>
      <c r="B545" s="53" t="s">
        <v>655</v>
      </c>
      <c r="C545" s="13"/>
      <c r="D545" s="14" t="s">
        <v>18</v>
      </c>
      <c r="E545" s="14" t="s">
        <v>28</v>
      </c>
      <c r="F545" s="14" t="s">
        <v>27</v>
      </c>
      <c r="G545" s="305">
        <f>'AGOST-18'!I541</f>
        <v>0</v>
      </c>
      <c r="H545" s="51"/>
      <c r="I545" s="17">
        <f t="shared" si="10"/>
        <v>0</v>
      </c>
      <c r="J545" s="237"/>
      <c r="K545" s="237"/>
    </row>
    <row r="546" spans="1:11" ht="75">
      <c r="A546" s="141" t="s">
        <v>338</v>
      </c>
      <c r="B546" s="53" t="s">
        <v>656</v>
      </c>
      <c r="C546" s="13"/>
      <c r="D546" s="14"/>
      <c r="E546" s="14"/>
      <c r="F546" s="14"/>
      <c r="G546" s="305">
        <f>'AGOST-18'!I542</f>
        <v>0</v>
      </c>
      <c r="H546" s="51"/>
      <c r="I546" s="17"/>
      <c r="J546" s="56"/>
      <c r="K546" s="56"/>
    </row>
    <row r="547" spans="1:11" ht="29.25">
      <c r="A547" s="11">
        <v>51202</v>
      </c>
      <c r="B547" s="54" t="s">
        <v>657</v>
      </c>
      <c r="C547" s="13"/>
      <c r="D547" s="14" t="s">
        <v>18</v>
      </c>
      <c r="E547" s="14" t="s">
        <v>28</v>
      </c>
      <c r="F547" s="14" t="s">
        <v>27</v>
      </c>
      <c r="G547" s="305">
        <f>'AGOST-18'!I543</f>
        <v>0</v>
      </c>
      <c r="H547" s="51"/>
      <c r="I547" s="17">
        <f t="shared" si="10"/>
        <v>0</v>
      </c>
      <c r="J547" s="56"/>
      <c r="K547" s="137"/>
    </row>
    <row r="548" spans="1:11" ht="29.25">
      <c r="A548" s="11">
        <v>54110</v>
      </c>
      <c r="B548" s="54" t="s">
        <v>658</v>
      </c>
      <c r="C548" s="13"/>
      <c r="D548" s="14" t="s">
        <v>18</v>
      </c>
      <c r="E548" s="14" t="s">
        <v>28</v>
      </c>
      <c r="F548" s="14" t="s">
        <v>27</v>
      </c>
      <c r="G548" s="305">
        <f>'AGOST-18'!I544</f>
        <v>0</v>
      </c>
      <c r="H548" s="51"/>
      <c r="I548" s="17">
        <f t="shared" si="10"/>
        <v>0</v>
      </c>
      <c r="J548" s="56"/>
      <c r="K548" s="137"/>
    </row>
    <row r="549" spans="1:11" ht="44.25">
      <c r="A549" s="11">
        <v>54111</v>
      </c>
      <c r="B549" s="54" t="s">
        <v>659</v>
      </c>
      <c r="C549" s="13"/>
      <c r="D549" s="14" t="s">
        <v>18</v>
      </c>
      <c r="E549" s="14" t="s">
        <v>28</v>
      </c>
      <c r="F549" s="14" t="s">
        <v>27</v>
      </c>
      <c r="G549" s="305">
        <f>'AGOST-18'!I545</f>
        <v>0</v>
      </c>
      <c r="H549" s="51"/>
      <c r="I549" s="17">
        <f t="shared" si="10"/>
        <v>0</v>
      </c>
      <c r="J549" s="56"/>
      <c r="K549" s="137"/>
    </row>
    <row r="550" spans="1:11" ht="44.25">
      <c r="A550" s="11">
        <v>54112</v>
      </c>
      <c r="B550" s="54" t="s">
        <v>660</v>
      </c>
      <c r="C550" s="13"/>
      <c r="D550" s="14" t="s">
        <v>18</v>
      </c>
      <c r="E550" s="14" t="s">
        <v>28</v>
      </c>
      <c r="F550" s="14" t="s">
        <v>27</v>
      </c>
      <c r="G550" s="305">
        <f>'AGOST-18'!I546</f>
        <v>0</v>
      </c>
      <c r="H550" s="51"/>
      <c r="I550" s="17">
        <f t="shared" si="10"/>
        <v>0</v>
      </c>
      <c r="J550" s="56"/>
      <c r="K550" s="137"/>
    </row>
    <row r="551" spans="1:11" ht="44.25">
      <c r="A551" s="11">
        <v>54304</v>
      </c>
      <c r="B551" s="54" t="s">
        <v>661</v>
      </c>
      <c r="C551" s="13"/>
      <c r="D551" s="14" t="s">
        <v>18</v>
      </c>
      <c r="E551" s="14" t="s">
        <v>28</v>
      </c>
      <c r="F551" s="14" t="s">
        <v>27</v>
      </c>
      <c r="G551" s="305">
        <f>'AGOST-18'!I547</f>
        <v>0</v>
      </c>
      <c r="H551" s="51"/>
      <c r="I551" s="17">
        <f t="shared" si="10"/>
        <v>0</v>
      </c>
      <c r="J551" s="56"/>
      <c r="K551" s="137"/>
    </row>
    <row r="552" spans="1:11" ht="44.25">
      <c r="A552" s="11">
        <v>54313</v>
      </c>
      <c r="B552" s="54" t="s">
        <v>662</v>
      </c>
      <c r="C552" s="13"/>
      <c r="D552" s="14" t="s">
        <v>18</v>
      </c>
      <c r="E552" s="14" t="s">
        <v>28</v>
      </c>
      <c r="F552" s="14" t="s">
        <v>27</v>
      </c>
      <c r="G552" s="305">
        <f>'AGOST-18'!I548</f>
        <v>0</v>
      </c>
      <c r="H552" s="51"/>
      <c r="I552" s="17">
        <f t="shared" si="10"/>
        <v>0</v>
      </c>
      <c r="J552" s="56"/>
      <c r="K552" s="137"/>
    </row>
    <row r="553" spans="1:11" ht="44.25">
      <c r="A553" s="11">
        <v>54399</v>
      </c>
      <c r="B553" s="54" t="s">
        <v>663</v>
      </c>
      <c r="C553" s="13"/>
      <c r="D553" s="14" t="s">
        <v>18</v>
      </c>
      <c r="E553" s="14" t="s">
        <v>28</v>
      </c>
      <c r="F553" s="14" t="s">
        <v>27</v>
      </c>
      <c r="G553" s="305">
        <f>'AGOST-18'!I549</f>
        <v>0</v>
      </c>
      <c r="H553" s="51"/>
      <c r="I553" s="17">
        <f t="shared" si="10"/>
        <v>0</v>
      </c>
      <c r="J553" s="56"/>
      <c r="K553" s="137"/>
    </row>
    <row r="554" spans="1:11" ht="29.25">
      <c r="A554" s="11">
        <v>55603</v>
      </c>
      <c r="B554" s="54" t="s">
        <v>664</v>
      </c>
      <c r="C554" s="13"/>
      <c r="D554" s="14" t="s">
        <v>18</v>
      </c>
      <c r="E554" s="14" t="s">
        <v>28</v>
      </c>
      <c r="F554" s="14" t="s">
        <v>27</v>
      </c>
      <c r="G554" s="305">
        <f>'AGOST-18'!I550</f>
        <v>0</v>
      </c>
      <c r="H554" s="51"/>
      <c r="I554" s="17">
        <f t="shared" si="10"/>
        <v>0</v>
      </c>
      <c r="J554" s="56"/>
      <c r="K554" s="137"/>
    </row>
    <row r="555" spans="1:11" ht="90">
      <c r="A555" s="141" t="s">
        <v>348</v>
      </c>
      <c r="B555" s="53" t="s">
        <v>665</v>
      </c>
      <c r="C555" s="13"/>
      <c r="D555" s="14"/>
      <c r="E555" s="14"/>
      <c r="F555" s="14"/>
      <c r="G555" s="305">
        <f>'AGOST-18'!I551</f>
        <v>0</v>
      </c>
      <c r="H555" s="51"/>
      <c r="I555" s="17"/>
      <c r="J555" s="56"/>
      <c r="K555" s="56"/>
    </row>
    <row r="556" spans="1:11" ht="29.25">
      <c r="A556" s="11">
        <v>51202</v>
      </c>
      <c r="B556" s="54" t="s">
        <v>666</v>
      </c>
      <c r="C556" s="13"/>
      <c r="D556" s="14" t="s">
        <v>18</v>
      </c>
      <c r="E556" s="14" t="s">
        <v>28</v>
      </c>
      <c r="F556" s="14" t="s">
        <v>27</v>
      </c>
      <c r="G556" s="305">
        <f>'AGOST-18'!I552</f>
        <v>0</v>
      </c>
      <c r="H556" s="51"/>
      <c r="I556" s="17">
        <f t="shared" si="10"/>
        <v>0</v>
      </c>
      <c r="J556" s="56"/>
      <c r="K556" s="300"/>
    </row>
    <row r="557" spans="1:11" ht="29.25">
      <c r="A557" s="11">
        <v>54110</v>
      </c>
      <c r="B557" s="54" t="s">
        <v>667</v>
      </c>
      <c r="C557" s="13"/>
      <c r="D557" s="14" t="s">
        <v>18</v>
      </c>
      <c r="E557" s="14" t="s">
        <v>28</v>
      </c>
      <c r="F557" s="14" t="s">
        <v>27</v>
      </c>
      <c r="G557" s="305">
        <f>'AGOST-18'!I553</f>
        <v>0</v>
      </c>
      <c r="H557" s="51"/>
      <c r="I557" s="17">
        <f t="shared" si="10"/>
        <v>0</v>
      </c>
      <c r="J557" s="56"/>
      <c r="K557" s="300"/>
    </row>
    <row r="558" spans="1:11" ht="44.25">
      <c r="A558" s="11">
        <v>54111</v>
      </c>
      <c r="B558" s="54" t="s">
        <v>668</v>
      </c>
      <c r="C558" s="13"/>
      <c r="D558" s="14" t="s">
        <v>18</v>
      </c>
      <c r="E558" s="14" t="s">
        <v>28</v>
      </c>
      <c r="F558" s="14" t="s">
        <v>27</v>
      </c>
      <c r="G558" s="305">
        <f>'AGOST-18'!I554</f>
        <v>0</v>
      </c>
      <c r="H558" s="51"/>
      <c r="I558" s="17">
        <f t="shared" si="10"/>
        <v>0</v>
      </c>
      <c r="J558" s="56"/>
      <c r="K558" s="300"/>
    </row>
    <row r="559" spans="1:11" ht="44.25">
      <c r="A559" s="11">
        <v>54112</v>
      </c>
      <c r="B559" s="54" t="s">
        <v>669</v>
      </c>
      <c r="C559" s="13"/>
      <c r="D559" s="14" t="s">
        <v>18</v>
      </c>
      <c r="E559" s="14" t="s">
        <v>28</v>
      </c>
      <c r="F559" s="14" t="s">
        <v>27</v>
      </c>
      <c r="G559" s="305">
        <f>'AGOST-18'!I555</f>
        <v>0</v>
      </c>
      <c r="H559" s="51"/>
      <c r="I559" s="17">
        <f t="shared" si="10"/>
        <v>0</v>
      </c>
      <c r="J559" s="56"/>
      <c r="K559" s="300"/>
    </row>
    <row r="560" spans="1:11" ht="44.25">
      <c r="A560" s="11">
        <v>54313</v>
      </c>
      <c r="B560" s="54" t="s">
        <v>670</v>
      </c>
      <c r="C560" s="13"/>
      <c r="D560" s="14" t="s">
        <v>18</v>
      </c>
      <c r="E560" s="14" t="s">
        <v>28</v>
      </c>
      <c r="F560" s="14" t="s">
        <v>27</v>
      </c>
      <c r="G560" s="305">
        <f>'AGOST-18'!I556</f>
        <v>0</v>
      </c>
      <c r="H560" s="51"/>
      <c r="I560" s="17">
        <f t="shared" si="10"/>
        <v>0</v>
      </c>
      <c r="J560" s="56"/>
      <c r="K560" s="300"/>
    </row>
    <row r="561" spans="1:11" ht="44.25">
      <c r="A561" s="11">
        <v>54399</v>
      </c>
      <c r="B561" s="54" t="s">
        <v>671</v>
      </c>
      <c r="C561" s="13"/>
      <c r="D561" s="14" t="s">
        <v>18</v>
      </c>
      <c r="E561" s="14" t="s">
        <v>28</v>
      </c>
      <c r="F561" s="14" t="s">
        <v>27</v>
      </c>
      <c r="G561" s="305">
        <f>'AGOST-18'!I557</f>
        <v>0</v>
      </c>
      <c r="H561" s="51"/>
      <c r="I561" s="17">
        <f t="shared" si="10"/>
        <v>0</v>
      </c>
      <c r="J561" s="56"/>
      <c r="K561" s="300"/>
    </row>
    <row r="562" spans="1:11" ht="29.25">
      <c r="A562" s="11">
        <v>55603</v>
      </c>
      <c r="B562" s="54" t="s">
        <v>672</v>
      </c>
      <c r="C562" s="13"/>
      <c r="D562" s="14" t="s">
        <v>18</v>
      </c>
      <c r="E562" s="14" t="s">
        <v>28</v>
      </c>
      <c r="F562" s="14" t="s">
        <v>27</v>
      </c>
      <c r="G562" s="305">
        <f>'AGOST-18'!I558</f>
        <v>0</v>
      </c>
      <c r="H562" s="51"/>
      <c r="I562" s="17">
        <f t="shared" si="10"/>
        <v>0</v>
      </c>
      <c r="J562" s="56"/>
      <c r="K562" s="300"/>
    </row>
    <row r="563" spans="1:11" ht="119.25" customHeight="1">
      <c r="A563" s="141" t="s">
        <v>358</v>
      </c>
      <c r="B563" s="53" t="s">
        <v>673</v>
      </c>
      <c r="C563" s="13"/>
      <c r="D563" s="14"/>
      <c r="E563" s="14"/>
      <c r="F563" s="14"/>
      <c r="G563" s="305">
        <f>'AGOST-18'!I559</f>
        <v>0</v>
      </c>
      <c r="H563" s="51"/>
      <c r="I563" s="17"/>
      <c r="J563" s="56"/>
      <c r="K563" s="56"/>
    </row>
    <row r="564" spans="1:11" ht="29.25">
      <c r="A564" s="11">
        <v>51202</v>
      </c>
      <c r="B564" s="54" t="s">
        <v>674</v>
      </c>
      <c r="C564" s="13"/>
      <c r="D564" s="14" t="s">
        <v>18</v>
      </c>
      <c r="E564" s="14" t="s">
        <v>28</v>
      </c>
      <c r="F564" s="14" t="s">
        <v>27</v>
      </c>
      <c r="G564" s="305">
        <f>'AGOST-18'!I560</f>
        <v>0</v>
      </c>
      <c r="H564" s="51"/>
      <c r="I564" s="17">
        <f t="shared" si="10"/>
        <v>0</v>
      </c>
      <c r="J564" s="56"/>
      <c r="K564" s="300"/>
    </row>
    <row r="565" spans="1:11" ht="29.25">
      <c r="A565" s="11">
        <v>54110</v>
      </c>
      <c r="B565" s="54" t="s">
        <v>675</v>
      </c>
      <c r="C565" s="13"/>
      <c r="D565" s="14" t="s">
        <v>18</v>
      </c>
      <c r="E565" s="14" t="s">
        <v>28</v>
      </c>
      <c r="F565" s="14" t="s">
        <v>27</v>
      </c>
      <c r="G565" s="305">
        <f>'AGOST-18'!I561</f>
        <v>0</v>
      </c>
      <c r="H565" s="51"/>
      <c r="I565" s="17">
        <f t="shared" si="10"/>
        <v>0</v>
      </c>
      <c r="J565" s="56"/>
      <c r="K565" s="300"/>
    </row>
    <row r="566" spans="1:11" ht="29.25">
      <c r="A566" s="11">
        <v>54111</v>
      </c>
      <c r="B566" s="54" t="s">
        <v>677</v>
      </c>
      <c r="C566" s="13"/>
      <c r="D566" s="14" t="s">
        <v>18</v>
      </c>
      <c r="E566" s="14" t="s">
        <v>28</v>
      </c>
      <c r="F566" s="14" t="s">
        <v>27</v>
      </c>
      <c r="G566" s="305">
        <f>'AGOST-18'!I562</f>
        <v>0</v>
      </c>
      <c r="H566" s="51"/>
      <c r="I566" s="17">
        <f t="shared" si="10"/>
        <v>0</v>
      </c>
      <c r="J566" s="56"/>
      <c r="K566" s="300"/>
    </row>
    <row r="567" spans="1:11" ht="29.25">
      <c r="A567" s="11">
        <v>54112</v>
      </c>
      <c r="B567" s="54" t="s">
        <v>676</v>
      </c>
      <c r="C567" s="13"/>
      <c r="D567" s="14" t="s">
        <v>18</v>
      </c>
      <c r="E567" s="14" t="s">
        <v>28</v>
      </c>
      <c r="F567" s="14" t="s">
        <v>27</v>
      </c>
      <c r="G567" s="305">
        <f>'AGOST-18'!I563</f>
        <v>0</v>
      </c>
      <c r="H567" s="51"/>
      <c r="I567" s="17">
        <f t="shared" si="10"/>
        <v>0</v>
      </c>
      <c r="J567" s="56"/>
      <c r="K567" s="300"/>
    </row>
    <row r="568" spans="1:11" ht="29.25">
      <c r="A568" s="11">
        <v>54118</v>
      </c>
      <c r="B568" s="54" t="s">
        <v>678</v>
      </c>
      <c r="C568" s="13"/>
      <c r="D568" s="14" t="s">
        <v>18</v>
      </c>
      <c r="E568" s="14" t="s">
        <v>28</v>
      </c>
      <c r="F568" s="14" t="s">
        <v>27</v>
      </c>
      <c r="G568" s="305">
        <f>'AGOST-18'!I564</f>
        <v>0</v>
      </c>
      <c r="H568" s="51"/>
      <c r="I568" s="17">
        <f t="shared" si="10"/>
        <v>0</v>
      </c>
      <c r="J568" s="56"/>
      <c r="K568" s="300"/>
    </row>
    <row r="569" spans="1:11" ht="29.25">
      <c r="A569" s="11">
        <v>54313</v>
      </c>
      <c r="B569" s="54" t="s">
        <v>679</v>
      </c>
      <c r="C569" s="13"/>
      <c r="D569" s="14" t="s">
        <v>18</v>
      </c>
      <c r="E569" s="14" t="s">
        <v>28</v>
      </c>
      <c r="F569" s="14" t="s">
        <v>27</v>
      </c>
      <c r="G569" s="305">
        <f>'AGOST-18'!I565</f>
        <v>0</v>
      </c>
      <c r="H569" s="51"/>
      <c r="I569" s="17">
        <f t="shared" si="10"/>
        <v>0</v>
      </c>
      <c r="J569" s="56"/>
      <c r="K569" s="300"/>
    </row>
    <row r="570" spans="1:11" ht="36.75" customHeight="1">
      <c r="A570" s="11">
        <v>54399</v>
      </c>
      <c r="B570" s="54" t="s">
        <v>680</v>
      </c>
      <c r="C570" s="13"/>
      <c r="D570" s="14" t="s">
        <v>18</v>
      </c>
      <c r="E570" s="14" t="s">
        <v>28</v>
      </c>
      <c r="F570" s="14" t="s">
        <v>27</v>
      </c>
      <c r="G570" s="305">
        <f>'AGOST-18'!I566</f>
        <v>0</v>
      </c>
      <c r="H570" s="51"/>
      <c r="I570" s="17">
        <f t="shared" si="10"/>
        <v>0</v>
      </c>
      <c r="J570" s="56"/>
      <c r="K570" s="300"/>
    </row>
    <row r="571" spans="1:11" ht="29.25">
      <c r="A571" s="11">
        <v>55603</v>
      </c>
      <c r="B571" s="54" t="s">
        <v>681</v>
      </c>
      <c r="C571" s="13"/>
      <c r="D571" s="14" t="s">
        <v>18</v>
      </c>
      <c r="E571" s="14" t="s">
        <v>28</v>
      </c>
      <c r="F571" s="14" t="s">
        <v>27</v>
      </c>
      <c r="G571" s="305">
        <f>'AGOST-18'!I567</f>
        <v>0</v>
      </c>
      <c r="H571" s="51"/>
      <c r="I571" s="17">
        <f t="shared" si="10"/>
        <v>0</v>
      </c>
      <c r="J571" s="56"/>
      <c r="K571" s="300"/>
    </row>
    <row r="572" spans="1:11" ht="74.25">
      <c r="A572" s="141" t="s">
        <v>374</v>
      </c>
      <c r="B572" s="53" t="s">
        <v>690</v>
      </c>
      <c r="C572" s="13"/>
      <c r="D572" s="14"/>
      <c r="E572" s="14"/>
      <c r="F572" s="14"/>
      <c r="G572" s="305">
        <f>'AGOST-18'!I568</f>
        <v>0</v>
      </c>
      <c r="H572" s="51"/>
      <c r="I572" s="17"/>
      <c r="J572" s="56"/>
      <c r="K572" s="56"/>
    </row>
    <row r="573" spans="1:11">
      <c r="A573" s="11">
        <v>51202</v>
      </c>
      <c r="B573" s="54" t="s">
        <v>682</v>
      </c>
      <c r="C573" s="13"/>
      <c r="D573" s="14" t="s">
        <v>18</v>
      </c>
      <c r="E573" s="14" t="s">
        <v>28</v>
      </c>
      <c r="F573" s="14" t="s">
        <v>27</v>
      </c>
      <c r="G573" s="305">
        <f>'AGOST-18'!I569</f>
        <v>7000</v>
      </c>
      <c r="H573" s="51"/>
      <c r="I573" s="17">
        <f t="shared" si="10"/>
        <v>7000</v>
      </c>
      <c r="J573" s="142"/>
      <c r="K573" s="300"/>
    </row>
    <row r="574" spans="1:11" ht="29.25">
      <c r="A574" s="11">
        <v>54110</v>
      </c>
      <c r="B574" s="54" t="s">
        <v>683</v>
      </c>
      <c r="C574" s="13"/>
      <c r="D574" s="14" t="s">
        <v>18</v>
      </c>
      <c r="E574" s="14" t="s">
        <v>28</v>
      </c>
      <c r="F574" s="14" t="s">
        <v>27</v>
      </c>
      <c r="G574" s="305">
        <f>'AGOST-18'!I570</f>
        <v>300</v>
      </c>
      <c r="H574" s="51"/>
      <c r="I574" s="17">
        <f t="shared" si="10"/>
        <v>300</v>
      </c>
      <c r="J574" s="142"/>
      <c r="K574" s="300"/>
    </row>
    <row r="575" spans="1:11" ht="30">
      <c r="A575" s="11">
        <v>54111</v>
      </c>
      <c r="B575" s="53" t="s">
        <v>689</v>
      </c>
      <c r="C575" s="13"/>
      <c r="D575" s="14" t="s">
        <v>18</v>
      </c>
      <c r="E575" s="14" t="s">
        <v>28</v>
      </c>
      <c r="F575" s="14" t="s">
        <v>27</v>
      </c>
      <c r="G575" s="305">
        <f>'AGOST-18'!I571</f>
        <v>8000</v>
      </c>
      <c r="H575" s="51"/>
      <c r="I575" s="17">
        <f t="shared" si="10"/>
        <v>8000</v>
      </c>
      <c r="J575" s="142"/>
      <c r="K575" s="300"/>
    </row>
    <row r="576" spans="1:11" ht="29.25">
      <c r="A576" s="11">
        <v>54112</v>
      </c>
      <c r="B576" s="53" t="s">
        <v>684</v>
      </c>
      <c r="C576" s="13"/>
      <c r="D576" s="14" t="s">
        <v>18</v>
      </c>
      <c r="E576" s="14" t="s">
        <v>28</v>
      </c>
      <c r="F576" s="14" t="s">
        <v>27</v>
      </c>
      <c r="G576" s="305">
        <f>'AGOST-18'!I572</f>
        <v>6000</v>
      </c>
      <c r="H576" s="51"/>
      <c r="I576" s="17">
        <f t="shared" si="10"/>
        <v>6000</v>
      </c>
      <c r="J576" s="142"/>
      <c r="K576" s="300"/>
    </row>
    <row r="577" spans="1:11" ht="29.25">
      <c r="A577" s="11">
        <v>54118</v>
      </c>
      <c r="B577" s="53" t="s">
        <v>685</v>
      </c>
      <c r="C577" s="13"/>
      <c r="D577" s="14" t="s">
        <v>18</v>
      </c>
      <c r="E577" s="14" t="s">
        <v>28</v>
      </c>
      <c r="F577" s="14" t="s">
        <v>27</v>
      </c>
      <c r="G577" s="305">
        <f>'AGOST-18'!I573</f>
        <v>3000</v>
      </c>
      <c r="H577" s="51"/>
      <c r="I577" s="17">
        <f t="shared" si="10"/>
        <v>3000</v>
      </c>
      <c r="J577" s="142"/>
      <c r="K577" s="300"/>
    </row>
    <row r="578" spans="1:11" ht="29.25">
      <c r="A578" s="11">
        <v>54313</v>
      </c>
      <c r="B578" s="53" t="s">
        <v>686</v>
      </c>
      <c r="C578" s="13"/>
      <c r="D578" s="14" t="s">
        <v>18</v>
      </c>
      <c r="E578" s="14" t="s">
        <v>28</v>
      </c>
      <c r="F578" s="14" t="s">
        <v>27</v>
      </c>
      <c r="G578" s="305">
        <f>'AGOST-18'!I574</f>
        <v>200</v>
      </c>
      <c r="H578" s="51"/>
      <c r="I578" s="17">
        <f t="shared" si="10"/>
        <v>200</v>
      </c>
      <c r="J578" s="142"/>
      <c r="K578" s="300"/>
    </row>
    <row r="579" spans="1:11" ht="29.25">
      <c r="A579" s="11">
        <v>54399</v>
      </c>
      <c r="B579" s="54" t="s">
        <v>687</v>
      </c>
      <c r="C579" s="13"/>
      <c r="D579" s="14" t="s">
        <v>18</v>
      </c>
      <c r="E579" s="14" t="s">
        <v>28</v>
      </c>
      <c r="F579" s="14" t="s">
        <v>27</v>
      </c>
      <c r="G579" s="305">
        <f>'AGOST-18'!I575</f>
        <v>490</v>
      </c>
      <c r="H579" s="51"/>
      <c r="I579" s="17">
        <f t="shared" si="10"/>
        <v>490</v>
      </c>
      <c r="J579" s="142"/>
      <c r="K579" s="300"/>
    </row>
    <row r="580" spans="1:11" ht="29.25">
      <c r="A580" s="11">
        <v>55603</v>
      </c>
      <c r="B580" s="53" t="s">
        <v>688</v>
      </c>
      <c r="C580" s="13"/>
      <c r="D580" s="14" t="s">
        <v>18</v>
      </c>
      <c r="E580" s="14" t="s">
        <v>28</v>
      </c>
      <c r="F580" s="14" t="s">
        <v>27</v>
      </c>
      <c r="G580" s="305">
        <f>'AGOST-18'!I576</f>
        <v>10</v>
      </c>
      <c r="H580" s="51"/>
      <c r="I580" s="17">
        <f t="shared" si="10"/>
        <v>10</v>
      </c>
      <c r="J580" s="142"/>
      <c r="K580" s="300"/>
    </row>
    <row r="581" spans="1:11" ht="60">
      <c r="A581" s="141" t="s">
        <v>388</v>
      </c>
      <c r="B581" s="53" t="s">
        <v>699</v>
      </c>
      <c r="C581" s="13"/>
      <c r="D581" s="14"/>
      <c r="E581" s="14"/>
      <c r="F581" s="14"/>
      <c r="G581" s="305">
        <f>'AGOST-18'!I577</f>
        <v>0</v>
      </c>
      <c r="H581" s="51"/>
      <c r="I581" s="17"/>
      <c r="J581" s="56"/>
      <c r="K581" s="56"/>
    </row>
    <row r="582" spans="1:11" ht="29.25">
      <c r="A582" s="11">
        <v>51202</v>
      </c>
      <c r="B582" s="54" t="s">
        <v>691</v>
      </c>
      <c r="C582" s="13"/>
      <c r="D582" s="14" t="s">
        <v>18</v>
      </c>
      <c r="E582" s="14" t="s">
        <v>28</v>
      </c>
      <c r="F582" s="14" t="s">
        <v>27</v>
      </c>
      <c r="G582" s="305">
        <f>'AGOST-18'!I578</f>
        <v>7000</v>
      </c>
      <c r="H582" s="51"/>
      <c r="I582" s="17">
        <f t="shared" si="10"/>
        <v>7000</v>
      </c>
      <c r="J582" s="142"/>
      <c r="K582" s="300"/>
    </row>
    <row r="583" spans="1:11" ht="29.25">
      <c r="A583" s="11">
        <v>54110</v>
      </c>
      <c r="B583" s="54" t="s">
        <v>692</v>
      </c>
      <c r="C583" s="13"/>
      <c r="D583" s="14" t="s">
        <v>18</v>
      </c>
      <c r="E583" s="14" t="s">
        <v>28</v>
      </c>
      <c r="F583" s="14" t="s">
        <v>27</v>
      </c>
      <c r="G583" s="305">
        <f>'AGOST-18'!I579</f>
        <v>300</v>
      </c>
      <c r="H583" s="51"/>
      <c r="I583" s="17">
        <f t="shared" si="10"/>
        <v>300</v>
      </c>
      <c r="J583" s="142"/>
      <c r="K583" s="300"/>
    </row>
    <row r="584" spans="1:11" ht="44.25">
      <c r="A584" s="11">
        <v>54111</v>
      </c>
      <c r="B584" s="53" t="s">
        <v>693</v>
      </c>
      <c r="C584" s="13"/>
      <c r="D584" s="14" t="s">
        <v>18</v>
      </c>
      <c r="E584" s="14" t="s">
        <v>28</v>
      </c>
      <c r="F584" s="14" t="s">
        <v>27</v>
      </c>
      <c r="G584" s="305">
        <f>'AGOST-18'!I580</f>
        <v>8000</v>
      </c>
      <c r="H584" s="51"/>
      <c r="I584" s="17">
        <f t="shared" ref="I584:I594" si="11">G584-H584+J584-K584</f>
        <v>8000</v>
      </c>
      <c r="J584" s="142"/>
      <c r="K584" s="300"/>
    </row>
    <row r="585" spans="1:11" ht="29.25">
      <c r="A585" s="11">
        <v>54112</v>
      </c>
      <c r="B585" s="54" t="s">
        <v>694</v>
      </c>
      <c r="C585" s="13"/>
      <c r="D585" s="14" t="s">
        <v>18</v>
      </c>
      <c r="E585" s="14" t="s">
        <v>28</v>
      </c>
      <c r="F585" s="14" t="s">
        <v>27</v>
      </c>
      <c r="G585" s="305">
        <f>'AGOST-18'!I581</f>
        <v>7000</v>
      </c>
      <c r="H585" s="51"/>
      <c r="I585" s="17">
        <f t="shared" si="11"/>
        <v>7000</v>
      </c>
      <c r="J585" s="142"/>
      <c r="K585" s="300"/>
    </row>
    <row r="586" spans="1:11" ht="29.25">
      <c r="A586" s="11">
        <v>54118</v>
      </c>
      <c r="B586" s="54" t="s">
        <v>695</v>
      </c>
      <c r="C586" s="13"/>
      <c r="D586" s="14" t="s">
        <v>18</v>
      </c>
      <c r="E586" s="14" t="s">
        <v>28</v>
      </c>
      <c r="F586" s="14" t="s">
        <v>27</v>
      </c>
      <c r="G586" s="305">
        <f>'AGOST-18'!I582</f>
        <v>2000</v>
      </c>
      <c r="H586" s="51"/>
      <c r="I586" s="17">
        <f t="shared" si="11"/>
        <v>2000</v>
      </c>
      <c r="J586" s="142"/>
      <c r="K586" s="300"/>
    </row>
    <row r="587" spans="1:11" ht="44.25">
      <c r="A587" s="11">
        <v>54313</v>
      </c>
      <c r="B587" s="53" t="s">
        <v>696</v>
      </c>
      <c r="C587" s="13"/>
      <c r="D587" s="14" t="s">
        <v>18</v>
      </c>
      <c r="E587" s="14" t="s">
        <v>28</v>
      </c>
      <c r="F587" s="14" t="s">
        <v>27</v>
      </c>
      <c r="G587" s="305">
        <f>'AGOST-18'!I583</f>
        <v>300</v>
      </c>
      <c r="H587" s="51"/>
      <c r="I587" s="17">
        <f t="shared" si="11"/>
        <v>300</v>
      </c>
      <c r="J587" s="142"/>
      <c r="K587" s="300"/>
    </row>
    <row r="588" spans="1:11" ht="29.25">
      <c r="A588" s="11">
        <v>54399</v>
      </c>
      <c r="B588" s="54" t="s">
        <v>697</v>
      </c>
      <c r="C588" s="13"/>
      <c r="D588" s="14" t="s">
        <v>18</v>
      </c>
      <c r="E588" s="14" t="s">
        <v>28</v>
      </c>
      <c r="F588" s="14" t="s">
        <v>27</v>
      </c>
      <c r="G588" s="305">
        <f>'AGOST-18'!I584</f>
        <v>390</v>
      </c>
      <c r="H588" s="51"/>
      <c r="I588" s="17">
        <f t="shared" si="11"/>
        <v>390</v>
      </c>
      <c r="J588" s="142"/>
      <c r="K588" s="300"/>
    </row>
    <row r="589" spans="1:11" ht="29.25">
      <c r="A589" s="11">
        <v>55603</v>
      </c>
      <c r="B589" s="54" t="s">
        <v>698</v>
      </c>
      <c r="C589" s="13"/>
      <c r="D589" s="14" t="s">
        <v>18</v>
      </c>
      <c r="E589" s="14" t="s">
        <v>28</v>
      </c>
      <c r="F589" s="14" t="s">
        <v>27</v>
      </c>
      <c r="G589" s="305">
        <f>'AGOST-18'!I585</f>
        <v>10</v>
      </c>
      <c r="H589" s="51"/>
      <c r="I589" s="17">
        <f t="shared" si="11"/>
        <v>10</v>
      </c>
      <c r="J589" s="142"/>
      <c r="K589" s="300"/>
    </row>
    <row r="590" spans="1:11" ht="60">
      <c r="A590" s="141" t="s">
        <v>392</v>
      </c>
      <c r="B590" s="53" t="s">
        <v>700</v>
      </c>
      <c r="C590" s="13"/>
      <c r="D590" s="14"/>
      <c r="E590" s="14"/>
      <c r="F590" s="14"/>
      <c r="G590" s="305">
        <f>'AGOST-18'!I586</f>
        <v>0</v>
      </c>
      <c r="H590" s="51"/>
      <c r="I590" s="17"/>
      <c r="J590" s="56"/>
      <c r="K590" s="56"/>
    </row>
    <row r="591" spans="1:11" ht="29.25">
      <c r="A591" s="11">
        <v>51202</v>
      </c>
      <c r="B591" s="54" t="s">
        <v>701</v>
      </c>
      <c r="C591" s="13"/>
      <c r="D591" s="14" t="s">
        <v>18</v>
      </c>
      <c r="E591" s="14" t="s">
        <v>28</v>
      </c>
      <c r="F591" s="14" t="s">
        <v>27</v>
      </c>
      <c r="G591" s="305">
        <f>'AGOST-18'!I587</f>
        <v>0</v>
      </c>
      <c r="H591" s="51"/>
      <c r="I591" s="17">
        <f t="shared" si="11"/>
        <v>0</v>
      </c>
      <c r="J591" s="56"/>
      <c r="K591" s="332"/>
    </row>
    <row r="592" spans="1:11" ht="29.25">
      <c r="A592" s="11">
        <v>54110</v>
      </c>
      <c r="B592" s="53" t="s">
        <v>702</v>
      </c>
      <c r="C592" s="13"/>
      <c r="D592" s="14" t="s">
        <v>18</v>
      </c>
      <c r="E592" s="14" t="s">
        <v>28</v>
      </c>
      <c r="F592" s="14" t="s">
        <v>27</v>
      </c>
      <c r="G592" s="305">
        <f>'AGOST-18'!I588</f>
        <v>0</v>
      </c>
      <c r="H592" s="51"/>
      <c r="I592" s="17">
        <f t="shared" si="11"/>
        <v>0</v>
      </c>
      <c r="J592" s="56"/>
      <c r="K592" s="332"/>
    </row>
    <row r="593" spans="1:11" ht="44.25">
      <c r="A593" s="11">
        <v>54111</v>
      </c>
      <c r="B593" s="53" t="s">
        <v>703</v>
      </c>
      <c r="C593" s="13"/>
      <c r="D593" s="14" t="s">
        <v>18</v>
      </c>
      <c r="E593" s="14" t="s">
        <v>28</v>
      </c>
      <c r="F593" s="14" t="s">
        <v>27</v>
      </c>
      <c r="G593" s="305">
        <f>'AGOST-18'!I589</f>
        <v>0</v>
      </c>
      <c r="H593" s="51"/>
      <c r="I593" s="17">
        <f t="shared" si="11"/>
        <v>0</v>
      </c>
      <c r="J593" s="56"/>
      <c r="K593" s="332"/>
    </row>
    <row r="594" spans="1:11" ht="44.25">
      <c r="A594" s="11">
        <v>54313</v>
      </c>
      <c r="B594" s="53" t="s">
        <v>704</v>
      </c>
      <c r="C594" s="13"/>
      <c r="D594" s="14" t="s">
        <v>18</v>
      </c>
      <c r="E594" s="14" t="s">
        <v>28</v>
      </c>
      <c r="F594" s="14" t="s">
        <v>27</v>
      </c>
      <c r="G594" s="305">
        <f>'AGOST-18'!I590</f>
        <v>0</v>
      </c>
      <c r="H594" s="51"/>
      <c r="I594" s="17">
        <f t="shared" si="11"/>
        <v>0</v>
      </c>
      <c r="J594" s="56"/>
      <c r="K594" s="332"/>
    </row>
    <row r="595" spans="1:11" ht="29.25">
      <c r="A595" s="11">
        <v>55603</v>
      </c>
      <c r="B595" s="53" t="s">
        <v>705</v>
      </c>
      <c r="C595" s="13"/>
      <c r="D595" s="14" t="s">
        <v>18</v>
      </c>
      <c r="E595" s="14" t="s">
        <v>28</v>
      </c>
      <c r="F595" s="14" t="s">
        <v>27</v>
      </c>
      <c r="G595" s="305">
        <f>'AGOST-18'!I591</f>
        <v>0</v>
      </c>
      <c r="H595" s="51"/>
      <c r="I595" s="17">
        <f>G595-H595+J595-K595</f>
        <v>0</v>
      </c>
      <c r="J595" s="56"/>
      <c r="K595" s="332"/>
    </row>
    <row r="596" spans="1:11" ht="105">
      <c r="A596" s="141" t="s">
        <v>401</v>
      </c>
      <c r="B596" s="53" t="s">
        <v>706</v>
      </c>
      <c r="C596" s="13"/>
      <c r="D596" s="14"/>
      <c r="E596" s="14"/>
      <c r="F596" s="14"/>
      <c r="G596" s="305">
        <f>'AGOST-18'!I592</f>
        <v>0</v>
      </c>
      <c r="H596" s="51"/>
      <c r="I596" s="17"/>
      <c r="J596" s="56"/>
      <c r="K596" s="56"/>
    </row>
    <row r="597" spans="1:11" ht="29.25">
      <c r="A597" s="11">
        <v>51202</v>
      </c>
      <c r="B597" s="54" t="s">
        <v>707</v>
      </c>
      <c r="C597" s="13"/>
      <c r="D597" s="14" t="s">
        <v>18</v>
      </c>
      <c r="E597" s="14" t="s">
        <v>28</v>
      </c>
      <c r="F597" s="14" t="s">
        <v>27</v>
      </c>
      <c r="G597" s="305">
        <f>'AGOST-18'!I593</f>
        <v>6000</v>
      </c>
      <c r="H597" s="51"/>
      <c r="I597" s="17">
        <f>G597-H597+J597-K597</f>
        <v>6000</v>
      </c>
      <c r="J597" s="142"/>
      <c r="K597" s="300"/>
    </row>
    <row r="598" spans="1:11" ht="43.5">
      <c r="A598" s="11">
        <v>54110</v>
      </c>
      <c r="B598" s="54" t="s">
        <v>708</v>
      </c>
      <c r="C598" s="13"/>
      <c r="D598" s="14" t="s">
        <v>18</v>
      </c>
      <c r="E598" s="14" t="s">
        <v>28</v>
      </c>
      <c r="F598" s="14" t="s">
        <v>27</v>
      </c>
      <c r="G598" s="305">
        <f>'AGOST-18'!I594</f>
        <v>300</v>
      </c>
      <c r="H598" s="51"/>
      <c r="I598" s="17">
        <f t="shared" ref="I598:I638" si="12">G598-H598+J598-K598</f>
        <v>300</v>
      </c>
      <c r="J598" s="142"/>
      <c r="K598" s="300"/>
    </row>
    <row r="599" spans="1:11" ht="44.25">
      <c r="A599" s="11">
        <v>54111</v>
      </c>
      <c r="B599" s="54" t="s">
        <v>709</v>
      </c>
      <c r="C599" s="13"/>
      <c r="D599" s="14" t="s">
        <v>18</v>
      </c>
      <c r="E599" s="14" t="s">
        <v>28</v>
      </c>
      <c r="F599" s="14" t="s">
        <v>27</v>
      </c>
      <c r="G599" s="305">
        <f>'AGOST-18'!I595</f>
        <v>8000</v>
      </c>
      <c r="H599" s="51"/>
      <c r="I599" s="17">
        <f t="shared" si="12"/>
        <v>8000</v>
      </c>
      <c r="J599" s="142"/>
      <c r="K599" s="300"/>
    </row>
    <row r="600" spans="1:11" ht="43.5">
      <c r="A600" s="11">
        <v>54118</v>
      </c>
      <c r="B600" s="54" t="s">
        <v>710</v>
      </c>
      <c r="C600" s="13"/>
      <c r="D600" s="14" t="s">
        <v>18</v>
      </c>
      <c r="E600" s="14" t="s">
        <v>28</v>
      </c>
      <c r="F600" s="14" t="s">
        <v>27</v>
      </c>
      <c r="G600" s="305">
        <f>'AGOST-18'!I596</f>
        <v>5000</v>
      </c>
      <c r="H600" s="51"/>
      <c r="I600" s="17">
        <f t="shared" si="12"/>
        <v>5000</v>
      </c>
      <c r="J600" s="142"/>
      <c r="K600" s="300"/>
    </row>
    <row r="601" spans="1:11" ht="43.5">
      <c r="A601" s="11">
        <v>54313</v>
      </c>
      <c r="B601" s="54" t="s">
        <v>711</v>
      </c>
      <c r="C601" s="13"/>
      <c r="D601" s="14" t="s">
        <v>18</v>
      </c>
      <c r="E601" s="14" t="s">
        <v>28</v>
      </c>
      <c r="F601" s="14" t="s">
        <v>27</v>
      </c>
      <c r="G601" s="305">
        <f>'AGOST-18'!I597</f>
        <v>300</v>
      </c>
      <c r="H601" s="51"/>
      <c r="I601" s="17">
        <f t="shared" si="12"/>
        <v>300</v>
      </c>
      <c r="J601" s="142"/>
      <c r="K601" s="300"/>
    </row>
    <row r="602" spans="1:11" ht="44.25">
      <c r="A602" s="11">
        <v>54399</v>
      </c>
      <c r="B602" s="54" t="s">
        <v>712</v>
      </c>
      <c r="C602" s="13"/>
      <c r="D602" s="14" t="s">
        <v>18</v>
      </c>
      <c r="E602" s="14" t="s">
        <v>28</v>
      </c>
      <c r="F602" s="14" t="s">
        <v>27</v>
      </c>
      <c r="G602" s="305">
        <f>'AGOST-18'!I598</f>
        <v>390</v>
      </c>
      <c r="H602" s="51"/>
      <c r="I602" s="17">
        <f t="shared" si="12"/>
        <v>390</v>
      </c>
      <c r="J602" s="142"/>
      <c r="K602" s="300"/>
    </row>
    <row r="603" spans="1:11" ht="43.5">
      <c r="A603" s="11">
        <v>55603</v>
      </c>
      <c r="B603" s="53" t="s">
        <v>713</v>
      </c>
      <c r="C603" s="13"/>
      <c r="D603" s="14" t="s">
        <v>18</v>
      </c>
      <c r="E603" s="14" t="s">
        <v>28</v>
      </c>
      <c r="F603" s="14" t="s">
        <v>27</v>
      </c>
      <c r="G603" s="305">
        <f>'AGOST-18'!I599</f>
        <v>10</v>
      </c>
      <c r="H603" s="51"/>
      <c r="I603" s="17">
        <f t="shared" si="12"/>
        <v>10</v>
      </c>
      <c r="J603" s="142"/>
      <c r="K603" s="300"/>
    </row>
    <row r="604" spans="1:11" ht="59.25">
      <c r="A604" s="141" t="s">
        <v>408</v>
      </c>
      <c r="B604" s="53" t="s">
        <v>714</v>
      </c>
      <c r="C604" s="13"/>
      <c r="D604" s="14"/>
      <c r="E604" s="14"/>
      <c r="F604" s="14"/>
      <c r="G604" s="305">
        <f>'AGOST-18'!I600</f>
        <v>0</v>
      </c>
      <c r="H604" s="51"/>
      <c r="I604" s="17"/>
      <c r="J604" s="56"/>
      <c r="K604" s="56"/>
    </row>
    <row r="605" spans="1:11" ht="29.25">
      <c r="A605" s="11">
        <v>51202</v>
      </c>
      <c r="B605" s="54" t="s">
        <v>715</v>
      </c>
      <c r="C605" s="13"/>
      <c r="D605" s="14" t="s">
        <v>18</v>
      </c>
      <c r="E605" s="14" t="s">
        <v>28</v>
      </c>
      <c r="F605" s="14" t="s">
        <v>27</v>
      </c>
      <c r="G605" s="305">
        <f>'AGOST-18'!I601</f>
        <v>6000</v>
      </c>
      <c r="H605" s="51"/>
      <c r="I605" s="17">
        <f t="shared" si="12"/>
        <v>6000</v>
      </c>
      <c r="J605" s="142"/>
      <c r="K605" s="142"/>
    </row>
    <row r="606" spans="1:11" ht="29.25">
      <c r="A606" s="11">
        <v>54110</v>
      </c>
      <c r="B606" s="54" t="s">
        <v>716</v>
      </c>
      <c r="C606" s="13"/>
      <c r="D606" s="14" t="s">
        <v>18</v>
      </c>
      <c r="E606" s="14" t="s">
        <v>28</v>
      </c>
      <c r="F606" s="14" t="s">
        <v>27</v>
      </c>
      <c r="G606" s="305">
        <f>'AGOST-18'!I602</f>
        <v>300</v>
      </c>
      <c r="H606" s="51"/>
      <c r="I606" s="17">
        <f t="shared" si="12"/>
        <v>300</v>
      </c>
      <c r="J606" s="142"/>
      <c r="K606" s="142"/>
    </row>
    <row r="607" spans="1:11" ht="44.25">
      <c r="A607" s="11">
        <v>54111</v>
      </c>
      <c r="B607" s="54" t="s">
        <v>717</v>
      </c>
      <c r="C607" s="13"/>
      <c r="D607" s="14" t="s">
        <v>18</v>
      </c>
      <c r="E607" s="14" t="s">
        <v>28</v>
      </c>
      <c r="F607" s="14" t="s">
        <v>27</v>
      </c>
      <c r="G607" s="305">
        <f>'AGOST-18'!I603</f>
        <v>8000</v>
      </c>
      <c r="H607" s="51"/>
      <c r="I607" s="17">
        <f t="shared" si="12"/>
        <v>8000</v>
      </c>
      <c r="J607" s="142"/>
      <c r="K607" s="142"/>
    </row>
    <row r="608" spans="1:11" ht="43.5">
      <c r="A608" s="11">
        <v>54112</v>
      </c>
      <c r="B608" s="53" t="s">
        <v>718</v>
      </c>
      <c r="C608" s="13"/>
      <c r="D608" s="14" t="s">
        <v>18</v>
      </c>
      <c r="E608" s="14" t="s">
        <v>28</v>
      </c>
      <c r="F608" s="14" t="s">
        <v>27</v>
      </c>
      <c r="G608" s="305">
        <f>'AGOST-18'!I604</f>
        <v>4500</v>
      </c>
      <c r="H608" s="51"/>
      <c r="I608" s="17">
        <f t="shared" si="12"/>
        <v>4500</v>
      </c>
      <c r="J608" s="142"/>
      <c r="K608" s="142"/>
    </row>
    <row r="609" spans="1:11" ht="29.25">
      <c r="A609" s="11">
        <v>54118</v>
      </c>
      <c r="B609" s="54" t="s">
        <v>719</v>
      </c>
      <c r="C609" s="13"/>
      <c r="D609" s="14" t="s">
        <v>18</v>
      </c>
      <c r="E609" s="14" t="s">
        <v>28</v>
      </c>
      <c r="F609" s="14" t="s">
        <v>27</v>
      </c>
      <c r="G609" s="305">
        <f>'AGOST-18'!I605</f>
        <v>300</v>
      </c>
      <c r="H609" s="51"/>
      <c r="I609" s="17">
        <f t="shared" si="12"/>
        <v>300</v>
      </c>
      <c r="J609" s="142"/>
      <c r="K609" s="142"/>
    </row>
    <row r="610" spans="1:11" ht="44.25">
      <c r="A610" s="11">
        <v>54313</v>
      </c>
      <c r="B610" s="54" t="s">
        <v>720</v>
      </c>
      <c r="C610" s="13"/>
      <c r="D610" s="14" t="s">
        <v>18</v>
      </c>
      <c r="E610" s="14" t="s">
        <v>28</v>
      </c>
      <c r="F610" s="14" t="s">
        <v>27</v>
      </c>
      <c r="G610" s="305">
        <f>'AGOST-18'!I606</f>
        <v>390</v>
      </c>
      <c r="H610" s="51"/>
      <c r="I610" s="17">
        <f t="shared" si="12"/>
        <v>390</v>
      </c>
      <c r="J610" s="142"/>
      <c r="K610" s="142"/>
    </row>
    <row r="611" spans="1:11" ht="44.25">
      <c r="A611" s="11">
        <v>54399</v>
      </c>
      <c r="B611" s="53" t="s">
        <v>721</v>
      </c>
      <c r="C611" s="13"/>
      <c r="D611" s="14" t="s">
        <v>18</v>
      </c>
      <c r="E611" s="14" t="s">
        <v>28</v>
      </c>
      <c r="F611" s="14" t="s">
        <v>27</v>
      </c>
      <c r="G611" s="305">
        <f>'AGOST-18'!I607</f>
        <v>500</v>
      </c>
      <c r="H611" s="51"/>
      <c r="I611" s="17">
        <f t="shared" si="12"/>
        <v>500</v>
      </c>
      <c r="J611" s="142"/>
      <c r="K611" s="142"/>
    </row>
    <row r="612" spans="1:11" ht="29.25">
      <c r="A612" s="11">
        <v>55603</v>
      </c>
      <c r="B612" s="53" t="s">
        <v>722</v>
      </c>
      <c r="C612" s="13"/>
      <c r="D612" s="14" t="s">
        <v>18</v>
      </c>
      <c r="E612" s="14" t="s">
        <v>28</v>
      </c>
      <c r="F612" s="14" t="s">
        <v>27</v>
      </c>
      <c r="G612" s="305">
        <f>'AGOST-18'!I608</f>
        <v>10</v>
      </c>
      <c r="H612" s="51"/>
      <c r="I612" s="17">
        <f t="shared" si="12"/>
        <v>10</v>
      </c>
      <c r="J612" s="142"/>
      <c r="K612" s="142"/>
    </row>
    <row r="613" spans="1:11" ht="89.25">
      <c r="A613" s="141" t="s">
        <v>418</v>
      </c>
      <c r="B613" s="53" t="s">
        <v>723</v>
      </c>
      <c r="C613" s="13"/>
      <c r="D613" s="14"/>
      <c r="E613" s="14"/>
      <c r="F613" s="14"/>
      <c r="G613" s="305">
        <f>'AGOST-18'!I609</f>
        <v>0</v>
      </c>
      <c r="H613" s="51"/>
      <c r="I613" s="17"/>
      <c r="J613" s="56"/>
      <c r="K613" s="56"/>
    </row>
    <row r="614" spans="1:11" ht="29.25">
      <c r="A614" s="11">
        <v>51202</v>
      </c>
      <c r="B614" s="53" t="s">
        <v>724</v>
      </c>
      <c r="C614" s="13"/>
      <c r="D614" s="14" t="s">
        <v>18</v>
      </c>
      <c r="E614" s="14" t="s">
        <v>28</v>
      </c>
      <c r="F614" s="14" t="s">
        <v>27</v>
      </c>
      <c r="G614" s="305">
        <f>'AGOST-18'!I610</f>
        <v>0</v>
      </c>
      <c r="H614" s="51"/>
      <c r="I614" s="17">
        <f t="shared" si="12"/>
        <v>0</v>
      </c>
      <c r="J614" s="56"/>
      <c r="K614" s="337"/>
    </row>
    <row r="615" spans="1:11" ht="29.25">
      <c r="A615" s="11">
        <v>54110</v>
      </c>
      <c r="B615" s="53" t="s">
        <v>725</v>
      </c>
      <c r="C615" s="13"/>
      <c r="D615" s="14" t="s">
        <v>18</v>
      </c>
      <c r="E615" s="14" t="s">
        <v>28</v>
      </c>
      <c r="F615" s="14" t="s">
        <v>27</v>
      </c>
      <c r="G615" s="305">
        <f>'AGOST-18'!I611</f>
        <v>0</v>
      </c>
      <c r="H615" s="51"/>
      <c r="I615" s="17">
        <f t="shared" si="12"/>
        <v>0</v>
      </c>
      <c r="J615" s="56"/>
      <c r="K615" s="337"/>
    </row>
    <row r="616" spans="1:11" ht="29.25">
      <c r="A616" s="11">
        <v>54111</v>
      </c>
      <c r="B616" s="53" t="s">
        <v>726</v>
      </c>
      <c r="C616" s="13"/>
      <c r="D616" s="14" t="s">
        <v>18</v>
      </c>
      <c r="E616" s="14" t="s">
        <v>28</v>
      </c>
      <c r="F616" s="14" t="s">
        <v>27</v>
      </c>
      <c r="G616" s="305">
        <f>'AGOST-18'!I612</f>
        <v>0</v>
      </c>
      <c r="H616" s="51"/>
      <c r="I616" s="17">
        <f t="shared" si="12"/>
        <v>0</v>
      </c>
      <c r="J616" s="56"/>
      <c r="K616" s="337"/>
    </row>
    <row r="617" spans="1:11" ht="29.25">
      <c r="A617" s="11">
        <v>54118</v>
      </c>
      <c r="B617" s="53" t="s">
        <v>727</v>
      </c>
      <c r="C617" s="13"/>
      <c r="D617" s="14" t="s">
        <v>18</v>
      </c>
      <c r="E617" s="14" t="s">
        <v>28</v>
      </c>
      <c r="F617" s="14" t="s">
        <v>27</v>
      </c>
      <c r="G617" s="305">
        <f>'AGOST-18'!I613</f>
        <v>0</v>
      </c>
      <c r="H617" s="51"/>
      <c r="I617" s="17">
        <f t="shared" si="12"/>
        <v>0</v>
      </c>
      <c r="J617" s="56"/>
      <c r="K617" s="337"/>
    </row>
    <row r="618" spans="1:11" ht="29.25">
      <c r="A618" s="11">
        <v>54313</v>
      </c>
      <c r="B618" s="53" t="s">
        <v>728</v>
      </c>
      <c r="C618" s="13"/>
      <c r="D618" s="14" t="s">
        <v>18</v>
      </c>
      <c r="E618" s="14" t="s">
        <v>28</v>
      </c>
      <c r="F618" s="14" t="s">
        <v>27</v>
      </c>
      <c r="G618" s="305">
        <f>'AGOST-18'!I614</f>
        <v>0</v>
      </c>
      <c r="H618" s="51"/>
      <c r="I618" s="17">
        <f t="shared" si="12"/>
        <v>0</v>
      </c>
      <c r="J618" s="56"/>
      <c r="K618" s="337"/>
    </row>
    <row r="619" spans="1:11" ht="30">
      <c r="A619" s="11">
        <v>54399</v>
      </c>
      <c r="B619" s="53" t="s">
        <v>729</v>
      </c>
      <c r="C619" s="13"/>
      <c r="D619" s="14" t="s">
        <v>18</v>
      </c>
      <c r="E619" s="14" t="s">
        <v>28</v>
      </c>
      <c r="F619" s="14" t="s">
        <v>27</v>
      </c>
      <c r="G619" s="305">
        <f>'AGOST-18'!I615</f>
        <v>0</v>
      </c>
      <c r="H619" s="51"/>
      <c r="I619" s="17">
        <f t="shared" si="12"/>
        <v>0</v>
      </c>
      <c r="J619" s="56"/>
      <c r="K619" s="337"/>
    </row>
    <row r="620" spans="1:11" ht="29.25">
      <c r="A620" s="11">
        <v>55603</v>
      </c>
      <c r="B620" s="53" t="s">
        <v>730</v>
      </c>
      <c r="C620" s="13"/>
      <c r="D620" s="14" t="s">
        <v>18</v>
      </c>
      <c r="E620" s="14" t="s">
        <v>28</v>
      </c>
      <c r="F620" s="14" t="s">
        <v>27</v>
      </c>
      <c r="G620" s="305">
        <f>'AGOST-18'!I616</f>
        <v>0</v>
      </c>
      <c r="H620" s="51"/>
      <c r="I620" s="17">
        <f t="shared" si="12"/>
        <v>0</v>
      </c>
      <c r="J620" s="56"/>
      <c r="K620" s="337"/>
    </row>
    <row r="621" spans="1:11" ht="90">
      <c r="A621" s="141" t="s">
        <v>429</v>
      </c>
      <c r="B621" s="53" t="s">
        <v>1176</v>
      </c>
      <c r="C621" s="13"/>
      <c r="D621" s="14"/>
      <c r="E621" s="14"/>
      <c r="F621" s="14"/>
      <c r="G621" s="305">
        <f>'AGOST-18'!I617</f>
        <v>0</v>
      </c>
      <c r="H621" s="51"/>
      <c r="I621" s="17"/>
      <c r="J621" s="56"/>
      <c r="K621" s="56"/>
    </row>
    <row r="622" spans="1:11">
      <c r="A622" s="11">
        <v>51202</v>
      </c>
      <c r="B622" s="53" t="s">
        <v>732</v>
      </c>
      <c r="C622" s="13"/>
      <c r="D622" s="14" t="s">
        <v>18</v>
      </c>
      <c r="E622" s="14" t="s">
        <v>28</v>
      </c>
      <c r="F622" s="14" t="s">
        <v>27</v>
      </c>
      <c r="G622" s="305">
        <f>'AGOST-18'!I618</f>
        <v>12190</v>
      </c>
      <c r="H622" s="51"/>
      <c r="I622" s="17">
        <f t="shared" si="12"/>
        <v>12190</v>
      </c>
      <c r="J622" s="56"/>
      <c r="K622" s="56"/>
    </row>
    <row r="623" spans="1:11" ht="29.25">
      <c r="A623" s="11">
        <v>54110</v>
      </c>
      <c r="B623" s="53" t="s">
        <v>733</v>
      </c>
      <c r="C623" s="13"/>
      <c r="D623" s="14" t="s">
        <v>18</v>
      </c>
      <c r="E623" s="14" t="s">
        <v>28</v>
      </c>
      <c r="F623" s="14" t="s">
        <v>27</v>
      </c>
      <c r="G623" s="305">
        <f>'AGOST-18'!I619</f>
        <v>300</v>
      </c>
      <c r="H623" s="51"/>
      <c r="I623" s="17">
        <f t="shared" si="12"/>
        <v>300</v>
      </c>
      <c r="J623" s="56"/>
      <c r="K623" s="56"/>
    </row>
    <row r="624" spans="1:11" ht="29.25">
      <c r="A624" s="11">
        <v>54111</v>
      </c>
      <c r="B624" s="53" t="s">
        <v>734</v>
      </c>
      <c r="C624" s="13"/>
      <c r="D624" s="14" t="s">
        <v>18</v>
      </c>
      <c r="E624" s="14" t="s">
        <v>28</v>
      </c>
      <c r="F624" s="14" t="s">
        <v>27</v>
      </c>
      <c r="G624" s="305">
        <f>'AGOST-18'!I620</f>
        <v>15000</v>
      </c>
      <c r="H624" s="51"/>
      <c r="I624" s="17">
        <f t="shared" si="12"/>
        <v>15000</v>
      </c>
      <c r="J624" s="56"/>
      <c r="K624" s="56"/>
    </row>
    <row r="625" spans="1:11" ht="29.25">
      <c r="A625" s="11">
        <v>54112</v>
      </c>
      <c r="B625" s="53" t="s">
        <v>735</v>
      </c>
      <c r="C625" s="13"/>
      <c r="D625" s="14" t="s">
        <v>18</v>
      </c>
      <c r="E625" s="14" t="s">
        <v>28</v>
      </c>
      <c r="F625" s="14" t="s">
        <v>27</v>
      </c>
      <c r="G625" s="305">
        <f>'AGOST-18'!I621</f>
        <v>8000</v>
      </c>
      <c r="H625" s="51"/>
      <c r="I625" s="17">
        <f t="shared" si="12"/>
        <v>8000</v>
      </c>
      <c r="J625" s="56"/>
      <c r="K625" s="56"/>
    </row>
    <row r="626" spans="1:11" ht="29.25">
      <c r="A626" s="11">
        <v>54118</v>
      </c>
      <c r="B626" s="53" t="s">
        <v>736</v>
      </c>
      <c r="C626" s="13"/>
      <c r="D626" s="14" t="s">
        <v>18</v>
      </c>
      <c r="E626" s="14" t="s">
        <v>28</v>
      </c>
      <c r="F626" s="14" t="s">
        <v>27</v>
      </c>
      <c r="G626" s="305">
        <f>'AGOST-18'!I622</f>
        <v>7000</v>
      </c>
      <c r="H626" s="51"/>
      <c r="I626" s="17">
        <f t="shared" si="12"/>
        <v>7000</v>
      </c>
      <c r="J626" s="56"/>
      <c r="K626" s="56"/>
    </row>
    <row r="627" spans="1:11" ht="29.25">
      <c r="A627" s="11">
        <v>54304</v>
      </c>
      <c r="B627" s="53" t="s">
        <v>737</v>
      </c>
      <c r="C627" s="13"/>
      <c r="D627" s="14" t="s">
        <v>18</v>
      </c>
      <c r="E627" s="14" t="s">
        <v>28</v>
      </c>
      <c r="F627" s="14" t="s">
        <v>27</v>
      </c>
      <c r="G627" s="305">
        <f>'AGOST-18'!I623</f>
        <v>2000</v>
      </c>
      <c r="H627" s="51"/>
      <c r="I627" s="17">
        <f t="shared" si="12"/>
        <v>2000</v>
      </c>
      <c r="J627" s="56"/>
      <c r="K627" s="56"/>
    </row>
    <row r="628" spans="1:11" ht="30">
      <c r="A628" s="11">
        <v>54313</v>
      </c>
      <c r="B628" s="53" t="s">
        <v>738</v>
      </c>
      <c r="C628" s="13"/>
      <c r="D628" s="14" t="s">
        <v>18</v>
      </c>
      <c r="E628" s="14" t="s">
        <v>28</v>
      </c>
      <c r="F628" s="14" t="s">
        <v>27</v>
      </c>
      <c r="G628" s="305">
        <f>'AGOST-18'!I624</f>
        <v>300</v>
      </c>
      <c r="H628" s="51"/>
      <c r="I628" s="17">
        <f t="shared" si="12"/>
        <v>300</v>
      </c>
      <c r="J628" s="56"/>
      <c r="K628" s="56"/>
    </row>
    <row r="629" spans="1:11" ht="29.25">
      <c r="A629" s="11">
        <v>54399</v>
      </c>
      <c r="B629" s="53" t="s">
        <v>739</v>
      </c>
      <c r="C629" s="13"/>
      <c r="D629" s="14" t="s">
        <v>18</v>
      </c>
      <c r="E629" s="14" t="s">
        <v>28</v>
      </c>
      <c r="F629" s="14" t="s">
        <v>27</v>
      </c>
      <c r="G629" s="305">
        <f>'AGOST-18'!I625</f>
        <v>200</v>
      </c>
      <c r="H629" s="51"/>
      <c r="I629" s="17">
        <f t="shared" si="12"/>
        <v>200</v>
      </c>
      <c r="J629" s="56"/>
      <c r="K629" s="56"/>
    </row>
    <row r="630" spans="1:11" ht="29.25">
      <c r="A630" s="11">
        <v>55603</v>
      </c>
      <c r="B630" s="53" t="s">
        <v>740</v>
      </c>
      <c r="C630" s="13"/>
      <c r="D630" s="14" t="s">
        <v>18</v>
      </c>
      <c r="E630" s="14" t="s">
        <v>28</v>
      </c>
      <c r="F630" s="14" t="s">
        <v>27</v>
      </c>
      <c r="G630" s="305">
        <f>'AGOST-18'!I626</f>
        <v>10</v>
      </c>
      <c r="H630" s="51"/>
      <c r="I630" s="17">
        <f t="shared" si="12"/>
        <v>10</v>
      </c>
      <c r="J630" s="56"/>
      <c r="K630" s="56"/>
    </row>
    <row r="631" spans="1:11" ht="75">
      <c r="A631" s="144" t="s">
        <v>437</v>
      </c>
      <c r="B631" s="53" t="s">
        <v>742</v>
      </c>
      <c r="C631" s="13"/>
      <c r="D631" s="14"/>
      <c r="E631" s="14"/>
      <c r="F631" s="14"/>
      <c r="G631" s="305">
        <f>'AGOST-18'!I627</f>
        <v>0</v>
      </c>
      <c r="H631" s="51"/>
      <c r="I631" s="17"/>
      <c r="J631" s="56"/>
      <c r="K631" s="56"/>
    </row>
    <row r="632" spans="1:11" ht="29.25">
      <c r="A632" s="11">
        <v>51202</v>
      </c>
      <c r="B632" s="53" t="s">
        <v>743</v>
      </c>
      <c r="C632" s="13"/>
      <c r="D632" s="14" t="s">
        <v>18</v>
      </c>
      <c r="E632" s="14" t="s">
        <v>28</v>
      </c>
      <c r="F632" s="14" t="s">
        <v>27</v>
      </c>
      <c r="G632" s="305">
        <f>'AGOST-18'!I628</f>
        <v>0</v>
      </c>
      <c r="H632" s="51"/>
      <c r="I632" s="17">
        <f t="shared" si="12"/>
        <v>0</v>
      </c>
      <c r="J632" s="56"/>
      <c r="K632" s="337"/>
    </row>
    <row r="633" spans="1:11" ht="29.25">
      <c r="A633" s="11">
        <v>54110</v>
      </c>
      <c r="B633" s="53" t="s">
        <v>744</v>
      </c>
      <c r="C633" s="13"/>
      <c r="D633" s="14" t="s">
        <v>18</v>
      </c>
      <c r="E633" s="14" t="s">
        <v>28</v>
      </c>
      <c r="F633" s="14" t="s">
        <v>27</v>
      </c>
      <c r="G633" s="305">
        <f>'AGOST-18'!I629</f>
        <v>0</v>
      </c>
      <c r="H633" s="51"/>
      <c r="I633" s="17">
        <f t="shared" si="12"/>
        <v>0</v>
      </c>
      <c r="J633" s="56"/>
      <c r="K633" s="337"/>
    </row>
    <row r="634" spans="1:11" ht="43.5">
      <c r="A634" s="11">
        <v>54111</v>
      </c>
      <c r="B634" s="53" t="s">
        <v>745</v>
      </c>
      <c r="C634" s="13"/>
      <c r="D634" s="14" t="s">
        <v>18</v>
      </c>
      <c r="E634" s="14" t="s">
        <v>28</v>
      </c>
      <c r="F634" s="14" t="s">
        <v>27</v>
      </c>
      <c r="G634" s="305">
        <f>'AGOST-18'!I630</f>
        <v>0</v>
      </c>
      <c r="H634" s="51"/>
      <c r="I634" s="17">
        <f t="shared" si="12"/>
        <v>0</v>
      </c>
      <c r="J634" s="56"/>
      <c r="K634" s="337"/>
    </row>
    <row r="635" spans="1:11" ht="43.5">
      <c r="A635" s="11">
        <v>54118</v>
      </c>
      <c r="B635" s="53" t="s">
        <v>746</v>
      </c>
      <c r="C635" s="13"/>
      <c r="D635" s="14" t="s">
        <v>18</v>
      </c>
      <c r="E635" s="14" t="s">
        <v>28</v>
      </c>
      <c r="F635" s="14" t="s">
        <v>27</v>
      </c>
      <c r="G635" s="305">
        <f>'AGOST-18'!I631</f>
        <v>0</v>
      </c>
      <c r="H635" s="51"/>
      <c r="I635" s="17">
        <f t="shared" si="12"/>
        <v>0</v>
      </c>
      <c r="J635" s="56"/>
      <c r="K635" s="300"/>
    </row>
    <row r="636" spans="1:11" ht="43.5">
      <c r="A636" s="11">
        <v>54313</v>
      </c>
      <c r="B636" s="53" t="s">
        <v>747</v>
      </c>
      <c r="C636" s="13"/>
      <c r="D636" s="14" t="s">
        <v>18</v>
      </c>
      <c r="E636" s="14" t="s">
        <v>28</v>
      </c>
      <c r="F636" s="14" t="s">
        <v>27</v>
      </c>
      <c r="G636" s="305">
        <f>'AGOST-18'!I632</f>
        <v>0</v>
      </c>
      <c r="H636" s="51"/>
      <c r="I636" s="17">
        <f t="shared" si="12"/>
        <v>0</v>
      </c>
      <c r="J636" s="56"/>
      <c r="K636" s="337"/>
    </row>
    <row r="637" spans="1:11" ht="44.25">
      <c r="A637" s="11">
        <v>54399</v>
      </c>
      <c r="B637" s="53" t="s">
        <v>748</v>
      </c>
      <c r="C637" s="13"/>
      <c r="D637" s="14" t="s">
        <v>18</v>
      </c>
      <c r="E637" s="14" t="s">
        <v>28</v>
      </c>
      <c r="F637" s="14" t="s">
        <v>27</v>
      </c>
      <c r="G637" s="305">
        <f>'AGOST-18'!I633</f>
        <v>0</v>
      </c>
      <c r="H637" s="51"/>
      <c r="I637" s="17">
        <f t="shared" si="12"/>
        <v>0</v>
      </c>
      <c r="J637" s="56"/>
      <c r="K637" s="337"/>
    </row>
    <row r="638" spans="1:11" ht="29.25">
      <c r="A638" s="11">
        <v>55603</v>
      </c>
      <c r="B638" s="53" t="s">
        <v>749</v>
      </c>
      <c r="C638" s="13"/>
      <c r="D638" s="14" t="s">
        <v>18</v>
      </c>
      <c r="E638" s="14" t="s">
        <v>28</v>
      </c>
      <c r="F638" s="14" t="s">
        <v>27</v>
      </c>
      <c r="G638" s="305">
        <f>'AGOST-18'!I634</f>
        <v>0</v>
      </c>
      <c r="H638" s="51"/>
      <c r="I638" s="17">
        <f t="shared" si="12"/>
        <v>0</v>
      </c>
      <c r="J638" s="56"/>
      <c r="K638" s="142"/>
    </row>
    <row r="639" spans="1:11">
      <c r="A639" s="11"/>
      <c r="B639" s="54"/>
      <c r="C639" s="13"/>
      <c r="D639" s="14"/>
      <c r="E639" s="14"/>
      <c r="F639" s="14"/>
      <c r="G639" s="305">
        <f>'AGOST-18'!I635</f>
        <v>0</v>
      </c>
      <c r="H639" s="51"/>
      <c r="I639" s="17"/>
      <c r="J639" s="56"/>
      <c r="K639" s="56"/>
    </row>
    <row r="640" spans="1:11" ht="60">
      <c r="A640" s="141" t="s">
        <v>443</v>
      </c>
      <c r="B640" s="53" t="s">
        <v>750</v>
      </c>
      <c r="C640" s="13"/>
      <c r="D640" s="14"/>
      <c r="E640" s="14"/>
      <c r="F640" s="14"/>
      <c r="G640" s="305">
        <f>'AGOST-18'!I636</f>
        <v>0</v>
      </c>
      <c r="H640" s="51"/>
      <c r="I640" s="17"/>
      <c r="J640" s="56"/>
      <c r="K640" s="56"/>
    </row>
    <row r="641" spans="1:11" ht="29.25">
      <c r="A641" s="11">
        <v>51202</v>
      </c>
      <c r="B641" s="53" t="s">
        <v>741</v>
      </c>
      <c r="C641" s="13"/>
      <c r="D641" s="14" t="s">
        <v>18</v>
      </c>
      <c r="E641" s="14" t="s">
        <v>28</v>
      </c>
      <c r="F641" s="14" t="s">
        <v>27</v>
      </c>
      <c r="G641" s="305">
        <f>'AGOST-18'!I637</f>
        <v>3000</v>
      </c>
      <c r="H641" s="51"/>
      <c r="I641" s="17">
        <f t="shared" ref="I641:I707" si="13">G641-H641+J641-K641</f>
        <v>3000</v>
      </c>
      <c r="J641" s="56"/>
      <c r="K641" s="56"/>
    </row>
    <row r="642" spans="1:11" ht="29.25">
      <c r="A642" s="11">
        <v>54110</v>
      </c>
      <c r="B642" s="53" t="s">
        <v>751</v>
      </c>
      <c r="C642" s="13"/>
      <c r="D642" s="14" t="s">
        <v>18</v>
      </c>
      <c r="E642" s="14" t="s">
        <v>28</v>
      </c>
      <c r="F642" s="14" t="s">
        <v>27</v>
      </c>
      <c r="G642" s="305">
        <f>'AGOST-18'!I638</f>
        <v>100</v>
      </c>
      <c r="H642" s="51"/>
      <c r="I642" s="17">
        <f t="shared" si="13"/>
        <v>100</v>
      </c>
      <c r="J642" s="56"/>
      <c r="K642" s="56"/>
    </row>
    <row r="643" spans="1:11" ht="43.5">
      <c r="A643" s="11">
        <v>54111</v>
      </c>
      <c r="B643" s="53" t="s">
        <v>752</v>
      </c>
      <c r="C643" s="13"/>
      <c r="D643" s="14" t="s">
        <v>18</v>
      </c>
      <c r="E643" s="14" t="s">
        <v>28</v>
      </c>
      <c r="F643" s="14" t="s">
        <v>27</v>
      </c>
      <c r="G643" s="305">
        <f>'AGOST-18'!I639</f>
        <v>2000</v>
      </c>
      <c r="H643" s="51"/>
      <c r="I643" s="17">
        <f t="shared" si="13"/>
        <v>2000</v>
      </c>
      <c r="J643" s="56"/>
      <c r="K643" s="56"/>
    </row>
    <row r="644" spans="1:11" ht="29.25">
      <c r="A644" s="11">
        <v>54118</v>
      </c>
      <c r="B644" s="53" t="s">
        <v>753</v>
      </c>
      <c r="C644" s="13"/>
      <c r="D644" s="14" t="s">
        <v>18</v>
      </c>
      <c r="E644" s="14" t="s">
        <v>28</v>
      </c>
      <c r="F644" s="14" t="s">
        <v>27</v>
      </c>
      <c r="G644" s="305">
        <f>'AGOST-18'!I640</f>
        <v>290</v>
      </c>
      <c r="H644" s="51"/>
      <c r="I644" s="17">
        <f t="shared" si="13"/>
        <v>290</v>
      </c>
      <c r="J644" s="56"/>
      <c r="K644" s="56"/>
    </row>
    <row r="645" spans="1:11" ht="29.25">
      <c r="A645" s="11">
        <v>54304</v>
      </c>
      <c r="B645" s="53" t="s">
        <v>754</v>
      </c>
      <c r="C645" s="13"/>
      <c r="D645" s="14" t="s">
        <v>18</v>
      </c>
      <c r="E645" s="14" t="s">
        <v>28</v>
      </c>
      <c r="F645" s="14" t="s">
        <v>27</v>
      </c>
      <c r="G645" s="305">
        <f>'AGOST-18'!I641</f>
        <v>100</v>
      </c>
      <c r="H645" s="51"/>
      <c r="I645" s="17">
        <f t="shared" si="13"/>
        <v>100</v>
      </c>
      <c r="J645" s="56"/>
      <c r="K645" s="56"/>
    </row>
    <row r="646" spans="1:11" ht="29.25">
      <c r="A646" s="11">
        <v>54313</v>
      </c>
      <c r="B646" s="53" t="s">
        <v>755</v>
      </c>
      <c r="C646" s="13"/>
      <c r="D646" s="14" t="s">
        <v>18</v>
      </c>
      <c r="E646" s="14" t="s">
        <v>28</v>
      </c>
      <c r="F646" s="14" t="s">
        <v>27</v>
      </c>
      <c r="G646" s="305">
        <f>'AGOST-18'!I642</f>
        <v>300</v>
      </c>
      <c r="H646" s="17"/>
      <c r="I646" s="17">
        <f t="shared" si="13"/>
        <v>300</v>
      </c>
      <c r="J646" s="56"/>
      <c r="K646" s="56"/>
    </row>
    <row r="647" spans="1:11" ht="43.5">
      <c r="A647" s="11">
        <v>54399</v>
      </c>
      <c r="B647" s="53" t="s">
        <v>756</v>
      </c>
      <c r="C647" s="13"/>
      <c r="D647" s="14" t="s">
        <v>18</v>
      </c>
      <c r="E647" s="14" t="s">
        <v>28</v>
      </c>
      <c r="F647" s="14" t="s">
        <v>27</v>
      </c>
      <c r="G647" s="305">
        <f>'AGOST-18'!I643</f>
        <v>200</v>
      </c>
      <c r="H647" s="51"/>
      <c r="I647" s="17">
        <f t="shared" si="13"/>
        <v>200</v>
      </c>
      <c r="J647" s="56"/>
      <c r="K647" s="56"/>
    </row>
    <row r="648" spans="1:11" ht="29.25">
      <c r="A648" s="11">
        <v>55603</v>
      </c>
      <c r="B648" s="53" t="s">
        <v>757</v>
      </c>
      <c r="C648" s="13"/>
      <c r="D648" s="14" t="s">
        <v>18</v>
      </c>
      <c r="E648" s="14" t="s">
        <v>28</v>
      </c>
      <c r="F648" s="14" t="s">
        <v>27</v>
      </c>
      <c r="G648" s="305">
        <f>'AGOST-18'!I644</f>
        <v>10</v>
      </c>
      <c r="H648" s="51"/>
      <c r="I648" s="17">
        <f t="shared" si="13"/>
        <v>10</v>
      </c>
      <c r="J648" s="56"/>
      <c r="K648" s="56"/>
    </row>
    <row r="649" spans="1:11" ht="60">
      <c r="A649" s="141" t="s">
        <v>451</v>
      </c>
      <c r="B649" s="53" t="s">
        <v>758</v>
      </c>
      <c r="C649" s="13"/>
      <c r="D649" s="14"/>
      <c r="E649" s="14"/>
      <c r="F649" s="14"/>
      <c r="G649" s="305">
        <f>'AGOST-18'!I645</f>
        <v>0</v>
      </c>
      <c r="H649" s="51"/>
      <c r="I649" s="17"/>
      <c r="J649" s="56"/>
      <c r="K649" s="56"/>
    </row>
    <row r="650" spans="1:11" ht="29.25">
      <c r="A650" s="11">
        <v>51202</v>
      </c>
      <c r="B650" s="54" t="s">
        <v>759</v>
      </c>
      <c r="C650" s="13"/>
      <c r="D650" s="14" t="s">
        <v>18</v>
      </c>
      <c r="E650" s="14" t="s">
        <v>28</v>
      </c>
      <c r="F650" s="14" t="s">
        <v>27</v>
      </c>
      <c r="G650" s="305">
        <f>'AGOST-18'!I646</f>
        <v>0</v>
      </c>
      <c r="H650" s="51"/>
      <c r="I650" s="17">
        <f t="shared" si="13"/>
        <v>0</v>
      </c>
      <c r="J650" s="56"/>
      <c r="K650" s="142"/>
    </row>
    <row r="651" spans="1:11" ht="29.25">
      <c r="A651" s="11">
        <v>54110</v>
      </c>
      <c r="B651" s="54" t="s">
        <v>760</v>
      </c>
      <c r="C651" s="13"/>
      <c r="D651" s="14" t="s">
        <v>18</v>
      </c>
      <c r="E651" s="14" t="s">
        <v>28</v>
      </c>
      <c r="F651" s="14" t="s">
        <v>27</v>
      </c>
      <c r="G651" s="305">
        <f>'AGOST-18'!I647</f>
        <v>0</v>
      </c>
      <c r="H651" s="51"/>
      <c r="I651" s="17">
        <f t="shared" si="13"/>
        <v>0</v>
      </c>
      <c r="J651" s="56"/>
      <c r="K651" s="142"/>
    </row>
    <row r="652" spans="1:11" ht="41.25" customHeight="1">
      <c r="A652" s="11">
        <v>54111</v>
      </c>
      <c r="B652" s="54" t="s">
        <v>761</v>
      </c>
      <c r="C652" s="13"/>
      <c r="D652" s="14" t="s">
        <v>18</v>
      </c>
      <c r="E652" s="14" t="s">
        <v>28</v>
      </c>
      <c r="F652" s="14" t="s">
        <v>27</v>
      </c>
      <c r="G652" s="305">
        <f>'AGOST-18'!I648</f>
        <v>0</v>
      </c>
      <c r="H652" s="51"/>
      <c r="I652" s="17">
        <f t="shared" si="13"/>
        <v>0</v>
      </c>
      <c r="J652" s="56"/>
      <c r="K652" s="142"/>
    </row>
    <row r="653" spans="1:11" ht="30" customHeight="1">
      <c r="A653" s="11">
        <v>54118</v>
      </c>
      <c r="B653" s="54" t="s">
        <v>762</v>
      </c>
      <c r="C653" s="13"/>
      <c r="D653" s="14" t="s">
        <v>18</v>
      </c>
      <c r="E653" s="14" t="s">
        <v>28</v>
      </c>
      <c r="F653" s="14" t="s">
        <v>27</v>
      </c>
      <c r="G653" s="305">
        <f>'AGOST-18'!I649</f>
        <v>0</v>
      </c>
      <c r="H653" s="51"/>
      <c r="I653" s="17">
        <f t="shared" si="13"/>
        <v>0</v>
      </c>
      <c r="J653" s="56"/>
      <c r="K653" s="142"/>
    </row>
    <row r="654" spans="1:11" ht="29.25">
      <c r="A654" s="11">
        <v>54313</v>
      </c>
      <c r="B654" s="54" t="s">
        <v>763</v>
      </c>
      <c r="C654" s="13"/>
      <c r="D654" s="14" t="s">
        <v>18</v>
      </c>
      <c r="E654" s="14" t="s">
        <v>28</v>
      </c>
      <c r="F654" s="14" t="s">
        <v>27</v>
      </c>
      <c r="G654" s="305">
        <f>'AGOST-18'!I650</f>
        <v>0</v>
      </c>
      <c r="H654" s="51"/>
      <c r="I654" s="17">
        <f t="shared" si="13"/>
        <v>0</v>
      </c>
      <c r="J654" s="56"/>
      <c r="K654" s="142"/>
    </row>
    <row r="655" spans="1:11" ht="44.25">
      <c r="A655" s="11">
        <v>54399</v>
      </c>
      <c r="B655" s="54" t="s">
        <v>764</v>
      </c>
      <c r="C655" s="13"/>
      <c r="D655" s="14" t="s">
        <v>18</v>
      </c>
      <c r="E655" s="14" t="s">
        <v>28</v>
      </c>
      <c r="F655" s="14" t="s">
        <v>27</v>
      </c>
      <c r="G655" s="305">
        <f>'AGOST-18'!I651</f>
        <v>0</v>
      </c>
      <c r="H655" s="51"/>
      <c r="I655" s="17">
        <f t="shared" si="13"/>
        <v>0</v>
      </c>
      <c r="J655" s="56"/>
      <c r="K655" s="142"/>
    </row>
    <row r="656" spans="1:11" ht="29.25">
      <c r="A656" s="11">
        <v>55603</v>
      </c>
      <c r="B656" s="54" t="s">
        <v>765</v>
      </c>
      <c r="C656" s="13"/>
      <c r="D656" s="14" t="s">
        <v>18</v>
      </c>
      <c r="E656" s="14" t="s">
        <v>28</v>
      </c>
      <c r="F656" s="14" t="s">
        <v>27</v>
      </c>
      <c r="G656" s="305">
        <f>'AGOST-18'!I652</f>
        <v>0</v>
      </c>
      <c r="H656" s="51"/>
      <c r="I656" s="17">
        <f t="shared" si="13"/>
        <v>0</v>
      </c>
      <c r="J656" s="56"/>
      <c r="K656" s="142"/>
    </row>
    <row r="657" spans="1:11" ht="78.75" customHeight="1">
      <c r="A657" s="141" t="s">
        <v>459</v>
      </c>
      <c r="B657" s="53" t="s">
        <v>766</v>
      </c>
      <c r="C657" s="13"/>
      <c r="D657" s="14"/>
      <c r="E657" s="14"/>
      <c r="F657" s="14"/>
      <c r="G657" s="305">
        <f>'AGOST-18'!I653</f>
        <v>0</v>
      </c>
      <c r="H657" s="51"/>
      <c r="I657" s="17"/>
      <c r="J657" s="56"/>
      <c r="K657" s="56"/>
    </row>
    <row r="658" spans="1:11" ht="29.25">
      <c r="A658" s="11">
        <v>51202</v>
      </c>
      <c r="B658" s="54" t="s">
        <v>767</v>
      </c>
      <c r="C658" s="13"/>
      <c r="D658" s="14" t="s">
        <v>18</v>
      </c>
      <c r="E658" s="14" t="s">
        <v>28</v>
      </c>
      <c r="F658" s="14" t="s">
        <v>27</v>
      </c>
      <c r="G658" s="305">
        <f>'AGOST-18'!I654</f>
        <v>0</v>
      </c>
      <c r="H658" s="51"/>
      <c r="I658" s="17">
        <f t="shared" si="13"/>
        <v>0</v>
      </c>
      <c r="J658" s="56"/>
      <c r="K658" s="137"/>
    </row>
    <row r="659" spans="1:11" ht="29.25">
      <c r="A659" s="11">
        <v>54110</v>
      </c>
      <c r="B659" s="54" t="s">
        <v>768</v>
      </c>
      <c r="C659" s="13"/>
      <c r="D659" s="14" t="s">
        <v>18</v>
      </c>
      <c r="E659" s="14" t="s">
        <v>28</v>
      </c>
      <c r="F659" s="14" t="s">
        <v>27</v>
      </c>
      <c r="G659" s="305">
        <f>'AGOST-18'!I655</f>
        <v>0</v>
      </c>
      <c r="H659" s="51"/>
      <c r="I659" s="17">
        <f t="shared" si="13"/>
        <v>0</v>
      </c>
      <c r="J659" s="56"/>
      <c r="K659" s="137"/>
    </row>
    <row r="660" spans="1:11" ht="43.5">
      <c r="A660" s="11">
        <v>54111</v>
      </c>
      <c r="B660" s="54" t="s">
        <v>769</v>
      </c>
      <c r="C660" s="13"/>
      <c r="D660" s="14" t="s">
        <v>18</v>
      </c>
      <c r="E660" s="14" t="s">
        <v>28</v>
      </c>
      <c r="F660" s="14" t="s">
        <v>27</v>
      </c>
      <c r="G660" s="305">
        <f>'AGOST-18'!I656</f>
        <v>0</v>
      </c>
      <c r="H660" s="51"/>
      <c r="I660" s="17">
        <f t="shared" si="13"/>
        <v>0</v>
      </c>
      <c r="J660" s="56"/>
      <c r="K660" s="137"/>
    </row>
    <row r="661" spans="1:11" ht="43.5">
      <c r="A661" s="11">
        <v>54118</v>
      </c>
      <c r="B661" s="54" t="s">
        <v>770</v>
      </c>
      <c r="C661" s="13"/>
      <c r="D661" s="14" t="s">
        <v>18</v>
      </c>
      <c r="E661" s="14" t="s">
        <v>28</v>
      </c>
      <c r="F661" s="14" t="s">
        <v>27</v>
      </c>
      <c r="G661" s="305">
        <f>'AGOST-18'!I657</f>
        <v>0</v>
      </c>
      <c r="H661" s="51"/>
      <c r="I661" s="17">
        <f t="shared" si="13"/>
        <v>0</v>
      </c>
      <c r="J661" s="56"/>
      <c r="K661" s="137"/>
    </row>
    <row r="662" spans="1:11" ht="44.25">
      <c r="A662" s="11">
        <v>54313</v>
      </c>
      <c r="B662" s="54" t="s">
        <v>771</v>
      </c>
      <c r="C662" s="13"/>
      <c r="D662" s="14" t="s">
        <v>18</v>
      </c>
      <c r="E662" s="14" t="s">
        <v>28</v>
      </c>
      <c r="F662" s="14" t="s">
        <v>27</v>
      </c>
      <c r="G662" s="305">
        <f>'AGOST-18'!I658</f>
        <v>0</v>
      </c>
      <c r="H662" s="51"/>
      <c r="I662" s="17">
        <f t="shared" si="13"/>
        <v>0</v>
      </c>
      <c r="J662" s="56"/>
      <c r="K662" s="137"/>
    </row>
    <row r="663" spans="1:11" ht="43.5">
      <c r="A663" s="11">
        <v>54399</v>
      </c>
      <c r="B663" s="54" t="s">
        <v>772</v>
      </c>
      <c r="C663" s="13"/>
      <c r="D663" s="14" t="s">
        <v>18</v>
      </c>
      <c r="E663" s="14" t="s">
        <v>28</v>
      </c>
      <c r="F663" s="14" t="s">
        <v>27</v>
      </c>
      <c r="G663" s="305">
        <f>'AGOST-18'!I659</f>
        <v>0</v>
      </c>
      <c r="H663" s="51"/>
      <c r="I663" s="17">
        <f t="shared" si="13"/>
        <v>0</v>
      </c>
      <c r="J663" s="56"/>
      <c r="K663" s="137"/>
    </row>
    <row r="664" spans="1:11" ht="43.5">
      <c r="A664" s="11">
        <v>55603</v>
      </c>
      <c r="B664" s="54" t="s">
        <v>773</v>
      </c>
      <c r="C664" s="13"/>
      <c r="D664" s="14" t="s">
        <v>18</v>
      </c>
      <c r="E664" s="14" t="s">
        <v>28</v>
      </c>
      <c r="F664" s="14" t="s">
        <v>27</v>
      </c>
      <c r="G664" s="305">
        <f>'AGOST-18'!I660</f>
        <v>0</v>
      </c>
      <c r="H664" s="51"/>
      <c r="I664" s="17">
        <f t="shared" si="13"/>
        <v>0</v>
      </c>
      <c r="J664" s="56"/>
      <c r="K664" s="137"/>
    </row>
    <row r="665" spans="1:11" ht="74.25">
      <c r="A665" s="141" t="s">
        <v>461</v>
      </c>
      <c r="B665" s="53" t="s">
        <v>774</v>
      </c>
      <c r="C665" s="13"/>
      <c r="D665" s="14"/>
      <c r="E665" s="14"/>
      <c r="F665" s="14"/>
      <c r="G665" s="305">
        <f>'AGOST-18'!I661</f>
        <v>0</v>
      </c>
      <c r="H665" s="51"/>
      <c r="I665" s="17"/>
      <c r="J665" s="56"/>
      <c r="K665" s="56"/>
    </row>
    <row r="666" spans="1:11" ht="29.25">
      <c r="A666" s="11">
        <v>51202</v>
      </c>
      <c r="B666" s="54" t="s">
        <v>775</v>
      </c>
      <c r="C666" s="13"/>
      <c r="D666" s="14" t="s">
        <v>18</v>
      </c>
      <c r="E666" s="14" t="s">
        <v>28</v>
      </c>
      <c r="F666" s="14" t="s">
        <v>27</v>
      </c>
      <c r="G666" s="305">
        <f>'AGOST-18'!I662</f>
        <v>7000</v>
      </c>
      <c r="H666" s="51"/>
      <c r="I666" s="17">
        <f t="shared" si="13"/>
        <v>7000</v>
      </c>
      <c r="J666" s="56"/>
      <c r="K666" s="56"/>
    </row>
    <row r="667" spans="1:11" ht="29.25">
      <c r="A667" s="11">
        <v>54110</v>
      </c>
      <c r="B667" s="54" t="s">
        <v>776</v>
      </c>
      <c r="C667" s="13"/>
      <c r="D667" s="14" t="s">
        <v>18</v>
      </c>
      <c r="E667" s="14" t="s">
        <v>28</v>
      </c>
      <c r="F667" s="14" t="s">
        <v>27</v>
      </c>
      <c r="G667" s="305">
        <f>'AGOST-18'!I663</f>
        <v>200</v>
      </c>
      <c r="H667" s="51"/>
      <c r="I667" s="17">
        <f t="shared" si="13"/>
        <v>200</v>
      </c>
      <c r="J667" s="56"/>
      <c r="K667" s="56"/>
    </row>
    <row r="668" spans="1:11" ht="44.25">
      <c r="A668" s="11">
        <v>54111</v>
      </c>
      <c r="B668" s="54" t="s">
        <v>777</v>
      </c>
      <c r="C668" s="13"/>
      <c r="D668" s="14" t="s">
        <v>18</v>
      </c>
      <c r="E668" s="14" t="s">
        <v>28</v>
      </c>
      <c r="F668" s="14" t="s">
        <v>27</v>
      </c>
      <c r="G668" s="305">
        <f>'AGOST-18'!I664</f>
        <v>9290</v>
      </c>
      <c r="H668" s="51"/>
      <c r="I668" s="17">
        <f t="shared" si="13"/>
        <v>9290</v>
      </c>
      <c r="J668" s="56"/>
      <c r="K668" s="56"/>
    </row>
    <row r="669" spans="1:11" ht="43.5">
      <c r="A669" s="11">
        <v>54118</v>
      </c>
      <c r="B669" s="54" t="s">
        <v>778</v>
      </c>
      <c r="C669" s="13"/>
      <c r="D669" s="14" t="s">
        <v>18</v>
      </c>
      <c r="E669" s="14" t="s">
        <v>28</v>
      </c>
      <c r="F669" s="14" t="s">
        <v>27</v>
      </c>
      <c r="G669" s="305">
        <f>'AGOST-18'!I665</f>
        <v>3000</v>
      </c>
      <c r="H669" s="51"/>
      <c r="I669" s="17">
        <f t="shared" si="13"/>
        <v>3000</v>
      </c>
      <c r="J669" s="56"/>
      <c r="K669" s="56"/>
    </row>
    <row r="670" spans="1:11" ht="43.5">
      <c r="A670" s="11">
        <v>54313</v>
      </c>
      <c r="B670" s="54" t="s">
        <v>779</v>
      </c>
      <c r="C670" s="13"/>
      <c r="D670" s="14" t="s">
        <v>18</v>
      </c>
      <c r="E670" s="14" t="s">
        <v>28</v>
      </c>
      <c r="F670" s="14" t="s">
        <v>27</v>
      </c>
      <c r="G670" s="305">
        <f>'AGOST-18'!I666</f>
        <v>300</v>
      </c>
      <c r="H670" s="51"/>
      <c r="I670" s="17">
        <f t="shared" si="13"/>
        <v>300</v>
      </c>
      <c r="J670" s="56"/>
      <c r="K670" s="56"/>
    </row>
    <row r="671" spans="1:11" ht="43.5">
      <c r="A671" s="11">
        <v>54399</v>
      </c>
      <c r="B671" s="54" t="s">
        <v>780</v>
      </c>
      <c r="C671" s="13"/>
      <c r="D671" s="14" t="s">
        <v>18</v>
      </c>
      <c r="E671" s="14" t="s">
        <v>28</v>
      </c>
      <c r="F671" s="14" t="s">
        <v>27</v>
      </c>
      <c r="G671" s="305">
        <f>'AGOST-18'!I667</f>
        <v>200</v>
      </c>
      <c r="H671" s="51"/>
      <c r="I671" s="17">
        <f t="shared" si="13"/>
        <v>200</v>
      </c>
      <c r="J671" s="56"/>
      <c r="K671" s="56"/>
    </row>
    <row r="672" spans="1:11" ht="43.5">
      <c r="A672" s="11">
        <v>55603</v>
      </c>
      <c r="B672" s="54" t="s">
        <v>781</v>
      </c>
      <c r="C672" s="13"/>
      <c r="D672" s="14" t="s">
        <v>18</v>
      </c>
      <c r="E672" s="14" t="s">
        <v>28</v>
      </c>
      <c r="F672" s="14" t="s">
        <v>27</v>
      </c>
      <c r="G672" s="305">
        <f>'AGOST-18'!I668</f>
        <v>10</v>
      </c>
      <c r="H672" s="51"/>
      <c r="I672" s="17">
        <f t="shared" si="13"/>
        <v>10</v>
      </c>
      <c r="J672" s="56"/>
      <c r="K672" s="56"/>
    </row>
    <row r="673" spans="1:11" ht="89.25">
      <c r="A673" s="141" t="s">
        <v>468</v>
      </c>
      <c r="B673" s="53" t="s">
        <v>782</v>
      </c>
      <c r="C673" s="13"/>
      <c r="D673" s="14"/>
      <c r="E673" s="14"/>
      <c r="F673" s="14"/>
      <c r="G673" s="305">
        <f>'AGOST-18'!I669</f>
        <v>0</v>
      </c>
      <c r="H673" s="51"/>
      <c r="I673" s="17"/>
      <c r="J673" s="56"/>
      <c r="K673" s="56"/>
    </row>
    <row r="674" spans="1:11" ht="29.25">
      <c r="A674" s="11">
        <v>51202</v>
      </c>
      <c r="B674" s="54" t="s">
        <v>783</v>
      </c>
      <c r="C674" s="13"/>
      <c r="D674" s="14" t="s">
        <v>18</v>
      </c>
      <c r="E674" s="14" t="s">
        <v>28</v>
      </c>
      <c r="F674" s="14" t="s">
        <v>27</v>
      </c>
      <c r="G674" s="305">
        <f>'AGOST-18'!I670</f>
        <v>7000</v>
      </c>
      <c r="H674" s="51"/>
      <c r="I674" s="17">
        <f t="shared" si="13"/>
        <v>7000</v>
      </c>
      <c r="J674" s="56"/>
      <c r="K674" s="56"/>
    </row>
    <row r="675" spans="1:11" ht="43.5">
      <c r="A675" s="11">
        <v>54110</v>
      </c>
      <c r="B675" s="54" t="s">
        <v>784</v>
      </c>
      <c r="C675" s="13"/>
      <c r="D675" s="14" t="s">
        <v>18</v>
      </c>
      <c r="E675" s="14" t="s">
        <v>28</v>
      </c>
      <c r="F675" s="14" t="s">
        <v>27</v>
      </c>
      <c r="G675" s="305">
        <f>'AGOST-18'!I671</f>
        <v>200</v>
      </c>
      <c r="H675" s="51"/>
      <c r="I675" s="17">
        <f t="shared" si="13"/>
        <v>200</v>
      </c>
      <c r="J675" s="56"/>
      <c r="K675" s="56"/>
    </row>
    <row r="676" spans="1:11" ht="44.25">
      <c r="A676" s="11">
        <v>54111</v>
      </c>
      <c r="B676" s="53" t="s">
        <v>785</v>
      </c>
      <c r="C676" s="13"/>
      <c r="D676" s="14" t="s">
        <v>18</v>
      </c>
      <c r="E676" s="14" t="s">
        <v>28</v>
      </c>
      <c r="F676" s="14" t="s">
        <v>27</v>
      </c>
      <c r="G676" s="305">
        <f>'AGOST-18'!I672</f>
        <v>9290</v>
      </c>
      <c r="H676" s="51"/>
      <c r="I676" s="17">
        <f t="shared" si="13"/>
        <v>9290</v>
      </c>
      <c r="J676" s="56"/>
      <c r="K676" s="56"/>
    </row>
    <row r="677" spans="1:11" ht="43.5">
      <c r="A677" s="11">
        <v>54118</v>
      </c>
      <c r="B677" s="54" t="s">
        <v>786</v>
      </c>
      <c r="C677" s="13"/>
      <c r="D677" s="14" t="s">
        <v>18</v>
      </c>
      <c r="E677" s="14" t="s">
        <v>28</v>
      </c>
      <c r="F677" s="14" t="s">
        <v>27</v>
      </c>
      <c r="G677" s="305">
        <f>'AGOST-18'!I673</f>
        <v>3000</v>
      </c>
      <c r="H677" s="51"/>
      <c r="I677" s="17">
        <f t="shared" si="13"/>
        <v>3000</v>
      </c>
      <c r="J677" s="56"/>
      <c r="K677" s="56"/>
    </row>
    <row r="678" spans="1:11" ht="44.25">
      <c r="A678" s="11">
        <v>54313</v>
      </c>
      <c r="B678" s="54" t="s">
        <v>787</v>
      </c>
      <c r="C678" s="13"/>
      <c r="D678" s="14" t="s">
        <v>18</v>
      </c>
      <c r="E678" s="14" t="s">
        <v>28</v>
      </c>
      <c r="F678" s="14" t="s">
        <v>27</v>
      </c>
      <c r="G678" s="305">
        <f>'AGOST-18'!I674</f>
        <v>300</v>
      </c>
      <c r="H678" s="51"/>
      <c r="I678" s="17">
        <f t="shared" si="13"/>
        <v>300</v>
      </c>
      <c r="J678" s="56"/>
      <c r="K678" s="56"/>
    </row>
    <row r="679" spans="1:11" ht="44.25">
      <c r="A679" s="11">
        <v>54399</v>
      </c>
      <c r="B679" s="54" t="s">
        <v>788</v>
      </c>
      <c r="C679" s="13"/>
      <c r="D679" s="14" t="s">
        <v>18</v>
      </c>
      <c r="E679" s="14" t="s">
        <v>28</v>
      </c>
      <c r="F679" s="14" t="s">
        <v>27</v>
      </c>
      <c r="G679" s="305">
        <f>'AGOST-18'!I675</f>
        <v>200</v>
      </c>
      <c r="H679" s="51"/>
      <c r="I679" s="17">
        <f t="shared" si="13"/>
        <v>200</v>
      </c>
      <c r="J679" s="56"/>
      <c r="K679" s="56"/>
    </row>
    <row r="680" spans="1:11" ht="40.5" customHeight="1">
      <c r="A680" s="11">
        <v>55603</v>
      </c>
      <c r="B680" s="54" t="s">
        <v>789</v>
      </c>
      <c r="C680" s="13"/>
      <c r="D680" s="14" t="s">
        <v>18</v>
      </c>
      <c r="E680" s="14" t="s">
        <v>28</v>
      </c>
      <c r="F680" s="14" t="s">
        <v>27</v>
      </c>
      <c r="G680" s="305">
        <f>'AGOST-18'!I676</f>
        <v>10</v>
      </c>
      <c r="H680" s="51"/>
      <c r="I680" s="17">
        <f t="shared" si="13"/>
        <v>10</v>
      </c>
      <c r="J680" s="56"/>
      <c r="K680" s="56"/>
    </row>
    <row r="681" spans="1:11" ht="60">
      <c r="A681" s="144" t="s">
        <v>477</v>
      </c>
      <c r="B681" s="53" t="s">
        <v>791</v>
      </c>
      <c r="C681" s="13"/>
      <c r="D681" s="14"/>
      <c r="E681" s="14"/>
      <c r="F681" s="14"/>
      <c r="G681" s="305">
        <f>'AGOST-18'!I677</f>
        <v>0</v>
      </c>
      <c r="H681" s="51"/>
      <c r="I681" s="17"/>
      <c r="J681" s="56"/>
      <c r="K681" s="56"/>
    </row>
    <row r="682" spans="1:11" ht="30">
      <c r="A682" s="11">
        <v>51202</v>
      </c>
      <c r="B682" s="54" t="s">
        <v>792</v>
      </c>
      <c r="C682" s="13"/>
      <c r="D682" s="14" t="s">
        <v>18</v>
      </c>
      <c r="E682" s="14" t="s">
        <v>28</v>
      </c>
      <c r="F682" s="14" t="s">
        <v>27</v>
      </c>
      <c r="G682" s="305">
        <f>'AGOST-18'!I678</f>
        <v>9000</v>
      </c>
      <c r="H682" s="51"/>
      <c r="I682" s="17">
        <f t="shared" si="13"/>
        <v>9000</v>
      </c>
      <c r="J682" s="56"/>
      <c r="K682" s="56"/>
    </row>
    <row r="683" spans="1:11" ht="30">
      <c r="A683" s="11">
        <v>54110</v>
      </c>
      <c r="B683" s="54" t="s">
        <v>793</v>
      </c>
      <c r="C683" s="13"/>
      <c r="D683" s="14" t="s">
        <v>18</v>
      </c>
      <c r="E683" s="14" t="s">
        <v>28</v>
      </c>
      <c r="F683" s="14" t="s">
        <v>27</v>
      </c>
      <c r="G683" s="305">
        <f>'AGOST-18'!I679</f>
        <v>200</v>
      </c>
      <c r="H683" s="51"/>
      <c r="I683" s="17">
        <f t="shared" si="13"/>
        <v>200</v>
      </c>
      <c r="J683" s="56"/>
      <c r="K683" s="56"/>
    </row>
    <row r="684" spans="1:11" ht="30">
      <c r="A684" s="11">
        <v>54111</v>
      </c>
      <c r="B684" s="54" t="s">
        <v>794</v>
      </c>
      <c r="C684" s="13"/>
      <c r="D684" s="14" t="s">
        <v>18</v>
      </c>
      <c r="E684" s="14" t="s">
        <v>28</v>
      </c>
      <c r="F684" s="14" t="s">
        <v>27</v>
      </c>
      <c r="G684" s="305">
        <f>'AGOST-18'!I680</f>
        <v>11290</v>
      </c>
      <c r="H684" s="51"/>
      <c r="I684" s="17">
        <f t="shared" si="13"/>
        <v>11290</v>
      </c>
      <c r="J684" s="56"/>
      <c r="K684" s="56"/>
    </row>
    <row r="685" spans="1:11" ht="30">
      <c r="A685" s="11">
        <v>54118</v>
      </c>
      <c r="B685" s="54" t="s">
        <v>795</v>
      </c>
      <c r="C685" s="13"/>
      <c r="D685" s="14" t="s">
        <v>18</v>
      </c>
      <c r="E685" s="14" t="s">
        <v>28</v>
      </c>
      <c r="F685" s="14" t="s">
        <v>27</v>
      </c>
      <c r="G685" s="305">
        <f>'AGOST-18'!I681</f>
        <v>3000</v>
      </c>
      <c r="H685" s="51"/>
      <c r="I685" s="17">
        <f t="shared" si="13"/>
        <v>3000</v>
      </c>
      <c r="J685" s="56"/>
      <c r="K685" s="56"/>
    </row>
    <row r="686" spans="1:11" ht="45">
      <c r="A686" s="11">
        <v>54313</v>
      </c>
      <c r="B686" s="54" t="s">
        <v>796</v>
      </c>
      <c r="C686" s="13"/>
      <c r="D686" s="14" t="s">
        <v>18</v>
      </c>
      <c r="E686" s="14" t="s">
        <v>28</v>
      </c>
      <c r="F686" s="14" t="s">
        <v>27</v>
      </c>
      <c r="G686" s="305">
        <f>'AGOST-18'!I682</f>
        <v>300</v>
      </c>
      <c r="H686" s="51"/>
      <c r="I686" s="17">
        <f t="shared" si="13"/>
        <v>300</v>
      </c>
      <c r="J686" s="56"/>
      <c r="K686" s="56"/>
    </row>
    <row r="687" spans="1:11" ht="30">
      <c r="A687" s="11">
        <v>54399</v>
      </c>
      <c r="B687" s="54" t="s">
        <v>797</v>
      </c>
      <c r="C687" s="13"/>
      <c r="D687" s="14" t="s">
        <v>18</v>
      </c>
      <c r="E687" s="14" t="s">
        <v>28</v>
      </c>
      <c r="F687" s="14" t="s">
        <v>27</v>
      </c>
      <c r="G687" s="305">
        <f>'AGOST-18'!I683</f>
        <v>1200</v>
      </c>
      <c r="H687" s="51"/>
      <c r="I687" s="17">
        <f t="shared" si="13"/>
        <v>1200</v>
      </c>
      <c r="J687" s="56"/>
      <c r="K687" s="56"/>
    </row>
    <row r="688" spans="1:11" ht="30">
      <c r="A688" s="11">
        <v>55603</v>
      </c>
      <c r="B688" s="54" t="s">
        <v>798</v>
      </c>
      <c r="C688" s="13"/>
      <c r="D688" s="14" t="s">
        <v>18</v>
      </c>
      <c r="E688" s="14" t="s">
        <v>28</v>
      </c>
      <c r="F688" s="14" t="s">
        <v>27</v>
      </c>
      <c r="G688" s="305">
        <f>'AGOST-18'!I684</f>
        <v>10</v>
      </c>
      <c r="H688" s="51"/>
      <c r="I688" s="17">
        <f t="shared" si="13"/>
        <v>10</v>
      </c>
      <c r="J688" s="56"/>
      <c r="K688" s="56"/>
    </row>
    <row r="689" spans="1:11" ht="60">
      <c r="A689" s="141" t="s">
        <v>486</v>
      </c>
      <c r="B689" s="53" t="s">
        <v>790</v>
      </c>
      <c r="C689" s="13"/>
      <c r="D689" s="14"/>
      <c r="E689" s="14"/>
      <c r="F689" s="14"/>
      <c r="G689" s="305">
        <f>'AGOST-18'!I685</f>
        <v>0</v>
      </c>
      <c r="H689" s="51"/>
      <c r="I689" s="17"/>
      <c r="J689" s="56"/>
      <c r="K689" s="56"/>
    </row>
    <row r="690" spans="1:11" ht="29.25">
      <c r="A690" s="11">
        <v>51202</v>
      </c>
      <c r="B690" s="54" t="s">
        <v>799</v>
      </c>
      <c r="C690" s="13"/>
      <c r="D690" s="14" t="s">
        <v>18</v>
      </c>
      <c r="E690" s="14" t="s">
        <v>28</v>
      </c>
      <c r="F690" s="14" t="s">
        <v>27</v>
      </c>
      <c r="G690" s="305">
        <f>'AGOST-18'!I686</f>
        <v>9000</v>
      </c>
      <c r="H690" s="51"/>
      <c r="I690" s="17">
        <f t="shared" si="13"/>
        <v>9000</v>
      </c>
      <c r="J690" s="56"/>
      <c r="K690" s="56"/>
    </row>
    <row r="691" spans="1:11" ht="29.25">
      <c r="A691" s="11">
        <v>54110</v>
      </c>
      <c r="B691" s="54" t="s">
        <v>800</v>
      </c>
      <c r="C691" s="13"/>
      <c r="D691" s="14" t="s">
        <v>18</v>
      </c>
      <c r="E691" s="14" t="s">
        <v>28</v>
      </c>
      <c r="F691" s="14" t="s">
        <v>27</v>
      </c>
      <c r="G691" s="305">
        <f>'AGOST-18'!I687</f>
        <v>200</v>
      </c>
      <c r="H691" s="51"/>
      <c r="I691" s="17">
        <f t="shared" si="13"/>
        <v>200</v>
      </c>
      <c r="J691" s="56"/>
      <c r="K691" s="56"/>
    </row>
    <row r="692" spans="1:11" ht="44.25">
      <c r="A692" s="11">
        <v>54111</v>
      </c>
      <c r="B692" s="54" t="s">
        <v>801</v>
      </c>
      <c r="C692" s="13"/>
      <c r="D692" s="14" t="s">
        <v>18</v>
      </c>
      <c r="E692" s="14" t="s">
        <v>28</v>
      </c>
      <c r="F692" s="14" t="s">
        <v>27</v>
      </c>
      <c r="G692" s="305">
        <f>'AGOST-18'!I688</f>
        <v>12290</v>
      </c>
      <c r="H692" s="51"/>
      <c r="I692" s="17">
        <f t="shared" si="13"/>
        <v>12290</v>
      </c>
      <c r="J692" s="56"/>
      <c r="K692" s="56"/>
    </row>
    <row r="693" spans="1:11" ht="29.25">
      <c r="A693" s="11">
        <v>54118</v>
      </c>
      <c r="B693" s="54" t="s">
        <v>802</v>
      </c>
      <c r="C693" s="13"/>
      <c r="D693" s="14" t="s">
        <v>18</v>
      </c>
      <c r="E693" s="14" t="s">
        <v>28</v>
      </c>
      <c r="F693" s="14" t="s">
        <v>27</v>
      </c>
      <c r="G693" s="305">
        <f>'AGOST-18'!I689</f>
        <v>3000</v>
      </c>
      <c r="H693" s="51"/>
      <c r="I693" s="17">
        <f t="shared" si="13"/>
        <v>3000</v>
      </c>
      <c r="J693" s="56"/>
      <c r="K693" s="56"/>
    </row>
    <row r="694" spans="1:11" ht="43.5">
      <c r="A694" s="11">
        <v>54313</v>
      </c>
      <c r="B694" s="54" t="s">
        <v>803</v>
      </c>
      <c r="C694" s="13"/>
      <c r="D694" s="14" t="s">
        <v>18</v>
      </c>
      <c r="E694" s="14" t="s">
        <v>28</v>
      </c>
      <c r="F694" s="14" t="s">
        <v>27</v>
      </c>
      <c r="G694" s="305">
        <f>'AGOST-18'!I690</f>
        <v>300</v>
      </c>
      <c r="H694" s="51"/>
      <c r="I694" s="17">
        <f t="shared" si="13"/>
        <v>300</v>
      </c>
      <c r="J694" s="56"/>
      <c r="K694" s="56"/>
    </row>
    <row r="695" spans="1:11" ht="43.5">
      <c r="A695" s="11">
        <v>54399</v>
      </c>
      <c r="B695" s="54" t="s">
        <v>804</v>
      </c>
      <c r="C695" s="13"/>
      <c r="D695" s="14" t="s">
        <v>18</v>
      </c>
      <c r="E695" s="14" t="s">
        <v>28</v>
      </c>
      <c r="F695" s="14" t="s">
        <v>27</v>
      </c>
      <c r="G695" s="305">
        <f>'AGOST-18'!I691</f>
        <v>200</v>
      </c>
      <c r="H695" s="51"/>
      <c r="I695" s="17">
        <f t="shared" si="13"/>
        <v>200</v>
      </c>
      <c r="J695" s="56"/>
      <c r="K695" s="56"/>
    </row>
    <row r="696" spans="1:11" ht="33.75" customHeight="1">
      <c r="A696" s="11">
        <v>55603</v>
      </c>
      <c r="B696" s="54" t="s">
        <v>805</v>
      </c>
      <c r="C696" s="13"/>
      <c r="D696" s="14" t="s">
        <v>18</v>
      </c>
      <c r="E696" s="14" t="s">
        <v>28</v>
      </c>
      <c r="F696" s="14" t="s">
        <v>27</v>
      </c>
      <c r="G696" s="305">
        <f>'AGOST-18'!I692</f>
        <v>10</v>
      </c>
      <c r="H696" s="51"/>
      <c r="I696" s="17">
        <f t="shared" si="13"/>
        <v>10</v>
      </c>
      <c r="J696" s="56"/>
      <c r="K696" s="56"/>
    </row>
    <row r="697" spans="1:11" ht="75">
      <c r="A697" s="141" t="s">
        <v>504</v>
      </c>
      <c r="B697" s="53" t="s">
        <v>806</v>
      </c>
      <c r="C697" s="13"/>
      <c r="D697" s="14"/>
      <c r="E697" s="14"/>
      <c r="F697" s="14"/>
      <c r="G697" s="305">
        <f>'AGOST-18'!I693</f>
        <v>0</v>
      </c>
      <c r="H697" s="51"/>
      <c r="I697" s="17"/>
      <c r="J697" s="56"/>
      <c r="K697" s="56"/>
    </row>
    <row r="698" spans="1:11" ht="29.25">
      <c r="A698" s="11">
        <v>51202</v>
      </c>
      <c r="B698" s="54" t="s">
        <v>807</v>
      </c>
      <c r="C698" s="13"/>
      <c r="D698" s="14" t="s">
        <v>18</v>
      </c>
      <c r="E698" s="14" t="s">
        <v>28</v>
      </c>
      <c r="F698" s="14" t="s">
        <v>27</v>
      </c>
      <c r="G698" s="305">
        <f>'AGOST-18'!I694</f>
        <v>7000</v>
      </c>
      <c r="H698" s="51"/>
      <c r="I698" s="17">
        <f t="shared" si="13"/>
        <v>7000</v>
      </c>
      <c r="J698" s="56"/>
      <c r="K698" s="56"/>
    </row>
    <row r="699" spans="1:11" ht="29.25">
      <c r="A699" s="11">
        <v>54110</v>
      </c>
      <c r="B699" s="54" t="s">
        <v>808</v>
      </c>
      <c r="C699" s="13"/>
      <c r="D699" s="14" t="s">
        <v>18</v>
      </c>
      <c r="E699" s="14" t="s">
        <v>28</v>
      </c>
      <c r="F699" s="14" t="s">
        <v>27</v>
      </c>
      <c r="G699" s="305">
        <f>'AGOST-18'!I695</f>
        <v>200</v>
      </c>
      <c r="H699" s="51"/>
      <c r="I699" s="17">
        <f t="shared" si="13"/>
        <v>200</v>
      </c>
      <c r="J699" s="56"/>
      <c r="K699" s="56"/>
    </row>
    <row r="700" spans="1:11" ht="29.25">
      <c r="A700" s="11">
        <v>54111</v>
      </c>
      <c r="B700" s="54" t="s">
        <v>809</v>
      </c>
      <c r="C700" s="13"/>
      <c r="D700" s="14" t="s">
        <v>18</v>
      </c>
      <c r="E700" s="14" t="s">
        <v>28</v>
      </c>
      <c r="F700" s="14" t="s">
        <v>27</v>
      </c>
      <c r="G700" s="305">
        <f>'AGOST-18'!I696</f>
        <v>10290</v>
      </c>
      <c r="H700" s="51"/>
      <c r="I700" s="17">
        <f t="shared" si="13"/>
        <v>10290</v>
      </c>
      <c r="J700" s="56"/>
      <c r="K700" s="56"/>
    </row>
    <row r="701" spans="1:11" ht="29.25">
      <c r="A701" s="11">
        <v>54118</v>
      </c>
      <c r="B701" s="54" t="s">
        <v>810</v>
      </c>
      <c r="C701" s="13"/>
      <c r="D701" s="14" t="s">
        <v>18</v>
      </c>
      <c r="E701" s="14" t="s">
        <v>28</v>
      </c>
      <c r="F701" s="14" t="s">
        <v>27</v>
      </c>
      <c r="G701" s="305">
        <f>'AGOST-18'!I697</f>
        <v>1500</v>
      </c>
      <c r="H701" s="51"/>
      <c r="I701" s="17">
        <f t="shared" si="13"/>
        <v>1500</v>
      </c>
      <c r="J701" s="56"/>
      <c r="K701" s="56"/>
    </row>
    <row r="702" spans="1:11" ht="44.25">
      <c r="A702" s="11">
        <v>54313</v>
      </c>
      <c r="B702" s="54" t="s">
        <v>811</v>
      </c>
      <c r="C702" s="13"/>
      <c r="D702" s="14" t="s">
        <v>18</v>
      </c>
      <c r="E702" s="14" t="s">
        <v>28</v>
      </c>
      <c r="F702" s="14" t="s">
        <v>27</v>
      </c>
      <c r="G702" s="305">
        <f>'AGOST-18'!I698</f>
        <v>300</v>
      </c>
      <c r="H702" s="51"/>
      <c r="I702" s="17">
        <f t="shared" si="13"/>
        <v>300</v>
      </c>
      <c r="J702" s="56"/>
      <c r="K702" s="56"/>
    </row>
    <row r="703" spans="1:11" ht="29.25">
      <c r="A703" s="11">
        <v>54399</v>
      </c>
      <c r="B703" s="54" t="s">
        <v>812</v>
      </c>
      <c r="C703" s="13"/>
      <c r="D703" s="14" t="s">
        <v>18</v>
      </c>
      <c r="E703" s="14" t="s">
        <v>28</v>
      </c>
      <c r="F703" s="14" t="s">
        <v>27</v>
      </c>
      <c r="G703" s="305">
        <f>'AGOST-18'!I699</f>
        <v>700</v>
      </c>
      <c r="H703" s="51"/>
      <c r="I703" s="17">
        <f t="shared" si="13"/>
        <v>700</v>
      </c>
      <c r="J703" s="56"/>
      <c r="K703" s="56"/>
    </row>
    <row r="704" spans="1:11" ht="29.25">
      <c r="A704" s="11">
        <v>55603</v>
      </c>
      <c r="B704" s="54" t="s">
        <v>813</v>
      </c>
      <c r="C704" s="13"/>
      <c r="D704" s="14" t="s">
        <v>18</v>
      </c>
      <c r="E704" s="14" t="s">
        <v>28</v>
      </c>
      <c r="F704" s="14" t="s">
        <v>27</v>
      </c>
      <c r="G704" s="305">
        <f>'AGOST-18'!I700</f>
        <v>10</v>
      </c>
      <c r="H704" s="51"/>
      <c r="I704" s="17">
        <f t="shared" si="13"/>
        <v>10</v>
      </c>
      <c r="J704" s="56"/>
      <c r="K704" s="56"/>
    </row>
    <row r="705" spans="1:11" ht="88.5">
      <c r="A705" s="141" t="s">
        <v>505</v>
      </c>
      <c r="B705" s="53" t="s">
        <v>821</v>
      </c>
      <c r="C705" s="13"/>
      <c r="D705" s="14"/>
      <c r="E705" s="14"/>
      <c r="F705" s="14"/>
      <c r="G705" s="305">
        <f>'AGOST-18'!I701</f>
        <v>0</v>
      </c>
      <c r="H705" s="51"/>
      <c r="I705" s="17"/>
      <c r="J705" s="56"/>
      <c r="K705" s="56"/>
    </row>
    <row r="706" spans="1:11" ht="29.25">
      <c r="A706" s="11">
        <v>51202</v>
      </c>
      <c r="B706" s="54" t="s">
        <v>814</v>
      </c>
      <c r="C706" s="13"/>
      <c r="D706" s="14" t="s">
        <v>18</v>
      </c>
      <c r="E706" s="14" t="s">
        <v>28</v>
      </c>
      <c r="F706" s="14" t="s">
        <v>27</v>
      </c>
      <c r="G706" s="305">
        <f>'AGOST-18'!I702</f>
        <v>9000</v>
      </c>
      <c r="H706" s="51"/>
      <c r="I706" s="17">
        <f t="shared" si="13"/>
        <v>9000</v>
      </c>
      <c r="J706" s="56"/>
      <c r="K706" s="56"/>
    </row>
    <row r="707" spans="1:11" ht="29.25">
      <c r="A707" s="11">
        <v>54110</v>
      </c>
      <c r="B707" s="54" t="s">
        <v>815</v>
      </c>
      <c r="C707" s="13"/>
      <c r="D707" s="14" t="s">
        <v>18</v>
      </c>
      <c r="E707" s="14" t="s">
        <v>28</v>
      </c>
      <c r="F707" s="14" t="s">
        <v>27</v>
      </c>
      <c r="G707" s="305">
        <f>'AGOST-18'!I703</f>
        <v>200</v>
      </c>
      <c r="H707" s="51"/>
      <c r="I707" s="17">
        <f t="shared" si="13"/>
        <v>200</v>
      </c>
      <c r="J707" s="56"/>
      <c r="K707" s="56"/>
    </row>
    <row r="708" spans="1:11" ht="44.25">
      <c r="A708" s="11">
        <v>54111</v>
      </c>
      <c r="B708" s="53" t="s">
        <v>816</v>
      </c>
      <c r="C708" s="13"/>
      <c r="D708" s="14" t="s">
        <v>18</v>
      </c>
      <c r="E708" s="14" t="s">
        <v>28</v>
      </c>
      <c r="F708" s="14" t="s">
        <v>27</v>
      </c>
      <c r="G708" s="305">
        <f>'AGOST-18'!I704</f>
        <v>12290</v>
      </c>
      <c r="H708" s="51"/>
      <c r="I708" s="17">
        <f t="shared" ref="I708:I771" si="14">G708-H708+J708-K708</f>
        <v>12290</v>
      </c>
      <c r="J708" s="56"/>
      <c r="K708" s="56"/>
    </row>
    <row r="709" spans="1:11" ht="29.25">
      <c r="A709" s="11">
        <v>54118</v>
      </c>
      <c r="B709" s="54" t="s">
        <v>817</v>
      </c>
      <c r="C709" s="13"/>
      <c r="D709" s="14" t="s">
        <v>18</v>
      </c>
      <c r="E709" s="14" t="s">
        <v>28</v>
      </c>
      <c r="F709" s="14" t="s">
        <v>27</v>
      </c>
      <c r="G709" s="305">
        <f>'AGOST-18'!I705</f>
        <v>3000</v>
      </c>
      <c r="H709" s="51"/>
      <c r="I709" s="17">
        <f t="shared" si="14"/>
        <v>3000</v>
      </c>
      <c r="J709" s="56"/>
      <c r="K709" s="56"/>
    </row>
    <row r="710" spans="1:11" ht="44.25">
      <c r="A710" s="11">
        <v>54313</v>
      </c>
      <c r="B710" s="54" t="s">
        <v>818</v>
      </c>
      <c r="C710" s="13"/>
      <c r="D710" s="14" t="s">
        <v>18</v>
      </c>
      <c r="E710" s="14" t="s">
        <v>28</v>
      </c>
      <c r="F710" s="14" t="s">
        <v>27</v>
      </c>
      <c r="G710" s="305">
        <f>'AGOST-18'!I706</f>
        <v>300</v>
      </c>
      <c r="H710" s="51"/>
      <c r="I710" s="17">
        <f t="shared" si="14"/>
        <v>300</v>
      </c>
      <c r="J710" s="56"/>
      <c r="K710" s="56"/>
    </row>
    <row r="711" spans="1:11" ht="43.5">
      <c r="A711" s="11">
        <v>54399</v>
      </c>
      <c r="B711" s="54" t="s">
        <v>819</v>
      </c>
      <c r="C711" s="13"/>
      <c r="D711" s="14" t="s">
        <v>18</v>
      </c>
      <c r="E711" s="14" t="s">
        <v>28</v>
      </c>
      <c r="F711" s="14" t="s">
        <v>27</v>
      </c>
      <c r="G711" s="305">
        <f>'AGOST-18'!I707</f>
        <v>200</v>
      </c>
      <c r="H711" s="51"/>
      <c r="I711" s="17">
        <f t="shared" si="14"/>
        <v>200</v>
      </c>
      <c r="J711" s="56"/>
      <c r="K711" s="56"/>
    </row>
    <row r="712" spans="1:11" ht="29.25">
      <c r="A712" s="11">
        <v>55603</v>
      </c>
      <c r="B712" s="54" t="s">
        <v>820</v>
      </c>
      <c r="C712" s="13"/>
      <c r="D712" s="14" t="s">
        <v>18</v>
      </c>
      <c r="E712" s="14" t="s">
        <v>28</v>
      </c>
      <c r="F712" s="14" t="s">
        <v>27</v>
      </c>
      <c r="G712" s="305">
        <f>'AGOST-18'!I708</f>
        <v>10</v>
      </c>
      <c r="H712" s="51"/>
      <c r="I712" s="17">
        <f t="shared" si="14"/>
        <v>10</v>
      </c>
      <c r="J712" s="56"/>
      <c r="K712" s="56"/>
    </row>
    <row r="713" spans="1:11" ht="75">
      <c r="A713" s="141" t="s">
        <v>511</v>
      </c>
      <c r="B713" s="53" t="s">
        <v>824</v>
      </c>
      <c r="C713" s="13"/>
      <c r="D713" s="14"/>
      <c r="E713" s="14"/>
      <c r="F713" s="14"/>
      <c r="G713" s="305">
        <f>'AGOST-18'!I709</f>
        <v>0</v>
      </c>
      <c r="H713" s="51"/>
      <c r="I713" s="17"/>
      <c r="J713" s="56"/>
      <c r="K713" s="56"/>
    </row>
    <row r="714" spans="1:11" ht="29.25">
      <c r="A714" s="11">
        <v>51202</v>
      </c>
      <c r="B714" s="54" t="s">
        <v>823</v>
      </c>
      <c r="C714" s="13"/>
      <c r="D714" s="14" t="s">
        <v>18</v>
      </c>
      <c r="E714" s="14" t="s">
        <v>28</v>
      </c>
      <c r="F714" s="14" t="s">
        <v>27</v>
      </c>
      <c r="G714" s="305">
        <f>'AGOST-18'!I710</f>
        <v>3000</v>
      </c>
      <c r="H714" s="51"/>
      <c r="I714" s="17">
        <f t="shared" si="14"/>
        <v>3000</v>
      </c>
      <c r="J714" s="56"/>
      <c r="K714" s="56"/>
    </row>
    <row r="715" spans="1:11" ht="29.25">
      <c r="A715" s="11">
        <v>54110</v>
      </c>
      <c r="B715" s="54" t="s">
        <v>825</v>
      </c>
      <c r="C715" s="13"/>
      <c r="D715" s="14" t="s">
        <v>18</v>
      </c>
      <c r="E715" s="14" t="s">
        <v>28</v>
      </c>
      <c r="F715" s="14" t="s">
        <v>27</v>
      </c>
      <c r="G715" s="305">
        <f>'AGOST-18'!I711</f>
        <v>200</v>
      </c>
      <c r="H715" s="51"/>
      <c r="I715" s="17">
        <f t="shared" si="14"/>
        <v>200</v>
      </c>
      <c r="J715" s="56"/>
      <c r="K715" s="56"/>
    </row>
    <row r="716" spans="1:11" ht="44.25">
      <c r="A716" s="11">
        <v>54111</v>
      </c>
      <c r="B716" s="54" t="s">
        <v>826</v>
      </c>
      <c r="C716" s="13"/>
      <c r="D716" s="14" t="s">
        <v>18</v>
      </c>
      <c r="E716" s="14" t="s">
        <v>28</v>
      </c>
      <c r="F716" s="14" t="s">
        <v>27</v>
      </c>
      <c r="G716" s="305">
        <f>'AGOST-18'!I712</f>
        <v>4990</v>
      </c>
      <c r="H716" s="51"/>
      <c r="I716" s="17">
        <f t="shared" si="14"/>
        <v>4990</v>
      </c>
      <c r="J716" s="56"/>
      <c r="K716" s="56"/>
    </row>
    <row r="717" spans="1:11" ht="29.25">
      <c r="A717" s="11">
        <v>54118</v>
      </c>
      <c r="B717" s="54" t="s">
        <v>827</v>
      </c>
      <c r="C717" s="13"/>
      <c r="D717" s="14" t="s">
        <v>18</v>
      </c>
      <c r="E717" s="14" t="s">
        <v>28</v>
      </c>
      <c r="F717" s="14" t="s">
        <v>27</v>
      </c>
      <c r="G717" s="305">
        <f>'AGOST-18'!I713</f>
        <v>800</v>
      </c>
      <c r="H717" s="51"/>
      <c r="I717" s="17">
        <f t="shared" si="14"/>
        <v>800</v>
      </c>
      <c r="J717" s="56"/>
      <c r="K717" s="56"/>
    </row>
    <row r="718" spans="1:11" ht="44.25">
      <c r="A718" s="11">
        <v>54313</v>
      </c>
      <c r="B718" s="54" t="s">
        <v>828</v>
      </c>
      <c r="C718" s="13"/>
      <c r="D718" s="14" t="s">
        <v>18</v>
      </c>
      <c r="E718" s="14" t="s">
        <v>28</v>
      </c>
      <c r="F718" s="14" t="s">
        <v>27</v>
      </c>
      <c r="G718" s="305">
        <f>'AGOST-18'!I714</f>
        <v>300</v>
      </c>
      <c r="H718" s="51"/>
      <c r="I718" s="17">
        <f t="shared" si="14"/>
        <v>300</v>
      </c>
      <c r="J718" s="56"/>
      <c r="K718" s="56"/>
    </row>
    <row r="719" spans="1:11" ht="44.25">
      <c r="A719" s="11">
        <v>54399</v>
      </c>
      <c r="B719" s="54" t="s">
        <v>829</v>
      </c>
      <c r="C719" s="13"/>
      <c r="D719" s="14" t="s">
        <v>18</v>
      </c>
      <c r="E719" s="14" t="s">
        <v>28</v>
      </c>
      <c r="F719" s="14" t="s">
        <v>27</v>
      </c>
      <c r="G719" s="305">
        <f>'AGOST-18'!I715</f>
        <v>700</v>
      </c>
      <c r="H719" s="51"/>
      <c r="I719" s="17">
        <f t="shared" si="14"/>
        <v>700</v>
      </c>
      <c r="J719" s="56"/>
      <c r="K719" s="56"/>
    </row>
    <row r="720" spans="1:11" ht="29.25">
      <c r="A720" s="11">
        <v>55603</v>
      </c>
      <c r="B720" s="54" t="s">
        <v>830</v>
      </c>
      <c r="C720" s="13"/>
      <c r="D720" s="14" t="s">
        <v>18</v>
      </c>
      <c r="E720" s="14" t="s">
        <v>28</v>
      </c>
      <c r="F720" s="14" t="s">
        <v>27</v>
      </c>
      <c r="G720" s="305">
        <f>'AGOST-18'!I716</f>
        <v>10</v>
      </c>
      <c r="H720" s="51"/>
      <c r="I720" s="17">
        <f t="shared" si="14"/>
        <v>10</v>
      </c>
      <c r="J720" s="56"/>
      <c r="K720" s="56"/>
    </row>
    <row r="721" spans="1:11" ht="74.25">
      <c r="A721" s="141" t="s">
        <v>517</v>
      </c>
      <c r="B721" s="53" t="s">
        <v>822</v>
      </c>
      <c r="C721" s="13"/>
      <c r="D721" s="14"/>
      <c r="E721" s="14"/>
      <c r="F721" s="14"/>
      <c r="G721" s="305">
        <f>'AGOST-18'!I717</f>
        <v>0</v>
      </c>
      <c r="H721" s="51"/>
      <c r="I721" s="17"/>
      <c r="J721" s="56"/>
      <c r="K721" s="56"/>
    </row>
    <row r="722" spans="1:11" ht="29.25">
      <c r="A722" s="11">
        <v>51202</v>
      </c>
      <c r="B722" s="54" t="s">
        <v>831</v>
      </c>
      <c r="C722" s="13"/>
      <c r="D722" s="14" t="s">
        <v>18</v>
      </c>
      <c r="E722" s="14" t="s">
        <v>28</v>
      </c>
      <c r="F722" s="14" t="s">
        <v>27</v>
      </c>
      <c r="G722" s="305">
        <f>'AGOST-18'!I718</f>
        <v>9000</v>
      </c>
      <c r="H722" s="51"/>
      <c r="I722" s="17">
        <f t="shared" si="14"/>
        <v>9000</v>
      </c>
      <c r="J722" s="56"/>
      <c r="K722" s="56"/>
    </row>
    <row r="723" spans="1:11" ht="29.25">
      <c r="A723" s="11">
        <v>54110</v>
      </c>
      <c r="B723" s="54" t="s">
        <v>832</v>
      </c>
      <c r="C723" s="13"/>
      <c r="D723" s="14" t="s">
        <v>18</v>
      </c>
      <c r="E723" s="14" t="s">
        <v>28</v>
      </c>
      <c r="F723" s="14" t="s">
        <v>27</v>
      </c>
      <c r="G723" s="305">
        <f>'AGOST-18'!I719</f>
        <v>200</v>
      </c>
      <c r="H723" s="51"/>
      <c r="I723" s="17">
        <f t="shared" si="14"/>
        <v>200</v>
      </c>
      <c r="J723" s="56"/>
      <c r="K723" s="56"/>
    </row>
    <row r="724" spans="1:11" ht="29.25">
      <c r="A724" s="11">
        <v>54111</v>
      </c>
      <c r="B724" s="54" t="s">
        <v>833</v>
      </c>
      <c r="C724" s="13"/>
      <c r="D724" s="14" t="s">
        <v>18</v>
      </c>
      <c r="E724" s="14" t="s">
        <v>28</v>
      </c>
      <c r="F724" s="14" t="s">
        <v>27</v>
      </c>
      <c r="G724" s="305">
        <f>'AGOST-18'!I720</f>
        <v>12290</v>
      </c>
      <c r="H724" s="51"/>
      <c r="I724" s="17">
        <f t="shared" si="14"/>
        <v>12290</v>
      </c>
      <c r="J724" s="56"/>
      <c r="K724" s="56"/>
    </row>
    <row r="725" spans="1:11" ht="29.25">
      <c r="A725" s="11">
        <v>54118</v>
      </c>
      <c r="B725" s="54" t="s">
        <v>834</v>
      </c>
      <c r="C725" s="13"/>
      <c r="D725" s="14" t="s">
        <v>18</v>
      </c>
      <c r="E725" s="14" t="s">
        <v>28</v>
      </c>
      <c r="F725" s="14" t="s">
        <v>27</v>
      </c>
      <c r="G725" s="305">
        <f>'AGOST-18'!I721</f>
        <v>3000</v>
      </c>
      <c r="H725" s="51"/>
      <c r="I725" s="17">
        <f t="shared" si="14"/>
        <v>3000</v>
      </c>
      <c r="J725" s="56"/>
      <c r="K725" s="56"/>
    </row>
    <row r="726" spans="1:11" ht="29.25">
      <c r="A726" s="11">
        <v>54313</v>
      </c>
      <c r="B726" s="54" t="s">
        <v>835</v>
      </c>
      <c r="C726" s="13"/>
      <c r="D726" s="14" t="s">
        <v>18</v>
      </c>
      <c r="E726" s="14" t="s">
        <v>28</v>
      </c>
      <c r="F726" s="14" t="s">
        <v>27</v>
      </c>
      <c r="G726" s="305">
        <f>'AGOST-18'!I722</f>
        <v>300</v>
      </c>
      <c r="H726" s="51"/>
      <c r="I726" s="17">
        <f t="shared" si="14"/>
        <v>300</v>
      </c>
      <c r="J726" s="56"/>
      <c r="K726" s="56"/>
    </row>
    <row r="727" spans="1:11" ht="29.25">
      <c r="A727" s="11">
        <v>54399</v>
      </c>
      <c r="B727" s="54" t="s">
        <v>836</v>
      </c>
      <c r="C727" s="13"/>
      <c r="D727" s="14" t="s">
        <v>18</v>
      </c>
      <c r="E727" s="14" t="s">
        <v>28</v>
      </c>
      <c r="F727" s="14" t="s">
        <v>27</v>
      </c>
      <c r="G727" s="305">
        <f>'AGOST-18'!I723</f>
        <v>200</v>
      </c>
      <c r="H727" s="51"/>
      <c r="I727" s="17">
        <f t="shared" si="14"/>
        <v>200</v>
      </c>
      <c r="J727" s="56"/>
      <c r="K727" s="56"/>
    </row>
    <row r="728" spans="1:11" ht="29.25">
      <c r="A728" s="11">
        <v>55603</v>
      </c>
      <c r="B728" s="53" t="s">
        <v>837</v>
      </c>
      <c r="C728" s="13"/>
      <c r="D728" s="14" t="s">
        <v>18</v>
      </c>
      <c r="E728" s="14" t="s">
        <v>28</v>
      </c>
      <c r="F728" s="14" t="s">
        <v>27</v>
      </c>
      <c r="G728" s="305">
        <f>'AGOST-18'!I724</f>
        <v>10</v>
      </c>
      <c r="H728" s="51"/>
      <c r="I728" s="17">
        <f t="shared" si="14"/>
        <v>10</v>
      </c>
      <c r="J728" s="56"/>
      <c r="K728" s="56"/>
    </row>
    <row r="729" spans="1:11" ht="75">
      <c r="A729" s="141" t="s">
        <v>838</v>
      </c>
      <c r="B729" s="53" t="s">
        <v>840</v>
      </c>
      <c r="C729" s="13"/>
      <c r="D729" s="14"/>
      <c r="E729" s="14"/>
      <c r="F729" s="14"/>
      <c r="G729" s="305">
        <f>'AGOST-18'!I725</f>
        <v>0</v>
      </c>
      <c r="H729" s="51"/>
      <c r="I729" s="17"/>
      <c r="J729" s="56"/>
      <c r="K729" s="56"/>
    </row>
    <row r="730" spans="1:11" ht="29.25">
      <c r="A730" s="11">
        <v>51202</v>
      </c>
      <c r="B730" s="54" t="s">
        <v>842</v>
      </c>
      <c r="C730" s="13"/>
      <c r="D730" s="14" t="s">
        <v>18</v>
      </c>
      <c r="E730" s="14" t="s">
        <v>28</v>
      </c>
      <c r="F730" s="14" t="s">
        <v>27</v>
      </c>
      <c r="G730" s="305">
        <f>'AGOST-18'!I726</f>
        <v>9000</v>
      </c>
      <c r="H730" s="51"/>
      <c r="I730" s="17">
        <f t="shared" si="14"/>
        <v>9000</v>
      </c>
      <c r="J730" s="56"/>
      <c r="K730" s="56"/>
    </row>
    <row r="731" spans="1:11" ht="43.5">
      <c r="A731" s="11">
        <v>54110</v>
      </c>
      <c r="B731" s="53" t="s">
        <v>844</v>
      </c>
      <c r="C731" s="13"/>
      <c r="D731" s="14" t="s">
        <v>18</v>
      </c>
      <c r="E731" s="14" t="s">
        <v>28</v>
      </c>
      <c r="F731" s="14" t="s">
        <v>27</v>
      </c>
      <c r="G731" s="305">
        <f>'AGOST-18'!I727</f>
        <v>200</v>
      </c>
      <c r="H731" s="51"/>
      <c r="I731" s="17">
        <f t="shared" si="14"/>
        <v>200</v>
      </c>
      <c r="J731" s="56"/>
      <c r="K731" s="56"/>
    </row>
    <row r="732" spans="1:11" ht="44.25">
      <c r="A732" s="11">
        <v>54111</v>
      </c>
      <c r="B732" s="53" t="s">
        <v>845</v>
      </c>
      <c r="C732" s="13"/>
      <c r="D732" s="14" t="s">
        <v>18</v>
      </c>
      <c r="E732" s="14" t="s">
        <v>28</v>
      </c>
      <c r="F732" s="14" t="s">
        <v>27</v>
      </c>
      <c r="G732" s="305">
        <f>'AGOST-18'!I728</f>
        <v>12290</v>
      </c>
      <c r="H732" s="51"/>
      <c r="I732" s="17">
        <f t="shared" si="14"/>
        <v>12290</v>
      </c>
      <c r="J732" s="56"/>
      <c r="K732" s="56"/>
    </row>
    <row r="733" spans="1:11" ht="43.5">
      <c r="A733" s="11">
        <v>54118</v>
      </c>
      <c r="B733" s="53" t="s">
        <v>846</v>
      </c>
      <c r="C733" s="13"/>
      <c r="D733" s="14" t="s">
        <v>18</v>
      </c>
      <c r="E733" s="14" t="s">
        <v>28</v>
      </c>
      <c r="F733" s="14" t="s">
        <v>27</v>
      </c>
      <c r="G733" s="305">
        <f>'AGOST-18'!I729</f>
        <v>3000</v>
      </c>
      <c r="H733" s="51"/>
      <c r="I733" s="17">
        <f t="shared" si="14"/>
        <v>3000</v>
      </c>
      <c r="J733" s="56"/>
      <c r="K733" s="56"/>
    </row>
    <row r="734" spans="1:11" ht="44.25">
      <c r="A734" s="11">
        <v>54313</v>
      </c>
      <c r="B734" s="53" t="s">
        <v>847</v>
      </c>
      <c r="C734" s="13"/>
      <c r="D734" s="14" t="s">
        <v>18</v>
      </c>
      <c r="E734" s="14" t="s">
        <v>28</v>
      </c>
      <c r="F734" s="14" t="s">
        <v>27</v>
      </c>
      <c r="G734" s="305">
        <f>'AGOST-18'!I730</f>
        <v>300</v>
      </c>
      <c r="H734" s="51"/>
      <c r="I734" s="17">
        <f t="shared" si="14"/>
        <v>300</v>
      </c>
      <c r="J734" s="56"/>
      <c r="K734" s="56"/>
    </row>
    <row r="735" spans="1:11" ht="44.25">
      <c r="A735" s="11">
        <v>54399</v>
      </c>
      <c r="B735" s="53" t="s">
        <v>848</v>
      </c>
      <c r="C735" s="13"/>
      <c r="D735" s="14" t="s">
        <v>18</v>
      </c>
      <c r="E735" s="14" t="s">
        <v>28</v>
      </c>
      <c r="F735" s="14" t="s">
        <v>27</v>
      </c>
      <c r="G735" s="305">
        <f>'AGOST-18'!I731</f>
        <v>200</v>
      </c>
      <c r="H735" s="51"/>
      <c r="I735" s="17">
        <f t="shared" si="14"/>
        <v>200</v>
      </c>
      <c r="J735" s="56"/>
      <c r="K735" s="56"/>
    </row>
    <row r="736" spans="1:11" ht="43.5">
      <c r="A736" s="11">
        <v>55603</v>
      </c>
      <c r="B736" s="53" t="s">
        <v>849</v>
      </c>
      <c r="C736" s="13"/>
      <c r="D736" s="14" t="s">
        <v>18</v>
      </c>
      <c r="E736" s="14" t="s">
        <v>28</v>
      </c>
      <c r="F736" s="14" t="s">
        <v>27</v>
      </c>
      <c r="G736" s="305">
        <f>'AGOST-18'!I732</f>
        <v>10</v>
      </c>
      <c r="H736" s="51"/>
      <c r="I736" s="17">
        <f t="shared" si="14"/>
        <v>10</v>
      </c>
      <c r="J736" s="56"/>
      <c r="K736" s="56"/>
    </row>
    <row r="737" spans="1:11" ht="60">
      <c r="A737" s="141" t="s">
        <v>839</v>
      </c>
      <c r="B737" s="53" t="s">
        <v>841</v>
      </c>
      <c r="C737" s="13"/>
      <c r="D737" s="14"/>
      <c r="E737" s="14"/>
      <c r="F737" s="14"/>
      <c r="G737" s="305">
        <f>'AGOST-18'!I733</f>
        <v>0</v>
      </c>
      <c r="H737" s="51"/>
      <c r="I737" s="17"/>
      <c r="J737" s="56"/>
      <c r="K737" s="56"/>
    </row>
    <row r="738" spans="1:11" ht="29.25">
      <c r="A738" s="11">
        <v>51202</v>
      </c>
      <c r="B738" s="54" t="s">
        <v>843</v>
      </c>
      <c r="C738" s="13"/>
      <c r="D738" s="14" t="s">
        <v>18</v>
      </c>
      <c r="E738" s="14" t="s">
        <v>28</v>
      </c>
      <c r="F738" s="14" t="s">
        <v>27</v>
      </c>
      <c r="G738" s="305">
        <f>'AGOST-18'!I734</f>
        <v>9000</v>
      </c>
      <c r="H738" s="51"/>
      <c r="I738" s="17">
        <f t="shared" si="14"/>
        <v>9000</v>
      </c>
      <c r="J738" s="56"/>
      <c r="K738" s="56"/>
    </row>
    <row r="739" spans="1:11" ht="29.25">
      <c r="A739" s="11">
        <v>54110</v>
      </c>
      <c r="B739" s="53" t="s">
        <v>850</v>
      </c>
      <c r="C739" s="13"/>
      <c r="D739" s="14" t="s">
        <v>18</v>
      </c>
      <c r="E739" s="14" t="s">
        <v>28</v>
      </c>
      <c r="F739" s="14" t="s">
        <v>27</v>
      </c>
      <c r="G739" s="305">
        <f>'AGOST-18'!I735</f>
        <v>200</v>
      </c>
      <c r="H739" s="51"/>
      <c r="I739" s="17">
        <f t="shared" si="14"/>
        <v>200</v>
      </c>
      <c r="J739" s="56"/>
      <c r="K739" s="56"/>
    </row>
    <row r="740" spans="1:11" ht="29.25">
      <c r="A740" s="11">
        <v>54111</v>
      </c>
      <c r="B740" s="54" t="s">
        <v>851</v>
      </c>
      <c r="C740" s="13"/>
      <c r="D740" s="14" t="s">
        <v>18</v>
      </c>
      <c r="E740" s="14" t="s">
        <v>28</v>
      </c>
      <c r="F740" s="14" t="s">
        <v>27</v>
      </c>
      <c r="G740" s="305">
        <f>'AGOST-18'!I736</f>
        <v>12290</v>
      </c>
      <c r="H740" s="51"/>
      <c r="I740" s="17">
        <f t="shared" si="14"/>
        <v>12290</v>
      </c>
      <c r="J740" s="56"/>
      <c r="K740" s="56"/>
    </row>
    <row r="741" spans="1:11" ht="29.25">
      <c r="A741" s="11">
        <v>54118</v>
      </c>
      <c r="B741" s="53" t="s">
        <v>852</v>
      </c>
      <c r="C741" s="13"/>
      <c r="D741" s="14" t="s">
        <v>18</v>
      </c>
      <c r="E741" s="14" t="s">
        <v>28</v>
      </c>
      <c r="F741" s="14" t="s">
        <v>27</v>
      </c>
      <c r="G741" s="305">
        <f>'AGOST-18'!I737</f>
        <v>3000</v>
      </c>
      <c r="H741" s="51"/>
      <c r="I741" s="17">
        <f t="shared" si="14"/>
        <v>3000</v>
      </c>
      <c r="J741" s="56"/>
      <c r="K741" s="56"/>
    </row>
    <row r="742" spans="1:11" ht="29.25">
      <c r="A742" s="11">
        <v>54313</v>
      </c>
      <c r="B742" s="54" t="s">
        <v>853</v>
      </c>
      <c r="C742" s="13"/>
      <c r="D742" s="14" t="s">
        <v>18</v>
      </c>
      <c r="E742" s="14" t="s">
        <v>28</v>
      </c>
      <c r="F742" s="14" t="s">
        <v>27</v>
      </c>
      <c r="G742" s="305">
        <f>'AGOST-18'!I738</f>
        <v>300</v>
      </c>
      <c r="H742" s="51"/>
      <c r="I742" s="17">
        <f t="shared" si="14"/>
        <v>300</v>
      </c>
      <c r="J742" s="56"/>
      <c r="K742" s="56"/>
    </row>
    <row r="743" spans="1:11" ht="37.5" customHeight="1">
      <c r="A743" s="11">
        <v>54399</v>
      </c>
      <c r="B743" s="54" t="s">
        <v>854</v>
      </c>
      <c r="C743" s="13"/>
      <c r="D743" s="14" t="s">
        <v>18</v>
      </c>
      <c r="E743" s="14" t="s">
        <v>28</v>
      </c>
      <c r="F743" s="14" t="s">
        <v>27</v>
      </c>
      <c r="G743" s="305">
        <f>'AGOST-18'!I739</f>
        <v>200</v>
      </c>
      <c r="H743" s="51"/>
      <c r="I743" s="17">
        <f t="shared" si="14"/>
        <v>200</v>
      </c>
      <c r="J743" s="56"/>
      <c r="K743" s="56"/>
    </row>
    <row r="744" spans="1:11" ht="29.25">
      <c r="A744" s="11">
        <v>55603</v>
      </c>
      <c r="B744" s="54" t="s">
        <v>855</v>
      </c>
      <c r="C744" s="13"/>
      <c r="D744" s="14" t="s">
        <v>18</v>
      </c>
      <c r="E744" s="14" t="s">
        <v>28</v>
      </c>
      <c r="F744" s="14" t="s">
        <v>27</v>
      </c>
      <c r="G744" s="305">
        <f>'AGOST-18'!I740</f>
        <v>10</v>
      </c>
      <c r="H744" s="51"/>
      <c r="I744" s="17">
        <f t="shared" si="14"/>
        <v>10</v>
      </c>
      <c r="J744" s="56"/>
      <c r="K744" s="56"/>
    </row>
    <row r="745" spans="1:11" ht="60">
      <c r="A745" s="141" t="s">
        <v>872</v>
      </c>
      <c r="B745" s="53" t="s">
        <v>856</v>
      </c>
      <c r="C745" s="13"/>
      <c r="D745" s="14"/>
      <c r="E745" s="14"/>
      <c r="F745" s="14"/>
      <c r="G745" s="305">
        <f>'AGOST-18'!I741</f>
        <v>0</v>
      </c>
      <c r="H745" s="51"/>
      <c r="I745" s="17"/>
      <c r="J745" s="56"/>
      <c r="K745" s="56"/>
    </row>
    <row r="746" spans="1:11" ht="29.25">
      <c r="A746" s="11">
        <v>51202</v>
      </c>
      <c r="B746" s="54" t="s">
        <v>857</v>
      </c>
      <c r="C746" s="13"/>
      <c r="D746" s="14" t="s">
        <v>18</v>
      </c>
      <c r="E746" s="14" t="s">
        <v>28</v>
      </c>
      <c r="F746" s="14" t="s">
        <v>27</v>
      </c>
      <c r="G746" s="305">
        <f>'AGOST-18'!I742</f>
        <v>1800</v>
      </c>
      <c r="H746" s="51"/>
      <c r="I746" s="17">
        <f t="shared" si="14"/>
        <v>0</v>
      </c>
      <c r="J746" s="56"/>
      <c r="K746" s="142">
        <v>1800</v>
      </c>
    </row>
    <row r="747" spans="1:11" ht="29.25">
      <c r="A747" s="11">
        <v>54110</v>
      </c>
      <c r="B747" s="53" t="s">
        <v>858</v>
      </c>
      <c r="C747" s="13"/>
      <c r="D747" s="14" t="s">
        <v>18</v>
      </c>
      <c r="E747" s="14" t="s">
        <v>28</v>
      </c>
      <c r="F747" s="14" t="s">
        <v>27</v>
      </c>
      <c r="G747" s="305">
        <f>'AGOST-18'!I743</f>
        <v>100</v>
      </c>
      <c r="H747" s="51"/>
      <c r="I747" s="17">
        <f t="shared" si="14"/>
        <v>0</v>
      </c>
      <c r="J747" s="56"/>
      <c r="K747" s="142">
        <v>100</v>
      </c>
    </row>
    <row r="748" spans="1:11" ht="44.25">
      <c r="A748" s="11">
        <v>54111</v>
      </c>
      <c r="B748" s="53" t="s">
        <v>859</v>
      </c>
      <c r="C748" s="13"/>
      <c r="D748" s="14" t="s">
        <v>18</v>
      </c>
      <c r="E748" s="14" t="s">
        <v>28</v>
      </c>
      <c r="F748" s="14" t="s">
        <v>27</v>
      </c>
      <c r="G748" s="305">
        <f>'AGOST-18'!I744</f>
        <v>2590</v>
      </c>
      <c r="H748" s="51"/>
      <c r="I748" s="17">
        <f t="shared" si="14"/>
        <v>0</v>
      </c>
      <c r="J748" s="56"/>
      <c r="K748" s="142">
        <v>2590</v>
      </c>
    </row>
    <row r="749" spans="1:11" ht="29.25">
      <c r="A749" s="11">
        <v>54118</v>
      </c>
      <c r="B749" s="53" t="s">
        <v>860</v>
      </c>
      <c r="C749" s="13"/>
      <c r="D749" s="14" t="s">
        <v>18</v>
      </c>
      <c r="E749" s="14" t="s">
        <v>28</v>
      </c>
      <c r="F749" s="14" t="s">
        <v>27</v>
      </c>
      <c r="G749" s="305">
        <f>'AGOST-18'!I745</f>
        <v>100</v>
      </c>
      <c r="H749" s="51"/>
      <c r="I749" s="17">
        <f t="shared" si="14"/>
        <v>0</v>
      </c>
      <c r="J749" s="56"/>
      <c r="K749" s="142">
        <v>100</v>
      </c>
    </row>
    <row r="750" spans="1:11" ht="44.25">
      <c r="A750" s="11">
        <v>54313</v>
      </c>
      <c r="B750" s="53" t="s">
        <v>861</v>
      </c>
      <c r="C750" s="13"/>
      <c r="D750" s="14" t="s">
        <v>18</v>
      </c>
      <c r="E750" s="14" t="s">
        <v>28</v>
      </c>
      <c r="F750" s="14" t="s">
        <v>27</v>
      </c>
      <c r="G750" s="305">
        <f>'AGOST-18'!I746</f>
        <v>200</v>
      </c>
      <c r="H750" s="51"/>
      <c r="I750" s="17">
        <f t="shared" si="14"/>
        <v>0</v>
      </c>
      <c r="J750" s="56"/>
      <c r="K750" s="142">
        <v>200</v>
      </c>
    </row>
    <row r="751" spans="1:11" ht="44.25">
      <c r="A751" s="11">
        <v>54399</v>
      </c>
      <c r="B751" s="53" t="s">
        <v>862</v>
      </c>
      <c r="C751" s="13"/>
      <c r="D751" s="14" t="s">
        <v>18</v>
      </c>
      <c r="E751" s="14" t="s">
        <v>28</v>
      </c>
      <c r="F751" s="14" t="s">
        <v>27</v>
      </c>
      <c r="G751" s="305">
        <f>'AGOST-18'!I747</f>
        <v>200</v>
      </c>
      <c r="H751" s="51"/>
      <c r="I751" s="17">
        <f t="shared" si="14"/>
        <v>0</v>
      </c>
      <c r="J751" s="56"/>
      <c r="K751" s="142">
        <v>200</v>
      </c>
    </row>
    <row r="752" spans="1:11" ht="29.25">
      <c r="A752" s="11">
        <v>55603</v>
      </c>
      <c r="B752" s="53" t="s">
        <v>863</v>
      </c>
      <c r="C752" s="13"/>
      <c r="D752" s="14" t="s">
        <v>18</v>
      </c>
      <c r="E752" s="14" t="s">
        <v>28</v>
      </c>
      <c r="F752" s="14" t="s">
        <v>27</v>
      </c>
      <c r="G752" s="305">
        <f>'AGOST-18'!I748</f>
        <v>10</v>
      </c>
      <c r="H752" s="51"/>
      <c r="I752" s="17">
        <f t="shared" si="14"/>
        <v>0</v>
      </c>
      <c r="J752" s="56"/>
      <c r="K752" s="142">
        <v>10</v>
      </c>
    </row>
    <row r="753" spans="1:11" ht="56.25" customHeight="1">
      <c r="A753" s="141" t="s">
        <v>873</v>
      </c>
      <c r="B753" s="53" t="s">
        <v>864</v>
      </c>
      <c r="C753" s="13"/>
      <c r="D753" s="14"/>
      <c r="E753" s="14"/>
      <c r="F753" s="14"/>
      <c r="G753" s="305">
        <f>'AGOST-18'!I749</f>
        <v>0</v>
      </c>
      <c r="H753" s="51"/>
      <c r="I753" s="17"/>
      <c r="J753" s="56"/>
      <c r="K753" s="56"/>
    </row>
    <row r="754" spans="1:11" ht="29.25">
      <c r="A754" s="11">
        <v>51202</v>
      </c>
      <c r="B754" s="53" t="s">
        <v>865</v>
      </c>
      <c r="C754" s="13"/>
      <c r="D754" s="14" t="s">
        <v>18</v>
      </c>
      <c r="E754" s="14" t="s">
        <v>28</v>
      </c>
      <c r="F754" s="14" t="s">
        <v>27</v>
      </c>
      <c r="G754" s="305">
        <f>'AGOST-18'!I750</f>
        <v>7000</v>
      </c>
      <c r="H754" s="51"/>
      <c r="I754" s="17">
        <f t="shared" si="14"/>
        <v>0</v>
      </c>
      <c r="J754" s="56"/>
      <c r="K754" s="142">
        <v>7000</v>
      </c>
    </row>
    <row r="755" spans="1:11" ht="29.25">
      <c r="A755" s="11">
        <v>54110</v>
      </c>
      <c r="B755" s="53" t="s">
        <v>866</v>
      </c>
      <c r="C755" s="13"/>
      <c r="D755" s="14" t="s">
        <v>18</v>
      </c>
      <c r="E755" s="14" t="s">
        <v>28</v>
      </c>
      <c r="F755" s="14" t="s">
        <v>27</v>
      </c>
      <c r="G755" s="305">
        <f>'AGOST-18'!I751</f>
        <v>200</v>
      </c>
      <c r="H755" s="51"/>
      <c r="I755" s="17">
        <f t="shared" si="14"/>
        <v>0</v>
      </c>
      <c r="J755" s="56"/>
      <c r="K755" s="142">
        <v>200</v>
      </c>
    </row>
    <row r="756" spans="1:11" ht="30">
      <c r="A756" s="11">
        <v>54111</v>
      </c>
      <c r="B756" s="53" t="s">
        <v>867</v>
      </c>
      <c r="C756" s="13"/>
      <c r="D756" s="14" t="s">
        <v>18</v>
      </c>
      <c r="E756" s="14" t="s">
        <v>28</v>
      </c>
      <c r="F756" s="14" t="s">
        <v>27</v>
      </c>
      <c r="G756" s="305">
        <f>'AGOST-18'!I752</f>
        <v>10290</v>
      </c>
      <c r="H756" s="51"/>
      <c r="I756" s="17">
        <f t="shared" si="14"/>
        <v>0</v>
      </c>
      <c r="J756" s="56"/>
      <c r="K756" s="142">
        <v>10290</v>
      </c>
    </row>
    <row r="757" spans="1:11" ht="29.25">
      <c r="A757" s="11">
        <v>54118</v>
      </c>
      <c r="B757" s="53" t="s">
        <v>868</v>
      </c>
      <c r="C757" s="13"/>
      <c r="D757" s="14" t="s">
        <v>18</v>
      </c>
      <c r="E757" s="14" t="s">
        <v>28</v>
      </c>
      <c r="F757" s="14" t="s">
        <v>27</v>
      </c>
      <c r="G757" s="305">
        <f>'AGOST-18'!I753</f>
        <v>2000</v>
      </c>
      <c r="H757" s="51"/>
      <c r="I757" s="17">
        <f t="shared" si="14"/>
        <v>0</v>
      </c>
      <c r="J757" s="56"/>
      <c r="K757" s="142">
        <v>2000</v>
      </c>
    </row>
    <row r="758" spans="1:11" ht="44.25">
      <c r="A758" s="11">
        <v>54313</v>
      </c>
      <c r="B758" s="53" t="s">
        <v>869</v>
      </c>
      <c r="C758" s="13"/>
      <c r="D758" s="14" t="s">
        <v>18</v>
      </c>
      <c r="E758" s="14" t="s">
        <v>28</v>
      </c>
      <c r="F758" s="14" t="s">
        <v>27</v>
      </c>
      <c r="G758" s="305">
        <f>'AGOST-18'!I754</f>
        <v>300</v>
      </c>
      <c r="H758" s="51"/>
      <c r="I758" s="17">
        <f t="shared" si="14"/>
        <v>0</v>
      </c>
      <c r="J758" s="56"/>
      <c r="K758" s="142">
        <v>300</v>
      </c>
    </row>
    <row r="759" spans="1:11" ht="30">
      <c r="A759" s="11">
        <v>54399</v>
      </c>
      <c r="B759" s="53" t="s">
        <v>870</v>
      </c>
      <c r="C759" s="13"/>
      <c r="D759" s="14" t="s">
        <v>18</v>
      </c>
      <c r="E759" s="14" t="s">
        <v>28</v>
      </c>
      <c r="F759" s="14" t="s">
        <v>27</v>
      </c>
      <c r="G759" s="305">
        <f>'AGOST-18'!I755</f>
        <v>200</v>
      </c>
      <c r="H759" s="51"/>
      <c r="I759" s="17">
        <f t="shared" si="14"/>
        <v>0</v>
      </c>
      <c r="J759" s="56"/>
      <c r="K759" s="142">
        <v>200</v>
      </c>
    </row>
    <row r="760" spans="1:11" ht="29.25">
      <c r="A760" s="11">
        <v>55603</v>
      </c>
      <c r="B760" s="53" t="s">
        <v>871</v>
      </c>
      <c r="C760" s="13"/>
      <c r="D760" s="14" t="s">
        <v>18</v>
      </c>
      <c r="E760" s="14" t="s">
        <v>28</v>
      </c>
      <c r="F760" s="14" t="s">
        <v>27</v>
      </c>
      <c r="G760" s="305">
        <f>'AGOST-18'!I756</f>
        <v>10</v>
      </c>
      <c r="H760" s="51"/>
      <c r="I760" s="17">
        <f t="shared" si="14"/>
        <v>0</v>
      </c>
      <c r="J760" s="56"/>
      <c r="K760" s="142">
        <v>10</v>
      </c>
    </row>
    <row r="761" spans="1:11" ht="60">
      <c r="A761" s="141" t="s">
        <v>532</v>
      </c>
      <c r="B761" s="53" t="s">
        <v>874</v>
      </c>
      <c r="C761" s="13"/>
      <c r="D761" s="14"/>
      <c r="E761" s="14"/>
      <c r="F761" s="14"/>
      <c r="G761" s="305">
        <f>'AGOST-18'!I757</f>
        <v>0</v>
      </c>
      <c r="H761" s="51"/>
      <c r="I761" s="17"/>
      <c r="J761" s="56"/>
      <c r="K761" s="56"/>
    </row>
    <row r="762" spans="1:11" ht="29.25">
      <c r="A762" s="11">
        <v>51202</v>
      </c>
      <c r="B762" s="53" t="s">
        <v>875</v>
      </c>
      <c r="C762" s="13"/>
      <c r="D762" s="14" t="s">
        <v>18</v>
      </c>
      <c r="E762" s="14" t="s">
        <v>28</v>
      </c>
      <c r="F762" s="14" t="s">
        <v>27</v>
      </c>
      <c r="G762" s="305">
        <f>'AGOST-18'!I758</f>
        <v>6990</v>
      </c>
      <c r="H762" s="51"/>
      <c r="I762" s="17">
        <f t="shared" si="14"/>
        <v>0</v>
      </c>
      <c r="J762" s="56"/>
      <c r="K762" s="142">
        <v>6990</v>
      </c>
    </row>
    <row r="763" spans="1:11" ht="29.25">
      <c r="A763" s="11">
        <v>54110</v>
      </c>
      <c r="B763" s="53" t="s">
        <v>876</v>
      </c>
      <c r="C763" s="13"/>
      <c r="D763" s="14" t="s">
        <v>18</v>
      </c>
      <c r="E763" s="14" t="s">
        <v>28</v>
      </c>
      <c r="F763" s="14" t="s">
        <v>27</v>
      </c>
      <c r="G763" s="305">
        <f>'AGOST-18'!I759</f>
        <v>200</v>
      </c>
      <c r="H763" s="51"/>
      <c r="I763" s="17">
        <f t="shared" si="14"/>
        <v>0</v>
      </c>
      <c r="J763" s="56"/>
      <c r="K763" s="142">
        <v>200</v>
      </c>
    </row>
    <row r="764" spans="1:11" ht="44.25">
      <c r="A764" s="11">
        <v>54111</v>
      </c>
      <c r="B764" s="53" t="s">
        <v>881</v>
      </c>
      <c r="C764" s="13"/>
      <c r="D764" s="14" t="s">
        <v>18</v>
      </c>
      <c r="E764" s="14" t="s">
        <v>28</v>
      </c>
      <c r="F764" s="14" t="s">
        <v>27</v>
      </c>
      <c r="G764" s="305">
        <f>'AGOST-18'!I760</f>
        <v>10000</v>
      </c>
      <c r="H764" s="51"/>
      <c r="I764" s="17">
        <f t="shared" si="14"/>
        <v>0</v>
      </c>
      <c r="J764" s="56"/>
      <c r="K764" s="142">
        <v>10000</v>
      </c>
    </row>
    <row r="765" spans="1:11" ht="29.25">
      <c r="A765" s="11">
        <v>54118</v>
      </c>
      <c r="B765" s="53" t="s">
        <v>877</v>
      </c>
      <c r="C765" s="13"/>
      <c r="D765" s="14" t="s">
        <v>18</v>
      </c>
      <c r="E765" s="14" t="s">
        <v>28</v>
      </c>
      <c r="F765" s="14" t="s">
        <v>27</v>
      </c>
      <c r="G765" s="305">
        <f>'AGOST-18'!I761</f>
        <v>2000</v>
      </c>
      <c r="H765" s="51"/>
      <c r="I765" s="17">
        <f t="shared" si="14"/>
        <v>0</v>
      </c>
      <c r="J765" s="56"/>
      <c r="K765" s="142">
        <v>2000</v>
      </c>
    </row>
    <row r="766" spans="1:11" ht="44.25">
      <c r="A766" s="11">
        <v>54313</v>
      </c>
      <c r="B766" s="53" t="s">
        <v>878</v>
      </c>
      <c r="C766" s="13"/>
      <c r="D766" s="14" t="s">
        <v>18</v>
      </c>
      <c r="E766" s="14" t="s">
        <v>28</v>
      </c>
      <c r="F766" s="14" t="s">
        <v>27</v>
      </c>
      <c r="G766" s="305">
        <f>'AGOST-18'!I762</f>
        <v>300</v>
      </c>
      <c r="H766" s="51"/>
      <c r="I766" s="17">
        <f t="shared" si="14"/>
        <v>0</v>
      </c>
      <c r="J766" s="56"/>
      <c r="K766" s="142">
        <v>300</v>
      </c>
    </row>
    <row r="767" spans="1:11" ht="43.5">
      <c r="A767" s="11">
        <v>54399</v>
      </c>
      <c r="B767" s="53" t="s">
        <v>879</v>
      </c>
      <c r="C767" s="13"/>
      <c r="D767" s="14" t="s">
        <v>18</v>
      </c>
      <c r="E767" s="14" t="s">
        <v>28</v>
      </c>
      <c r="F767" s="14" t="s">
        <v>27</v>
      </c>
      <c r="G767" s="305">
        <f>'AGOST-18'!I763</f>
        <v>500</v>
      </c>
      <c r="H767" s="51"/>
      <c r="I767" s="17">
        <f t="shared" si="14"/>
        <v>0</v>
      </c>
      <c r="J767" s="56"/>
      <c r="K767" s="142">
        <v>500</v>
      </c>
    </row>
    <row r="768" spans="1:11" ht="29.25">
      <c r="A768" s="11">
        <v>55603</v>
      </c>
      <c r="B768" s="53" t="s">
        <v>880</v>
      </c>
      <c r="C768" s="13"/>
      <c r="D768" s="14" t="s">
        <v>18</v>
      </c>
      <c r="E768" s="14" t="s">
        <v>28</v>
      </c>
      <c r="F768" s="14" t="s">
        <v>27</v>
      </c>
      <c r="G768" s="305">
        <f>'AGOST-18'!I764</f>
        <v>10</v>
      </c>
      <c r="H768" s="51"/>
      <c r="I768" s="17">
        <f t="shared" si="14"/>
        <v>0</v>
      </c>
      <c r="J768" s="56"/>
      <c r="K768" s="142">
        <v>10</v>
      </c>
    </row>
    <row r="769" spans="1:11" ht="66.75" customHeight="1">
      <c r="A769" s="144" t="s">
        <v>540</v>
      </c>
      <c r="B769" s="53" t="s">
        <v>882</v>
      </c>
      <c r="C769" s="13"/>
      <c r="D769" s="14"/>
      <c r="E769" s="14"/>
      <c r="F769" s="14"/>
      <c r="G769" s="305">
        <f>'AGOST-18'!I765</f>
        <v>0</v>
      </c>
      <c r="H769" s="51"/>
      <c r="I769" s="17"/>
      <c r="J769" s="56"/>
      <c r="K769" s="56"/>
    </row>
    <row r="770" spans="1:11" ht="43.5">
      <c r="A770" s="11">
        <v>51202</v>
      </c>
      <c r="B770" s="53" t="s">
        <v>883</v>
      </c>
      <c r="C770" s="13"/>
      <c r="D770" s="14" t="s">
        <v>18</v>
      </c>
      <c r="E770" s="14" t="s">
        <v>28</v>
      </c>
      <c r="F770" s="14" t="s">
        <v>27</v>
      </c>
      <c r="G770" s="305">
        <f>'AGOST-18'!I766</f>
        <v>10000</v>
      </c>
      <c r="H770" s="51"/>
      <c r="I770" s="17">
        <f t="shared" si="14"/>
        <v>7788.55</v>
      </c>
      <c r="J770" s="56"/>
      <c r="K770" s="142">
        <v>2211.4499999999998</v>
      </c>
    </row>
    <row r="771" spans="1:11" ht="43.5">
      <c r="A771" s="11">
        <v>54110</v>
      </c>
      <c r="B771" s="53" t="s">
        <v>968</v>
      </c>
      <c r="C771" s="13"/>
      <c r="D771" s="14" t="s">
        <v>18</v>
      </c>
      <c r="E771" s="14" t="s">
        <v>28</v>
      </c>
      <c r="F771" s="14" t="s">
        <v>27</v>
      </c>
      <c r="G771" s="305">
        <f>'AGOST-18'!I767</f>
        <v>500</v>
      </c>
      <c r="H771" s="51"/>
      <c r="I771" s="17">
        <f t="shared" si="14"/>
        <v>500</v>
      </c>
      <c r="J771" s="56"/>
      <c r="K771" s="56"/>
    </row>
    <row r="772" spans="1:11" ht="44.25">
      <c r="A772" s="11">
        <v>54111</v>
      </c>
      <c r="B772" s="53" t="s">
        <v>884</v>
      </c>
      <c r="C772" s="13"/>
      <c r="D772" s="14" t="s">
        <v>18</v>
      </c>
      <c r="E772" s="14" t="s">
        <v>28</v>
      </c>
      <c r="F772" s="14" t="s">
        <v>27</v>
      </c>
      <c r="G772" s="305">
        <f>'AGOST-18'!I768</f>
        <v>15000</v>
      </c>
      <c r="H772" s="51"/>
      <c r="I772" s="17">
        <f t="shared" ref="I772:I823" si="15">G772-H772+J772-K772</f>
        <v>15000</v>
      </c>
      <c r="J772" s="56"/>
      <c r="K772" s="56"/>
    </row>
    <row r="773" spans="1:11" ht="43.5">
      <c r="A773" s="11">
        <v>54118</v>
      </c>
      <c r="B773" s="53" t="s">
        <v>885</v>
      </c>
      <c r="C773" s="13"/>
      <c r="D773" s="14" t="s">
        <v>18</v>
      </c>
      <c r="E773" s="14" t="s">
        <v>28</v>
      </c>
      <c r="F773" s="14" t="s">
        <v>27</v>
      </c>
      <c r="G773" s="305">
        <f>'AGOST-18'!I769</f>
        <v>5000</v>
      </c>
      <c r="H773" s="51"/>
      <c r="I773" s="17">
        <f t="shared" si="15"/>
        <v>5000</v>
      </c>
      <c r="J773" s="56"/>
      <c r="K773" s="56"/>
    </row>
    <row r="774" spans="1:11" ht="43.5">
      <c r="A774" s="11">
        <v>54304</v>
      </c>
      <c r="B774" s="53" t="s">
        <v>889</v>
      </c>
      <c r="C774" s="13"/>
      <c r="D774" s="14" t="s">
        <v>18</v>
      </c>
      <c r="E774" s="14" t="s">
        <v>28</v>
      </c>
      <c r="F774" s="14" t="s">
        <v>27</v>
      </c>
      <c r="G774" s="305">
        <f>'AGOST-18'!I770</f>
        <v>2690</v>
      </c>
      <c r="H774" s="51"/>
      <c r="I774" s="17">
        <f t="shared" si="15"/>
        <v>2690</v>
      </c>
      <c r="J774" s="56"/>
      <c r="K774" s="56"/>
    </row>
    <row r="775" spans="1:11" ht="44.25">
      <c r="A775" s="11">
        <v>54313</v>
      </c>
      <c r="B775" s="53" t="s">
        <v>886</v>
      </c>
      <c r="C775" s="13"/>
      <c r="D775" s="14" t="s">
        <v>18</v>
      </c>
      <c r="E775" s="14" t="s">
        <v>28</v>
      </c>
      <c r="F775" s="14" t="s">
        <v>27</v>
      </c>
      <c r="G775" s="305">
        <f>'AGOST-18'!I771</f>
        <v>300</v>
      </c>
      <c r="H775" s="51"/>
      <c r="I775" s="17">
        <f t="shared" si="15"/>
        <v>300</v>
      </c>
      <c r="J775" s="56"/>
      <c r="K775" s="56"/>
    </row>
    <row r="776" spans="1:11" ht="44.25">
      <c r="A776" s="11">
        <v>54399</v>
      </c>
      <c r="B776" s="53" t="s">
        <v>887</v>
      </c>
      <c r="C776" s="13"/>
      <c r="D776" s="14" t="s">
        <v>18</v>
      </c>
      <c r="E776" s="14" t="s">
        <v>28</v>
      </c>
      <c r="F776" s="14" t="s">
        <v>27</v>
      </c>
      <c r="G776" s="305">
        <f>'AGOST-18'!I772</f>
        <v>1500</v>
      </c>
      <c r="H776" s="51"/>
      <c r="I776" s="17">
        <f t="shared" si="15"/>
        <v>1500</v>
      </c>
      <c r="J776" s="56"/>
      <c r="K776" s="56"/>
    </row>
    <row r="777" spans="1:11" ht="43.5">
      <c r="A777" s="11">
        <v>55603</v>
      </c>
      <c r="B777" s="53" t="s">
        <v>888</v>
      </c>
      <c r="C777" s="13"/>
      <c r="D777" s="14" t="s">
        <v>18</v>
      </c>
      <c r="E777" s="14" t="s">
        <v>28</v>
      </c>
      <c r="F777" s="14" t="s">
        <v>27</v>
      </c>
      <c r="G777" s="305">
        <f>'AGOST-18'!I773</f>
        <v>10</v>
      </c>
      <c r="H777" s="51"/>
      <c r="I777" s="17">
        <f t="shared" si="15"/>
        <v>10</v>
      </c>
      <c r="J777" s="56"/>
      <c r="K777" s="56"/>
    </row>
    <row r="778" spans="1:11" ht="63.75" customHeight="1">
      <c r="A778" s="141" t="s">
        <v>901</v>
      </c>
      <c r="B778" s="53" t="s">
        <v>890</v>
      </c>
      <c r="C778" s="344" t="s">
        <v>1108</v>
      </c>
      <c r="D778" s="14"/>
      <c r="E778" s="14"/>
      <c r="F778" s="14"/>
      <c r="G778" s="305">
        <f>'AGOST-18'!I774</f>
        <v>0</v>
      </c>
      <c r="H778" s="51"/>
      <c r="I778" s="17"/>
      <c r="J778" s="56"/>
      <c r="K778" s="56"/>
    </row>
    <row r="779" spans="1:11" ht="29.25">
      <c r="A779" s="11">
        <v>51202</v>
      </c>
      <c r="B779" s="53" t="s">
        <v>1014</v>
      </c>
      <c r="C779" s="13"/>
      <c r="D779" s="14" t="s">
        <v>18</v>
      </c>
      <c r="E779" s="14" t="s">
        <v>28</v>
      </c>
      <c r="F779" s="14" t="s">
        <v>27</v>
      </c>
      <c r="G779" s="305">
        <f>'AGOST-18'!I775</f>
        <v>110.44999999999982</v>
      </c>
      <c r="H779" s="51">
        <f>112+112+80+80+80+80+420+100+100+330</f>
        <v>1494</v>
      </c>
      <c r="I779" s="17">
        <f t="shared" si="15"/>
        <v>616.44999999999982</v>
      </c>
      <c r="J779" s="410">
        <v>2000</v>
      </c>
      <c r="K779" s="56"/>
    </row>
    <row r="780" spans="1:11" ht="29.25">
      <c r="A780" s="11">
        <v>51999</v>
      </c>
      <c r="B780" s="53" t="s">
        <v>1015</v>
      </c>
      <c r="C780" s="13"/>
      <c r="D780" s="14" t="s">
        <v>18</v>
      </c>
      <c r="E780" s="14" t="s">
        <v>28</v>
      </c>
      <c r="F780" s="14" t="s">
        <v>27</v>
      </c>
      <c r="G780" s="305">
        <f>'AGOST-18'!I776</f>
        <v>211.59999999999991</v>
      </c>
      <c r="H780" s="51"/>
      <c r="I780" s="17">
        <f t="shared" si="15"/>
        <v>711.59999999999991</v>
      </c>
      <c r="J780" s="137">
        <v>500</v>
      </c>
      <c r="K780" s="56"/>
    </row>
    <row r="781" spans="1:11" ht="57" customHeight="1">
      <c r="A781" s="11">
        <v>54107</v>
      </c>
      <c r="B781" s="53" t="s">
        <v>1212</v>
      </c>
      <c r="C781" s="13"/>
      <c r="D781" s="14" t="s">
        <v>18</v>
      </c>
      <c r="E781" s="14" t="s">
        <v>28</v>
      </c>
      <c r="F781" s="14" t="s">
        <v>27</v>
      </c>
      <c r="G781" s="305"/>
      <c r="H781" s="51">
        <f>179.25</f>
        <v>179.25</v>
      </c>
      <c r="I781" s="17">
        <f t="shared" si="15"/>
        <v>320.75</v>
      </c>
      <c r="J781" s="266">
        <v>500</v>
      </c>
      <c r="K781" s="56"/>
    </row>
    <row r="782" spans="1:11" ht="33.75" customHeight="1">
      <c r="A782" s="11">
        <v>54110</v>
      </c>
      <c r="B782" s="53" t="s">
        <v>1016</v>
      </c>
      <c r="C782" s="13"/>
      <c r="D782" s="14" t="s">
        <v>18</v>
      </c>
      <c r="E782" s="14" t="s">
        <v>28</v>
      </c>
      <c r="F782" s="14" t="s">
        <v>27</v>
      </c>
      <c r="G782" s="305">
        <f>'AGOST-18'!I777</f>
        <v>500</v>
      </c>
      <c r="H782" s="51"/>
      <c r="I782" s="17">
        <f t="shared" si="15"/>
        <v>500</v>
      </c>
      <c r="J782" s="56"/>
      <c r="K782" s="56"/>
    </row>
    <row r="783" spans="1:11" ht="34.5" customHeight="1">
      <c r="A783" s="11">
        <v>54111</v>
      </c>
      <c r="B783" s="53" t="s">
        <v>1017</v>
      </c>
      <c r="C783" s="13"/>
      <c r="D783" s="14" t="s">
        <v>18</v>
      </c>
      <c r="E783" s="14" t="s">
        <v>28</v>
      </c>
      <c r="F783" s="14" t="s">
        <v>27</v>
      </c>
      <c r="G783" s="305">
        <f>'AGOST-18'!I778</f>
        <v>7473.5</v>
      </c>
      <c r="H783" s="51">
        <f>88.4+350+68</f>
        <v>506.4</v>
      </c>
      <c r="I783" s="17">
        <f t="shared" si="15"/>
        <v>4967.1000000000004</v>
      </c>
      <c r="J783" s="56"/>
      <c r="K783" s="410">
        <v>2000</v>
      </c>
    </row>
    <row r="784" spans="1:11" ht="44.25">
      <c r="A784" s="11">
        <v>54112</v>
      </c>
      <c r="B784" s="53" t="s">
        <v>1021</v>
      </c>
      <c r="C784" s="13"/>
      <c r="D784" s="14" t="s">
        <v>18</v>
      </c>
      <c r="E784" s="14" t="s">
        <v>28</v>
      </c>
      <c r="F784" s="14" t="s">
        <v>27</v>
      </c>
      <c r="G784" s="305">
        <f>'AGOST-18'!I779</f>
        <v>2481.25</v>
      </c>
      <c r="H784" s="51"/>
      <c r="I784" s="17">
        <f t="shared" si="15"/>
        <v>1481.25</v>
      </c>
      <c r="J784" s="56"/>
      <c r="K784" s="409">
        <v>1000</v>
      </c>
    </row>
    <row r="785" spans="1:11" ht="29.25">
      <c r="A785" s="11">
        <v>54118</v>
      </c>
      <c r="B785" s="53" t="s">
        <v>1020</v>
      </c>
      <c r="C785" s="61" t="s">
        <v>1109</v>
      </c>
      <c r="D785" s="14" t="s">
        <v>18</v>
      </c>
      <c r="E785" s="14" t="s">
        <v>28</v>
      </c>
      <c r="F785" s="14" t="s">
        <v>27</v>
      </c>
      <c r="G785" s="305">
        <f>'AGOST-18'!I780</f>
        <v>1327.41</v>
      </c>
      <c r="H785" s="51">
        <f>88.31+53.6</f>
        <v>141.91</v>
      </c>
      <c r="I785" s="17">
        <f t="shared" si="15"/>
        <v>1185.5</v>
      </c>
      <c r="J785" s="56"/>
      <c r="K785" s="56"/>
    </row>
    <row r="786" spans="1:11" ht="29.25">
      <c r="A786" s="11">
        <v>54199</v>
      </c>
      <c r="B786" s="53" t="s">
        <v>1018</v>
      </c>
      <c r="C786" s="13"/>
      <c r="D786" s="14" t="s">
        <v>18</v>
      </c>
      <c r="E786" s="14" t="s">
        <v>28</v>
      </c>
      <c r="F786" s="14" t="s">
        <v>27</v>
      </c>
      <c r="G786" s="305">
        <f>'AGOST-18'!I781</f>
        <v>1612.0500000000002</v>
      </c>
      <c r="H786" s="51"/>
      <c r="I786" s="17">
        <f t="shared" si="15"/>
        <v>1612.0500000000002</v>
      </c>
      <c r="J786" s="56"/>
      <c r="K786" s="56"/>
    </row>
    <row r="787" spans="1:11" ht="29.25">
      <c r="A787" s="11">
        <v>54313</v>
      </c>
      <c r="B787" s="53" t="s">
        <v>1019</v>
      </c>
      <c r="C787" s="13"/>
      <c r="D787" s="14" t="s">
        <v>18</v>
      </c>
      <c r="E787" s="14" t="s">
        <v>28</v>
      </c>
      <c r="F787" s="14" t="s">
        <v>27</v>
      </c>
      <c r="G787" s="305">
        <f>'AGOST-18'!I782</f>
        <v>275</v>
      </c>
      <c r="H787" s="51"/>
      <c r="I787" s="17">
        <f t="shared" si="15"/>
        <v>275</v>
      </c>
      <c r="J787" s="56"/>
      <c r="K787" s="56"/>
    </row>
    <row r="788" spans="1:11" ht="57">
      <c r="A788" s="11">
        <v>54316</v>
      </c>
      <c r="B788" s="53" t="s">
        <v>1189</v>
      </c>
      <c r="C788" s="13"/>
      <c r="D788" s="14" t="s">
        <v>18</v>
      </c>
      <c r="E788" s="14" t="s">
        <v>28</v>
      </c>
      <c r="F788" s="14" t="s">
        <v>27</v>
      </c>
      <c r="G788" s="305">
        <f>'AGOST-18'!I783</f>
        <v>95</v>
      </c>
      <c r="H788" s="51"/>
      <c r="I788" s="17">
        <f t="shared" si="15"/>
        <v>95</v>
      </c>
      <c r="J788" s="127"/>
      <c r="K788" s="56"/>
    </row>
    <row r="789" spans="1:11" ht="34.5" customHeight="1">
      <c r="A789" s="11">
        <v>54399</v>
      </c>
      <c r="B789" s="53" t="s">
        <v>1022</v>
      </c>
      <c r="C789" s="13"/>
      <c r="D789" s="14" t="s">
        <v>18</v>
      </c>
      <c r="E789" s="14" t="s">
        <v>28</v>
      </c>
      <c r="F789" s="14" t="s">
        <v>27</v>
      </c>
      <c r="G789" s="305">
        <f>'AGOST-18'!I784</f>
        <v>1429.35</v>
      </c>
      <c r="H789" s="51"/>
      <c r="I789" s="17">
        <f t="shared" si="15"/>
        <v>1429.35</v>
      </c>
      <c r="J789" s="137"/>
      <c r="K789" s="137"/>
    </row>
    <row r="790" spans="1:11" ht="29.25">
      <c r="A790" s="11">
        <v>55603</v>
      </c>
      <c r="B790" s="53" t="s">
        <v>898</v>
      </c>
      <c r="C790" s="13"/>
      <c r="D790" s="14" t="s">
        <v>18</v>
      </c>
      <c r="E790" s="14" t="s">
        <v>28</v>
      </c>
      <c r="F790" s="14" t="s">
        <v>27</v>
      </c>
      <c r="G790" s="305">
        <f>'AGOST-18'!I785</f>
        <v>6.8199999999999994</v>
      </c>
      <c r="H790" s="51"/>
      <c r="I790" s="17">
        <f t="shared" si="15"/>
        <v>6.8199999999999994</v>
      </c>
      <c r="J790" s="142"/>
      <c r="K790" s="56"/>
    </row>
    <row r="791" spans="1:11" ht="60">
      <c r="A791" s="141">
        <v>41</v>
      </c>
      <c r="B791" s="53" t="s">
        <v>902</v>
      </c>
      <c r="C791" s="13"/>
      <c r="D791" s="14"/>
      <c r="E791" s="14"/>
      <c r="F791" s="14"/>
      <c r="G791" s="305">
        <f>'AGOST-18'!I786</f>
        <v>0</v>
      </c>
      <c r="H791" s="51"/>
      <c r="I791" s="17"/>
      <c r="J791" s="56"/>
      <c r="K791" s="56"/>
    </row>
    <row r="792" spans="1:11" ht="29.25">
      <c r="A792" s="11">
        <v>51999</v>
      </c>
      <c r="B792" s="53" t="s">
        <v>903</v>
      </c>
      <c r="C792" s="13"/>
      <c r="D792" s="14" t="s">
        <v>18</v>
      </c>
      <c r="E792" s="14" t="s">
        <v>28</v>
      </c>
      <c r="F792" s="14" t="s">
        <v>27</v>
      </c>
      <c r="G792" s="305">
        <f>'AGOST-18'!I787</f>
        <v>1000</v>
      </c>
      <c r="H792" s="51"/>
      <c r="I792" s="17">
        <f t="shared" si="15"/>
        <v>1000</v>
      </c>
      <c r="J792" s="56"/>
      <c r="K792" s="56"/>
    </row>
    <row r="793" spans="1:11" ht="44.25">
      <c r="A793" s="11">
        <v>54111</v>
      </c>
      <c r="B793" s="53" t="s">
        <v>904</v>
      </c>
      <c r="C793" s="13"/>
      <c r="D793" s="14" t="s">
        <v>18</v>
      </c>
      <c r="E793" s="14" t="s">
        <v>28</v>
      </c>
      <c r="F793" s="14" t="s">
        <v>27</v>
      </c>
      <c r="G793" s="305">
        <f>'AGOST-18'!I788</f>
        <v>1000</v>
      </c>
      <c r="H793" s="51"/>
      <c r="I793" s="17">
        <f t="shared" si="15"/>
        <v>1000</v>
      </c>
      <c r="J793" s="56"/>
      <c r="K793" s="56"/>
    </row>
    <row r="794" spans="1:11" ht="43.5">
      <c r="A794" s="11">
        <v>54118</v>
      </c>
      <c r="B794" s="53" t="s">
        <v>905</v>
      </c>
      <c r="C794" s="13"/>
      <c r="D794" s="14" t="s">
        <v>18</v>
      </c>
      <c r="E794" s="14" t="s">
        <v>28</v>
      </c>
      <c r="F794" s="14" t="s">
        <v>27</v>
      </c>
      <c r="G794" s="305">
        <f>'AGOST-18'!I789</f>
        <v>1000</v>
      </c>
      <c r="H794" s="51"/>
      <c r="I794" s="17">
        <f t="shared" si="15"/>
        <v>1000</v>
      </c>
      <c r="J794" s="56"/>
      <c r="K794" s="56"/>
    </row>
    <row r="795" spans="1:11" ht="44.25">
      <c r="A795" s="11">
        <v>54313</v>
      </c>
      <c r="B795" s="53" t="s">
        <v>906</v>
      </c>
      <c r="C795" s="13"/>
      <c r="D795" s="14" t="s">
        <v>18</v>
      </c>
      <c r="E795" s="14" t="s">
        <v>28</v>
      </c>
      <c r="F795" s="14" t="s">
        <v>27</v>
      </c>
      <c r="G795" s="305">
        <f>'AGOST-18'!I790</f>
        <v>100</v>
      </c>
      <c r="H795" s="51"/>
      <c r="I795" s="17">
        <f t="shared" si="15"/>
        <v>100</v>
      </c>
      <c r="J795" s="56"/>
      <c r="K795" s="56"/>
    </row>
    <row r="796" spans="1:11" ht="44.25">
      <c r="A796" s="11">
        <v>54399</v>
      </c>
      <c r="B796" s="53" t="s">
        <v>907</v>
      </c>
      <c r="C796" s="13"/>
      <c r="D796" s="14" t="s">
        <v>18</v>
      </c>
      <c r="E796" s="14" t="s">
        <v>28</v>
      </c>
      <c r="F796" s="14" t="s">
        <v>27</v>
      </c>
      <c r="G796" s="305">
        <f>'AGOST-18'!I791</f>
        <v>1890</v>
      </c>
      <c r="H796" s="51"/>
      <c r="I796" s="17">
        <f t="shared" si="15"/>
        <v>1890</v>
      </c>
      <c r="J796" s="56"/>
      <c r="K796" s="56"/>
    </row>
    <row r="797" spans="1:11" ht="29.25">
      <c r="A797" s="11">
        <v>55603</v>
      </c>
      <c r="B797" s="53" t="s">
        <v>908</v>
      </c>
      <c r="C797" s="13"/>
      <c r="D797" s="14" t="s">
        <v>18</v>
      </c>
      <c r="E797" s="14" t="s">
        <v>28</v>
      </c>
      <c r="F797" s="14" t="s">
        <v>27</v>
      </c>
      <c r="G797" s="305">
        <f>'AGOST-18'!I792</f>
        <v>10</v>
      </c>
      <c r="H797" s="51"/>
      <c r="I797" s="17">
        <f t="shared" si="15"/>
        <v>10</v>
      </c>
      <c r="J797" s="56"/>
      <c r="K797" s="56"/>
    </row>
    <row r="798" spans="1:11" ht="45">
      <c r="A798" s="141" t="s">
        <v>909</v>
      </c>
      <c r="B798" s="53" t="s">
        <v>910</v>
      </c>
      <c r="C798" s="13"/>
      <c r="D798" s="14"/>
      <c r="E798" s="14"/>
      <c r="F798" s="14"/>
      <c r="G798" s="305">
        <f>'AGOST-18'!I793</f>
        <v>0</v>
      </c>
      <c r="H798" s="51"/>
      <c r="I798" s="17"/>
      <c r="J798" s="56"/>
      <c r="K798" s="56"/>
    </row>
    <row r="799" spans="1:11" ht="29.25">
      <c r="A799" s="11">
        <v>51999</v>
      </c>
      <c r="B799" s="54" t="s">
        <v>911</v>
      </c>
      <c r="C799" s="13"/>
      <c r="D799" s="14" t="s">
        <v>18</v>
      </c>
      <c r="E799" s="14" t="s">
        <v>28</v>
      </c>
      <c r="F799" s="14" t="s">
        <v>27</v>
      </c>
      <c r="G799" s="305">
        <f>'AGOST-18'!I794</f>
        <v>500</v>
      </c>
      <c r="H799" s="51"/>
      <c r="I799" s="17">
        <f t="shared" si="15"/>
        <v>500</v>
      </c>
      <c r="J799" s="56"/>
      <c r="K799" s="56"/>
    </row>
    <row r="800" spans="1:11" ht="29.25">
      <c r="A800" s="11">
        <v>54110</v>
      </c>
      <c r="B800" s="54" t="s">
        <v>912</v>
      </c>
      <c r="C800" s="13"/>
      <c r="D800" s="14" t="s">
        <v>18</v>
      </c>
      <c r="E800" s="14" t="s">
        <v>28</v>
      </c>
      <c r="F800" s="14" t="s">
        <v>27</v>
      </c>
      <c r="G800" s="305">
        <f>'AGOST-18'!I795</f>
        <v>500</v>
      </c>
      <c r="H800" s="51"/>
      <c r="I800" s="17">
        <f t="shared" si="15"/>
        <v>500</v>
      </c>
      <c r="J800" s="56"/>
      <c r="K800" s="56"/>
    </row>
    <row r="801" spans="1:11" ht="30">
      <c r="A801" s="11">
        <v>54111</v>
      </c>
      <c r="B801" s="53" t="s">
        <v>913</v>
      </c>
      <c r="C801" s="13"/>
      <c r="D801" s="14" t="s">
        <v>18</v>
      </c>
      <c r="E801" s="14" t="s">
        <v>28</v>
      </c>
      <c r="F801" s="14" t="s">
        <v>27</v>
      </c>
      <c r="G801" s="305">
        <f>'AGOST-18'!I796</f>
        <v>1000</v>
      </c>
      <c r="H801" s="51"/>
      <c r="I801" s="17">
        <f t="shared" si="15"/>
        <v>1000</v>
      </c>
      <c r="J801" s="56"/>
      <c r="K801" s="56"/>
    </row>
    <row r="802" spans="1:11" ht="29.25">
      <c r="A802" s="11">
        <v>54118</v>
      </c>
      <c r="B802" s="53" t="s">
        <v>914</v>
      </c>
      <c r="C802" s="13"/>
      <c r="D802" s="14" t="s">
        <v>18</v>
      </c>
      <c r="E802" s="14" t="s">
        <v>28</v>
      </c>
      <c r="F802" s="14" t="s">
        <v>27</v>
      </c>
      <c r="G802" s="305">
        <f>'AGOST-18'!I797</f>
        <v>1000</v>
      </c>
      <c r="H802" s="51"/>
      <c r="I802" s="17">
        <f t="shared" si="15"/>
        <v>1000</v>
      </c>
      <c r="J802" s="56"/>
      <c r="K802" s="56"/>
    </row>
    <row r="803" spans="1:11" ht="29.25">
      <c r="A803" s="11">
        <v>54199</v>
      </c>
      <c r="B803" s="53" t="s">
        <v>915</v>
      </c>
      <c r="C803" s="13"/>
      <c r="D803" s="14" t="s">
        <v>18</v>
      </c>
      <c r="E803" s="14" t="s">
        <v>28</v>
      </c>
      <c r="F803" s="14" t="s">
        <v>27</v>
      </c>
      <c r="G803" s="305">
        <f>'AGOST-18'!I798</f>
        <v>500</v>
      </c>
      <c r="H803" s="51"/>
      <c r="I803" s="17">
        <f t="shared" si="15"/>
        <v>500</v>
      </c>
      <c r="J803" s="56"/>
      <c r="K803" s="56"/>
    </row>
    <row r="804" spans="1:11" ht="44.25">
      <c r="A804" s="11">
        <v>54313</v>
      </c>
      <c r="B804" s="53" t="s">
        <v>916</v>
      </c>
      <c r="C804" s="13"/>
      <c r="D804" s="14" t="s">
        <v>18</v>
      </c>
      <c r="E804" s="14" t="s">
        <v>28</v>
      </c>
      <c r="F804" s="14" t="s">
        <v>27</v>
      </c>
      <c r="G804" s="305">
        <f>'AGOST-18'!I799</f>
        <v>600</v>
      </c>
      <c r="H804" s="51"/>
      <c r="I804" s="17">
        <f t="shared" si="15"/>
        <v>600</v>
      </c>
      <c r="J804" s="56"/>
      <c r="K804" s="56"/>
    </row>
    <row r="805" spans="1:11" ht="30">
      <c r="A805" s="11">
        <v>54399</v>
      </c>
      <c r="B805" s="53" t="s">
        <v>917</v>
      </c>
      <c r="C805" s="13"/>
      <c r="D805" s="14" t="s">
        <v>18</v>
      </c>
      <c r="E805" s="14" t="s">
        <v>28</v>
      </c>
      <c r="F805" s="14" t="s">
        <v>27</v>
      </c>
      <c r="G805" s="305">
        <f>'AGOST-18'!I800</f>
        <v>890</v>
      </c>
      <c r="H805" s="51"/>
      <c r="I805" s="17">
        <f t="shared" si="15"/>
        <v>890</v>
      </c>
      <c r="J805" s="56"/>
      <c r="K805" s="56"/>
    </row>
    <row r="806" spans="1:11" ht="29.25">
      <c r="A806" s="11">
        <v>55603</v>
      </c>
      <c r="B806" s="53" t="s">
        <v>918</v>
      </c>
      <c r="C806" s="13"/>
      <c r="D806" s="14" t="s">
        <v>18</v>
      </c>
      <c r="E806" s="14" t="s">
        <v>28</v>
      </c>
      <c r="F806" s="14" t="s">
        <v>27</v>
      </c>
      <c r="G806" s="305">
        <f>'AGOST-18'!I801</f>
        <v>10</v>
      </c>
      <c r="H806" s="51"/>
      <c r="I806" s="17">
        <f t="shared" si="15"/>
        <v>10</v>
      </c>
      <c r="J806" s="56"/>
      <c r="K806" s="56"/>
    </row>
    <row r="807" spans="1:11" ht="74.25">
      <c r="A807" s="141" t="s">
        <v>1093</v>
      </c>
      <c r="B807" s="53" t="s">
        <v>964</v>
      </c>
      <c r="C807" s="13"/>
      <c r="D807" s="14"/>
      <c r="E807" s="14"/>
      <c r="F807" s="14"/>
      <c r="G807" s="305">
        <f>'AGOST-18'!I802</f>
        <v>0</v>
      </c>
      <c r="H807" s="51"/>
      <c r="I807" s="17"/>
      <c r="J807" s="56"/>
      <c r="K807" s="56"/>
    </row>
    <row r="808" spans="1:11" s="178" customFormat="1" ht="45">
      <c r="A808" s="1" t="s">
        <v>19</v>
      </c>
      <c r="B808" s="179" t="s">
        <v>965</v>
      </c>
      <c r="C808" s="180"/>
      <c r="D808" s="14" t="s">
        <v>18</v>
      </c>
      <c r="E808" s="14" t="s">
        <v>28</v>
      </c>
      <c r="F808" s="14" t="s">
        <v>27</v>
      </c>
      <c r="G808" s="305">
        <f>'AGOST-18'!I803</f>
        <v>1.8189894035458565E-12</v>
      </c>
      <c r="H808" s="210"/>
      <c r="I808" s="17">
        <f t="shared" si="15"/>
        <v>1.8189894035458565E-12</v>
      </c>
      <c r="J808" s="143"/>
      <c r="K808" s="209"/>
    </row>
    <row r="809" spans="1:11" s="178" customFormat="1" ht="71.25">
      <c r="A809" s="1">
        <v>51202</v>
      </c>
      <c r="B809" s="53" t="s">
        <v>985</v>
      </c>
      <c r="C809" s="180"/>
      <c r="D809" s="14" t="s">
        <v>18</v>
      </c>
      <c r="E809" s="14" t="s">
        <v>28</v>
      </c>
      <c r="F809" s="14" t="s">
        <v>27</v>
      </c>
      <c r="G809" s="305">
        <f>'AGOST-18'!I804</f>
        <v>0.15999999999939973</v>
      </c>
      <c r="H809" s="210"/>
      <c r="I809" s="17">
        <f t="shared" si="15"/>
        <v>0.15999999999939973</v>
      </c>
      <c r="J809" s="209"/>
      <c r="K809" s="209"/>
    </row>
    <row r="810" spans="1:11" ht="44.25">
      <c r="A810" s="11">
        <v>54118</v>
      </c>
      <c r="B810" s="53" t="s">
        <v>919</v>
      </c>
      <c r="C810" s="13"/>
      <c r="D810" s="14" t="s">
        <v>18</v>
      </c>
      <c r="E810" s="14" t="s">
        <v>28</v>
      </c>
      <c r="F810" s="14" t="s">
        <v>27</v>
      </c>
      <c r="G810" s="305">
        <f>'AGOST-18'!I805</f>
        <v>0</v>
      </c>
      <c r="H810" s="51"/>
      <c r="I810" s="17">
        <f t="shared" si="15"/>
        <v>0</v>
      </c>
      <c r="J810" s="56"/>
      <c r="K810" s="137"/>
    </row>
    <row r="811" spans="1:11" ht="44.25">
      <c r="A811" s="11">
        <v>54313</v>
      </c>
      <c r="B811" s="168" t="s">
        <v>920</v>
      </c>
      <c r="C811" s="13"/>
      <c r="D811" s="14" t="s">
        <v>18</v>
      </c>
      <c r="E811" s="14" t="s">
        <v>28</v>
      </c>
      <c r="F811" s="14" t="s">
        <v>27</v>
      </c>
      <c r="G811" s="305">
        <f>'AGOST-18'!I806</f>
        <v>0</v>
      </c>
      <c r="H811" s="51"/>
      <c r="I811" s="17">
        <f t="shared" si="15"/>
        <v>0</v>
      </c>
      <c r="J811" s="56"/>
      <c r="K811" s="137"/>
    </row>
    <row r="812" spans="1:11" ht="29.25">
      <c r="A812" s="11">
        <v>56303</v>
      </c>
      <c r="B812" s="53" t="s">
        <v>921</v>
      </c>
      <c r="C812" s="13"/>
      <c r="D812" s="14" t="s">
        <v>18</v>
      </c>
      <c r="E812" s="14" t="s">
        <v>28</v>
      </c>
      <c r="F812" s="14" t="s">
        <v>27</v>
      </c>
      <c r="G812" s="305">
        <f>'AGOST-18'!I807</f>
        <v>0</v>
      </c>
      <c r="H812" s="51"/>
      <c r="I812" s="17">
        <f t="shared" si="15"/>
        <v>0</v>
      </c>
      <c r="J812" s="56"/>
      <c r="K812" s="137"/>
    </row>
    <row r="813" spans="1:11" ht="29.25">
      <c r="A813" s="11">
        <v>55603</v>
      </c>
      <c r="B813" s="53" t="s">
        <v>922</v>
      </c>
      <c r="C813" s="13"/>
      <c r="D813" s="14" t="s">
        <v>18</v>
      </c>
      <c r="E813" s="14" t="s">
        <v>28</v>
      </c>
      <c r="F813" s="14" t="s">
        <v>27</v>
      </c>
      <c r="G813" s="305">
        <f>'AGOST-18'!I808</f>
        <v>0</v>
      </c>
      <c r="H813" s="51"/>
      <c r="I813" s="17">
        <f t="shared" si="15"/>
        <v>0</v>
      </c>
      <c r="J813" s="56"/>
      <c r="K813" s="137"/>
    </row>
    <row r="814" spans="1:11">
      <c r="A814" s="141">
        <v>61</v>
      </c>
      <c r="B814" s="53" t="s">
        <v>1228</v>
      </c>
      <c r="C814" s="13"/>
      <c r="D814" s="14"/>
      <c r="E814" s="14"/>
      <c r="F814" s="14"/>
      <c r="G814" s="305"/>
      <c r="H814" s="51"/>
      <c r="I814" s="17"/>
      <c r="J814" s="56"/>
      <c r="K814" s="137"/>
    </row>
    <row r="815" spans="1:11">
      <c r="A815" s="141">
        <v>616</v>
      </c>
      <c r="B815" s="53" t="s">
        <v>1225</v>
      </c>
      <c r="C815" s="13"/>
      <c r="D815" s="14"/>
      <c r="E815" s="14"/>
      <c r="F815" s="14"/>
      <c r="G815" s="305"/>
      <c r="H815" s="51"/>
      <c r="I815" s="17"/>
      <c r="J815" s="56"/>
      <c r="K815" s="137"/>
    </row>
    <row r="816" spans="1:11">
      <c r="A816" s="141">
        <v>61601</v>
      </c>
      <c r="B816" s="53" t="s">
        <v>1226</v>
      </c>
      <c r="C816" s="13"/>
      <c r="D816" s="14"/>
      <c r="E816" s="14"/>
      <c r="F816" s="14"/>
      <c r="G816" s="305"/>
      <c r="H816" s="51"/>
      <c r="I816" s="17"/>
      <c r="J816" s="56"/>
      <c r="K816" s="137"/>
    </row>
    <row r="817" spans="1:190" ht="78" customHeight="1">
      <c r="A817" s="439" t="s">
        <v>1224</v>
      </c>
      <c r="B817" s="53" t="s">
        <v>1227</v>
      </c>
      <c r="C817" s="13"/>
      <c r="D817" s="14" t="s">
        <v>18</v>
      </c>
      <c r="E817" s="14" t="s">
        <v>28</v>
      </c>
      <c r="F817" s="14" t="s">
        <v>27</v>
      </c>
      <c r="G817" s="305">
        <f>'AGOST-18'!I809</f>
        <v>3.5242919693700969E-12</v>
      </c>
      <c r="H817" s="51"/>
      <c r="I817" s="17">
        <f t="shared" si="15"/>
        <v>47211.45</v>
      </c>
      <c r="J817" s="137">
        <v>47211.45</v>
      </c>
      <c r="K817" s="266"/>
    </row>
    <row r="818" spans="1:190" ht="20.25" customHeight="1">
      <c r="A818" s="38"/>
      <c r="B818" s="161" t="s">
        <v>975</v>
      </c>
      <c r="C818" s="39"/>
      <c r="D818" s="39"/>
      <c r="E818" s="39"/>
      <c r="F818" s="39"/>
      <c r="G818" s="305">
        <f>SUM(G448:G817)</f>
        <v>520350.42999999993</v>
      </c>
      <c r="H818" s="95">
        <f>SUM(H448:H817)</f>
        <v>12169.769999999999</v>
      </c>
      <c r="I818" s="423">
        <f>SUM(I448:I817)</f>
        <v>508180.65999999992</v>
      </c>
      <c r="J818" s="40">
        <f>SUM(J448:J817)</f>
        <v>53211.45</v>
      </c>
      <c r="K818" s="40">
        <f>SUM(K448:K817)</f>
        <v>53211.45</v>
      </c>
    </row>
    <row r="819" spans="1:190" s="198" customFormat="1" ht="54.75" customHeight="1" thickBot="1">
      <c r="A819" s="191" t="s">
        <v>925</v>
      </c>
      <c r="B819" s="192" t="s">
        <v>926</v>
      </c>
      <c r="C819" s="193"/>
      <c r="D819" s="194" t="s">
        <v>20</v>
      </c>
      <c r="E819" s="194" t="s">
        <v>31</v>
      </c>
      <c r="F819" s="194" t="s">
        <v>27</v>
      </c>
      <c r="G819" s="305">
        <f>'AGOST-18'!I811</f>
        <v>0</v>
      </c>
      <c r="H819" s="246"/>
      <c r="I819" s="196">
        <f t="shared" si="15"/>
        <v>0</v>
      </c>
      <c r="J819" s="197"/>
      <c r="K819" s="267"/>
      <c r="L819" s="199"/>
      <c r="M819" s="199"/>
      <c r="N819" s="199"/>
      <c r="O819" s="199"/>
      <c r="P819" s="199"/>
      <c r="Q819" s="199"/>
      <c r="R819" s="199"/>
      <c r="S819" s="199"/>
      <c r="T819" s="199"/>
      <c r="U819" s="199"/>
      <c r="V819" s="199"/>
      <c r="W819" s="199"/>
      <c r="X819" s="199"/>
      <c r="Y819" s="199"/>
      <c r="Z819" s="199"/>
      <c r="AA819" s="199"/>
      <c r="AB819" s="199"/>
      <c r="AC819" s="199"/>
      <c r="AD819" s="199"/>
      <c r="AE819" s="199"/>
      <c r="AF819" s="199"/>
      <c r="AG819" s="199"/>
      <c r="AH819" s="199"/>
      <c r="AI819" s="199"/>
      <c r="AJ819" s="199"/>
      <c r="AK819" s="199"/>
      <c r="AL819" s="199"/>
      <c r="AM819" s="199"/>
      <c r="AN819" s="199"/>
      <c r="AO819" s="199"/>
      <c r="AP819" s="199"/>
      <c r="AQ819" s="199"/>
      <c r="AR819" s="199"/>
      <c r="AS819" s="199"/>
      <c r="AT819" s="199"/>
      <c r="AU819" s="199"/>
      <c r="AV819" s="199"/>
      <c r="AW819" s="199"/>
      <c r="AX819" s="199"/>
      <c r="AY819" s="199"/>
      <c r="AZ819" s="199"/>
      <c r="BA819" s="199"/>
      <c r="BB819" s="199"/>
      <c r="BC819" s="199"/>
      <c r="BD819" s="199"/>
      <c r="BE819" s="199"/>
      <c r="BF819" s="199"/>
      <c r="BG819" s="199"/>
      <c r="BH819" s="199"/>
      <c r="BI819" s="199"/>
      <c r="BJ819" s="199"/>
      <c r="BK819" s="199"/>
      <c r="BL819" s="199"/>
      <c r="BM819" s="199"/>
      <c r="BN819" s="199"/>
      <c r="BO819" s="199"/>
      <c r="BP819" s="199"/>
      <c r="BQ819" s="199"/>
      <c r="BR819" s="199"/>
      <c r="BS819" s="199"/>
      <c r="BT819" s="199"/>
      <c r="BU819" s="199"/>
      <c r="BV819" s="199"/>
      <c r="BW819" s="199"/>
      <c r="BX819" s="199"/>
      <c r="BY819" s="199"/>
      <c r="BZ819" s="199"/>
      <c r="CA819" s="199"/>
      <c r="CB819" s="199"/>
      <c r="CC819" s="199"/>
      <c r="CD819" s="199"/>
      <c r="CE819" s="199"/>
      <c r="CF819" s="199"/>
      <c r="CG819" s="199"/>
      <c r="CH819" s="199"/>
      <c r="CI819" s="199"/>
      <c r="CJ819" s="199"/>
      <c r="CK819" s="199"/>
      <c r="CL819" s="199"/>
      <c r="CM819" s="199"/>
      <c r="CN819" s="199"/>
      <c r="CO819" s="199"/>
      <c r="CP819" s="199"/>
      <c r="CQ819" s="199"/>
      <c r="CR819" s="199"/>
      <c r="CS819" s="199"/>
      <c r="CT819" s="199"/>
      <c r="CU819" s="199"/>
      <c r="CV819" s="199"/>
      <c r="CW819" s="199"/>
      <c r="CX819" s="199"/>
      <c r="CY819" s="199"/>
      <c r="CZ819" s="199"/>
      <c r="DA819" s="199"/>
      <c r="DB819" s="199"/>
      <c r="DC819" s="199"/>
      <c r="DD819" s="199"/>
      <c r="DE819" s="199"/>
      <c r="DF819" s="199"/>
      <c r="DG819" s="199"/>
      <c r="DH819" s="199"/>
      <c r="DI819" s="199"/>
      <c r="DJ819" s="199"/>
      <c r="DK819" s="199"/>
      <c r="DL819" s="199"/>
      <c r="DM819" s="199"/>
      <c r="DN819" s="199"/>
      <c r="DO819" s="199"/>
      <c r="DP819" s="199"/>
      <c r="DQ819" s="199"/>
      <c r="DR819" s="199"/>
      <c r="DS819" s="199"/>
      <c r="DT819" s="199"/>
      <c r="DU819" s="199"/>
      <c r="DV819" s="199"/>
      <c r="DW819" s="199"/>
      <c r="DX819" s="199"/>
      <c r="DY819" s="199"/>
      <c r="DZ819" s="199"/>
      <c r="EA819" s="199"/>
      <c r="EB819" s="199"/>
      <c r="EC819" s="199"/>
      <c r="ED819" s="199"/>
      <c r="EE819" s="199"/>
      <c r="EF819" s="199"/>
      <c r="EG819" s="199"/>
      <c r="EH819" s="199"/>
      <c r="EI819" s="199"/>
      <c r="EJ819" s="199"/>
      <c r="EK819" s="199"/>
      <c r="EL819" s="199"/>
      <c r="EM819" s="199"/>
      <c r="EN819" s="199"/>
      <c r="EO819" s="199"/>
      <c r="EP819" s="199"/>
      <c r="EQ819" s="199"/>
      <c r="ER819" s="199"/>
      <c r="ES819" s="199"/>
      <c r="ET819" s="199"/>
      <c r="EU819" s="199"/>
      <c r="EV819" s="199"/>
      <c r="EW819" s="199"/>
      <c r="EX819" s="199"/>
      <c r="EY819" s="199"/>
      <c r="EZ819" s="199"/>
      <c r="FA819" s="199"/>
      <c r="FB819" s="199"/>
      <c r="FC819" s="199"/>
      <c r="FD819" s="199"/>
      <c r="FE819" s="199"/>
      <c r="FF819" s="199"/>
      <c r="FG819" s="199"/>
      <c r="FH819" s="199"/>
      <c r="FI819" s="199"/>
      <c r="FJ819" s="199"/>
      <c r="FK819" s="199"/>
      <c r="FL819" s="199"/>
      <c r="FM819" s="199"/>
      <c r="FN819" s="199"/>
      <c r="FO819" s="199"/>
      <c r="FP819" s="199"/>
      <c r="FQ819" s="199"/>
      <c r="FR819" s="199"/>
      <c r="FS819" s="199"/>
      <c r="FT819" s="199"/>
      <c r="FU819" s="199"/>
      <c r="FV819" s="199"/>
      <c r="FW819" s="199"/>
      <c r="FX819" s="199"/>
      <c r="FY819" s="199"/>
      <c r="FZ819" s="199"/>
      <c r="GA819" s="199"/>
      <c r="GB819" s="199"/>
      <c r="GC819" s="199"/>
      <c r="GD819" s="199"/>
      <c r="GE819" s="199"/>
      <c r="GF819" s="199"/>
      <c r="GG819" s="199"/>
      <c r="GH819" s="199"/>
    </row>
    <row r="820" spans="1:190" s="199" customFormat="1" ht="23.25" customHeight="1" thickBot="1">
      <c r="A820" s="38"/>
      <c r="B820" s="161" t="s">
        <v>21</v>
      </c>
      <c r="C820" s="39"/>
      <c r="D820" s="39"/>
      <c r="E820" s="39"/>
      <c r="F820" s="39"/>
      <c r="G820" s="305">
        <f>'JULIO-18  '!I800</f>
        <v>0</v>
      </c>
      <c r="H820" s="95">
        <f>SUM(H819)</f>
        <v>0</v>
      </c>
      <c r="I820" s="196">
        <f t="shared" si="15"/>
        <v>0</v>
      </c>
      <c r="J820" s="40"/>
      <c r="K820" s="398">
        <f>SUM(K819)</f>
        <v>0</v>
      </c>
    </row>
    <row r="821" spans="1:190" s="171" customFormat="1" ht="45">
      <c r="A821" s="184" t="s">
        <v>929</v>
      </c>
      <c r="B821" s="185" t="s">
        <v>928</v>
      </c>
      <c r="C821" s="186"/>
      <c r="D821" s="187" t="s">
        <v>22</v>
      </c>
      <c r="E821" s="187" t="s">
        <v>31</v>
      </c>
      <c r="F821" s="187" t="s">
        <v>27</v>
      </c>
      <c r="G821" s="305">
        <f>'AGOST-18'!I813</f>
        <v>0</v>
      </c>
      <c r="H821" s="245"/>
      <c r="I821" s="189">
        <f t="shared" si="15"/>
        <v>0</v>
      </c>
      <c r="J821" s="190"/>
      <c r="K821" s="268"/>
    </row>
    <row r="822" spans="1:190" s="171" customFormat="1" ht="63" customHeight="1">
      <c r="A822" s="175" t="s">
        <v>927</v>
      </c>
      <c r="B822" s="174" t="s">
        <v>978</v>
      </c>
      <c r="C822" s="139"/>
      <c r="D822" s="14" t="s">
        <v>22</v>
      </c>
      <c r="E822" s="14" t="s">
        <v>31</v>
      </c>
      <c r="F822" s="14" t="s">
        <v>27</v>
      </c>
      <c r="G822" s="305">
        <f>'AGOST-18'!I814</f>
        <v>0</v>
      </c>
      <c r="H822" s="244"/>
      <c r="I822" s="17">
        <f t="shared" si="15"/>
        <v>0</v>
      </c>
      <c r="J822" s="140"/>
      <c r="K822" s="135"/>
    </row>
    <row r="823" spans="1:190">
      <c r="A823" s="38"/>
      <c r="B823" s="161" t="s">
        <v>23</v>
      </c>
      <c r="C823" s="39"/>
      <c r="D823" s="39"/>
      <c r="E823" s="39"/>
      <c r="F823" s="39"/>
      <c r="G823" s="305">
        <f>SUM(G821:G822)</f>
        <v>0</v>
      </c>
      <c r="H823" s="95">
        <f>SUM(H821:H822)</f>
        <v>0</v>
      </c>
      <c r="I823" s="407">
        <f t="shared" si="15"/>
        <v>0</v>
      </c>
      <c r="J823" s="40"/>
      <c r="K823" s="40">
        <f>SUM(K821:K822)</f>
        <v>0</v>
      </c>
    </row>
    <row r="824" spans="1:190" s="171" customFormat="1" ht="100.5" customHeight="1">
      <c r="A824" s="169" t="s">
        <v>200</v>
      </c>
      <c r="B824" s="174" t="s">
        <v>1081</v>
      </c>
      <c r="C824" s="139"/>
      <c r="D824" s="139"/>
      <c r="E824" s="139"/>
      <c r="F824" s="139"/>
      <c r="G824" s="305">
        <f>'AGOST-18'!I816</f>
        <v>0</v>
      </c>
      <c r="H824" s="170"/>
      <c r="I824" s="140"/>
      <c r="J824" s="140"/>
      <c r="K824" s="140"/>
    </row>
    <row r="825" spans="1:190" s="171" customFormat="1" ht="38.25" customHeight="1">
      <c r="A825" s="255">
        <v>51999</v>
      </c>
      <c r="B825" s="173" t="s">
        <v>933</v>
      </c>
      <c r="C825" s="139"/>
      <c r="D825" s="14" t="s">
        <v>11</v>
      </c>
      <c r="E825" s="14" t="s">
        <v>25</v>
      </c>
      <c r="F825" s="257" t="s">
        <v>1025</v>
      </c>
      <c r="G825" s="305">
        <f>'AGOST-18'!I817</f>
        <v>2100</v>
      </c>
      <c r="H825" s="140"/>
      <c r="I825" s="17">
        <f t="shared" ref="I825:I862" si="16">G825-H825+J825-K825</f>
        <v>2100</v>
      </c>
      <c r="J825" s="135"/>
      <c r="K825" s="135"/>
    </row>
    <row r="826" spans="1:190" s="171" customFormat="1" ht="23.25" customHeight="1">
      <c r="A826" s="255">
        <v>54199</v>
      </c>
      <c r="B826" s="173" t="s">
        <v>931</v>
      </c>
      <c r="C826" s="139"/>
      <c r="D826" s="14" t="s">
        <v>11</v>
      </c>
      <c r="E826" s="14" t="s">
        <v>25</v>
      </c>
      <c r="F826" s="257" t="s">
        <v>1025</v>
      </c>
      <c r="G826" s="305">
        <f>'AGOST-18'!I818</f>
        <v>0</v>
      </c>
      <c r="H826" s="170"/>
      <c r="I826" s="17">
        <f t="shared" si="16"/>
        <v>0</v>
      </c>
      <c r="J826" s="135"/>
      <c r="K826" s="135"/>
    </row>
    <row r="827" spans="1:190" s="171" customFormat="1" ht="19.5" customHeight="1">
      <c r="A827" s="255">
        <v>55799</v>
      </c>
      <c r="B827" s="173" t="s">
        <v>932</v>
      </c>
      <c r="C827" s="139"/>
      <c r="D827" s="14" t="s">
        <v>11</v>
      </c>
      <c r="E827" s="14" t="s">
        <v>25</v>
      </c>
      <c r="F827" s="257" t="s">
        <v>1025</v>
      </c>
      <c r="G827" s="305">
        <f>'AGOST-18'!I819</f>
        <v>1413.6799999999998</v>
      </c>
      <c r="H827" s="170"/>
      <c r="I827" s="17">
        <f t="shared" si="16"/>
        <v>1413.6799999999998</v>
      </c>
      <c r="J827" s="135"/>
      <c r="K827" s="135"/>
    </row>
    <row r="828" spans="1:190" s="171" customFormat="1" ht="68.25" customHeight="1">
      <c r="A828" s="176" t="s">
        <v>201</v>
      </c>
      <c r="B828" s="173" t="s">
        <v>934</v>
      </c>
      <c r="C828" s="139"/>
      <c r="D828" s="139"/>
      <c r="E828" s="139"/>
      <c r="F828" s="257" t="s">
        <v>1024</v>
      </c>
      <c r="G828" s="305">
        <f>'AGOST-18'!I820</f>
        <v>0</v>
      </c>
      <c r="H828" s="170"/>
      <c r="I828" s="17"/>
      <c r="J828" s="140"/>
      <c r="K828" s="140"/>
    </row>
    <row r="829" spans="1:190" s="171" customFormat="1" ht="37.5" customHeight="1">
      <c r="A829" s="254">
        <v>51202</v>
      </c>
      <c r="B829" s="173" t="s">
        <v>954</v>
      </c>
      <c r="C829" s="139"/>
      <c r="D829" s="14" t="s">
        <v>11</v>
      </c>
      <c r="E829" s="14" t="s">
        <v>25</v>
      </c>
      <c r="F829" s="257" t="s">
        <v>1024</v>
      </c>
      <c r="G829" s="305">
        <f>'AGOST-18'!I821</f>
        <v>335.67000000000098</v>
      </c>
      <c r="H829" s="140"/>
      <c r="I829" s="17">
        <f t="shared" si="16"/>
        <v>335.67000000000098</v>
      </c>
      <c r="J829" s="140"/>
      <c r="K829" s="140"/>
    </row>
    <row r="830" spans="1:190" s="171" customFormat="1" ht="33" customHeight="1">
      <c r="A830" s="254">
        <v>51999</v>
      </c>
      <c r="B830" s="177" t="s">
        <v>935</v>
      </c>
      <c r="C830" s="139"/>
      <c r="D830" s="14" t="s">
        <v>11</v>
      </c>
      <c r="E830" s="14" t="s">
        <v>25</v>
      </c>
      <c r="F830" s="257" t="s">
        <v>1024</v>
      </c>
      <c r="G830" s="305">
        <f>'AGOST-18'!I822</f>
        <v>0</v>
      </c>
      <c r="H830" s="140"/>
      <c r="I830" s="17">
        <f t="shared" si="16"/>
        <v>0</v>
      </c>
      <c r="J830" s="140"/>
      <c r="K830" s="135"/>
    </row>
    <row r="831" spans="1:190" s="171" customFormat="1" ht="29.25">
      <c r="A831" s="254">
        <v>54110</v>
      </c>
      <c r="B831" s="177" t="s">
        <v>936</v>
      </c>
      <c r="C831" s="139"/>
      <c r="D831" s="14" t="s">
        <v>11</v>
      </c>
      <c r="E831" s="14" t="s">
        <v>25</v>
      </c>
      <c r="F831" s="257" t="s">
        <v>1024</v>
      </c>
      <c r="G831" s="305">
        <f>'AGOST-18'!I823</f>
        <v>393.8599999999999</v>
      </c>
      <c r="H831" s="140"/>
      <c r="I831" s="17">
        <f t="shared" si="16"/>
        <v>393.8599999999999</v>
      </c>
      <c r="J831" s="140"/>
      <c r="K831" s="135"/>
    </row>
    <row r="832" spans="1:190" s="171" customFormat="1" ht="44.25">
      <c r="A832" s="254">
        <v>54111</v>
      </c>
      <c r="B832" s="173" t="s">
        <v>937</v>
      </c>
      <c r="C832" s="139"/>
      <c r="D832" s="14" t="s">
        <v>11</v>
      </c>
      <c r="E832" s="14" t="s">
        <v>25</v>
      </c>
      <c r="F832" s="257" t="s">
        <v>1024</v>
      </c>
      <c r="G832" s="305">
        <f>'AGOST-18'!I824</f>
        <v>176.97000000000116</v>
      </c>
      <c r="H832" s="140"/>
      <c r="I832" s="17">
        <f t="shared" si="16"/>
        <v>176.97000000000116</v>
      </c>
      <c r="J832" s="140"/>
      <c r="K832" s="135"/>
    </row>
    <row r="833" spans="1:11" s="171" customFormat="1" ht="44.25">
      <c r="A833" s="254">
        <v>54112</v>
      </c>
      <c r="B833" s="173" t="s">
        <v>938</v>
      </c>
      <c r="C833" s="139"/>
      <c r="D833" s="14" t="s">
        <v>11</v>
      </c>
      <c r="E833" s="14" t="s">
        <v>25</v>
      </c>
      <c r="F833" s="257" t="s">
        <v>1024</v>
      </c>
      <c r="G833" s="305">
        <f>'AGOST-18'!I825</f>
        <v>713.29999999999927</v>
      </c>
      <c r="H833" s="140"/>
      <c r="I833" s="17">
        <f t="shared" si="16"/>
        <v>713.29999999999927</v>
      </c>
      <c r="J833" s="135"/>
      <c r="K833" s="135"/>
    </row>
    <row r="834" spans="1:11" s="171" customFormat="1" ht="29.25">
      <c r="A834" s="254">
        <v>54118</v>
      </c>
      <c r="B834" s="173" t="s">
        <v>939</v>
      </c>
      <c r="C834" s="139"/>
      <c r="D834" s="14" t="s">
        <v>11</v>
      </c>
      <c r="E834" s="14" t="s">
        <v>25</v>
      </c>
      <c r="F834" s="257" t="s">
        <v>1024</v>
      </c>
      <c r="G834" s="305">
        <f>'AGOST-18'!I826</f>
        <v>41.749999999999773</v>
      </c>
      <c r="H834" s="244"/>
      <c r="I834" s="17">
        <f t="shared" si="16"/>
        <v>41.749999999999773</v>
      </c>
      <c r="J834" s="140"/>
      <c r="K834" s="135"/>
    </row>
    <row r="835" spans="1:11" s="171" customFormat="1" ht="29.25">
      <c r="A835" s="254">
        <v>54304</v>
      </c>
      <c r="B835" s="173" t="s">
        <v>940</v>
      </c>
      <c r="C835" s="139"/>
      <c r="D835" s="14" t="s">
        <v>11</v>
      </c>
      <c r="E835" s="14" t="s">
        <v>25</v>
      </c>
      <c r="F835" s="257" t="s">
        <v>1024</v>
      </c>
      <c r="G835" s="305">
        <f>'AGOST-18'!I827</f>
        <v>0</v>
      </c>
      <c r="H835" s="170"/>
      <c r="I835" s="17">
        <f t="shared" si="16"/>
        <v>0</v>
      </c>
      <c r="J835" s="140"/>
      <c r="K835" s="135"/>
    </row>
    <row r="836" spans="1:11" s="171" customFormat="1" ht="39" customHeight="1">
      <c r="A836" s="254">
        <v>54313</v>
      </c>
      <c r="B836" s="173" t="s">
        <v>941</v>
      </c>
      <c r="C836" s="139"/>
      <c r="D836" s="14" t="s">
        <v>11</v>
      </c>
      <c r="E836" s="14" t="s">
        <v>25</v>
      </c>
      <c r="F836" s="257" t="s">
        <v>1024</v>
      </c>
      <c r="G836" s="305">
        <f>'AGOST-18'!I828</f>
        <v>0</v>
      </c>
      <c r="H836" s="170"/>
      <c r="I836" s="17">
        <f t="shared" si="16"/>
        <v>0</v>
      </c>
      <c r="J836" s="140"/>
      <c r="K836" s="140"/>
    </row>
    <row r="837" spans="1:11" s="171" customFormat="1" ht="36" customHeight="1">
      <c r="A837" s="254">
        <v>54399</v>
      </c>
      <c r="B837" s="173" t="s">
        <v>942</v>
      </c>
      <c r="C837" s="139"/>
      <c r="D837" s="14" t="s">
        <v>11</v>
      </c>
      <c r="E837" s="14" t="s">
        <v>25</v>
      </c>
      <c r="F837" s="257" t="s">
        <v>1024</v>
      </c>
      <c r="G837" s="305">
        <f>'AGOST-18'!I829</f>
        <v>53.789999999999964</v>
      </c>
      <c r="H837" s="170"/>
      <c r="I837" s="17">
        <f t="shared" si="16"/>
        <v>53.789999999999964</v>
      </c>
      <c r="J837" s="140"/>
      <c r="K837" s="135"/>
    </row>
    <row r="838" spans="1:11" s="171" customFormat="1" ht="34.5" customHeight="1">
      <c r="A838" s="254">
        <v>55603</v>
      </c>
      <c r="B838" s="173" t="s">
        <v>943</v>
      </c>
      <c r="C838" s="139"/>
      <c r="D838" s="14" t="s">
        <v>11</v>
      </c>
      <c r="E838" s="14" t="s">
        <v>25</v>
      </c>
      <c r="F838" s="257" t="s">
        <v>1024</v>
      </c>
      <c r="G838" s="305">
        <f>'AGOST-18'!I830</f>
        <v>6.35</v>
      </c>
      <c r="H838" s="170"/>
      <c r="I838" s="134">
        <f t="shared" si="16"/>
        <v>6.35</v>
      </c>
      <c r="J838" s="135"/>
      <c r="K838" s="140"/>
    </row>
    <row r="839" spans="1:11" s="171" customFormat="1" ht="98.25" customHeight="1">
      <c r="A839" s="169" t="s">
        <v>220</v>
      </c>
      <c r="B839" s="241" t="s">
        <v>973</v>
      </c>
      <c r="C839" s="139"/>
      <c r="D839" s="14"/>
      <c r="E839" s="14"/>
      <c r="F839" s="257" t="s">
        <v>1024</v>
      </c>
      <c r="G839" s="305">
        <f>'AGOST-18'!I831</f>
        <v>0</v>
      </c>
      <c r="H839" s="170"/>
      <c r="I839" s="17"/>
      <c r="J839" s="140"/>
      <c r="K839" s="140"/>
    </row>
    <row r="840" spans="1:11" s="171" customFormat="1" ht="29.25">
      <c r="A840" s="254">
        <v>51202</v>
      </c>
      <c r="B840" s="173" t="s">
        <v>944</v>
      </c>
      <c r="C840" s="139"/>
      <c r="D840" s="14" t="s">
        <v>11</v>
      </c>
      <c r="E840" s="14" t="s">
        <v>25</v>
      </c>
      <c r="F840" s="257" t="s">
        <v>1024</v>
      </c>
      <c r="G840" s="305">
        <f>'AGOST-18'!I832</f>
        <v>12091.14</v>
      </c>
      <c r="H840" s="140"/>
      <c r="I840" s="17">
        <f t="shared" si="16"/>
        <v>6999.9999999999991</v>
      </c>
      <c r="J840" s="140"/>
      <c r="K840" s="135">
        <f>5091.14</f>
        <v>5091.1400000000003</v>
      </c>
    </row>
    <row r="841" spans="1:11" s="171" customFormat="1" ht="29.25">
      <c r="A841" s="254">
        <v>51999</v>
      </c>
      <c r="B841" s="173" t="s">
        <v>946</v>
      </c>
      <c r="C841" s="139"/>
      <c r="D841" s="14" t="s">
        <v>11</v>
      </c>
      <c r="E841" s="14" t="s">
        <v>25</v>
      </c>
      <c r="F841" s="257" t="s">
        <v>1024</v>
      </c>
      <c r="G841" s="305">
        <f>'AGOST-18'!I833</f>
        <v>1000</v>
      </c>
      <c r="H841" s="140"/>
      <c r="I841" s="17">
        <f t="shared" si="16"/>
        <v>195.58000000000004</v>
      </c>
      <c r="J841" s="140"/>
      <c r="K841" s="135">
        <v>804.42</v>
      </c>
    </row>
    <row r="842" spans="1:11" s="171" customFormat="1" ht="36" customHeight="1">
      <c r="A842" s="254">
        <v>54110</v>
      </c>
      <c r="B842" s="173" t="s">
        <v>945</v>
      </c>
      <c r="C842" s="139"/>
      <c r="D842" s="14" t="s">
        <v>11</v>
      </c>
      <c r="E842" s="14" t="s">
        <v>25</v>
      </c>
      <c r="F842" s="257" t="s">
        <v>1024</v>
      </c>
      <c r="G842" s="305">
        <f>'AGOST-18'!I834</f>
        <v>2000</v>
      </c>
      <c r="H842" s="140"/>
      <c r="I842" s="17">
        <f t="shared" si="16"/>
        <v>1000</v>
      </c>
      <c r="J842" s="140"/>
      <c r="K842" s="135">
        <v>1000</v>
      </c>
    </row>
    <row r="843" spans="1:11" s="171" customFormat="1" ht="41.25" customHeight="1">
      <c r="A843" s="254">
        <v>54111</v>
      </c>
      <c r="B843" s="173" t="s">
        <v>947</v>
      </c>
      <c r="C843" s="139"/>
      <c r="D843" s="14" t="s">
        <v>11</v>
      </c>
      <c r="E843" s="14" t="s">
        <v>25</v>
      </c>
      <c r="F843" s="257" t="s">
        <v>1024</v>
      </c>
      <c r="G843" s="305">
        <f>'AGOST-18'!I835</f>
        <v>12939.25</v>
      </c>
      <c r="H843" s="140"/>
      <c r="I843" s="17">
        <f t="shared" si="16"/>
        <v>5000</v>
      </c>
      <c r="J843" s="140"/>
      <c r="K843" s="135">
        <v>7939.25</v>
      </c>
    </row>
    <row r="844" spans="1:11" s="171" customFormat="1" ht="35.25" customHeight="1">
      <c r="A844" s="254">
        <v>54112</v>
      </c>
      <c r="B844" s="173" t="s">
        <v>948</v>
      </c>
      <c r="C844" s="139"/>
      <c r="D844" s="14" t="s">
        <v>11</v>
      </c>
      <c r="E844" s="14" t="s">
        <v>25</v>
      </c>
      <c r="F844" s="257" t="s">
        <v>1024</v>
      </c>
      <c r="G844" s="305">
        <f>'AGOST-18'!I836</f>
        <v>4449.95</v>
      </c>
      <c r="H844" s="140"/>
      <c r="I844" s="17">
        <f t="shared" si="16"/>
        <v>2000</v>
      </c>
      <c r="J844" s="140"/>
      <c r="K844" s="135">
        <v>2449.9499999999998</v>
      </c>
    </row>
    <row r="845" spans="1:11" s="171" customFormat="1" ht="29.25">
      <c r="A845" s="254">
        <v>54118</v>
      </c>
      <c r="B845" s="173" t="s">
        <v>949</v>
      </c>
      <c r="C845" s="139"/>
      <c r="D845" s="14" t="s">
        <v>11</v>
      </c>
      <c r="E845" s="14" t="s">
        <v>25</v>
      </c>
      <c r="F845" s="257" t="s">
        <v>1024</v>
      </c>
      <c r="G845" s="305">
        <f>'AGOST-18'!I837</f>
        <v>2670</v>
      </c>
      <c r="H845" s="140"/>
      <c r="I845" s="17">
        <f t="shared" si="16"/>
        <v>856</v>
      </c>
      <c r="J845" s="140"/>
      <c r="K845" s="135">
        <f>1670+144</f>
        <v>1814</v>
      </c>
    </row>
    <row r="846" spans="1:11" s="171" customFormat="1" ht="29.25">
      <c r="A846" s="254">
        <v>54304</v>
      </c>
      <c r="B846" s="173" t="s">
        <v>950</v>
      </c>
      <c r="C846" s="139"/>
      <c r="D846" s="14" t="s">
        <v>11</v>
      </c>
      <c r="E846" s="14" t="s">
        <v>25</v>
      </c>
      <c r="F846" s="257" t="s">
        <v>1024</v>
      </c>
      <c r="G846" s="305">
        <f>'AGOST-18'!I838</f>
        <v>12000</v>
      </c>
      <c r="H846" s="140"/>
      <c r="I846" s="17">
        <f t="shared" si="16"/>
        <v>9000</v>
      </c>
      <c r="J846" s="140"/>
      <c r="K846" s="135">
        <v>3000</v>
      </c>
    </row>
    <row r="847" spans="1:11" s="171" customFormat="1" ht="44.25">
      <c r="A847" s="254">
        <v>54313</v>
      </c>
      <c r="B847" s="173" t="s">
        <v>951</v>
      </c>
      <c r="C847" s="139"/>
      <c r="D847" s="14" t="s">
        <v>11</v>
      </c>
      <c r="E847" s="14" t="s">
        <v>25</v>
      </c>
      <c r="F847" s="257" t="s">
        <v>1024</v>
      </c>
      <c r="G847" s="305">
        <f>'AGOST-18'!I839</f>
        <v>1000</v>
      </c>
      <c r="H847" s="140"/>
      <c r="I847" s="17">
        <f t="shared" si="16"/>
        <v>0</v>
      </c>
      <c r="J847" s="140"/>
      <c r="K847" s="135">
        <v>1000</v>
      </c>
    </row>
    <row r="848" spans="1:11" s="171" customFormat="1" ht="42.75">
      <c r="A848" s="254">
        <v>54316</v>
      </c>
      <c r="B848" s="173" t="s">
        <v>1279</v>
      </c>
      <c r="C848" s="139"/>
      <c r="D848" s="14" t="s">
        <v>11</v>
      </c>
      <c r="E848" s="14" t="s">
        <v>25</v>
      </c>
      <c r="F848" s="257" t="s">
        <v>1024</v>
      </c>
      <c r="G848" s="305"/>
      <c r="H848" s="140">
        <v>25384</v>
      </c>
      <c r="I848" s="17">
        <f t="shared" si="16"/>
        <v>0</v>
      </c>
      <c r="J848" s="140">
        <f>25093.11+290.89</f>
        <v>25384</v>
      </c>
      <c r="K848" s="140"/>
    </row>
    <row r="849" spans="1:11" s="171" customFormat="1" ht="44.25">
      <c r="A849" s="254">
        <v>54399</v>
      </c>
      <c r="B849" s="173" t="s">
        <v>952</v>
      </c>
      <c r="C849" s="139"/>
      <c r="D849" s="14" t="s">
        <v>11</v>
      </c>
      <c r="E849" s="14" t="s">
        <v>25</v>
      </c>
      <c r="F849" s="257" t="s">
        <v>1024</v>
      </c>
      <c r="G849" s="305">
        <f>'AGOST-18'!I840</f>
        <v>1988</v>
      </c>
      <c r="H849" s="140"/>
      <c r="I849" s="17">
        <f t="shared" si="16"/>
        <v>0</v>
      </c>
      <c r="J849" s="135"/>
      <c r="K849" s="135">
        <v>1988</v>
      </c>
    </row>
    <row r="850" spans="1:11" s="171" customFormat="1" ht="50.25" customHeight="1">
      <c r="A850" s="254">
        <v>55603</v>
      </c>
      <c r="B850" s="173" t="s">
        <v>953</v>
      </c>
      <c r="C850" s="139"/>
      <c r="D850" s="14" t="s">
        <v>11</v>
      </c>
      <c r="E850" s="14" t="s">
        <v>25</v>
      </c>
      <c r="F850" s="257" t="s">
        <v>1024</v>
      </c>
      <c r="G850" s="305">
        <f>'AGOST-18'!I841</f>
        <v>6.35</v>
      </c>
      <c r="H850" s="140"/>
      <c r="I850" s="134">
        <f t="shared" si="16"/>
        <v>0</v>
      </c>
      <c r="J850" s="135"/>
      <c r="K850" s="135">
        <v>6.35</v>
      </c>
    </row>
    <row r="851" spans="1:11" s="171" customFormat="1" ht="99.75">
      <c r="A851" s="256" t="s">
        <v>238</v>
      </c>
      <c r="B851" s="241" t="s">
        <v>972</v>
      </c>
      <c r="C851" s="139"/>
      <c r="D851" s="14"/>
      <c r="E851" s="14"/>
      <c r="F851" s="257" t="s">
        <v>1024</v>
      </c>
      <c r="G851" s="305">
        <f>'AGOST-18'!I842</f>
        <v>0</v>
      </c>
      <c r="H851" s="170"/>
      <c r="I851" s="17"/>
      <c r="J851" s="140"/>
      <c r="K851" s="140"/>
    </row>
    <row r="852" spans="1:11" s="171" customFormat="1" ht="29.25">
      <c r="A852" s="254">
        <v>51202</v>
      </c>
      <c r="B852" s="173" t="s">
        <v>955</v>
      </c>
      <c r="C852" s="139"/>
      <c r="D852" s="14" t="s">
        <v>11</v>
      </c>
      <c r="E852" s="14" t="s">
        <v>25</v>
      </c>
      <c r="F852" s="257" t="s">
        <v>1024</v>
      </c>
      <c r="G852" s="305">
        <f>'AGOST-18'!I843</f>
        <v>5476.74</v>
      </c>
      <c r="H852" s="244"/>
      <c r="I852" s="17">
        <f t="shared" si="16"/>
        <v>5476.74</v>
      </c>
      <c r="J852" s="140"/>
      <c r="K852" s="140"/>
    </row>
    <row r="853" spans="1:11" s="171" customFormat="1" ht="43.5">
      <c r="A853" s="254">
        <v>51999</v>
      </c>
      <c r="B853" s="173" t="s">
        <v>956</v>
      </c>
      <c r="C853" s="139"/>
      <c r="D853" s="14" t="s">
        <v>11</v>
      </c>
      <c r="E853" s="14" t="s">
        <v>25</v>
      </c>
      <c r="F853" s="257" t="s">
        <v>1024</v>
      </c>
      <c r="G853" s="305">
        <f>'AGOST-18'!I844</f>
        <v>0</v>
      </c>
      <c r="H853" s="244"/>
      <c r="I853" s="17">
        <f t="shared" si="16"/>
        <v>0</v>
      </c>
      <c r="J853" s="140"/>
      <c r="K853" s="135"/>
    </row>
    <row r="854" spans="1:11" s="171" customFormat="1" ht="43.5">
      <c r="A854" s="254">
        <v>54110</v>
      </c>
      <c r="B854" s="173" t="s">
        <v>957</v>
      </c>
      <c r="C854" s="139"/>
      <c r="D854" s="14" t="s">
        <v>11</v>
      </c>
      <c r="E854" s="14" t="s">
        <v>25</v>
      </c>
      <c r="F854" s="257" t="s">
        <v>1024</v>
      </c>
      <c r="G854" s="305">
        <f>'AGOST-18'!I845</f>
        <v>909.2</v>
      </c>
      <c r="H854" s="244"/>
      <c r="I854" s="17">
        <f t="shared" si="16"/>
        <v>909.2</v>
      </c>
      <c r="J854" s="140"/>
      <c r="K854" s="140"/>
    </row>
    <row r="855" spans="1:11" s="171" customFormat="1" ht="44.25">
      <c r="A855" s="254">
        <v>54111</v>
      </c>
      <c r="B855" s="173" t="s">
        <v>958</v>
      </c>
      <c r="C855" s="139"/>
      <c r="D855" s="14" t="s">
        <v>11</v>
      </c>
      <c r="E855" s="14" t="s">
        <v>25</v>
      </c>
      <c r="F855" s="257" t="s">
        <v>1024</v>
      </c>
      <c r="G855" s="305">
        <f>'AGOST-18'!I846</f>
        <v>1543.5</v>
      </c>
      <c r="H855" s="244"/>
      <c r="I855" s="17">
        <f t="shared" si="16"/>
        <v>1543.5</v>
      </c>
      <c r="J855" s="140"/>
      <c r="K855" s="135"/>
    </row>
    <row r="856" spans="1:11" s="171" customFormat="1" ht="44.25">
      <c r="A856" s="254">
        <v>54112</v>
      </c>
      <c r="B856" s="173" t="s">
        <v>959</v>
      </c>
      <c r="C856" s="139"/>
      <c r="D856" s="14" t="s">
        <v>11</v>
      </c>
      <c r="E856" s="14" t="s">
        <v>25</v>
      </c>
      <c r="F856" s="257" t="s">
        <v>1024</v>
      </c>
      <c r="G856" s="305">
        <f>'AGOST-18'!I847</f>
        <v>391.85000000000036</v>
      </c>
      <c r="H856" s="244"/>
      <c r="I856" s="134">
        <f t="shared" si="16"/>
        <v>391.85000000000036</v>
      </c>
      <c r="J856" s="135"/>
      <c r="K856" s="135"/>
    </row>
    <row r="857" spans="1:11" s="171" customFormat="1" ht="38.25" customHeight="1">
      <c r="A857" s="254">
        <v>54118</v>
      </c>
      <c r="B857" s="173" t="s">
        <v>960</v>
      </c>
      <c r="C857" s="139"/>
      <c r="D857" s="14" t="s">
        <v>11</v>
      </c>
      <c r="E857" s="14" t="s">
        <v>25</v>
      </c>
      <c r="F857" s="257" t="s">
        <v>1024</v>
      </c>
      <c r="G857" s="305">
        <f>'AGOST-18'!I848</f>
        <v>1464.85</v>
      </c>
      <c r="H857" s="244"/>
      <c r="I857" s="17">
        <f t="shared" si="16"/>
        <v>1464.85</v>
      </c>
      <c r="J857" s="135"/>
      <c r="K857" s="135"/>
    </row>
    <row r="858" spans="1:11" s="171" customFormat="1" ht="39" customHeight="1">
      <c r="A858" s="254">
        <v>54304</v>
      </c>
      <c r="B858" s="173" t="s">
        <v>961</v>
      </c>
      <c r="C858" s="139"/>
      <c r="D858" s="14" t="s">
        <v>11</v>
      </c>
      <c r="E858" s="14" t="s">
        <v>25</v>
      </c>
      <c r="F858" s="257" t="s">
        <v>1024</v>
      </c>
      <c r="G858" s="305">
        <f>'AGOST-18'!I849</f>
        <v>993</v>
      </c>
      <c r="H858" s="170"/>
      <c r="I858" s="17">
        <f t="shared" si="16"/>
        <v>993</v>
      </c>
      <c r="J858" s="135"/>
      <c r="K858" s="135"/>
    </row>
    <row r="859" spans="1:11" s="171" customFormat="1" ht="39" customHeight="1">
      <c r="A859" s="254">
        <v>54313</v>
      </c>
      <c r="B859" s="173" t="s">
        <v>962</v>
      </c>
      <c r="C859" s="139"/>
      <c r="D859" s="14" t="s">
        <v>11</v>
      </c>
      <c r="E859" s="14" t="s">
        <v>25</v>
      </c>
      <c r="F859" s="257" t="s">
        <v>1024</v>
      </c>
      <c r="G859" s="305">
        <f>'AGOST-18'!I850</f>
        <v>500</v>
      </c>
      <c r="H859" s="170"/>
      <c r="I859" s="17">
        <f t="shared" si="16"/>
        <v>500</v>
      </c>
      <c r="J859" s="135"/>
      <c r="K859" s="135"/>
    </row>
    <row r="860" spans="1:11" s="171" customFormat="1" ht="45" customHeight="1">
      <c r="A860" s="254">
        <v>54316</v>
      </c>
      <c r="B860" s="173" t="s">
        <v>1023</v>
      </c>
      <c r="C860" s="139"/>
      <c r="D860" s="14" t="s">
        <v>11</v>
      </c>
      <c r="E860" s="14" t="s">
        <v>25</v>
      </c>
      <c r="F860" s="257" t="s">
        <v>1024</v>
      </c>
      <c r="G860" s="305">
        <f>'AGOST-18'!I851</f>
        <v>50</v>
      </c>
      <c r="H860" s="170"/>
      <c r="I860" s="134">
        <f t="shared" si="16"/>
        <v>50</v>
      </c>
      <c r="J860" s="135"/>
      <c r="K860" s="135"/>
    </row>
    <row r="861" spans="1:11" s="171" customFormat="1" ht="40.5" customHeight="1">
      <c r="A861" s="254">
        <v>54399</v>
      </c>
      <c r="B861" s="173" t="s">
        <v>963</v>
      </c>
      <c r="C861" s="139"/>
      <c r="D861" s="14" t="s">
        <v>11</v>
      </c>
      <c r="E861" s="14" t="s">
        <v>25</v>
      </c>
      <c r="F861" s="257" t="s">
        <v>1024</v>
      </c>
      <c r="G861" s="305">
        <f>'AGOST-18'!I852</f>
        <v>495</v>
      </c>
      <c r="H861" s="170"/>
      <c r="I861" s="17">
        <f t="shared" si="16"/>
        <v>495</v>
      </c>
      <c r="J861" s="135"/>
      <c r="K861" s="135"/>
    </row>
    <row r="862" spans="1:11" s="171" customFormat="1" ht="57.75">
      <c r="A862" s="254">
        <v>55603</v>
      </c>
      <c r="B862" s="173" t="s">
        <v>971</v>
      </c>
      <c r="C862" s="139"/>
      <c r="D862" s="14" t="s">
        <v>11</v>
      </c>
      <c r="E862" s="14" t="s">
        <v>25</v>
      </c>
      <c r="F862" s="257" t="s">
        <v>1024</v>
      </c>
      <c r="G862" s="305">
        <f>'AGOST-18'!I853</f>
        <v>6.35</v>
      </c>
      <c r="H862" s="170"/>
      <c r="I862" s="134">
        <f t="shared" si="16"/>
        <v>6.35</v>
      </c>
      <c r="J862" s="135"/>
      <c r="K862" s="140"/>
    </row>
    <row r="863" spans="1:11" ht="21">
      <c r="A863" s="38" t="s">
        <v>8</v>
      </c>
      <c r="B863" s="39" t="s">
        <v>24</v>
      </c>
      <c r="C863" s="39"/>
      <c r="D863" s="39" t="s">
        <v>11</v>
      </c>
      <c r="E863" s="39" t="s">
        <v>25</v>
      </c>
      <c r="F863" s="257" t="s">
        <v>1024</v>
      </c>
      <c r="G863" s="305">
        <f>SUM(G824:G862)</f>
        <v>67210.549999999988</v>
      </c>
      <c r="H863" s="95">
        <f>SUM(H824:H862)</f>
        <v>25384</v>
      </c>
      <c r="I863" s="423">
        <f>G863-H863+J863-K863</f>
        <v>42117.439999999988</v>
      </c>
      <c r="J863" s="40">
        <f>SUM(J824:J862)</f>
        <v>25384</v>
      </c>
      <c r="K863" s="40">
        <f>SUM(K824:K862)</f>
        <v>25093.11</v>
      </c>
    </row>
    <row r="864" spans="1:11" ht="28.5">
      <c r="A864" s="169" t="s">
        <v>15</v>
      </c>
      <c r="B864" s="282" t="s">
        <v>990</v>
      </c>
      <c r="C864" s="139" t="s">
        <v>1070</v>
      </c>
      <c r="D864" s="14" t="s">
        <v>18</v>
      </c>
      <c r="E864" s="14" t="s">
        <v>28</v>
      </c>
      <c r="F864" s="287" t="s">
        <v>1073</v>
      </c>
      <c r="G864" s="305">
        <f>'AGOST-18'!G855</f>
        <v>0</v>
      </c>
      <c r="H864" s="170"/>
      <c r="I864" s="135">
        <f>G864-H864+J864-K864</f>
        <v>0</v>
      </c>
      <c r="J864" s="135"/>
      <c r="K864" s="140"/>
    </row>
    <row r="865" spans="1:11" ht="25.5">
      <c r="A865" s="38"/>
      <c r="B865" s="39" t="s">
        <v>989</v>
      </c>
      <c r="C865" s="39"/>
      <c r="D865" s="99" t="s">
        <v>18</v>
      </c>
      <c r="E865" s="99" t="s">
        <v>28</v>
      </c>
      <c r="F865" s="242" t="s">
        <v>996</v>
      </c>
      <c r="G865" s="305">
        <f>SUM(G864)</f>
        <v>0</v>
      </c>
      <c r="H865" s="95">
        <f>SUM(H864)</f>
        <v>0</v>
      </c>
      <c r="I865" s="40">
        <f>SUM(I864)</f>
        <v>0</v>
      </c>
      <c r="J865" s="40"/>
      <c r="K865" s="40"/>
    </row>
    <row r="866" spans="1:11" ht="28.5">
      <c r="A866" s="169" t="s">
        <v>16</v>
      </c>
      <c r="B866" s="282" t="s">
        <v>1068</v>
      </c>
      <c r="C866" s="139" t="s">
        <v>1070</v>
      </c>
      <c r="D866" s="14" t="s">
        <v>18</v>
      </c>
      <c r="E866" s="14" t="s">
        <v>28</v>
      </c>
      <c r="F866" s="139" t="s">
        <v>1074</v>
      </c>
      <c r="G866" s="305">
        <f>'AGOST-18'!I857</f>
        <v>0</v>
      </c>
      <c r="H866" s="170"/>
      <c r="I866" s="244">
        <f>G866-H866+J866-K866</f>
        <v>0</v>
      </c>
      <c r="J866" s="140"/>
      <c r="K866" s="135"/>
    </row>
    <row r="867" spans="1:11">
      <c r="A867" s="38"/>
      <c r="B867" s="39" t="s">
        <v>989</v>
      </c>
      <c r="C867" s="39"/>
      <c r="D867" s="99" t="s">
        <v>18</v>
      </c>
      <c r="E867" s="99" t="s">
        <v>28</v>
      </c>
      <c r="F867" s="139" t="s">
        <v>1069</v>
      </c>
      <c r="G867" s="305">
        <f>SUM(G866)</f>
        <v>0</v>
      </c>
      <c r="H867" s="95">
        <f>SUM(H866)</f>
        <v>0</v>
      </c>
      <c r="I867" s="40">
        <f>SUM(I864:I866)</f>
        <v>0</v>
      </c>
      <c r="J867" s="40">
        <f>SUM(J866)</f>
        <v>0</v>
      </c>
      <c r="K867" s="40">
        <f>SUM(K866)</f>
        <v>0</v>
      </c>
    </row>
    <row r="868" spans="1:11" ht="20.25" customHeight="1">
      <c r="A868" s="469" t="s">
        <v>124</v>
      </c>
      <c r="B868" s="469"/>
      <c r="C868" s="469"/>
      <c r="D868" s="48"/>
      <c r="E868" s="48"/>
      <c r="F868" s="48"/>
      <c r="G868" s="305">
        <f>'AGOST-18'!I859</f>
        <v>1661760.3100000003</v>
      </c>
      <c r="H868" s="51">
        <f>H867+H865+H863+H823+H820+H818+H447+H159+H151+H138+H126+H101+H74+H61</f>
        <v>224338.50999999998</v>
      </c>
      <c r="I868" s="49">
        <f>I867+I865+I863+I823+I820+I818+I447+I159+I151+I138+I126+I101+I74+I61</f>
        <v>1437421.7999999998</v>
      </c>
      <c r="J868" s="231">
        <f>J867+J865+J863+J823+J820+J818+J447+J159+J151+J138+J126+J101+J74+J61</f>
        <v>157899.1</v>
      </c>
      <c r="K868" s="231">
        <f>K863+K823+K818+K447+K159+K151+K138+K126+K101+K74+K61+K820+K867</f>
        <v>157899.1</v>
      </c>
    </row>
    <row r="869" spans="1:11">
      <c r="G869" s="274"/>
      <c r="J869" s="130"/>
    </row>
    <row r="870" spans="1:11">
      <c r="I870" s="274"/>
      <c r="J870" s="262">
        <f>J868-K868</f>
        <v>0</v>
      </c>
    </row>
    <row r="871" spans="1:11">
      <c r="A871" s="232" t="s">
        <v>1031</v>
      </c>
    </row>
    <row r="872" spans="1:11">
      <c r="A872" s="273" t="s">
        <v>1050</v>
      </c>
      <c r="B872" s="273"/>
      <c r="C872" s="273"/>
      <c r="D872" s="273"/>
      <c r="E872" s="273"/>
      <c r="F872" s="273"/>
    </row>
  </sheetData>
  <mergeCells count="3">
    <mergeCell ref="B1:K1"/>
    <mergeCell ref="B2:J2"/>
    <mergeCell ref="A868:C868"/>
  </mergeCells>
  <pageMargins left="0.15748031496062992" right="0.11811023622047245" top="0.19685039370078741" bottom="0.62992125984251968" header="0.15748031496062992" footer="0.11811023622047245"/>
  <pageSetup paperSize="5" scale="80" orientation="landscape" horizontalDpi="4294967293" verticalDpi="4294967293" r:id="rId1"/>
  <headerFooter>
    <oddFooter>&amp;L&amp;P
&amp;F
&amp;D</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AF67D"/>
  </sheetPr>
  <dimension ref="A1:J27"/>
  <sheetViews>
    <sheetView topLeftCell="C13" zoomScaleNormal="100" workbookViewId="0">
      <selection activeCell="H19" sqref="H19"/>
    </sheetView>
  </sheetViews>
  <sheetFormatPr baseColWidth="10" defaultRowHeight="15"/>
  <cols>
    <col min="1" max="1" width="18" customWidth="1"/>
    <col min="2" max="2" width="28.85546875" customWidth="1"/>
    <col min="3" max="3" width="25.42578125" customWidth="1"/>
    <col min="4" max="4" width="20.28515625" customWidth="1"/>
    <col min="5" max="5" width="16.28515625" customWidth="1"/>
    <col min="6" max="6" width="20.28515625" customWidth="1"/>
    <col min="7" max="7" width="26" customWidth="1"/>
    <col min="8" max="8" width="26.7109375" customWidth="1"/>
    <col min="9" max="9" width="25.28515625" customWidth="1"/>
  </cols>
  <sheetData>
    <row r="1" spans="1:10" ht="36.75">
      <c r="A1" s="467" t="s">
        <v>155</v>
      </c>
      <c r="B1" s="467"/>
      <c r="C1" s="467"/>
      <c r="D1" s="467"/>
      <c r="E1" s="467"/>
      <c r="F1" s="467"/>
      <c r="G1" s="467"/>
      <c r="H1" s="467"/>
      <c r="I1" s="467"/>
      <c r="J1" s="467"/>
    </row>
    <row r="2" spans="1:10" ht="36.75">
      <c r="A2" s="468" t="s">
        <v>1259</v>
      </c>
      <c r="B2" s="468"/>
      <c r="C2" s="468"/>
      <c r="D2" s="468"/>
      <c r="E2" s="468"/>
      <c r="F2" s="468"/>
      <c r="G2" s="468"/>
      <c r="H2" s="468"/>
      <c r="I2" s="468"/>
      <c r="J2" s="438"/>
    </row>
    <row r="3" spans="1:10" ht="66" customHeight="1">
      <c r="A3" s="100" t="s">
        <v>142</v>
      </c>
      <c r="B3" s="100" t="s">
        <v>38</v>
      </c>
      <c r="C3" s="100" t="s">
        <v>144</v>
      </c>
      <c r="D3" s="100" t="s">
        <v>145</v>
      </c>
      <c r="E3" s="100" t="s">
        <v>146</v>
      </c>
      <c r="F3" s="100" t="s">
        <v>147</v>
      </c>
      <c r="G3" s="100" t="s">
        <v>148</v>
      </c>
      <c r="H3" s="100" t="s">
        <v>1261</v>
      </c>
      <c r="I3" s="100" t="s">
        <v>1260</v>
      </c>
    </row>
    <row r="4" spans="1:10" ht="30" customHeight="1">
      <c r="A4" s="101" t="s">
        <v>42</v>
      </c>
      <c r="B4" s="100" t="s">
        <v>149</v>
      </c>
      <c r="C4" s="85">
        <f>'SEPT-18'!G61</f>
        <v>129252.79000000002</v>
      </c>
      <c r="D4" s="353">
        <f>'SEPT-18'!J61</f>
        <v>8800</v>
      </c>
      <c r="E4" s="354"/>
      <c r="F4" s="354">
        <f>'SEPT-18'!K61</f>
        <v>7000</v>
      </c>
      <c r="G4" s="351">
        <f>C4+D4-F4</f>
        <v>131052.79000000004</v>
      </c>
      <c r="H4" s="351">
        <f>'SEPT-18'!H61</f>
        <v>17787.650000000001</v>
      </c>
      <c r="I4" s="355">
        <f>G4-H4</f>
        <v>113265.14000000004</v>
      </c>
      <c r="J4" s="72"/>
    </row>
    <row r="5" spans="1:10" ht="30" customHeight="1">
      <c r="A5" s="101" t="s">
        <v>94</v>
      </c>
      <c r="B5" s="100" t="s">
        <v>149</v>
      </c>
      <c r="C5" s="88">
        <f>'SEPT-18'!G74</f>
        <v>12534.580000000005</v>
      </c>
      <c r="D5" s="350">
        <f>'SEPT-18'!J74</f>
        <v>0</v>
      </c>
      <c r="E5" s="89"/>
      <c r="F5" s="350">
        <f>'SEPT-18'!K74</f>
        <v>800</v>
      </c>
      <c r="G5" s="85">
        <f t="shared" ref="G5:G20" si="0">C5+D5-F5</f>
        <v>11734.580000000005</v>
      </c>
      <c r="H5" s="90">
        <f>'SEPT-18'!H74</f>
        <v>490.44</v>
      </c>
      <c r="I5" s="355">
        <f t="shared" ref="I5:I20" si="1">G5-H5</f>
        <v>11244.140000000005</v>
      </c>
      <c r="J5" s="72"/>
    </row>
    <row r="6" spans="1:10" ht="27" customHeight="1">
      <c r="A6" s="101" t="s">
        <v>97</v>
      </c>
      <c r="B6" s="100" t="s">
        <v>149</v>
      </c>
      <c r="C6" s="90">
        <f>'SEPT-18'!G101</f>
        <v>36579.720000000008</v>
      </c>
      <c r="D6" s="350">
        <f>'SEPT-18'!J101</f>
        <v>0</v>
      </c>
      <c r="E6" s="89"/>
      <c r="F6" s="350">
        <f>'SEPT-18'!K101</f>
        <v>1000</v>
      </c>
      <c r="G6" s="85">
        <f t="shared" si="0"/>
        <v>35579.720000000008</v>
      </c>
      <c r="H6" s="90">
        <f>'SEPT-18'!H101</f>
        <v>1341.19</v>
      </c>
      <c r="I6" s="355">
        <f t="shared" si="1"/>
        <v>34238.530000000006</v>
      </c>
      <c r="J6" s="72"/>
    </row>
    <row r="7" spans="1:10" ht="30" customHeight="1">
      <c r="A7" s="101"/>
      <c r="B7" s="100"/>
      <c r="C7" s="90"/>
      <c r="D7" s="350"/>
      <c r="E7" s="89"/>
      <c r="F7" s="350"/>
      <c r="G7" s="359">
        <f>SUM(G4:G6)</f>
        <v>178367.09000000005</v>
      </c>
      <c r="H7" s="360">
        <f>SUM(H4:H6)</f>
        <v>19619.28</v>
      </c>
      <c r="I7" s="361">
        <f>SUM(I4:I6)</f>
        <v>158747.81000000006</v>
      </c>
      <c r="J7" s="72"/>
    </row>
    <row r="8" spans="1:10" ht="30" customHeight="1">
      <c r="A8" s="101" t="s">
        <v>42</v>
      </c>
      <c r="B8" s="100" t="s">
        <v>150</v>
      </c>
      <c r="C8" s="90">
        <f>'SEPT-18'!G126</f>
        <v>64402.539999999964</v>
      </c>
      <c r="D8" s="350">
        <f>'SEPT-18'!J126</f>
        <v>19500</v>
      </c>
      <c r="E8" s="89"/>
      <c r="F8" s="350">
        <f>'SEPT-18'!K126</f>
        <v>6652</v>
      </c>
      <c r="G8" s="351">
        <f t="shared" si="0"/>
        <v>77250.539999999964</v>
      </c>
      <c r="H8" s="352">
        <f>'SEPT-18'!H126</f>
        <v>21147.09</v>
      </c>
      <c r="I8" s="355">
        <f t="shared" si="1"/>
        <v>56103.449999999968</v>
      </c>
      <c r="J8" s="72"/>
    </row>
    <row r="9" spans="1:10" ht="30" customHeight="1">
      <c r="A9" s="101" t="s">
        <v>94</v>
      </c>
      <c r="B9" s="100" t="s">
        <v>150</v>
      </c>
      <c r="C9" s="90">
        <f>'SEPT-18'!G138</f>
        <v>52984.03</v>
      </c>
      <c r="D9" s="350">
        <f>'SEPT-18'!J138</f>
        <v>4500</v>
      </c>
      <c r="E9" s="89"/>
      <c r="F9" s="350">
        <f>'SEPT-18'!K138</f>
        <v>7000</v>
      </c>
      <c r="G9" s="85">
        <f t="shared" si="0"/>
        <v>50484.03</v>
      </c>
      <c r="H9" s="90">
        <f>'SEPT-18'!H138</f>
        <v>6643.0999999999995</v>
      </c>
      <c r="I9" s="355">
        <f t="shared" si="1"/>
        <v>43840.93</v>
      </c>
      <c r="J9" s="72"/>
    </row>
    <row r="10" spans="1:10" ht="30" customHeight="1">
      <c r="A10" s="101" t="s">
        <v>97</v>
      </c>
      <c r="B10" s="100" t="s">
        <v>150</v>
      </c>
      <c r="C10" s="90">
        <f>'SEPT-18'!G151</f>
        <v>112424.34000000003</v>
      </c>
      <c r="D10" s="350">
        <f>'SEPT-18'!J151</f>
        <v>6500</v>
      </c>
      <c r="E10" s="89"/>
      <c r="F10" s="350">
        <f>'SEPT-18'!K151</f>
        <v>16848</v>
      </c>
      <c r="G10" s="351">
        <f t="shared" si="0"/>
        <v>102076.34000000003</v>
      </c>
      <c r="H10" s="352">
        <f>'SEPT-18'!H151</f>
        <v>20055.739999999998</v>
      </c>
      <c r="I10" s="355">
        <f t="shared" si="1"/>
        <v>82020.600000000035</v>
      </c>
      <c r="J10" s="72"/>
    </row>
    <row r="11" spans="1:10" ht="30" customHeight="1">
      <c r="A11" s="101"/>
      <c r="B11" s="100"/>
      <c r="C11" s="90"/>
      <c r="D11" s="350"/>
      <c r="E11" s="89"/>
      <c r="F11" s="350"/>
      <c r="G11" s="362">
        <f>SUM(G8:G10)</f>
        <v>229810.90999999997</v>
      </c>
      <c r="H11" s="363">
        <f>SUM(H8:H10)</f>
        <v>47845.929999999993</v>
      </c>
      <c r="I11" s="361">
        <f>SUM(I8:I10)</f>
        <v>181964.98</v>
      </c>
      <c r="J11" s="72"/>
    </row>
    <row r="12" spans="1:10" ht="30" customHeight="1">
      <c r="A12" s="101" t="s">
        <v>1</v>
      </c>
      <c r="B12" s="100" t="s">
        <v>151</v>
      </c>
      <c r="C12" s="90">
        <f>'SEPT-18'!G159</f>
        <v>7899.1699999999992</v>
      </c>
      <c r="D12" s="350">
        <v>0</v>
      </c>
      <c r="E12" s="89"/>
      <c r="F12" s="350">
        <v>0</v>
      </c>
      <c r="G12" s="85">
        <f t="shared" si="0"/>
        <v>7899.1699999999992</v>
      </c>
      <c r="H12" s="90">
        <f>'SEPT-18'!H159</f>
        <v>0</v>
      </c>
      <c r="I12" s="109">
        <f t="shared" si="1"/>
        <v>7899.1699999999992</v>
      </c>
      <c r="J12" s="72"/>
    </row>
    <row r="13" spans="1:10" ht="30" customHeight="1">
      <c r="A13" s="101" t="s">
        <v>11</v>
      </c>
      <c r="B13" s="100" t="s">
        <v>151</v>
      </c>
      <c r="C13" s="90">
        <f>'SEPT-18'!G447</f>
        <v>658122.16000000027</v>
      </c>
      <c r="D13" s="350">
        <f>'SEPT-18'!J447</f>
        <v>40003.65</v>
      </c>
      <c r="E13" s="89"/>
      <c r="F13" s="350">
        <f>'SEPT-18'!K447</f>
        <v>40294.54</v>
      </c>
      <c r="G13" s="351">
        <f>C13+D13-F13</f>
        <v>657831.27000000025</v>
      </c>
      <c r="H13" s="352">
        <f>'SEPT-18'!H447</f>
        <v>119319.52999999998</v>
      </c>
      <c r="I13" s="355">
        <f>G13-H13</f>
        <v>538511.74000000022</v>
      </c>
      <c r="J13" s="72"/>
    </row>
    <row r="14" spans="1:10" ht="30" customHeight="1">
      <c r="A14" s="101" t="s">
        <v>18</v>
      </c>
      <c r="B14" s="100" t="s">
        <v>151</v>
      </c>
      <c r="C14" s="90">
        <f>'SEPT-18'!G818</f>
        <v>520350.42999999993</v>
      </c>
      <c r="D14" s="350">
        <f>'SEPT-18'!J818</f>
        <v>53211.45</v>
      </c>
      <c r="E14" s="89"/>
      <c r="F14" s="350">
        <f>'SEPT-18'!K818</f>
        <v>53211.45</v>
      </c>
      <c r="G14" s="351">
        <f t="shared" si="0"/>
        <v>520350.42999999988</v>
      </c>
      <c r="H14" s="90">
        <f>'SEPT-18'!H818</f>
        <v>12169.769999999999</v>
      </c>
      <c r="I14" s="355">
        <f t="shared" si="1"/>
        <v>508180.65999999986</v>
      </c>
      <c r="J14" s="72"/>
    </row>
    <row r="15" spans="1:10" ht="30" customHeight="1">
      <c r="A15" s="101"/>
      <c r="B15" s="100"/>
      <c r="C15" s="90"/>
      <c r="D15" s="350"/>
      <c r="E15" s="89"/>
      <c r="F15" s="350"/>
      <c r="G15" s="362">
        <f>SUM(G12:G14)</f>
        <v>1186080.8700000001</v>
      </c>
      <c r="H15" s="364">
        <f>SUM(H12:H14)</f>
        <v>131489.29999999999</v>
      </c>
      <c r="I15" s="361">
        <f>SUM(I12:I14)</f>
        <v>1054591.57</v>
      </c>
      <c r="J15" s="72"/>
    </row>
    <row r="16" spans="1:10" ht="30" customHeight="1">
      <c r="A16" s="101" t="s">
        <v>20</v>
      </c>
      <c r="B16" s="100" t="s">
        <v>156</v>
      </c>
      <c r="C16" s="90">
        <f>'ABRIL-18'!G776</f>
        <v>0</v>
      </c>
      <c r="D16" s="89">
        <v>0</v>
      </c>
      <c r="E16" s="89"/>
      <c r="F16" s="89"/>
      <c r="G16" s="85">
        <f t="shared" si="0"/>
        <v>0</v>
      </c>
      <c r="H16" s="91">
        <f>' MARZO-18-1'!H767</f>
        <v>0</v>
      </c>
      <c r="I16" s="109">
        <f t="shared" si="1"/>
        <v>0</v>
      </c>
      <c r="J16" s="72"/>
    </row>
    <row r="17" spans="1:10" ht="27.75" customHeight="1">
      <c r="A17" s="101" t="s">
        <v>22</v>
      </c>
      <c r="B17" s="100" t="s">
        <v>157</v>
      </c>
      <c r="C17" s="91">
        <f>'SEPT-18'!G823</f>
        <v>0</v>
      </c>
      <c r="D17" s="92">
        <v>0</v>
      </c>
      <c r="E17" s="92"/>
      <c r="F17" s="92">
        <f>'SEPT-18'!K823</f>
        <v>0</v>
      </c>
      <c r="G17" s="93">
        <f t="shared" si="0"/>
        <v>0</v>
      </c>
      <c r="H17" s="91"/>
      <c r="I17" s="109">
        <f t="shared" si="1"/>
        <v>0</v>
      </c>
      <c r="J17" s="72"/>
    </row>
    <row r="18" spans="1:10" ht="25.5" customHeight="1">
      <c r="A18" s="102" t="s">
        <v>11</v>
      </c>
      <c r="B18" s="103" t="s">
        <v>997</v>
      </c>
      <c r="C18" s="96">
        <f>'SEPT-18'!G863</f>
        <v>67210.549999999988</v>
      </c>
      <c r="D18" s="466">
        <f>'SEPT-18'!J863</f>
        <v>25384</v>
      </c>
      <c r="E18" s="97"/>
      <c r="F18" s="466">
        <f>'SEPT-18'!K863</f>
        <v>25093.11</v>
      </c>
      <c r="G18" s="356">
        <f t="shared" si="0"/>
        <v>67501.439999999988</v>
      </c>
      <c r="H18" s="357">
        <f>'SEPT-18'!H863</f>
        <v>25384</v>
      </c>
      <c r="I18" s="356">
        <f t="shared" si="1"/>
        <v>42117.439999999988</v>
      </c>
      <c r="J18" s="72"/>
    </row>
    <row r="19" spans="1:10" ht="16.5" customHeight="1">
      <c r="A19" s="236" t="s">
        <v>18</v>
      </c>
      <c r="B19" s="100" t="s">
        <v>994</v>
      </c>
      <c r="C19" s="96">
        <f>'MAYO-18 '!G831</f>
        <v>0</v>
      </c>
      <c r="D19" s="97"/>
      <c r="E19" s="97"/>
      <c r="F19" s="97">
        <v>0</v>
      </c>
      <c r="G19" s="98">
        <f t="shared" si="0"/>
        <v>0</v>
      </c>
      <c r="H19" s="96"/>
      <c r="I19" s="98">
        <f t="shared" si="1"/>
        <v>0</v>
      </c>
      <c r="J19" s="72"/>
    </row>
    <row r="20" spans="1:10" ht="36" customHeight="1" thickBot="1">
      <c r="A20" s="236" t="s">
        <v>18</v>
      </c>
      <c r="B20" s="247" t="s">
        <v>1076</v>
      </c>
      <c r="C20" s="96">
        <f>'SEPT-18'!G867</f>
        <v>0</v>
      </c>
      <c r="D20" s="97">
        <v>0</v>
      </c>
      <c r="E20" s="97"/>
      <c r="F20" s="97">
        <f>'SEPT-18'!K867</f>
        <v>0</v>
      </c>
      <c r="G20" s="98">
        <f t="shared" si="0"/>
        <v>0</v>
      </c>
      <c r="H20" s="96"/>
      <c r="I20" s="98">
        <f t="shared" si="1"/>
        <v>0</v>
      </c>
      <c r="J20" s="72"/>
    </row>
    <row r="21" spans="1:10" ht="23.25">
      <c r="A21" s="110" t="s">
        <v>153</v>
      </c>
      <c r="B21" s="110"/>
      <c r="C21" s="111">
        <f>SUM(C4:C20)</f>
        <v>1661760.3100000003</v>
      </c>
      <c r="D21" s="111">
        <f>SUM(D4:D20)</f>
        <v>157899.09999999998</v>
      </c>
      <c r="E21" s="111">
        <f>SUM(E4:E20)</f>
        <v>0</v>
      </c>
      <c r="F21" s="111">
        <f>SUM(F4:F20)</f>
        <v>157899.09999999998</v>
      </c>
      <c r="G21" s="111">
        <f>G7+G11+G15+G17+G18+G20</f>
        <v>1661760.31</v>
      </c>
      <c r="H21" s="111">
        <f>H7+H11+H15+H18</f>
        <v>224338.50999999998</v>
      </c>
      <c r="I21" s="111">
        <f>I7+I11+I15+I17+I18+I20</f>
        <v>1437421.8</v>
      </c>
      <c r="J21" s="72"/>
    </row>
    <row r="22" spans="1:10" ht="15.75" thickBot="1">
      <c r="A22" s="73"/>
      <c r="B22" s="74"/>
      <c r="C22" s="75"/>
      <c r="D22" s="76"/>
      <c r="E22" s="77"/>
      <c r="F22" s="77"/>
      <c r="G22" s="77" t="s">
        <v>1130</v>
      </c>
      <c r="H22" s="77"/>
      <c r="I22" s="77"/>
      <c r="J22" s="78"/>
    </row>
    <row r="23" spans="1:10" ht="15.75" thickBot="1">
      <c r="A23" s="73" t="s">
        <v>154</v>
      </c>
      <c r="B23" s="74"/>
      <c r="C23" s="79">
        <f ca="1">TODAY()</f>
        <v>43586</v>
      </c>
      <c r="D23" s="80"/>
      <c r="E23" s="81">
        <f>D21-F21</f>
        <v>0</v>
      </c>
      <c r="F23" s="80"/>
      <c r="G23" s="80"/>
      <c r="H23" s="80"/>
      <c r="I23" s="80"/>
      <c r="J23" s="72"/>
    </row>
    <row r="24" spans="1:10" ht="24.75">
      <c r="A24" s="83"/>
      <c r="B24" s="84"/>
      <c r="C24" s="84"/>
      <c r="D24" s="84"/>
      <c r="E24" s="263">
        <f>9000+9000</f>
        <v>18000</v>
      </c>
      <c r="F24" s="80" t="s">
        <v>1033</v>
      </c>
      <c r="G24" s="80">
        <v>0</v>
      </c>
      <c r="H24" s="80"/>
    </row>
    <row r="25" spans="1:10">
      <c r="A25" s="83"/>
      <c r="B25" s="84"/>
      <c r="C25" s="84"/>
      <c r="D25" s="84"/>
      <c r="E25" s="264">
        <v>4500</v>
      </c>
      <c r="F25" s="80" t="s">
        <v>1032</v>
      </c>
      <c r="G25" s="80"/>
      <c r="H25" s="80"/>
    </row>
    <row r="26" spans="1:10">
      <c r="A26" s="83"/>
      <c r="B26" s="84"/>
      <c r="C26" s="84"/>
      <c r="D26" s="84"/>
      <c r="F26" s="80"/>
      <c r="G26" s="80"/>
      <c r="H26" s="80"/>
    </row>
    <row r="27" spans="1:10">
      <c r="A27" s="83"/>
      <c r="B27" s="84"/>
      <c r="C27" s="84"/>
      <c r="D27" s="84"/>
    </row>
  </sheetData>
  <mergeCells count="2">
    <mergeCell ref="A1:J1"/>
    <mergeCell ref="A2:I2"/>
  </mergeCells>
  <pageMargins left="0.19685039370078741" right="0.19685039370078741" top="0.35433070866141736" bottom="0.31496062992125984" header="0.31496062992125984" footer="0.31496062992125984"/>
  <pageSetup paperSize="5" scale="80" orientation="landscape" horizontalDpi="4294967293" vertic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P880"/>
  <sheetViews>
    <sheetView topLeftCell="A100" zoomScale="85" zoomScaleNormal="85" workbookViewId="0">
      <selection activeCell="I853" sqref="I853"/>
    </sheetView>
  </sheetViews>
  <sheetFormatPr baseColWidth="10" defaultRowHeight="15"/>
  <cols>
    <col min="1" max="1" width="9" customWidth="1"/>
    <col min="2" max="2" width="62" customWidth="1"/>
    <col min="3" max="3" width="17.28515625" customWidth="1"/>
    <col min="4" max="4" width="10.28515625" customWidth="1"/>
    <col min="5" max="5" width="10.85546875" customWidth="1"/>
    <col min="6" max="6" width="15.42578125" customWidth="1"/>
    <col min="7" max="7" width="15.7109375" customWidth="1"/>
    <col min="8" max="8" width="14.42578125" customWidth="1"/>
    <col min="9" max="9" width="17" customWidth="1"/>
    <col min="10" max="10" width="13.42578125" customWidth="1"/>
    <col min="11" max="11" width="14.7109375" customWidth="1"/>
  </cols>
  <sheetData>
    <row r="1" spans="1:11" ht="36.75">
      <c r="A1" s="15"/>
      <c r="B1" s="467" t="s">
        <v>33</v>
      </c>
      <c r="C1" s="467"/>
      <c r="D1" s="467"/>
      <c r="E1" s="467"/>
      <c r="F1" s="467"/>
      <c r="G1" s="467"/>
      <c r="H1" s="467"/>
      <c r="I1" s="467"/>
      <c r="J1" s="467"/>
      <c r="K1" s="467"/>
    </row>
    <row r="2" spans="1:11" ht="36.75">
      <c r="A2" s="16"/>
      <c r="B2" s="468" t="s">
        <v>1215</v>
      </c>
      <c r="C2" s="468"/>
      <c r="D2" s="468"/>
      <c r="E2" s="468"/>
      <c r="F2" s="468"/>
      <c r="G2" s="468"/>
      <c r="H2" s="468"/>
      <c r="I2" s="468"/>
      <c r="J2" s="468"/>
      <c r="K2" s="422"/>
    </row>
    <row r="3" spans="1:11" ht="53.25" customHeight="1">
      <c r="A3" s="41" t="s">
        <v>8</v>
      </c>
      <c r="B3" s="41" t="s">
        <v>34</v>
      </c>
      <c r="C3" s="41" t="s">
        <v>35</v>
      </c>
      <c r="D3" s="41" t="s">
        <v>36</v>
      </c>
      <c r="E3" s="41" t="s">
        <v>37</v>
      </c>
      <c r="F3" s="41" t="s">
        <v>38</v>
      </c>
      <c r="G3" s="42" t="s">
        <v>39</v>
      </c>
      <c r="H3" s="42" t="s">
        <v>1222</v>
      </c>
      <c r="I3" s="42" t="s">
        <v>1214</v>
      </c>
      <c r="J3" s="42" t="s">
        <v>40</v>
      </c>
      <c r="K3" s="42" t="s">
        <v>41</v>
      </c>
    </row>
    <row r="4" spans="1:11" ht="41.25" customHeight="1">
      <c r="A4" s="308">
        <v>51101</v>
      </c>
      <c r="B4" s="306" t="s">
        <v>1110</v>
      </c>
      <c r="C4" s="304"/>
      <c r="D4" s="3" t="s">
        <v>42</v>
      </c>
      <c r="E4" s="3" t="s">
        <v>29</v>
      </c>
      <c r="F4" s="3" t="s">
        <v>43</v>
      </c>
      <c r="G4" s="305">
        <f>'SEPT-18'!I4</f>
        <v>51.989999999999782</v>
      </c>
      <c r="H4" s="341"/>
      <c r="I4" s="17">
        <f>G4-H4+J4-K4</f>
        <v>51.989999999999782</v>
      </c>
      <c r="J4" s="342"/>
      <c r="K4" s="394"/>
    </row>
    <row r="5" spans="1:11">
      <c r="A5" s="4">
        <v>51103</v>
      </c>
      <c r="B5" s="7" t="s">
        <v>164</v>
      </c>
      <c r="C5" s="2"/>
      <c r="D5" s="3" t="s">
        <v>42</v>
      </c>
      <c r="E5" s="3" t="s">
        <v>29</v>
      </c>
      <c r="F5" s="3" t="s">
        <v>43</v>
      </c>
      <c r="G5" s="305">
        <f>'SEPT-18'!I5</f>
        <v>570.95000000000005</v>
      </c>
      <c r="H5" s="51"/>
      <c r="I5" s="17">
        <f>G5-H5+J5-K5</f>
        <v>570.95000000000005</v>
      </c>
      <c r="J5" s="18"/>
      <c r="K5" s="18"/>
    </row>
    <row r="6" spans="1:11">
      <c r="A6" s="4">
        <v>51105</v>
      </c>
      <c r="B6" s="7" t="s">
        <v>125</v>
      </c>
      <c r="C6" s="2"/>
      <c r="D6" s="3" t="s">
        <v>42</v>
      </c>
      <c r="E6" s="3" t="s">
        <v>29</v>
      </c>
      <c r="F6" s="3" t="s">
        <v>43</v>
      </c>
      <c r="G6" s="305">
        <f>'SEPT-18'!I6</f>
        <v>10454.400000000001</v>
      </c>
      <c r="H6" s="51"/>
      <c r="I6" s="17">
        <f>G6-H6+J6-K6</f>
        <v>10454.400000000001</v>
      </c>
      <c r="J6" s="18"/>
      <c r="K6" s="432"/>
    </row>
    <row r="7" spans="1:11">
      <c r="A7" s="4">
        <v>51107</v>
      </c>
      <c r="B7" s="7" t="s">
        <v>167</v>
      </c>
      <c r="C7" s="2"/>
      <c r="D7" s="3" t="s">
        <v>42</v>
      </c>
      <c r="E7" s="3" t="s">
        <v>29</v>
      </c>
      <c r="F7" s="3" t="s">
        <v>43</v>
      </c>
      <c r="G7" s="305">
        <f>'SEPT-18'!I7</f>
        <v>113.67000000000007</v>
      </c>
      <c r="H7" s="51"/>
      <c r="I7" s="416">
        <f t="shared" ref="I7:I71" si="0">G7-H7+J7-K7</f>
        <v>113.67000000000007</v>
      </c>
      <c r="J7" s="18"/>
      <c r="K7" s="18"/>
    </row>
    <row r="8" spans="1:11">
      <c r="A8" s="4">
        <v>51201</v>
      </c>
      <c r="B8" s="7" t="s">
        <v>44</v>
      </c>
      <c r="C8" s="2"/>
      <c r="D8" s="3" t="s">
        <v>42</v>
      </c>
      <c r="E8" s="3" t="s">
        <v>29</v>
      </c>
      <c r="F8" s="3" t="s">
        <v>43</v>
      </c>
      <c r="G8" s="305">
        <f>'SEPT-18'!I8</f>
        <v>1682</v>
      </c>
      <c r="H8" s="369">
        <f>343.98+400</f>
        <v>743.98</v>
      </c>
      <c r="I8" s="17">
        <f t="shared" si="0"/>
        <v>938.02</v>
      </c>
      <c r="J8" s="23"/>
      <c r="K8" s="18"/>
    </row>
    <row r="9" spans="1:11" ht="36.75" customHeight="1">
      <c r="A9" s="4">
        <v>51401</v>
      </c>
      <c r="B9" s="5" t="s">
        <v>128</v>
      </c>
      <c r="C9" s="2"/>
      <c r="D9" s="3" t="s">
        <v>42</v>
      </c>
      <c r="E9" s="3" t="s">
        <v>29</v>
      </c>
      <c r="F9" s="3" t="s">
        <v>43</v>
      </c>
      <c r="G9" s="305">
        <f>'SEPT-18'!I9</f>
        <v>1744.1799999999998</v>
      </c>
      <c r="H9" s="108"/>
      <c r="I9" s="17">
        <f t="shared" si="0"/>
        <v>1744.1799999999998</v>
      </c>
      <c r="J9" s="20"/>
      <c r="K9" s="18"/>
    </row>
    <row r="10" spans="1:11" ht="42" customHeight="1">
      <c r="A10" s="4">
        <v>51501</v>
      </c>
      <c r="B10" s="5" t="s">
        <v>168</v>
      </c>
      <c r="C10" s="47"/>
      <c r="D10" s="3" t="s">
        <v>42</v>
      </c>
      <c r="E10" s="3" t="s">
        <v>29</v>
      </c>
      <c r="F10" s="3" t="s">
        <v>43</v>
      </c>
      <c r="G10" s="305">
        <f>'SEPT-18'!I10</f>
        <v>2329.7800000000002</v>
      </c>
      <c r="H10" s="51"/>
      <c r="I10" s="17">
        <f t="shared" si="0"/>
        <v>2329.7800000000002</v>
      </c>
      <c r="J10" s="21"/>
      <c r="K10" s="18"/>
    </row>
    <row r="11" spans="1:11" ht="25.5">
      <c r="A11" s="4">
        <v>51701</v>
      </c>
      <c r="B11" s="7" t="s">
        <v>126</v>
      </c>
      <c r="C11" s="2"/>
      <c r="D11" s="3" t="s">
        <v>42</v>
      </c>
      <c r="E11" s="3" t="s">
        <v>29</v>
      </c>
      <c r="F11" s="3" t="s">
        <v>43</v>
      </c>
      <c r="G11" s="305">
        <f>'SEPT-18'!I11</f>
        <v>146.81000000000677</v>
      </c>
      <c r="H11" s="51"/>
      <c r="I11" s="17">
        <f t="shared" si="0"/>
        <v>146.81000000000677</v>
      </c>
      <c r="J11" s="22"/>
      <c r="K11" s="18"/>
    </row>
    <row r="12" spans="1:11" ht="25.5">
      <c r="A12" s="4">
        <v>51601</v>
      </c>
      <c r="B12" s="7" t="s">
        <v>129</v>
      </c>
      <c r="C12" s="2"/>
      <c r="D12" s="3" t="s">
        <v>42</v>
      </c>
      <c r="E12" s="3" t="s">
        <v>29</v>
      </c>
      <c r="F12" s="3" t="s">
        <v>43</v>
      </c>
      <c r="G12" s="305">
        <f>'SEPT-18'!I12</f>
        <v>4500</v>
      </c>
      <c r="H12" s="51">
        <f>1500</f>
        <v>1500</v>
      </c>
      <c r="I12" s="17">
        <f t="shared" si="0"/>
        <v>3000</v>
      </c>
      <c r="J12" s="21"/>
      <c r="K12" s="18"/>
    </row>
    <row r="13" spans="1:11">
      <c r="A13" s="4">
        <v>51602</v>
      </c>
      <c r="B13" s="2" t="s">
        <v>46</v>
      </c>
      <c r="C13" s="2"/>
      <c r="D13" s="3" t="s">
        <v>42</v>
      </c>
      <c r="E13" s="3" t="s">
        <v>29</v>
      </c>
      <c r="F13" s="3" t="s">
        <v>43</v>
      </c>
      <c r="G13" s="305">
        <f>'SEPT-18'!I13</f>
        <v>1</v>
      </c>
      <c r="H13" s="51"/>
      <c r="I13" s="17">
        <f t="shared" si="0"/>
        <v>1</v>
      </c>
      <c r="J13" s="20"/>
      <c r="K13" s="18"/>
    </row>
    <row r="14" spans="1:11">
      <c r="A14" s="4">
        <v>51999</v>
      </c>
      <c r="B14" s="2" t="s">
        <v>47</v>
      </c>
      <c r="C14" s="2"/>
      <c r="D14" s="3" t="s">
        <v>42</v>
      </c>
      <c r="E14" s="3" t="s">
        <v>29</v>
      </c>
      <c r="F14" s="3" t="s">
        <v>43</v>
      </c>
      <c r="G14" s="305">
        <f>'SEPT-18'!I14</f>
        <v>5184.7700000000004</v>
      </c>
      <c r="H14" s="51">
        <f>2500</f>
        <v>2500</v>
      </c>
      <c r="I14" s="17">
        <f t="shared" si="0"/>
        <v>2684.7700000000004</v>
      </c>
      <c r="J14" s="405"/>
      <c r="K14" s="18"/>
    </row>
    <row r="15" spans="1:11" ht="45" customHeight="1">
      <c r="A15" s="4">
        <v>54101</v>
      </c>
      <c r="B15" s="5" t="s">
        <v>48</v>
      </c>
      <c r="C15" s="2"/>
      <c r="D15" s="3" t="s">
        <v>42</v>
      </c>
      <c r="E15" s="3" t="s">
        <v>29</v>
      </c>
      <c r="F15" s="3" t="s">
        <v>43</v>
      </c>
      <c r="G15" s="305">
        <f>'SEPT-18'!I15</f>
        <v>14454.09</v>
      </c>
      <c r="H15" s="51">
        <f>287.25+17.25+56.25+40+37.5+25+143.75+34.5+37.5+712.2+58.6+175+78+50.4+55.25+45+46+45+50+17.95+46+45+238.55+46+300</f>
        <v>2687.9500000000003</v>
      </c>
      <c r="I15" s="17">
        <f t="shared" si="0"/>
        <v>11766.14</v>
      </c>
      <c r="J15" s="315"/>
      <c r="K15" s="18"/>
    </row>
    <row r="16" spans="1:11" ht="26.25">
      <c r="A16" s="4">
        <v>54104</v>
      </c>
      <c r="B16" s="5" t="s">
        <v>130</v>
      </c>
      <c r="C16" s="2"/>
      <c r="D16" s="3" t="s">
        <v>42</v>
      </c>
      <c r="E16" s="3" t="s">
        <v>29</v>
      </c>
      <c r="F16" s="3" t="s">
        <v>43</v>
      </c>
      <c r="G16" s="305">
        <f>'SEPT-18'!I16</f>
        <v>1612.6</v>
      </c>
      <c r="H16" s="51">
        <f>269.5</f>
        <v>269.5</v>
      </c>
      <c r="I16" s="17">
        <f t="shared" si="0"/>
        <v>1343.1</v>
      </c>
      <c r="J16" s="21"/>
      <c r="K16" s="18"/>
    </row>
    <row r="17" spans="1:11">
      <c r="A17" s="4">
        <v>54105</v>
      </c>
      <c r="B17" s="2" t="s">
        <v>49</v>
      </c>
      <c r="C17" s="2"/>
      <c r="D17" s="3" t="s">
        <v>42</v>
      </c>
      <c r="E17" s="3" t="s">
        <v>29</v>
      </c>
      <c r="F17" s="3" t="s">
        <v>43</v>
      </c>
      <c r="G17" s="305">
        <f>'SEPT-18'!I17</f>
        <v>407.7</v>
      </c>
      <c r="H17" s="51"/>
      <c r="I17" s="17">
        <f t="shared" si="0"/>
        <v>407.7</v>
      </c>
      <c r="J17" s="20"/>
      <c r="K17" s="18"/>
    </row>
    <row r="18" spans="1:11">
      <c r="A18" s="4">
        <v>54107</v>
      </c>
      <c r="B18" s="2" t="s">
        <v>50</v>
      </c>
      <c r="C18" s="2"/>
      <c r="D18" s="3" t="s">
        <v>42</v>
      </c>
      <c r="E18" s="3" t="s">
        <v>29</v>
      </c>
      <c r="F18" s="3" t="s">
        <v>43</v>
      </c>
      <c r="G18" s="305">
        <f>'SEPT-18'!I18</f>
        <v>507</v>
      </c>
      <c r="H18" s="51"/>
      <c r="I18" s="17">
        <f t="shared" si="0"/>
        <v>507</v>
      </c>
      <c r="J18" s="22"/>
      <c r="K18" s="18"/>
    </row>
    <row r="19" spans="1:11">
      <c r="A19" s="4">
        <v>54108</v>
      </c>
      <c r="B19" s="2" t="s">
        <v>51</v>
      </c>
      <c r="C19" s="2"/>
      <c r="D19" s="3" t="s">
        <v>42</v>
      </c>
      <c r="E19" s="3" t="s">
        <v>29</v>
      </c>
      <c r="F19" s="3" t="s">
        <v>43</v>
      </c>
      <c r="G19" s="305">
        <f>'SEPT-18'!I19</f>
        <v>100</v>
      </c>
      <c r="H19" s="51"/>
      <c r="I19" s="17">
        <f t="shared" si="0"/>
        <v>100</v>
      </c>
      <c r="J19" s="20"/>
      <c r="K19" s="18"/>
    </row>
    <row r="20" spans="1:11">
      <c r="A20" s="4">
        <v>54109</v>
      </c>
      <c r="B20" s="2" t="s">
        <v>131</v>
      </c>
      <c r="C20" s="2"/>
      <c r="D20" s="3" t="s">
        <v>42</v>
      </c>
      <c r="E20" s="3" t="s">
        <v>29</v>
      </c>
      <c r="F20" s="3" t="s">
        <v>43</v>
      </c>
      <c r="G20" s="305">
        <f>'SEPT-18'!I20</f>
        <v>500</v>
      </c>
      <c r="H20" s="51"/>
      <c r="I20" s="17">
        <f t="shared" si="0"/>
        <v>500</v>
      </c>
      <c r="J20" s="20"/>
      <c r="K20" s="18"/>
    </row>
    <row r="21" spans="1:11">
      <c r="A21" s="4">
        <v>54110</v>
      </c>
      <c r="B21" s="2" t="s">
        <v>132</v>
      </c>
      <c r="C21" s="2"/>
      <c r="D21" s="3" t="s">
        <v>42</v>
      </c>
      <c r="E21" s="3" t="s">
        <v>29</v>
      </c>
      <c r="F21" s="3" t="s">
        <v>43</v>
      </c>
      <c r="G21" s="305">
        <f>'SEPT-18'!I21</f>
        <v>6663.6000000000013</v>
      </c>
      <c r="H21" s="51">
        <f>627.83</f>
        <v>627.83000000000004</v>
      </c>
      <c r="I21" s="17">
        <f t="shared" si="0"/>
        <v>6035.7700000000013</v>
      </c>
      <c r="J21" s="24"/>
      <c r="K21" s="18"/>
    </row>
    <row r="22" spans="1:11" ht="30.75" customHeight="1">
      <c r="A22" s="4">
        <v>54111</v>
      </c>
      <c r="B22" s="5" t="s">
        <v>54</v>
      </c>
      <c r="C22" s="2"/>
      <c r="D22" s="3" t="s">
        <v>42</v>
      </c>
      <c r="E22" s="3" t="s">
        <v>29</v>
      </c>
      <c r="F22" s="3" t="s">
        <v>43</v>
      </c>
      <c r="G22" s="305">
        <f>'SEPT-18'!I22</f>
        <v>343.55000000000018</v>
      </c>
      <c r="H22" s="51"/>
      <c r="I22" s="416">
        <f t="shared" si="0"/>
        <v>343.55000000000018</v>
      </c>
      <c r="J22" s="23"/>
      <c r="K22" s="18"/>
    </row>
    <row r="23" spans="1:11" ht="42.75" customHeight="1">
      <c r="A23" s="4">
        <v>54112</v>
      </c>
      <c r="B23" s="5" t="s">
        <v>55</v>
      </c>
      <c r="C23" s="2"/>
      <c r="D23" s="3" t="s">
        <v>42</v>
      </c>
      <c r="E23" s="3" t="s">
        <v>29</v>
      </c>
      <c r="F23" s="3" t="s">
        <v>43</v>
      </c>
      <c r="G23" s="305">
        <f>'SEPT-18'!I23</f>
        <v>500</v>
      </c>
      <c r="H23" s="51"/>
      <c r="I23" s="17">
        <f t="shared" si="0"/>
        <v>500</v>
      </c>
      <c r="J23" s="21"/>
      <c r="K23" s="18"/>
    </row>
    <row r="24" spans="1:11">
      <c r="A24" s="4">
        <v>54114</v>
      </c>
      <c r="B24" s="2" t="s">
        <v>56</v>
      </c>
      <c r="C24" s="2"/>
      <c r="D24" s="3" t="s">
        <v>42</v>
      </c>
      <c r="E24" s="3" t="s">
        <v>29</v>
      </c>
      <c r="F24" s="3" t="s">
        <v>43</v>
      </c>
      <c r="G24" s="305">
        <f>'SEPT-18'!I24</f>
        <v>852.06</v>
      </c>
      <c r="H24" s="51"/>
      <c r="I24" s="17">
        <f t="shared" si="0"/>
        <v>852.06</v>
      </c>
      <c r="J24" s="20"/>
      <c r="K24" s="18"/>
    </row>
    <row r="25" spans="1:11">
      <c r="A25" s="4">
        <v>54115</v>
      </c>
      <c r="B25" s="2" t="s">
        <v>57</v>
      </c>
      <c r="C25" s="2"/>
      <c r="D25" s="3" t="s">
        <v>42</v>
      </c>
      <c r="E25" s="3" t="s">
        <v>29</v>
      </c>
      <c r="F25" s="3" t="s">
        <v>43</v>
      </c>
      <c r="G25" s="305">
        <f>'SEPT-18'!I25</f>
        <v>775.52</v>
      </c>
      <c r="H25" s="51"/>
      <c r="I25" s="17">
        <f t="shared" si="0"/>
        <v>775.52</v>
      </c>
      <c r="J25" s="20"/>
      <c r="K25" s="18"/>
    </row>
    <row r="26" spans="1:11" ht="30">
      <c r="A26" s="4">
        <v>54116</v>
      </c>
      <c r="B26" s="5" t="s">
        <v>58</v>
      </c>
      <c r="C26" s="2"/>
      <c r="D26" s="3" t="s">
        <v>42</v>
      </c>
      <c r="E26" s="3" t="s">
        <v>29</v>
      </c>
      <c r="F26" s="3" t="s">
        <v>43</v>
      </c>
      <c r="G26" s="305">
        <f>'SEPT-18'!I26</f>
        <v>460</v>
      </c>
      <c r="H26" s="51"/>
      <c r="I26" s="17">
        <f t="shared" si="0"/>
        <v>460</v>
      </c>
      <c r="J26" s="20"/>
      <c r="K26" s="18"/>
    </row>
    <row r="27" spans="1:11">
      <c r="A27" s="4">
        <v>54117</v>
      </c>
      <c r="B27" s="25" t="s">
        <v>12</v>
      </c>
      <c r="C27" s="25"/>
      <c r="D27" s="3" t="s">
        <v>42</v>
      </c>
      <c r="E27" s="3" t="s">
        <v>29</v>
      </c>
      <c r="F27" s="3" t="s">
        <v>43</v>
      </c>
      <c r="G27" s="305">
        <f>'SEPT-18'!I27</f>
        <v>500</v>
      </c>
      <c r="H27" s="51"/>
      <c r="I27" s="17">
        <f t="shared" si="0"/>
        <v>500</v>
      </c>
      <c r="J27" s="20"/>
      <c r="K27" s="18"/>
    </row>
    <row r="28" spans="1:11">
      <c r="A28" s="4">
        <v>54118</v>
      </c>
      <c r="B28" s="2" t="s">
        <v>59</v>
      </c>
      <c r="C28" s="2"/>
      <c r="D28" s="3" t="s">
        <v>42</v>
      </c>
      <c r="E28" s="3" t="s">
        <v>29</v>
      </c>
      <c r="F28" s="3" t="s">
        <v>43</v>
      </c>
      <c r="G28" s="305">
        <f>'SEPT-18'!I28</f>
        <v>462</v>
      </c>
      <c r="H28" s="51"/>
      <c r="I28" s="17">
        <f t="shared" si="0"/>
        <v>462</v>
      </c>
      <c r="J28" s="23"/>
      <c r="K28" s="18"/>
    </row>
    <row r="29" spans="1:11">
      <c r="A29" s="4">
        <v>54119</v>
      </c>
      <c r="B29" s="2" t="s">
        <v>60</v>
      </c>
      <c r="C29" s="2"/>
      <c r="D29" s="3" t="s">
        <v>42</v>
      </c>
      <c r="E29" s="3" t="s">
        <v>29</v>
      </c>
      <c r="F29" s="3" t="s">
        <v>43</v>
      </c>
      <c r="G29" s="305">
        <f>'SEPT-18'!I29</f>
        <v>500</v>
      </c>
      <c r="H29" s="51"/>
      <c r="I29" s="17">
        <f t="shared" si="0"/>
        <v>500</v>
      </c>
      <c r="J29" s="21"/>
      <c r="K29" s="18"/>
    </row>
    <row r="30" spans="1:11">
      <c r="A30" s="4">
        <v>54199</v>
      </c>
      <c r="B30" s="2" t="s">
        <v>61</v>
      </c>
      <c r="C30" s="2"/>
      <c r="D30" s="3" t="s">
        <v>42</v>
      </c>
      <c r="E30" s="3" t="s">
        <v>29</v>
      </c>
      <c r="F30" s="3" t="s">
        <v>43</v>
      </c>
      <c r="G30" s="305">
        <f>'SEPT-18'!I30</f>
        <v>1038.8500000000001</v>
      </c>
      <c r="H30" s="51">
        <f>35</f>
        <v>35</v>
      </c>
      <c r="I30" s="17">
        <f t="shared" si="0"/>
        <v>1003.8500000000001</v>
      </c>
      <c r="J30" s="21"/>
      <c r="K30" s="18"/>
    </row>
    <row r="31" spans="1:11">
      <c r="A31" s="4">
        <v>54201</v>
      </c>
      <c r="B31" s="2" t="s">
        <v>62</v>
      </c>
      <c r="C31" s="2"/>
      <c r="D31" s="3" t="s">
        <v>42</v>
      </c>
      <c r="E31" s="3" t="s">
        <v>29</v>
      </c>
      <c r="F31" s="3" t="s">
        <v>43</v>
      </c>
      <c r="G31" s="305">
        <f>'SEPT-18'!I31</f>
        <v>8604.0400000000009</v>
      </c>
      <c r="H31" s="51"/>
      <c r="I31" s="17">
        <f t="shared" si="0"/>
        <v>8604.0400000000009</v>
      </c>
      <c r="J31" s="20"/>
      <c r="K31" s="18"/>
    </row>
    <row r="32" spans="1:11">
      <c r="A32" s="4">
        <v>54202</v>
      </c>
      <c r="B32" s="2" t="s">
        <v>63</v>
      </c>
      <c r="C32" s="2"/>
      <c r="D32" s="3" t="s">
        <v>42</v>
      </c>
      <c r="E32" s="3" t="s">
        <v>29</v>
      </c>
      <c r="F32" s="3" t="s">
        <v>43</v>
      </c>
      <c r="G32" s="305">
        <f>'SEPT-18'!I32</f>
        <v>2763.8</v>
      </c>
      <c r="H32" s="51"/>
      <c r="I32" s="17">
        <f t="shared" si="0"/>
        <v>2763.8</v>
      </c>
      <c r="J32" s="20"/>
      <c r="K32" s="18"/>
    </row>
    <row r="33" spans="1:11" ht="26.25">
      <c r="A33" s="4">
        <v>54203</v>
      </c>
      <c r="B33" s="5" t="s">
        <v>133</v>
      </c>
      <c r="C33" s="2"/>
      <c r="D33" s="3" t="s">
        <v>42</v>
      </c>
      <c r="E33" s="3" t="s">
        <v>29</v>
      </c>
      <c r="F33" s="3" t="s">
        <v>43</v>
      </c>
      <c r="G33" s="305">
        <f>'SEPT-18'!I33</f>
        <v>8732.75</v>
      </c>
      <c r="H33" s="51"/>
      <c r="I33" s="17">
        <f t="shared" si="0"/>
        <v>8732.75</v>
      </c>
      <c r="J33" s="20"/>
      <c r="K33" s="21"/>
    </row>
    <row r="34" spans="1:11">
      <c r="A34" s="4">
        <v>54204</v>
      </c>
      <c r="B34" s="2" t="s">
        <v>65</v>
      </c>
      <c r="C34" s="2"/>
      <c r="D34" s="3" t="s">
        <v>42</v>
      </c>
      <c r="E34" s="3" t="s">
        <v>29</v>
      </c>
      <c r="F34" s="3" t="s">
        <v>43</v>
      </c>
      <c r="G34" s="305">
        <f>'SEPT-18'!I34</f>
        <v>100</v>
      </c>
      <c r="H34" s="51"/>
      <c r="I34" s="17">
        <f t="shared" si="0"/>
        <v>100</v>
      </c>
      <c r="J34" s="20"/>
      <c r="K34" s="18"/>
    </row>
    <row r="35" spans="1:11">
      <c r="A35" s="4">
        <v>54301</v>
      </c>
      <c r="B35" s="2" t="s">
        <v>66</v>
      </c>
      <c r="C35" s="2"/>
      <c r="D35" s="3" t="s">
        <v>42</v>
      </c>
      <c r="E35" s="3" t="s">
        <v>29</v>
      </c>
      <c r="F35" s="3" t="s">
        <v>43</v>
      </c>
      <c r="G35" s="305">
        <f>'SEPT-18'!I35</f>
        <v>338</v>
      </c>
      <c r="H35" s="51"/>
      <c r="I35" s="17">
        <f t="shared" si="0"/>
        <v>338</v>
      </c>
      <c r="J35" s="21"/>
      <c r="K35" s="18"/>
    </row>
    <row r="36" spans="1:11">
      <c r="A36" s="4">
        <v>54302</v>
      </c>
      <c r="B36" s="2" t="s">
        <v>67</v>
      </c>
      <c r="C36" s="2"/>
      <c r="D36" s="3" t="s">
        <v>42</v>
      </c>
      <c r="E36" s="3" t="s">
        <v>29</v>
      </c>
      <c r="F36" s="3" t="s">
        <v>43</v>
      </c>
      <c r="G36" s="305">
        <f>'SEPT-18'!I36</f>
        <v>500</v>
      </c>
      <c r="H36" s="51"/>
      <c r="I36" s="17">
        <f t="shared" si="0"/>
        <v>500</v>
      </c>
      <c r="J36" s="20"/>
      <c r="K36" s="18"/>
    </row>
    <row r="37" spans="1:11">
      <c r="A37" s="4">
        <v>54303</v>
      </c>
      <c r="B37" s="2" t="s">
        <v>68</v>
      </c>
      <c r="C37" s="2"/>
      <c r="D37" s="3" t="s">
        <v>42</v>
      </c>
      <c r="E37" s="3" t="s">
        <v>29</v>
      </c>
      <c r="F37" s="3" t="s">
        <v>43</v>
      </c>
      <c r="G37" s="305">
        <f>'SEPT-18'!I37</f>
        <v>1000</v>
      </c>
      <c r="H37" s="51"/>
      <c r="I37" s="17">
        <f t="shared" si="0"/>
        <v>400</v>
      </c>
      <c r="J37" s="20"/>
      <c r="K37" s="18">
        <v>600</v>
      </c>
    </row>
    <row r="38" spans="1:11">
      <c r="A38" s="4">
        <v>54304</v>
      </c>
      <c r="B38" s="2" t="s">
        <v>69</v>
      </c>
      <c r="C38" s="2"/>
      <c r="D38" s="3" t="s">
        <v>42</v>
      </c>
      <c r="E38" s="3" t="s">
        <v>29</v>
      </c>
      <c r="F38" s="3" t="s">
        <v>43</v>
      </c>
      <c r="G38" s="305">
        <f>'SEPT-18'!I38</f>
        <v>561.57999999999993</v>
      </c>
      <c r="H38" s="51">
        <f>137.5+55.55+100</f>
        <v>293.05</v>
      </c>
      <c r="I38" s="17">
        <f t="shared" si="0"/>
        <v>268.52999999999992</v>
      </c>
      <c r="J38" s="18"/>
      <c r="K38" s="21"/>
    </row>
    <row r="39" spans="1:11">
      <c r="A39" s="4">
        <v>54305</v>
      </c>
      <c r="B39" s="2" t="s">
        <v>70</v>
      </c>
      <c r="C39" s="2"/>
      <c r="D39" s="3" t="s">
        <v>42</v>
      </c>
      <c r="E39" s="3" t="s">
        <v>29</v>
      </c>
      <c r="F39" s="3" t="s">
        <v>43</v>
      </c>
      <c r="G39" s="305">
        <f>'SEPT-18'!I39</f>
        <v>168</v>
      </c>
      <c r="H39" s="51"/>
      <c r="I39" s="17">
        <f t="shared" si="0"/>
        <v>168</v>
      </c>
      <c r="J39" s="21"/>
      <c r="K39" s="18"/>
    </row>
    <row r="40" spans="1:11">
      <c r="A40" s="4">
        <v>54313</v>
      </c>
      <c r="B40" s="2" t="s">
        <v>71</v>
      </c>
      <c r="C40" s="2"/>
      <c r="D40" s="3" t="s">
        <v>42</v>
      </c>
      <c r="E40" s="3" t="s">
        <v>29</v>
      </c>
      <c r="F40" s="3" t="s">
        <v>43</v>
      </c>
      <c r="G40" s="305">
        <f>'SEPT-18'!I40</f>
        <v>62.920000000000073</v>
      </c>
      <c r="H40" s="51">
        <f>500</f>
        <v>500</v>
      </c>
      <c r="I40" s="17">
        <f t="shared" si="0"/>
        <v>162.92000000000007</v>
      </c>
      <c r="J40" s="18">
        <v>600</v>
      </c>
      <c r="K40" s="21"/>
    </row>
    <row r="41" spans="1:11">
      <c r="A41" s="4">
        <v>54316</v>
      </c>
      <c r="B41" s="2" t="s">
        <v>72</v>
      </c>
      <c r="C41" s="2"/>
      <c r="D41" s="3" t="s">
        <v>42</v>
      </c>
      <c r="E41" s="3" t="s">
        <v>29</v>
      </c>
      <c r="F41" s="3" t="s">
        <v>43</v>
      </c>
      <c r="G41" s="305">
        <f>'SEPT-18'!I41</f>
        <v>161</v>
      </c>
      <c r="H41" s="51"/>
      <c r="I41" s="17">
        <f t="shared" si="0"/>
        <v>161</v>
      </c>
      <c r="J41" s="336"/>
      <c r="K41" s="18"/>
    </row>
    <row r="42" spans="1:11">
      <c r="A42" s="4">
        <v>54317</v>
      </c>
      <c r="B42" s="2" t="s">
        <v>73</v>
      </c>
      <c r="C42" s="2"/>
      <c r="D42" s="3" t="s">
        <v>42</v>
      </c>
      <c r="E42" s="3" t="s">
        <v>29</v>
      </c>
      <c r="F42" s="3" t="s">
        <v>43</v>
      </c>
      <c r="G42" s="305">
        <f>'SEPT-18'!I42</f>
        <v>1130</v>
      </c>
      <c r="H42" s="51">
        <f>330+660</f>
        <v>990</v>
      </c>
      <c r="I42" s="17">
        <f t="shared" si="0"/>
        <v>140</v>
      </c>
      <c r="J42" s="20"/>
      <c r="K42" s="18"/>
    </row>
    <row r="43" spans="1:11">
      <c r="A43" s="4">
        <v>54399</v>
      </c>
      <c r="B43" s="2" t="s">
        <v>74</v>
      </c>
      <c r="C43" s="2"/>
      <c r="D43" s="3" t="s">
        <v>42</v>
      </c>
      <c r="E43" s="3" t="s">
        <v>29</v>
      </c>
      <c r="F43" s="3" t="s">
        <v>43</v>
      </c>
      <c r="G43" s="305">
        <f>'SEPT-18'!I43</f>
        <v>163.28</v>
      </c>
      <c r="H43" s="51"/>
      <c r="I43" s="17">
        <f t="shared" si="0"/>
        <v>163.28</v>
      </c>
      <c r="J43" s="18"/>
      <c r="K43" s="21"/>
    </row>
    <row r="44" spans="1:11">
      <c r="A44" s="4">
        <v>54401</v>
      </c>
      <c r="B44" s="2" t="s">
        <v>75</v>
      </c>
      <c r="C44" s="2"/>
      <c r="D44" s="3" t="s">
        <v>42</v>
      </c>
      <c r="E44" s="3" t="s">
        <v>29</v>
      </c>
      <c r="F44" s="3" t="s">
        <v>43</v>
      </c>
      <c r="G44" s="305">
        <f>'SEPT-18'!I44</f>
        <v>200</v>
      </c>
      <c r="H44" s="51"/>
      <c r="I44" s="17">
        <f t="shared" si="0"/>
        <v>200</v>
      </c>
      <c r="J44" s="20"/>
      <c r="K44" s="18"/>
    </row>
    <row r="45" spans="1:11">
      <c r="A45" s="4">
        <v>54403</v>
      </c>
      <c r="B45" s="2" t="s">
        <v>76</v>
      </c>
      <c r="C45" s="2"/>
      <c r="D45" s="3" t="s">
        <v>42</v>
      </c>
      <c r="E45" s="3" t="s">
        <v>29</v>
      </c>
      <c r="F45" s="3" t="s">
        <v>43</v>
      </c>
      <c r="G45" s="305">
        <f>'SEPT-18'!I45</f>
        <v>300</v>
      </c>
      <c r="H45" s="51"/>
      <c r="I45" s="17">
        <f t="shared" si="0"/>
        <v>300</v>
      </c>
      <c r="J45" s="20"/>
      <c r="K45" s="18"/>
    </row>
    <row r="46" spans="1:11">
      <c r="A46" s="4">
        <v>54501</v>
      </c>
      <c r="B46" s="2" t="s">
        <v>77</v>
      </c>
      <c r="C46" s="2"/>
      <c r="D46" s="3" t="s">
        <v>42</v>
      </c>
      <c r="E46" s="3" t="s">
        <v>29</v>
      </c>
      <c r="F46" s="3" t="s">
        <v>43</v>
      </c>
      <c r="G46" s="305">
        <f>'SEPT-18'!I46</f>
        <v>3800</v>
      </c>
      <c r="H46" s="51"/>
      <c r="I46" s="17">
        <f t="shared" si="0"/>
        <v>3800</v>
      </c>
      <c r="J46" s="18"/>
      <c r="K46" s="22"/>
    </row>
    <row r="47" spans="1:11">
      <c r="A47" s="4">
        <v>54503</v>
      </c>
      <c r="B47" s="2" t="s">
        <v>78</v>
      </c>
      <c r="C47" s="2"/>
      <c r="D47" s="3" t="s">
        <v>42</v>
      </c>
      <c r="E47" s="3" t="s">
        <v>29</v>
      </c>
      <c r="F47" s="3" t="s">
        <v>43</v>
      </c>
      <c r="G47" s="305">
        <f>'SEPT-18'!I47</f>
        <v>1500</v>
      </c>
      <c r="H47" s="51"/>
      <c r="I47" s="17">
        <f t="shared" si="0"/>
        <v>1500</v>
      </c>
      <c r="J47" s="18"/>
      <c r="K47" s="18"/>
    </row>
    <row r="48" spans="1:11">
      <c r="A48" s="4">
        <v>54504</v>
      </c>
      <c r="B48" s="2" t="s">
        <v>79</v>
      </c>
      <c r="C48" s="2"/>
      <c r="D48" s="3" t="s">
        <v>80</v>
      </c>
      <c r="E48" s="3" t="s">
        <v>29</v>
      </c>
      <c r="F48" s="3" t="s">
        <v>43</v>
      </c>
      <c r="G48" s="305">
        <f>'SEPT-18'!I48</f>
        <v>1000</v>
      </c>
      <c r="H48" s="51"/>
      <c r="I48" s="17">
        <f t="shared" si="0"/>
        <v>1000</v>
      </c>
      <c r="J48" s="18"/>
      <c r="K48" s="18"/>
    </row>
    <row r="49" spans="1:11">
      <c r="A49" s="4">
        <v>54505</v>
      </c>
      <c r="B49" s="5" t="s">
        <v>81</v>
      </c>
      <c r="C49" s="2"/>
      <c r="D49" s="3" t="s">
        <v>42</v>
      </c>
      <c r="E49" s="3" t="s">
        <v>29</v>
      </c>
      <c r="F49" s="3" t="s">
        <v>43</v>
      </c>
      <c r="G49" s="305">
        <f>'SEPT-18'!I49</f>
        <v>1000</v>
      </c>
      <c r="H49" s="51"/>
      <c r="I49" s="17">
        <f t="shared" si="0"/>
        <v>1000</v>
      </c>
      <c r="J49" s="18"/>
      <c r="K49" s="22"/>
    </row>
    <row r="50" spans="1:11" ht="20.25" customHeight="1">
      <c r="A50" s="4">
        <v>54599</v>
      </c>
      <c r="B50" s="5" t="s">
        <v>82</v>
      </c>
      <c r="C50" s="5"/>
      <c r="D50" s="3" t="s">
        <v>42</v>
      </c>
      <c r="E50" s="3" t="s">
        <v>29</v>
      </c>
      <c r="F50" s="3" t="s">
        <v>43</v>
      </c>
      <c r="G50" s="305">
        <f>'SEPT-18'!I50</f>
        <v>700</v>
      </c>
      <c r="H50" s="51"/>
      <c r="I50" s="17">
        <f t="shared" si="0"/>
        <v>700</v>
      </c>
      <c r="J50" s="18"/>
      <c r="K50" s="18"/>
    </row>
    <row r="51" spans="1:11" ht="30" customHeight="1">
      <c r="A51" s="4">
        <v>55302</v>
      </c>
      <c r="B51" s="5" t="s">
        <v>83</v>
      </c>
      <c r="C51" s="2"/>
      <c r="D51" s="3" t="s">
        <v>42</v>
      </c>
      <c r="E51" s="3" t="s">
        <v>29</v>
      </c>
      <c r="F51" s="3" t="s">
        <v>43</v>
      </c>
      <c r="G51" s="305">
        <f>'SEPT-18'!I51</f>
        <v>500</v>
      </c>
      <c r="H51" s="51"/>
      <c r="I51" s="17">
        <f t="shared" si="0"/>
        <v>500</v>
      </c>
      <c r="J51" s="18"/>
      <c r="K51" s="21"/>
    </row>
    <row r="52" spans="1:11">
      <c r="A52" s="4">
        <v>55601</v>
      </c>
      <c r="B52" s="2" t="s">
        <v>84</v>
      </c>
      <c r="C52" s="2" t="s">
        <v>85</v>
      </c>
      <c r="D52" s="3" t="s">
        <v>42</v>
      </c>
      <c r="E52" s="3" t="s">
        <v>29</v>
      </c>
      <c r="F52" s="3" t="s">
        <v>43</v>
      </c>
      <c r="G52" s="305">
        <f>'SEPT-18'!I52</f>
        <v>4000</v>
      </c>
      <c r="H52" s="51">
        <f>542.4</f>
        <v>542.4</v>
      </c>
      <c r="I52" s="17">
        <f t="shared" si="0"/>
        <v>3457.6</v>
      </c>
      <c r="J52" s="18"/>
      <c r="K52" s="22"/>
    </row>
    <row r="53" spans="1:11">
      <c r="A53" s="4">
        <v>55602</v>
      </c>
      <c r="B53" s="2" t="s">
        <v>86</v>
      </c>
      <c r="C53" s="2" t="s">
        <v>87</v>
      </c>
      <c r="D53" s="3" t="s">
        <v>42</v>
      </c>
      <c r="E53" s="3" t="s">
        <v>29</v>
      </c>
      <c r="F53" s="3" t="s">
        <v>43</v>
      </c>
      <c r="G53" s="305">
        <f>'SEPT-18'!I53</f>
        <v>8000</v>
      </c>
      <c r="H53" s="51">
        <v>1650.11</v>
      </c>
      <c r="I53" s="17">
        <f t="shared" si="0"/>
        <v>6349.89</v>
      </c>
      <c r="J53" s="18"/>
      <c r="K53" s="22"/>
    </row>
    <row r="54" spans="1:11">
      <c r="A54" s="4">
        <v>55603</v>
      </c>
      <c r="B54" s="2" t="s">
        <v>6</v>
      </c>
      <c r="C54" s="2"/>
      <c r="D54" s="3" t="s">
        <v>42</v>
      </c>
      <c r="E54" s="3" t="s">
        <v>29</v>
      </c>
      <c r="F54" s="3" t="s">
        <v>43</v>
      </c>
      <c r="G54" s="305">
        <f>'SEPT-18'!I54</f>
        <v>423.43</v>
      </c>
      <c r="H54" s="375"/>
      <c r="I54" s="17">
        <f t="shared" si="0"/>
        <v>423.43</v>
      </c>
      <c r="J54" s="18"/>
      <c r="K54" s="21"/>
    </row>
    <row r="55" spans="1:11" ht="33" customHeight="1">
      <c r="A55" s="4">
        <v>55799</v>
      </c>
      <c r="B55" s="5" t="s">
        <v>169</v>
      </c>
      <c r="C55" s="5"/>
      <c r="D55" s="3" t="s">
        <v>42</v>
      </c>
      <c r="E55" s="3" t="s">
        <v>29</v>
      </c>
      <c r="F55" s="3" t="s">
        <v>43</v>
      </c>
      <c r="G55" s="305">
        <f>'SEPT-18'!I55</f>
        <v>394.71000000000004</v>
      </c>
      <c r="H55" s="51"/>
      <c r="I55" s="17">
        <f t="shared" si="0"/>
        <v>394.71000000000004</v>
      </c>
      <c r="J55" s="18"/>
      <c r="K55" s="21"/>
    </row>
    <row r="56" spans="1:11" ht="33" customHeight="1">
      <c r="A56" s="4" t="s">
        <v>170</v>
      </c>
      <c r="B56" s="5" t="s">
        <v>1028</v>
      </c>
      <c r="C56" s="5"/>
      <c r="D56" s="3" t="s">
        <v>42</v>
      </c>
      <c r="E56" s="3" t="s">
        <v>29</v>
      </c>
      <c r="F56" s="3" t="s">
        <v>43</v>
      </c>
      <c r="G56" s="305">
        <f>'SEPT-18'!I56</f>
        <v>700</v>
      </c>
      <c r="H56" s="51"/>
      <c r="I56" s="17">
        <f t="shared" si="0"/>
        <v>700</v>
      </c>
      <c r="J56" s="18"/>
      <c r="K56" s="21"/>
    </row>
    <row r="57" spans="1:11" ht="39">
      <c r="A57" s="4" t="s">
        <v>171</v>
      </c>
      <c r="B57" s="5" t="s">
        <v>1137</v>
      </c>
      <c r="C57" s="5"/>
      <c r="D57" s="3" t="s">
        <v>42</v>
      </c>
      <c r="E57" s="3" t="s">
        <v>29</v>
      </c>
      <c r="F57" s="3" t="s">
        <v>43</v>
      </c>
      <c r="G57" s="305">
        <f>'SEPT-18'!I57</f>
        <v>449.96000000000015</v>
      </c>
      <c r="H57" s="51">
        <v>412.45</v>
      </c>
      <c r="I57" s="17">
        <f t="shared" si="0"/>
        <v>37.510000000000161</v>
      </c>
      <c r="J57" s="18"/>
      <c r="K57" s="18"/>
    </row>
    <row r="58" spans="1:11" ht="27">
      <c r="A58" s="4" t="s">
        <v>161</v>
      </c>
      <c r="B58" s="5" t="s">
        <v>1027</v>
      </c>
      <c r="C58" s="5"/>
      <c r="D58" s="3" t="s">
        <v>42</v>
      </c>
      <c r="E58" s="3" t="s">
        <v>29</v>
      </c>
      <c r="F58" s="3" t="s">
        <v>43</v>
      </c>
      <c r="G58" s="305">
        <f>'SEPT-18'!I58</f>
        <v>400</v>
      </c>
      <c r="H58" s="51"/>
      <c r="I58" s="17">
        <f t="shared" si="0"/>
        <v>400</v>
      </c>
      <c r="J58" s="18"/>
      <c r="K58" s="18"/>
    </row>
    <row r="59" spans="1:11" ht="21" customHeight="1">
      <c r="A59" s="4">
        <v>56303</v>
      </c>
      <c r="B59" s="2" t="s">
        <v>90</v>
      </c>
      <c r="C59" s="2"/>
      <c r="D59" s="3" t="s">
        <v>42</v>
      </c>
      <c r="E59" s="3" t="s">
        <v>29</v>
      </c>
      <c r="F59" s="3" t="s">
        <v>43</v>
      </c>
      <c r="G59" s="305">
        <f>'SEPT-18'!I59</f>
        <v>4896.4999999999982</v>
      </c>
      <c r="H59" s="51">
        <f>150+22.22+189+300+40+48.75+75+241.09+300+973.25+144+127.5+155+75</f>
        <v>2840.81</v>
      </c>
      <c r="I59" s="17">
        <f t="shared" si="0"/>
        <v>2055.6899999999982</v>
      </c>
      <c r="J59" s="18"/>
      <c r="K59" s="18"/>
    </row>
    <row r="60" spans="1:11" ht="21.75" customHeight="1">
      <c r="A60" s="4">
        <v>56304</v>
      </c>
      <c r="B60" s="2" t="s">
        <v>91</v>
      </c>
      <c r="C60" s="2"/>
      <c r="D60" s="3" t="s">
        <v>42</v>
      </c>
      <c r="E60" s="3" t="s">
        <v>29</v>
      </c>
      <c r="F60" s="3" t="s">
        <v>43</v>
      </c>
      <c r="G60" s="305">
        <f>'SEPT-18'!I60</f>
        <v>4258.6500000000005</v>
      </c>
      <c r="H60" s="51">
        <f>194.85+25+500+198.93+50+100+100+60+80+100+100+100+100+100+363.14+120+65+100+66.2+240+50+29.88+500+25+25+25+25+25+25+25+25+25+25+25+25+25+25+25+40+25+100+100+100+75</f>
        <v>4158</v>
      </c>
      <c r="I60" s="17">
        <f>G60-H60+J60-K60</f>
        <v>100.65000000000055</v>
      </c>
      <c r="J60" s="18"/>
      <c r="K60" s="18"/>
    </row>
    <row r="61" spans="1:11" ht="45.75" customHeight="1">
      <c r="A61" s="38" t="s">
        <v>8</v>
      </c>
      <c r="B61" s="39" t="s">
        <v>92</v>
      </c>
      <c r="C61" s="39"/>
      <c r="D61" s="39" t="s">
        <v>42</v>
      </c>
      <c r="E61" s="39" t="s">
        <v>29</v>
      </c>
      <c r="F61" s="39" t="s">
        <v>43</v>
      </c>
      <c r="G61" s="305">
        <f>SUM(G4:G60)</f>
        <v>113265.14</v>
      </c>
      <c r="H61" s="95">
        <f>SUM(H4:H60)</f>
        <v>19751.080000000002</v>
      </c>
      <c r="I61" s="40">
        <f>G61-H61+J61-K61</f>
        <v>93514.06</v>
      </c>
      <c r="J61" s="107">
        <f>SUM(J4:J60)</f>
        <v>600</v>
      </c>
      <c r="K61" s="107">
        <f>SUM(K4:K60)</f>
        <v>600</v>
      </c>
    </row>
    <row r="62" spans="1:11">
      <c r="A62" s="4">
        <v>51103</v>
      </c>
      <c r="B62" s="2" t="s">
        <v>173</v>
      </c>
      <c r="C62" s="2"/>
      <c r="D62" s="3" t="s">
        <v>94</v>
      </c>
      <c r="E62" s="3" t="s">
        <v>29</v>
      </c>
      <c r="F62" s="3" t="s">
        <v>43</v>
      </c>
      <c r="G62" s="305">
        <f>'SEPT-18'!I62</f>
        <v>100</v>
      </c>
      <c r="H62" s="51"/>
      <c r="I62" s="17">
        <f t="shared" si="0"/>
        <v>100</v>
      </c>
      <c r="J62" s="27"/>
      <c r="K62" s="28"/>
    </row>
    <row r="63" spans="1:11">
      <c r="A63" s="4">
        <v>51107</v>
      </c>
      <c r="B63" s="2" t="s">
        <v>93</v>
      </c>
      <c r="C63" s="2"/>
      <c r="D63" s="3" t="s">
        <v>94</v>
      </c>
      <c r="E63" s="3" t="s">
        <v>29</v>
      </c>
      <c r="F63" s="3" t="s">
        <v>43</v>
      </c>
      <c r="G63" s="305">
        <f>'SEPT-18'!I63</f>
        <v>118.66999999999996</v>
      </c>
      <c r="H63" s="51"/>
      <c r="I63" s="17">
        <f t="shared" si="0"/>
        <v>118.66999999999996</v>
      </c>
      <c r="J63" s="27"/>
      <c r="K63" s="28"/>
    </row>
    <row r="64" spans="1:11">
      <c r="A64" s="4">
        <v>51301</v>
      </c>
      <c r="B64" s="2" t="s">
        <v>45</v>
      </c>
      <c r="C64" s="2"/>
      <c r="D64" s="3" t="s">
        <v>94</v>
      </c>
      <c r="E64" s="3" t="s">
        <v>29</v>
      </c>
      <c r="F64" s="3" t="s">
        <v>43</v>
      </c>
      <c r="G64" s="305">
        <f>'SEPT-18'!I64</f>
        <v>1500</v>
      </c>
      <c r="H64" s="51"/>
      <c r="I64" s="17">
        <f t="shared" si="0"/>
        <v>1500</v>
      </c>
      <c r="J64" s="27"/>
      <c r="K64" s="29"/>
    </row>
    <row r="65" spans="1:11" ht="25.5">
      <c r="A65" s="4">
        <v>51401</v>
      </c>
      <c r="B65" s="7" t="s">
        <v>128</v>
      </c>
      <c r="C65" s="2"/>
      <c r="D65" s="3" t="s">
        <v>94</v>
      </c>
      <c r="E65" s="3" t="s">
        <v>29</v>
      </c>
      <c r="F65" s="3" t="s">
        <v>43</v>
      </c>
      <c r="G65" s="305">
        <f>'SEPT-18'!I65</f>
        <v>1599.1</v>
      </c>
      <c r="H65" s="51"/>
      <c r="I65" s="17">
        <f t="shared" si="0"/>
        <v>1599.1</v>
      </c>
      <c r="J65" s="27"/>
      <c r="K65" s="30"/>
    </row>
    <row r="66" spans="1:11" ht="36">
      <c r="A66" s="4">
        <v>51501</v>
      </c>
      <c r="B66" s="5" t="s">
        <v>141</v>
      </c>
      <c r="C66" s="2"/>
      <c r="D66" s="3" t="s">
        <v>94</v>
      </c>
      <c r="E66" s="3" t="s">
        <v>29</v>
      </c>
      <c r="F66" s="3" t="s">
        <v>43</v>
      </c>
      <c r="G66" s="305">
        <f>'SEPT-18'!I66</f>
        <v>1389.16</v>
      </c>
      <c r="H66" s="51"/>
      <c r="I66" s="17">
        <f t="shared" si="0"/>
        <v>1389.16</v>
      </c>
      <c r="J66" s="27"/>
      <c r="K66" s="21"/>
    </row>
    <row r="67" spans="1:11">
      <c r="A67" s="4">
        <v>54104</v>
      </c>
      <c r="B67" s="2" t="s">
        <v>10</v>
      </c>
      <c r="C67" s="2"/>
      <c r="D67" s="3" t="s">
        <v>94</v>
      </c>
      <c r="E67" s="3" t="s">
        <v>29</v>
      </c>
      <c r="F67" s="3" t="s">
        <v>43</v>
      </c>
      <c r="G67" s="305">
        <f>'SEPT-18'!I67</f>
        <v>1000</v>
      </c>
      <c r="H67" s="51"/>
      <c r="I67" s="17">
        <f t="shared" si="0"/>
        <v>1000</v>
      </c>
      <c r="J67" s="27"/>
      <c r="K67" s="22"/>
    </row>
    <row r="68" spans="1:11">
      <c r="A68" s="4">
        <v>54105</v>
      </c>
      <c r="B68" s="2" t="s">
        <v>49</v>
      </c>
      <c r="C68" s="2"/>
      <c r="D68" s="3" t="s">
        <v>94</v>
      </c>
      <c r="E68" s="3" t="s">
        <v>29</v>
      </c>
      <c r="F68" s="3" t="s">
        <v>43</v>
      </c>
      <c r="G68" s="305">
        <f>'SEPT-18'!I68</f>
        <v>749.28</v>
      </c>
      <c r="H68" s="51">
        <f>481.78+252.82</f>
        <v>734.59999999999991</v>
      </c>
      <c r="I68" s="17">
        <f t="shared" si="0"/>
        <v>14.680000000000064</v>
      </c>
      <c r="J68" s="27"/>
      <c r="K68" s="18"/>
    </row>
    <row r="69" spans="1:11">
      <c r="A69" s="4">
        <v>54114</v>
      </c>
      <c r="B69" s="2" t="s">
        <v>56</v>
      </c>
      <c r="C69" s="2"/>
      <c r="D69" s="3" t="s">
        <v>94</v>
      </c>
      <c r="E69" s="3" t="s">
        <v>29</v>
      </c>
      <c r="F69" s="3" t="s">
        <v>43</v>
      </c>
      <c r="G69" s="305">
        <f>'SEPT-18'!I69</f>
        <v>2475.1099999999997</v>
      </c>
      <c r="H69" s="51">
        <f>86.76+219.32</f>
        <v>306.08</v>
      </c>
      <c r="I69" s="17">
        <f t="shared" si="0"/>
        <v>1169.0299999999997</v>
      </c>
      <c r="J69" s="27"/>
      <c r="K69" s="21">
        <v>1000</v>
      </c>
    </row>
    <row r="70" spans="1:11">
      <c r="A70" s="4">
        <v>54115</v>
      </c>
      <c r="B70" s="2" t="s">
        <v>57</v>
      </c>
      <c r="C70" s="2"/>
      <c r="D70" s="3" t="s">
        <v>94</v>
      </c>
      <c r="E70" s="3" t="s">
        <v>29</v>
      </c>
      <c r="F70" s="3" t="s">
        <v>43</v>
      </c>
      <c r="G70" s="305">
        <f>'SEPT-18'!I70</f>
        <v>1244.82</v>
      </c>
      <c r="H70" s="51">
        <f>688.5+360.24</f>
        <v>1048.74</v>
      </c>
      <c r="I70" s="17">
        <f t="shared" si="0"/>
        <v>196.07999999999993</v>
      </c>
      <c r="J70" s="31"/>
      <c r="K70" s="21"/>
    </row>
    <row r="71" spans="1:11">
      <c r="A71" s="4">
        <v>54401</v>
      </c>
      <c r="B71" s="2" t="s">
        <v>75</v>
      </c>
      <c r="C71" s="2"/>
      <c r="D71" s="3" t="s">
        <v>94</v>
      </c>
      <c r="E71" s="3" t="s">
        <v>29</v>
      </c>
      <c r="F71" s="3" t="s">
        <v>43</v>
      </c>
      <c r="G71" s="305">
        <f>'SEPT-18'!I71</f>
        <v>200</v>
      </c>
      <c r="H71" s="51"/>
      <c r="I71" s="17">
        <f t="shared" si="0"/>
        <v>200</v>
      </c>
      <c r="J71" s="27"/>
      <c r="K71" s="21"/>
    </row>
    <row r="72" spans="1:11">
      <c r="A72" s="4">
        <v>54403</v>
      </c>
      <c r="B72" s="2" t="s">
        <v>76</v>
      </c>
      <c r="C72" s="2"/>
      <c r="D72" s="3" t="s">
        <v>94</v>
      </c>
      <c r="E72" s="3" t="s">
        <v>29</v>
      </c>
      <c r="F72" s="3" t="s">
        <v>43</v>
      </c>
      <c r="G72" s="305">
        <f>'SEPT-18'!I72</f>
        <v>288</v>
      </c>
      <c r="H72" s="51"/>
      <c r="I72" s="17">
        <f>G72-H72+J72-K72</f>
        <v>288</v>
      </c>
      <c r="J72" s="27"/>
      <c r="K72" s="28"/>
    </row>
    <row r="73" spans="1:11" ht="21" customHeight="1">
      <c r="A73" s="4">
        <v>54507</v>
      </c>
      <c r="B73" s="5" t="s">
        <v>95</v>
      </c>
      <c r="C73" s="2"/>
      <c r="D73" s="3" t="s">
        <v>94</v>
      </c>
      <c r="E73" s="3" t="s">
        <v>29</v>
      </c>
      <c r="F73" s="3" t="s">
        <v>43</v>
      </c>
      <c r="G73" s="305">
        <f>'SEPT-18'!I73</f>
        <v>580</v>
      </c>
      <c r="H73" s="51">
        <f>90.4</f>
        <v>90.4</v>
      </c>
      <c r="I73" s="17">
        <f>G73-H73+J73-K73</f>
        <v>489.6</v>
      </c>
      <c r="J73" s="32"/>
      <c r="K73" s="28"/>
    </row>
    <row r="74" spans="1:11" ht="21">
      <c r="A74" s="38" t="s">
        <v>8</v>
      </c>
      <c r="B74" s="39" t="s">
        <v>96</v>
      </c>
      <c r="C74" s="39"/>
      <c r="D74" s="39" t="s">
        <v>94</v>
      </c>
      <c r="E74" s="39" t="s">
        <v>29</v>
      </c>
      <c r="F74" s="39" t="s">
        <v>43</v>
      </c>
      <c r="G74" s="305">
        <f>'SEPT-18'!I74</f>
        <v>11244.140000000005</v>
      </c>
      <c r="H74" s="95">
        <f>SUM(H62:H73)</f>
        <v>2179.8200000000002</v>
      </c>
      <c r="I74" s="40">
        <f>G74-H74+J74-K74</f>
        <v>8064.3200000000052</v>
      </c>
      <c r="J74" s="107">
        <f>SUM(J62:J73)</f>
        <v>0</v>
      </c>
      <c r="K74" s="107">
        <f>SUM(K62:K73)</f>
        <v>1000</v>
      </c>
    </row>
    <row r="75" spans="1:11">
      <c r="A75" s="4">
        <v>51103</v>
      </c>
      <c r="B75" s="2" t="s">
        <v>174</v>
      </c>
      <c r="C75" s="2"/>
      <c r="D75" s="3" t="s">
        <v>97</v>
      </c>
      <c r="E75" s="3" t="s">
        <v>29</v>
      </c>
      <c r="F75" s="3" t="s">
        <v>43</v>
      </c>
      <c r="G75" s="305">
        <f>'SEPT-18'!I75</f>
        <v>100</v>
      </c>
      <c r="H75" s="51"/>
      <c r="I75" s="170">
        <f t="shared" ref="I75:I100" si="1">G75-H75+J75-K75</f>
        <v>100</v>
      </c>
      <c r="J75" s="28"/>
      <c r="K75" s="28"/>
    </row>
    <row r="76" spans="1:11">
      <c r="A76" s="4">
        <v>51107</v>
      </c>
      <c r="B76" s="2" t="s">
        <v>93</v>
      </c>
      <c r="C76" s="2"/>
      <c r="D76" s="3" t="s">
        <v>97</v>
      </c>
      <c r="E76" s="3" t="s">
        <v>29</v>
      </c>
      <c r="F76" s="3" t="s">
        <v>43</v>
      </c>
      <c r="G76" s="305">
        <f>'SEPT-18'!I76</f>
        <v>148.21000000000004</v>
      </c>
      <c r="H76" s="51">
        <f>45+45+45+25+25+25+15+15+15+15+15+15+15</f>
        <v>315</v>
      </c>
      <c r="I76" s="418">
        <f t="shared" si="1"/>
        <v>333.21000000000004</v>
      </c>
      <c r="J76" s="28">
        <v>500</v>
      </c>
      <c r="K76" s="28"/>
    </row>
    <row r="77" spans="1:11">
      <c r="A77" s="4">
        <v>51201</v>
      </c>
      <c r="B77" s="2" t="s">
        <v>44</v>
      </c>
      <c r="C77" s="2"/>
      <c r="D77" s="3" t="s">
        <v>97</v>
      </c>
      <c r="E77" s="3" t="s">
        <v>29</v>
      </c>
      <c r="F77" s="3" t="s">
        <v>43</v>
      </c>
      <c r="G77" s="305">
        <f>'SEPT-18'!I77</f>
        <v>342.5</v>
      </c>
      <c r="H77" s="51">
        <f>330+400+310+700</f>
        <v>1740</v>
      </c>
      <c r="I77" s="170">
        <f t="shared" si="1"/>
        <v>402.5</v>
      </c>
      <c r="J77" s="30">
        <v>1800</v>
      </c>
      <c r="K77" s="28"/>
    </row>
    <row r="78" spans="1:11">
      <c r="A78" s="4">
        <v>51301</v>
      </c>
      <c r="B78" s="7" t="s">
        <v>98</v>
      </c>
      <c r="C78" s="2"/>
      <c r="D78" s="3" t="s">
        <v>97</v>
      </c>
      <c r="E78" s="3" t="s">
        <v>29</v>
      </c>
      <c r="F78" s="3" t="s">
        <v>43</v>
      </c>
      <c r="G78" s="305">
        <f>'SEPT-18'!I78</f>
        <v>1500</v>
      </c>
      <c r="H78" s="51"/>
      <c r="I78" s="170">
        <f t="shared" si="1"/>
        <v>1500</v>
      </c>
      <c r="J78" s="30"/>
      <c r="K78" s="28"/>
    </row>
    <row r="79" spans="1:11" ht="48.75" customHeight="1">
      <c r="A79" s="4">
        <v>51401</v>
      </c>
      <c r="B79" s="7" t="s">
        <v>134</v>
      </c>
      <c r="C79" s="2"/>
      <c r="D79" s="3" t="s">
        <v>97</v>
      </c>
      <c r="E79" s="3" t="s">
        <v>29</v>
      </c>
      <c r="F79" s="3" t="s">
        <v>43</v>
      </c>
      <c r="G79" s="305">
        <f>'SEPT-18'!I79</f>
        <v>7778.74</v>
      </c>
      <c r="H79" s="51"/>
      <c r="I79" s="170">
        <f t="shared" si="1"/>
        <v>6336.74</v>
      </c>
      <c r="J79" s="29"/>
      <c r="K79" s="28">
        <v>1442</v>
      </c>
    </row>
    <row r="80" spans="1:11" ht="36">
      <c r="A80" s="4">
        <v>51501</v>
      </c>
      <c r="B80" s="5" t="s">
        <v>127</v>
      </c>
      <c r="C80" s="2"/>
      <c r="D80" s="3" t="s">
        <v>97</v>
      </c>
      <c r="E80" s="3" t="s">
        <v>29</v>
      </c>
      <c r="F80" s="3" t="s">
        <v>43</v>
      </c>
      <c r="G80" s="305">
        <f>'SEPT-18'!I80</f>
        <v>6853.28</v>
      </c>
      <c r="H80" s="51"/>
      <c r="I80" s="170">
        <f t="shared" si="1"/>
        <v>6853.28</v>
      </c>
      <c r="J80" s="27"/>
      <c r="K80" s="28"/>
    </row>
    <row r="81" spans="1:11" ht="24" customHeight="1">
      <c r="A81" s="4">
        <v>54104</v>
      </c>
      <c r="B81" s="2" t="s">
        <v>10</v>
      </c>
      <c r="C81" s="2"/>
      <c r="D81" s="3" t="s">
        <v>97</v>
      </c>
      <c r="E81" s="3" t="s">
        <v>29</v>
      </c>
      <c r="F81" s="3" t="s">
        <v>43</v>
      </c>
      <c r="G81" s="305">
        <f>'SEPT-18'!I81</f>
        <v>1289.5</v>
      </c>
      <c r="H81" s="51"/>
      <c r="I81" s="170">
        <f t="shared" si="1"/>
        <v>1289.5</v>
      </c>
      <c r="J81" s="28"/>
      <c r="K81" s="28"/>
    </row>
    <row r="82" spans="1:11" ht="21.75" customHeight="1">
      <c r="A82" s="4">
        <v>54105</v>
      </c>
      <c r="B82" s="2" t="s">
        <v>49</v>
      </c>
      <c r="C82" s="2"/>
      <c r="D82" s="3" t="s">
        <v>97</v>
      </c>
      <c r="E82" s="3" t="s">
        <v>29</v>
      </c>
      <c r="F82" s="3" t="s">
        <v>43</v>
      </c>
      <c r="G82" s="305">
        <f>'SEPT-18'!I82</f>
        <v>491.65</v>
      </c>
      <c r="H82" s="51"/>
      <c r="I82" s="170">
        <f t="shared" si="1"/>
        <v>491.65</v>
      </c>
      <c r="J82" s="27"/>
      <c r="K82" s="28"/>
    </row>
    <row r="83" spans="1:11" ht="27" customHeight="1">
      <c r="A83" s="4">
        <v>54106</v>
      </c>
      <c r="B83" s="5" t="s">
        <v>99</v>
      </c>
      <c r="C83" s="5"/>
      <c r="D83" s="3" t="s">
        <v>97</v>
      </c>
      <c r="E83" s="3" t="s">
        <v>29</v>
      </c>
      <c r="F83" s="3" t="s">
        <v>43</v>
      </c>
      <c r="G83" s="305">
        <f>'SEPT-18'!I83</f>
        <v>380.62</v>
      </c>
      <c r="H83" s="51"/>
      <c r="I83" s="170">
        <f t="shared" si="1"/>
        <v>380.62</v>
      </c>
      <c r="J83" s="27"/>
      <c r="K83" s="28"/>
    </row>
    <row r="84" spans="1:11" ht="24" customHeight="1">
      <c r="A84" s="4">
        <v>54109</v>
      </c>
      <c r="B84" s="2" t="s">
        <v>52</v>
      </c>
      <c r="C84" s="2"/>
      <c r="D84" s="3" t="s">
        <v>97</v>
      </c>
      <c r="E84" s="3" t="s">
        <v>29</v>
      </c>
      <c r="F84" s="3" t="s">
        <v>43</v>
      </c>
      <c r="G84" s="305">
        <f>'SEPT-18'!I84</f>
        <v>0</v>
      </c>
      <c r="H84" s="51">
        <f>142</f>
        <v>142</v>
      </c>
      <c r="I84" s="170">
        <f t="shared" si="1"/>
        <v>0</v>
      </c>
      <c r="J84" s="33">
        <v>142</v>
      </c>
      <c r="K84" s="28"/>
    </row>
    <row r="85" spans="1:11" ht="28.5" customHeight="1">
      <c r="A85" s="4">
        <v>54110</v>
      </c>
      <c r="B85" s="2" t="s">
        <v>53</v>
      </c>
      <c r="C85" s="2"/>
      <c r="D85" s="3" t="s">
        <v>97</v>
      </c>
      <c r="E85" s="3" t="s">
        <v>29</v>
      </c>
      <c r="F85" s="3" t="s">
        <v>43</v>
      </c>
      <c r="G85" s="305">
        <f>'SEPT-18'!I85</f>
        <v>3529.7799999999997</v>
      </c>
      <c r="H85" s="51">
        <f>1220.75</f>
        <v>1220.75</v>
      </c>
      <c r="I85" s="170">
        <f t="shared" si="1"/>
        <v>2309.0299999999997</v>
      </c>
      <c r="J85" s="33"/>
      <c r="K85" s="30"/>
    </row>
    <row r="86" spans="1:11" ht="30.75" customHeight="1">
      <c r="A86" s="4">
        <v>54111</v>
      </c>
      <c r="B86" s="5" t="s">
        <v>54</v>
      </c>
      <c r="C86" s="2"/>
      <c r="D86" s="3" t="s">
        <v>97</v>
      </c>
      <c r="E86" s="3" t="s">
        <v>29</v>
      </c>
      <c r="F86" s="3" t="s">
        <v>43</v>
      </c>
      <c r="G86" s="305">
        <f>'SEPT-18'!I86</f>
        <v>188</v>
      </c>
      <c r="H86" s="51"/>
      <c r="I86" s="170">
        <f t="shared" si="1"/>
        <v>188</v>
      </c>
      <c r="J86" s="33"/>
      <c r="K86" s="277"/>
    </row>
    <row r="87" spans="1:11" ht="39">
      <c r="A87" s="4">
        <v>54112</v>
      </c>
      <c r="B87" s="5" t="s">
        <v>55</v>
      </c>
      <c r="C87" s="2"/>
      <c r="D87" s="3" t="s">
        <v>97</v>
      </c>
      <c r="E87" s="3" t="s">
        <v>29</v>
      </c>
      <c r="F87" s="3" t="s">
        <v>43</v>
      </c>
      <c r="G87" s="305">
        <f>'SEPT-18'!I87</f>
        <v>176</v>
      </c>
      <c r="H87" s="51"/>
      <c r="I87" s="170">
        <f t="shared" si="1"/>
        <v>176</v>
      </c>
      <c r="J87" s="33"/>
      <c r="K87" s="28"/>
    </row>
    <row r="88" spans="1:11" ht="18" customHeight="1">
      <c r="A88" s="4">
        <v>54114</v>
      </c>
      <c r="B88" s="2" t="s">
        <v>56</v>
      </c>
      <c r="C88" s="2"/>
      <c r="D88" s="3" t="s">
        <v>97</v>
      </c>
      <c r="E88" s="3" t="s">
        <v>29</v>
      </c>
      <c r="F88" s="3" t="s">
        <v>43</v>
      </c>
      <c r="G88" s="305">
        <f>'SEPT-18'!I88</f>
        <v>400</v>
      </c>
      <c r="H88" s="51"/>
      <c r="I88" s="170">
        <f t="shared" si="1"/>
        <v>400</v>
      </c>
      <c r="J88" s="27"/>
      <c r="K88" s="28"/>
    </row>
    <row r="89" spans="1:11">
      <c r="A89" s="4">
        <v>54115</v>
      </c>
      <c r="B89" s="2" t="s">
        <v>57</v>
      </c>
      <c r="C89" s="2"/>
      <c r="D89" s="3" t="s">
        <v>97</v>
      </c>
      <c r="E89" s="3" t="s">
        <v>29</v>
      </c>
      <c r="F89" s="3" t="s">
        <v>43</v>
      </c>
      <c r="G89" s="305">
        <f>'SEPT-18'!I89</f>
        <v>470</v>
      </c>
      <c r="H89" s="51"/>
      <c r="I89" s="170">
        <f t="shared" si="1"/>
        <v>470</v>
      </c>
      <c r="J89" s="33"/>
      <c r="K89" s="28"/>
    </row>
    <row r="90" spans="1:11" ht="27" customHeight="1">
      <c r="A90" s="4">
        <v>54118</v>
      </c>
      <c r="B90" s="5" t="s">
        <v>100</v>
      </c>
      <c r="C90" s="2"/>
      <c r="D90" s="3" t="s">
        <v>97</v>
      </c>
      <c r="E90" s="3" t="s">
        <v>29</v>
      </c>
      <c r="F90" s="3" t="s">
        <v>43</v>
      </c>
      <c r="G90" s="305">
        <f>'SEPT-18'!I90</f>
        <v>462.16999999999996</v>
      </c>
      <c r="H90" s="51"/>
      <c r="I90" s="170">
        <v>462.17</v>
      </c>
      <c r="J90" s="30"/>
      <c r="K90" s="28"/>
    </row>
    <row r="91" spans="1:11">
      <c r="A91" s="4">
        <v>54119</v>
      </c>
      <c r="B91" s="2" t="s">
        <v>60</v>
      </c>
      <c r="C91" s="2"/>
      <c r="D91" s="3" t="s">
        <v>97</v>
      </c>
      <c r="E91" s="3" t="s">
        <v>29</v>
      </c>
      <c r="F91" s="3" t="s">
        <v>43</v>
      </c>
      <c r="G91" s="305">
        <f>'SEPT-18'!I91</f>
        <v>551.05000000000007</v>
      </c>
      <c r="H91" s="51"/>
      <c r="I91" s="170">
        <f t="shared" si="1"/>
        <v>551.05000000000007</v>
      </c>
      <c r="J91" s="30"/>
      <c r="K91" s="28"/>
    </row>
    <row r="92" spans="1:11">
      <c r="A92" s="4">
        <v>54199</v>
      </c>
      <c r="B92" s="2" t="s">
        <v>61</v>
      </c>
      <c r="C92" s="2"/>
      <c r="D92" s="3" t="s">
        <v>97</v>
      </c>
      <c r="E92" s="3" t="s">
        <v>29</v>
      </c>
      <c r="F92" s="3" t="s">
        <v>43</v>
      </c>
      <c r="G92" s="305">
        <f>'SEPT-18'!I92</f>
        <v>555.03000000000009</v>
      </c>
      <c r="H92" s="51">
        <f>124.27+143.73+120</f>
        <v>388</v>
      </c>
      <c r="I92" s="170">
        <f t="shared" si="1"/>
        <v>167.03000000000009</v>
      </c>
      <c r="J92" s="33"/>
      <c r="K92" s="28"/>
    </row>
    <row r="93" spans="1:11">
      <c r="A93" s="4">
        <v>54301</v>
      </c>
      <c r="B93" s="2" t="s">
        <v>66</v>
      </c>
      <c r="C93" s="2"/>
      <c r="D93" s="3" t="s">
        <v>97</v>
      </c>
      <c r="E93" s="3" t="s">
        <v>29</v>
      </c>
      <c r="F93" s="3" t="s">
        <v>43</v>
      </c>
      <c r="G93" s="305">
        <f>'SEPT-18'!I93</f>
        <v>124.32999999999998</v>
      </c>
      <c r="H93" s="51"/>
      <c r="I93" s="170">
        <f t="shared" si="1"/>
        <v>124.32999999999998</v>
      </c>
      <c r="J93" s="29"/>
      <c r="K93" s="28"/>
    </row>
    <row r="94" spans="1:11">
      <c r="A94" s="4">
        <v>54302</v>
      </c>
      <c r="B94" s="2" t="s">
        <v>67</v>
      </c>
      <c r="C94" s="2"/>
      <c r="D94" s="3" t="s">
        <v>97</v>
      </c>
      <c r="E94" s="3" t="s">
        <v>29</v>
      </c>
      <c r="F94" s="3" t="s">
        <v>43</v>
      </c>
      <c r="G94" s="305">
        <f>'SEPT-18'!I94</f>
        <v>360</v>
      </c>
      <c r="H94" s="51"/>
      <c r="I94" s="170">
        <f t="shared" si="1"/>
        <v>360</v>
      </c>
      <c r="J94" s="27"/>
      <c r="K94" s="28"/>
    </row>
    <row r="95" spans="1:11" ht="24.75" customHeight="1">
      <c r="A95" s="4">
        <v>54314</v>
      </c>
      <c r="B95" s="5" t="s">
        <v>101</v>
      </c>
      <c r="C95" s="2"/>
      <c r="D95" s="3" t="s">
        <v>97</v>
      </c>
      <c r="E95" s="3" t="s">
        <v>29</v>
      </c>
      <c r="F95" s="3" t="s">
        <v>43</v>
      </c>
      <c r="G95" s="305">
        <f>'SEPT-18'!I95</f>
        <v>7251.8600000000006</v>
      </c>
      <c r="H95" s="51">
        <f>60+40</f>
        <v>100</v>
      </c>
      <c r="I95" s="170">
        <f t="shared" si="1"/>
        <v>7151.8600000000006</v>
      </c>
      <c r="J95" s="33"/>
      <c r="K95" s="315"/>
    </row>
    <row r="96" spans="1:11">
      <c r="A96" s="4">
        <v>54399</v>
      </c>
      <c r="B96" s="2" t="s">
        <v>74</v>
      </c>
      <c r="C96" s="2"/>
      <c r="D96" s="3" t="s">
        <v>97</v>
      </c>
      <c r="E96" s="3" t="s">
        <v>29</v>
      </c>
      <c r="F96" s="3" t="s">
        <v>43</v>
      </c>
      <c r="G96" s="305">
        <f>'SEPT-18'!I96</f>
        <v>563.32999999999993</v>
      </c>
      <c r="H96" s="51">
        <f>211.16</f>
        <v>211.16</v>
      </c>
      <c r="I96" s="170">
        <f t="shared" si="1"/>
        <v>352.16999999999996</v>
      </c>
      <c r="J96" s="33"/>
      <c r="K96" s="33"/>
    </row>
    <row r="97" spans="1:11">
      <c r="A97" s="4">
        <v>54401</v>
      </c>
      <c r="B97" s="2" t="s">
        <v>75</v>
      </c>
      <c r="C97" s="2"/>
      <c r="D97" s="3" t="s">
        <v>97</v>
      </c>
      <c r="E97" s="3" t="s">
        <v>29</v>
      </c>
      <c r="F97" s="3" t="s">
        <v>43</v>
      </c>
      <c r="G97" s="305">
        <f>'SEPT-18'!I97</f>
        <v>400</v>
      </c>
      <c r="H97" s="51"/>
      <c r="I97" s="170">
        <f t="shared" si="1"/>
        <v>400</v>
      </c>
      <c r="J97" s="34"/>
      <c r="K97" s="28"/>
    </row>
    <row r="98" spans="1:11">
      <c r="A98" s="4">
        <v>54403</v>
      </c>
      <c r="B98" s="2" t="s">
        <v>102</v>
      </c>
      <c r="C98" s="2"/>
      <c r="D98" s="3" t="s">
        <v>97</v>
      </c>
      <c r="E98" s="3" t="s">
        <v>29</v>
      </c>
      <c r="F98" s="3" t="s">
        <v>43</v>
      </c>
      <c r="G98" s="305">
        <f>'SEPT-18'!I98</f>
        <v>321.48</v>
      </c>
      <c r="H98" s="51"/>
      <c r="I98" s="170">
        <f t="shared" si="1"/>
        <v>321.48</v>
      </c>
      <c r="J98" s="34"/>
      <c r="K98" s="28"/>
    </row>
    <row r="99" spans="1:11" ht="21.75" customHeight="1">
      <c r="A99" s="4">
        <v>54507</v>
      </c>
      <c r="B99" s="5" t="s">
        <v>103</v>
      </c>
      <c r="C99" s="5"/>
      <c r="D99" s="3" t="s">
        <v>97</v>
      </c>
      <c r="E99" s="3" t="s">
        <v>29</v>
      </c>
      <c r="F99" s="3" t="s">
        <v>43</v>
      </c>
      <c r="G99" s="305">
        <f>'SEPT-18'!I99</f>
        <v>0</v>
      </c>
      <c r="H99" s="51"/>
      <c r="I99" s="170">
        <f t="shared" si="1"/>
        <v>0</v>
      </c>
      <c r="J99" s="35"/>
      <c r="K99" s="28"/>
    </row>
    <row r="100" spans="1:11">
      <c r="A100" s="4">
        <v>54699</v>
      </c>
      <c r="B100" s="5" t="s">
        <v>104</v>
      </c>
      <c r="C100" s="2"/>
      <c r="D100" s="3" t="s">
        <v>97</v>
      </c>
      <c r="E100" s="3" t="s">
        <v>29</v>
      </c>
      <c r="F100" s="3" t="s">
        <v>43</v>
      </c>
      <c r="G100" s="305">
        <f>'SEPT-18'!I100</f>
        <v>1</v>
      </c>
      <c r="H100" s="51"/>
      <c r="I100" s="170">
        <f t="shared" si="1"/>
        <v>1</v>
      </c>
      <c r="J100" s="27"/>
      <c r="K100" s="28"/>
    </row>
    <row r="101" spans="1:11" ht="21">
      <c r="A101" s="38" t="s">
        <v>8</v>
      </c>
      <c r="B101" s="39" t="s">
        <v>105</v>
      </c>
      <c r="C101" s="39"/>
      <c r="D101" s="39" t="s">
        <v>97</v>
      </c>
      <c r="E101" s="39" t="s">
        <v>29</v>
      </c>
      <c r="F101" s="39" t="s">
        <v>43</v>
      </c>
      <c r="G101" s="305">
        <f>'SEPT-18'!I101</f>
        <v>34238.530000000006</v>
      </c>
      <c r="H101" s="95">
        <f>SUM(H75:H100)</f>
        <v>4116.91</v>
      </c>
      <c r="I101" s="40">
        <f>G101-H101+J101-K101</f>
        <v>31121.620000000006</v>
      </c>
      <c r="J101" s="107">
        <f>SUM(J75:J100)</f>
        <v>2442</v>
      </c>
      <c r="K101" s="107">
        <f>SUM(K75:K100)</f>
        <v>1442</v>
      </c>
    </row>
    <row r="102" spans="1:11">
      <c r="A102" s="4">
        <v>51101</v>
      </c>
      <c r="B102" s="2" t="s">
        <v>175</v>
      </c>
      <c r="C102" s="2"/>
      <c r="D102" s="3" t="s">
        <v>42</v>
      </c>
      <c r="E102" s="3" t="s">
        <v>29</v>
      </c>
      <c r="F102" s="3" t="s">
        <v>106</v>
      </c>
      <c r="G102" s="305">
        <f>'SEPT-18'!I102</f>
        <v>21111.14999999998</v>
      </c>
      <c r="H102" s="51">
        <f>7537.05</f>
        <v>7537.05</v>
      </c>
      <c r="I102" s="17">
        <f t="shared" ref="I102:I149" si="2">G102-H102+J102-K102</f>
        <v>13574.09999999998</v>
      </c>
      <c r="J102" s="28"/>
      <c r="K102" s="30"/>
    </row>
    <row r="103" spans="1:11">
      <c r="A103" s="4">
        <v>51103</v>
      </c>
      <c r="B103" s="2" t="s">
        <v>107</v>
      </c>
      <c r="C103" s="2"/>
      <c r="D103" s="3" t="s">
        <v>42</v>
      </c>
      <c r="E103" s="3" t="s">
        <v>29</v>
      </c>
      <c r="F103" s="3" t="s">
        <v>106</v>
      </c>
      <c r="G103" s="305">
        <f>'SEPT-18'!I103</f>
        <v>4687.05</v>
      </c>
      <c r="H103" s="51"/>
      <c r="I103" s="17">
        <f t="shared" si="2"/>
        <v>4687.05</v>
      </c>
      <c r="J103" s="30"/>
      <c r="K103" s="29"/>
    </row>
    <row r="104" spans="1:11">
      <c r="A104" s="4">
        <v>51105</v>
      </c>
      <c r="B104" s="2" t="s">
        <v>176</v>
      </c>
      <c r="C104" s="2"/>
      <c r="D104" s="3" t="s">
        <v>42</v>
      </c>
      <c r="E104" s="3" t="s">
        <v>29</v>
      </c>
      <c r="F104" s="3" t="s">
        <v>106</v>
      </c>
      <c r="G104" s="305">
        <f>'SEPT-18'!I104</f>
        <v>7628.3799999999956</v>
      </c>
      <c r="H104" s="51">
        <f>7111.2</f>
        <v>7111.2</v>
      </c>
      <c r="I104" s="17">
        <f t="shared" si="2"/>
        <v>517.17999999999574</v>
      </c>
      <c r="J104" s="30"/>
      <c r="K104" s="29"/>
    </row>
    <row r="105" spans="1:11" ht="29.25">
      <c r="A105" s="4">
        <v>51107</v>
      </c>
      <c r="B105" s="7" t="s">
        <v>1168</v>
      </c>
      <c r="C105" s="2"/>
      <c r="D105" s="3" t="s">
        <v>42</v>
      </c>
      <c r="E105" s="3" t="s">
        <v>29</v>
      </c>
      <c r="F105" s="3" t="s">
        <v>106</v>
      </c>
      <c r="G105" s="305">
        <f>'SEPT-18'!I105</f>
        <v>900</v>
      </c>
      <c r="H105" s="51"/>
      <c r="I105" s="17">
        <f t="shared" si="2"/>
        <v>900</v>
      </c>
      <c r="J105" s="30"/>
      <c r="K105" s="29"/>
    </row>
    <row r="106" spans="1:11" ht="18.75" customHeight="1">
      <c r="A106" s="4">
        <v>51201</v>
      </c>
      <c r="B106" s="2" t="s">
        <v>1173</v>
      </c>
      <c r="C106" s="2"/>
      <c r="D106" s="3" t="s">
        <v>42</v>
      </c>
      <c r="E106" s="3" t="s">
        <v>29</v>
      </c>
      <c r="F106" s="3" t="s">
        <v>30</v>
      </c>
      <c r="G106" s="305">
        <f>'SEPT-18'!I106</f>
        <v>3979</v>
      </c>
      <c r="H106" s="51">
        <f>950+1334</f>
        <v>2284</v>
      </c>
      <c r="I106" s="17">
        <f t="shared" si="2"/>
        <v>1695</v>
      </c>
      <c r="J106" s="30"/>
      <c r="K106" s="29"/>
    </row>
    <row r="107" spans="1:11">
      <c r="A107" s="4">
        <v>51301</v>
      </c>
      <c r="B107" s="2" t="s">
        <v>177</v>
      </c>
      <c r="C107" s="2"/>
      <c r="D107" s="3" t="s">
        <v>42</v>
      </c>
      <c r="E107" s="3" t="s">
        <v>29</v>
      </c>
      <c r="F107" s="3" t="s">
        <v>30</v>
      </c>
      <c r="G107" s="305">
        <f>'SEPT-18'!I107</f>
        <v>719.02</v>
      </c>
      <c r="H107" s="51"/>
      <c r="I107" s="17">
        <f t="shared" si="2"/>
        <v>719.02</v>
      </c>
      <c r="J107" s="30"/>
      <c r="K107" s="29"/>
    </row>
    <row r="108" spans="1:11" ht="33.75" customHeight="1">
      <c r="A108" s="4">
        <v>51401</v>
      </c>
      <c r="B108" s="5" t="s">
        <v>128</v>
      </c>
      <c r="C108" s="5"/>
      <c r="D108" s="3" t="s">
        <v>42</v>
      </c>
      <c r="E108" s="3" t="s">
        <v>29</v>
      </c>
      <c r="F108" s="3" t="s">
        <v>106</v>
      </c>
      <c r="G108" s="305">
        <f>'SEPT-18'!I108</f>
        <v>2064.89</v>
      </c>
      <c r="H108" s="51">
        <f>386.15+205.28</f>
        <v>591.42999999999995</v>
      </c>
      <c r="I108" s="17">
        <f t="shared" si="2"/>
        <v>1473.46</v>
      </c>
      <c r="J108" s="33"/>
      <c r="K108" s="29"/>
    </row>
    <row r="109" spans="1:11" ht="36">
      <c r="A109" s="4">
        <v>51501</v>
      </c>
      <c r="B109" s="5" t="s">
        <v>168</v>
      </c>
      <c r="C109" s="5"/>
      <c r="D109" s="3" t="s">
        <v>42</v>
      </c>
      <c r="E109" s="3" t="s">
        <v>29</v>
      </c>
      <c r="F109" s="3" t="s">
        <v>106</v>
      </c>
      <c r="G109" s="305">
        <f>'SEPT-18'!I109</f>
        <v>3040.38</v>
      </c>
      <c r="H109" s="51">
        <f>229.61+327.36+63+91.86</f>
        <v>711.83</v>
      </c>
      <c r="I109" s="17">
        <f t="shared" si="2"/>
        <v>2328.5500000000002</v>
      </c>
      <c r="J109" s="33"/>
      <c r="K109" s="29"/>
    </row>
    <row r="110" spans="1:11" ht="34.5" customHeight="1">
      <c r="A110" s="4">
        <v>51601</v>
      </c>
      <c r="B110" s="311" t="s">
        <v>1087</v>
      </c>
      <c r="C110" s="444"/>
      <c r="D110" s="3" t="s">
        <v>42</v>
      </c>
      <c r="E110" s="3" t="s">
        <v>29</v>
      </c>
      <c r="F110" s="3" t="s">
        <v>106</v>
      </c>
      <c r="G110" s="305">
        <f>'SEPT-18'!I110</f>
        <v>0</v>
      </c>
      <c r="H110" s="51"/>
      <c r="I110" s="17">
        <f t="shared" si="2"/>
        <v>0</v>
      </c>
      <c r="J110" s="33"/>
      <c r="K110" s="29"/>
    </row>
    <row r="111" spans="1:11" ht="27.75" customHeight="1">
      <c r="A111" s="4">
        <v>51999</v>
      </c>
      <c r="B111" s="5" t="s">
        <v>178</v>
      </c>
      <c r="C111" s="5"/>
      <c r="D111" s="3" t="s">
        <v>42</v>
      </c>
      <c r="E111" s="3" t="s">
        <v>29</v>
      </c>
      <c r="F111" s="3" t="s">
        <v>30</v>
      </c>
      <c r="G111" s="305">
        <f>'SEPT-18'!I111</f>
        <v>777.37</v>
      </c>
      <c r="H111" s="51"/>
      <c r="I111" s="17">
        <f t="shared" si="2"/>
        <v>777.37</v>
      </c>
      <c r="J111" s="33"/>
      <c r="K111" s="29"/>
    </row>
    <row r="112" spans="1:11">
      <c r="A112" s="4">
        <v>54110</v>
      </c>
      <c r="B112" s="2" t="s">
        <v>108</v>
      </c>
      <c r="C112" s="2"/>
      <c r="D112" s="3" t="s">
        <v>42</v>
      </c>
      <c r="E112" s="3" t="s">
        <v>29</v>
      </c>
      <c r="F112" s="3" t="s">
        <v>30</v>
      </c>
      <c r="G112" s="305">
        <f>'SEPT-18'!I112</f>
        <v>0</v>
      </c>
      <c r="H112" s="51"/>
      <c r="I112" s="17">
        <f t="shared" si="2"/>
        <v>0</v>
      </c>
      <c r="J112" s="33"/>
      <c r="K112" s="29"/>
    </row>
    <row r="113" spans="1:11">
      <c r="A113" s="4">
        <v>54199</v>
      </c>
      <c r="B113" s="2" t="s">
        <v>61</v>
      </c>
      <c r="C113" s="2"/>
      <c r="D113" s="3" t="s">
        <v>42</v>
      </c>
      <c r="E113" s="3" t="s">
        <v>29</v>
      </c>
      <c r="F113" s="3" t="s">
        <v>106</v>
      </c>
      <c r="G113" s="305">
        <f>'SEPT-18'!I113</f>
        <v>0</v>
      </c>
      <c r="H113" s="51"/>
      <c r="I113" s="17">
        <f t="shared" si="2"/>
        <v>0</v>
      </c>
      <c r="J113" s="35"/>
      <c r="K113" s="29"/>
    </row>
    <row r="114" spans="1:11">
      <c r="A114" s="4">
        <v>54201</v>
      </c>
      <c r="B114" s="2" t="s">
        <v>62</v>
      </c>
      <c r="C114" s="2"/>
      <c r="D114" s="3" t="s">
        <v>42</v>
      </c>
      <c r="E114" s="3" t="s">
        <v>29</v>
      </c>
      <c r="F114" s="3" t="s">
        <v>106</v>
      </c>
      <c r="G114" s="305">
        <f>'SEPT-18'!I114</f>
        <v>4599.4299999999985</v>
      </c>
      <c r="H114" s="51">
        <f>4172.05</f>
        <v>4172.05</v>
      </c>
      <c r="I114" s="17">
        <f t="shared" si="2"/>
        <v>427.37999999999829</v>
      </c>
      <c r="J114" s="18"/>
      <c r="K114" s="29"/>
    </row>
    <row r="115" spans="1:11">
      <c r="A115" s="4">
        <v>54202</v>
      </c>
      <c r="B115" s="2" t="s">
        <v>109</v>
      </c>
      <c r="C115" s="2"/>
      <c r="D115" s="3" t="s">
        <v>42</v>
      </c>
      <c r="E115" s="3" t="s">
        <v>29</v>
      </c>
      <c r="F115" s="3" t="s">
        <v>106</v>
      </c>
      <c r="G115" s="305">
        <f>'SEPT-18'!I115</f>
        <v>1564.76</v>
      </c>
      <c r="H115" s="51">
        <f>226.06+226.84</f>
        <v>452.9</v>
      </c>
      <c r="I115" s="17">
        <f t="shared" si="2"/>
        <v>1111.8600000000001</v>
      </c>
      <c r="J115" s="18"/>
      <c r="K115" s="29"/>
    </row>
    <row r="116" spans="1:11">
      <c r="A116" s="4">
        <v>54203</v>
      </c>
      <c r="B116" s="2" t="s">
        <v>64</v>
      </c>
      <c r="C116" s="2"/>
      <c r="D116" s="3" t="s">
        <v>42</v>
      </c>
      <c r="E116" s="3" t="s">
        <v>29</v>
      </c>
      <c r="F116" s="3" t="s">
        <v>106</v>
      </c>
      <c r="G116" s="305">
        <f>'SEPT-18'!I116</f>
        <v>410.41999999999996</v>
      </c>
      <c r="H116" s="51">
        <f>269.33+354</f>
        <v>623.32999999999993</v>
      </c>
      <c r="I116" s="17">
        <f t="shared" si="2"/>
        <v>787.09</v>
      </c>
      <c r="J116" s="18">
        <v>1000</v>
      </c>
      <c r="K116" s="29"/>
    </row>
    <row r="117" spans="1:11">
      <c r="A117" s="4">
        <v>54302</v>
      </c>
      <c r="B117" s="5" t="s">
        <v>136</v>
      </c>
      <c r="C117" s="2"/>
      <c r="D117" s="3" t="s">
        <v>42</v>
      </c>
      <c r="E117" s="3" t="s">
        <v>29</v>
      </c>
      <c r="F117" s="3" t="s">
        <v>106</v>
      </c>
      <c r="G117" s="305">
        <f>'SEPT-18'!I117</f>
        <v>1</v>
      </c>
      <c r="H117" s="51"/>
      <c r="I117" s="17">
        <f t="shared" si="2"/>
        <v>1</v>
      </c>
      <c r="J117" s="35"/>
      <c r="K117" s="29"/>
    </row>
    <row r="118" spans="1:11" ht="30">
      <c r="A118" s="4">
        <v>54313</v>
      </c>
      <c r="B118" s="5" t="s">
        <v>1054</v>
      </c>
      <c r="C118" s="2"/>
      <c r="D118" s="3" t="s">
        <v>42</v>
      </c>
      <c r="E118" s="3" t="s">
        <v>29</v>
      </c>
      <c r="F118" s="3" t="s">
        <v>106</v>
      </c>
      <c r="G118" s="305">
        <f>'SEPT-18'!I118</f>
        <v>0</v>
      </c>
      <c r="H118" s="51"/>
      <c r="I118" s="17">
        <f t="shared" si="2"/>
        <v>0</v>
      </c>
      <c r="J118" s="35"/>
      <c r="K118" s="29"/>
    </row>
    <row r="119" spans="1:11" ht="21.75" customHeight="1">
      <c r="A119" s="4">
        <v>54503</v>
      </c>
      <c r="B119" s="314" t="s">
        <v>1088</v>
      </c>
      <c r="C119" s="313"/>
      <c r="D119" s="3" t="s">
        <v>42</v>
      </c>
      <c r="E119" s="3" t="s">
        <v>29</v>
      </c>
      <c r="F119" s="3" t="s">
        <v>106</v>
      </c>
      <c r="G119" s="305">
        <f>'SEPT-18'!I119</f>
        <v>0</v>
      </c>
      <c r="H119" s="51"/>
      <c r="I119" s="17">
        <f t="shared" si="2"/>
        <v>0</v>
      </c>
      <c r="J119" s="35"/>
      <c r="K119" s="29"/>
    </row>
    <row r="120" spans="1:11" ht="22.5" customHeight="1">
      <c r="A120" s="4">
        <v>55603</v>
      </c>
      <c r="B120" s="2" t="s">
        <v>6</v>
      </c>
      <c r="C120" s="2"/>
      <c r="D120" s="3" t="s">
        <v>42</v>
      </c>
      <c r="E120" s="3" t="s">
        <v>29</v>
      </c>
      <c r="F120" s="3" t="s">
        <v>106</v>
      </c>
      <c r="G120" s="305">
        <f>'SEPT-18'!I120</f>
        <v>182.88</v>
      </c>
      <c r="H120" s="51"/>
      <c r="I120" s="17">
        <f t="shared" si="2"/>
        <v>182.88</v>
      </c>
      <c r="J120" s="35"/>
      <c r="K120" s="29"/>
    </row>
    <row r="121" spans="1:11" ht="24.75" customHeight="1">
      <c r="A121" s="4">
        <v>55799</v>
      </c>
      <c r="B121" s="5" t="s">
        <v>137</v>
      </c>
      <c r="C121" s="2"/>
      <c r="D121" s="3" t="s">
        <v>42</v>
      </c>
      <c r="E121" s="3" t="s">
        <v>29</v>
      </c>
      <c r="F121" s="3" t="s">
        <v>106</v>
      </c>
      <c r="G121" s="305">
        <f>'SEPT-18'!I121</f>
        <v>937.71999999999991</v>
      </c>
      <c r="H121" s="51">
        <f>279.71</f>
        <v>279.70999999999998</v>
      </c>
      <c r="I121" s="134">
        <f t="shared" si="2"/>
        <v>658.01</v>
      </c>
      <c r="J121" s="35"/>
      <c r="K121" s="29"/>
    </row>
    <row r="122" spans="1:11" ht="16.5" customHeight="1">
      <c r="A122" s="4" t="s">
        <v>110</v>
      </c>
      <c r="B122" s="5" t="s">
        <v>111</v>
      </c>
      <c r="C122" s="2"/>
      <c r="D122" s="3" t="s">
        <v>42</v>
      </c>
      <c r="E122" s="3" t="s">
        <v>29</v>
      </c>
      <c r="F122" s="3" t="s">
        <v>106</v>
      </c>
      <c r="G122" s="305">
        <f>'SEPT-18'!I122</f>
        <v>3000</v>
      </c>
      <c r="H122" s="276">
        <f>600</f>
        <v>600</v>
      </c>
      <c r="I122" s="17">
        <f t="shared" si="2"/>
        <v>2400</v>
      </c>
      <c r="J122" s="35"/>
      <c r="K122" s="35"/>
    </row>
    <row r="123" spans="1:11" ht="15.75" customHeight="1">
      <c r="A123" s="4" t="s">
        <v>112</v>
      </c>
      <c r="B123" s="5" t="s">
        <v>113</v>
      </c>
      <c r="C123" s="2"/>
      <c r="D123" s="3" t="s">
        <v>42</v>
      </c>
      <c r="E123" s="3" t="s">
        <v>29</v>
      </c>
      <c r="F123" s="3" t="s">
        <v>106</v>
      </c>
      <c r="G123" s="305">
        <f>'SEPT-18'!I123</f>
        <v>500</v>
      </c>
      <c r="H123" s="51"/>
      <c r="I123" s="17">
        <f t="shared" si="2"/>
        <v>500</v>
      </c>
      <c r="J123" s="35"/>
      <c r="K123" s="35"/>
    </row>
    <row r="124" spans="1:11" ht="27">
      <c r="A124" s="4">
        <v>56301</v>
      </c>
      <c r="B124" s="5" t="s">
        <v>114</v>
      </c>
      <c r="C124" s="2"/>
      <c r="D124" s="3" t="s">
        <v>42</v>
      </c>
      <c r="E124" s="3" t="s">
        <v>29</v>
      </c>
      <c r="F124" s="3" t="s">
        <v>106</v>
      </c>
      <c r="G124" s="305">
        <f>'SEPT-18'!I124</f>
        <v>0</v>
      </c>
      <c r="H124" s="51"/>
      <c r="I124" s="17">
        <f t="shared" si="2"/>
        <v>0</v>
      </c>
      <c r="J124" s="35"/>
      <c r="K124" s="35"/>
    </row>
    <row r="125" spans="1:11" ht="39.75" customHeight="1">
      <c r="A125" s="4"/>
      <c r="B125" s="5" t="s">
        <v>179</v>
      </c>
      <c r="C125" s="2"/>
      <c r="D125" s="3" t="s">
        <v>42</v>
      </c>
      <c r="E125" s="3" t="s">
        <v>29</v>
      </c>
      <c r="F125" s="3" t="s">
        <v>30</v>
      </c>
      <c r="G125" s="305">
        <f>'SEPT-18'!I125</f>
        <v>0</v>
      </c>
      <c r="H125" s="51"/>
      <c r="I125" s="17">
        <f t="shared" si="2"/>
        <v>0</v>
      </c>
      <c r="J125" s="29"/>
      <c r="K125" s="30"/>
    </row>
    <row r="126" spans="1:11" ht="21">
      <c r="A126" s="38" t="s">
        <v>8</v>
      </c>
      <c r="B126" s="39" t="s">
        <v>115</v>
      </c>
      <c r="C126" s="39"/>
      <c r="D126" s="39" t="s">
        <v>42</v>
      </c>
      <c r="E126" s="39" t="s">
        <v>29</v>
      </c>
      <c r="F126" s="39" t="s">
        <v>30</v>
      </c>
      <c r="G126" s="305">
        <f>SUM(G102:G125)</f>
        <v>56103.449999999968</v>
      </c>
      <c r="H126" s="95">
        <f>SUM(H102:H125)</f>
        <v>24363.5</v>
      </c>
      <c r="I126" s="40">
        <f>G126-H126+J126-K126</f>
        <v>32739.949999999968</v>
      </c>
      <c r="J126" s="107">
        <f>SUM(J102:J125)</f>
        <v>1000</v>
      </c>
      <c r="K126" s="107">
        <f>SUM(K102:K125)</f>
        <v>0</v>
      </c>
    </row>
    <row r="127" spans="1:11">
      <c r="A127" s="4">
        <v>51101</v>
      </c>
      <c r="B127" s="2" t="s">
        <v>180</v>
      </c>
      <c r="C127" s="2"/>
      <c r="D127" s="3" t="s">
        <v>94</v>
      </c>
      <c r="E127" s="3" t="s">
        <v>29</v>
      </c>
      <c r="F127" s="3" t="s">
        <v>106</v>
      </c>
      <c r="G127" s="305">
        <f>'SEPT-18'!I127</f>
        <v>21108.140000000014</v>
      </c>
      <c r="H127" s="51">
        <f>4414</f>
        <v>4414</v>
      </c>
      <c r="I127" s="17">
        <f t="shared" si="2"/>
        <v>16694.140000000014</v>
      </c>
      <c r="J127" s="30"/>
      <c r="K127" s="35"/>
    </row>
    <row r="128" spans="1:11">
      <c r="A128" s="4">
        <v>51103</v>
      </c>
      <c r="B128" s="2" t="s">
        <v>181</v>
      </c>
      <c r="C128" s="2"/>
      <c r="D128" s="3" t="s">
        <v>94</v>
      </c>
      <c r="E128" s="3" t="s">
        <v>29</v>
      </c>
      <c r="F128" s="3" t="s">
        <v>106</v>
      </c>
      <c r="G128" s="305">
        <f>'SEPT-18'!I128</f>
        <v>5128.9799999999996</v>
      </c>
      <c r="H128" s="51"/>
      <c r="I128" s="17">
        <f t="shared" si="2"/>
        <v>5128.9799999999996</v>
      </c>
      <c r="J128" s="30"/>
      <c r="K128" s="29"/>
    </row>
    <row r="129" spans="1:11" ht="30">
      <c r="A129" s="4">
        <v>51107</v>
      </c>
      <c r="B129" s="382" t="s">
        <v>1172</v>
      </c>
      <c r="C129" s="2"/>
      <c r="D129" s="3" t="s">
        <v>94</v>
      </c>
      <c r="E129" s="3" t="s">
        <v>29</v>
      </c>
      <c r="F129" s="3" t="s">
        <v>106</v>
      </c>
      <c r="G129" s="305">
        <f>'SEPT-18'!I129</f>
        <v>450</v>
      </c>
      <c r="H129" s="51"/>
      <c r="I129" s="17">
        <f t="shared" si="2"/>
        <v>450</v>
      </c>
      <c r="J129" s="30"/>
      <c r="K129" s="29"/>
    </row>
    <row r="130" spans="1:11">
      <c r="A130" s="4">
        <v>51201</v>
      </c>
      <c r="B130" s="2" t="s">
        <v>44</v>
      </c>
      <c r="C130" s="2"/>
      <c r="D130" s="3" t="s">
        <v>94</v>
      </c>
      <c r="E130" s="3" t="s">
        <v>29</v>
      </c>
      <c r="F130" s="3" t="s">
        <v>30</v>
      </c>
      <c r="G130" s="305">
        <f>'SEPT-18'!I130</f>
        <v>2460.04</v>
      </c>
      <c r="H130" s="51"/>
      <c r="I130" s="17">
        <f t="shared" si="2"/>
        <v>2460.04</v>
      </c>
      <c r="J130" s="30"/>
      <c r="K130" s="29"/>
    </row>
    <row r="131" spans="1:11">
      <c r="A131" s="4">
        <v>51301</v>
      </c>
      <c r="B131" s="2" t="s">
        <v>45</v>
      </c>
      <c r="C131" s="2"/>
      <c r="D131" s="3" t="s">
        <v>94</v>
      </c>
      <c r="E131" s="3" t="s">
        <v>29</v>
      </c>
      <c r="F131" s="3" t="s">
        <v>30</v>
      </c>
      <c r="G131" s="305">
        <f>'SEPT-18'!I131</f>
        <v>1031.4300000000003</v>
      </c>
      <c r="H131" s="51"/>
      <c r="I131" s="17">
        <f t="shared" si="2"/>
        <v>1031.4300000000003</v>
      </c>
      <c r="J131" s="30"/>
      <c r="K131" s="29"/>
    </row>
    <row r="132" spans="1:11">
      <c r="A132" s="4">
        <v>51999</v>
      </c>
      <c r="B132" s="2" t="s">
        <v>47</v>
      </c>
      <c r="C132" s="2"/>
      <c r="D132" s="3" t="s">
        <v>94</v>
      </c>
      <c r="E132" s="3" t="s">
        <v>29</v>
      </c>
      <c r="F132" s="3" t="s">
        <v>30</v>
      </c>
      <c r="G132" s="305">
        <f>'SEPT-18'!I132</f>
        <v>450</v>
      </c>
      <c r="H132" s="51"/>
      <c r="I132" s="17">
        <f t="shared" si="2"/>
        <v>450</v>
      </c>
      <c r="J132" s="30"/>
      <c r="K132" s="29"/>
    </row>
    <row r="133" spans="1:11" ht="25.5">
      <c r="A133" s="4">
        <v>51401</v>
      </c>
      <c r="B133" s="5" t="s">
        <v>138</v>
      </c>
      <c r="C133" s="2"/>
      <c r="D133" s="3" t="s">
        <v>94</v>
      </c>
      <c r="E133" s="3" t="s">
        <v>29</v>
      </c>
      <c r="F133" s="3" t="s">
        <v>106</v>
      </c>
      <c r="G133" s="305">
        <f>'SEPT-18'!I133</f>
        <v>1454.5399999999995</v>
      </c>
      <c r="H133" s="51">
        <f>374.63</f>
        <v>374.63</v>
      </c>
      <c r="I133" s="17">
        <f t="shared" si="2"/>
        <v>1079.9099999999994</v>
      </c>
      <c r="J133" s="35"/>
      <c r="K133" s="34"/>
    </row>
    <row r="134" spans="1:11" ht="33" customHeight="1">
      <c r="A134" s="4">
        <v>51501</v>
      </c>
      <c r="B134" s="5" t="s">
        <v>182</v>
      </c>
      <c r="C134" s="2"/>
      <c r="D134" s="3" t="s">
        <v>94</v>
      </c>
      <c r="E134" s="3" t="s">
        <v>29</v>
      </c>
      <c r="F134" s="3" t="s">
        <v>30</v>
      </c>
      <c r="G134" s="305">
        <f>'SEPT-18'!I134</f>
        <v>1893.6</v>
      </c>
      <c r="H134" s="51">
        <f>111.14+281.25</f>
        <v>392.39</v>
      </c>
      <c r="I134" s="17">
        <f t="shared" si="2"/>
        <v>1501.21</v>
      </c>
      <c r="J134" s="35"/>
      <c r="K134" s="27"/>
    </row>
    <row r="135" spans="1:11">
      <c r="A135" s="4">
        <v>54105</v>
      </c>
      <c r="B135" s="2" t="s">
        <v>116</v>
      </c>
      <c r="C135" s="2"/>
      <c r="D135" s="3" t="s">
        <v>94</v>
      </c>
      <c r="E135" s="3" t="s">
        <v>29</v>
      </c>
      <c r="F135" s="3" t="s">
        <v>30</v>
      </c>
      <c r="G135" s="305">
        <f>'SEPT-18'!I135</f>
        <v>3000</v>
      </c>
      <c r="H135" s="51"/>
      <c r="I135" s="17">
        <f t="shared" si="2"/>
        <v>3000</v>
      </c>
      <c r="J135" s="30"/>
      <c r="K135" s="29"/>
    </row>
    <row r="136" spans="1:11">
      <c r="A136" s="4">
        <v>54114</v>
      </c>
      <c r="B136" s="2" t="s">
        <v>56</v>
      </c>
      <c r="C136" s="2"/>
      <c r="D136" s="3" t="s">
        <v>94</v>
      </c>
      <c r="E136" s="3" t="s">
        <v>29</v>
      </c>
      <c r="F136" s="3" t="s">
        <v>30</v>
      </c>
      <c r="G136" s="305">
        <f>'SEPT-18'!I136</f>
        <v>3504.2</v>
      </c>
      <c r="H136" s="51"/>
      <c r="I136" s="17">
        <f t="shared" si="2"/>
        <v>2504.1999999999998</v>
      </c>
      <c r="J136" s="35"/>
      <c r="K136" s="35">
        <v>1000</v>
      </c>
    </row>
    <row r="137" spans="1:11">
      <c r="A137" s="4">
        <v>54115</v>
      </c>
      <c r="B137" s="2" t="s">
        <v>57</v>
      </c>
      <c r="C137" s="2"/>
      <c r="D137" s="3" t="s">
        <v>94</v>
      </c>
      <c r="E137" s="3" t="s">
        <v>29</v>
      </c>
      <c r="F137" s="3" t="s">
        <v>30</v>
      </c>
      <c r="G137" s="305">
        <f>'SEPT-18'!I137</f>
        <v>3360</v>
      </c>
      <c r="H137" s="51"/>
      <c r="I137" s="17">
        <f t="shared" si="2"/>
        <v>3360</v>
      </c>
      <c r="J137" s="29"/>
      <c r="K137" s="28"/>
    </row>
    <row r="138" spans="1:11" ht="21">
      <c r="A138" s="38" t="s">
        <v>8</v>
      </c>
      <c r="B138" s="39" t="s">
        <v>117</v>
      </c>
      <c r="C138" s="39"/>
      <c r="D138" s="39" t="s">
        <v>94</v>
      </c>
      <c r="E138" s="39" t="s">
        <v>29</v>
      </c>
      <c r="F138" s="39" t="s">
        <v>30</v>
      </c>
      <c r="G138" s="305">
        <f>SUM(G127:G137)</f>
        <v>43840.930000000015</v>
      </c>
      <c r="H138" s="95">
        <f>SUM(H127:H137)</f>
        <v>5181.0200000000004</v>
      </c>
      <c r="I138" s="40">
        <f>G138-H138+J138-K138</f>
        <v>37659.910000000018</v>
      </c>
      <c r="J138" s="107">
        <f>SUM(J127:J137)</f>
        <v>0</v>
      </c>
      <c r="K138" s="107">
        <f>SUM(K127:K137)</f>
        <v>1000</v>
      </c>
    </row>
    <row r="139" spans="1:11">
      <c r="A139" s="4">
        <v>51101</v>
      </c>
      <c r="B139" s="2" t="s">
        <v>183</v>
      </c>
      <c r="C139" s="2"/>
      <c r="D139" s="3" t="s">
        <v>97</v>
      </c>
      <c r="E139" s="3" t="s">
        <v>29</v>
      </c>
      <c r="F139" s="3" t="s">
        <v>106</v>
      </c>
      <c r="G139" s="305">
        <f>'SEPT-18'!I139</f>
        <v>56731.090000000026</v>
      </c>
      <c r="H139" s="51">
        <f>1100+14750.22</f>
        <v>15850.22</v>
      </c>
      <c r="I139" s="17">
        <f t="shared" si="2"/>
        <v>40880.870000000024</v>
      </c>
      <c r="J139" s="30"/>
      <c r="K139" s="35"/>
    </row>
    <row r="140" spans="1:11">
      <c r="A140" s="4">
        <v>51103</v>
      </c>
      <c r="B140" s="2" t="s">
        <v>181</v>
      </c>
      <c r="C140" s="2"/>
      <c r="D140" s="3" t="s">
        <v>97</v>
      </c>
      <c r="E140" s="3" t="s">
        <v>29</v>
      </c>
      <c r="F140" s="3" t="s">
        <v>106</v>
      </c>
      <c r="G140" s="305">
        <f>'SEPT-18'!I140</f>
        <v>11385.310000000001</v>
      </c>
      <c r="H140" s="51"/>
      <c r="I140" s="248">
        <f>G140-H140+J140-K140</f>
        <v>11385.310000000001</v>
      </c>
      <c r="J140" s="30"/>
      <c r="K140" s="30"/>
    </row>
    <row r="141" spans="1:11">
      <c r="A141" s="4">
        <v>51107</v>
      </c>
      <c r="B141" s="2" t="s">
        <v>1169</v>
      </c>
      <c r="C141" s="2"/>
      <c r="D141" s="3" t="s">
        <v>97</v>
      </c>
      <c r="E141" s="3" t="s">
        <v>29</v>
      </c>
      <c r="F141" s="3" t="s">
        <v>30</v>
      </c>
      <c r="G141" s="305">
        <f>'SEPT-18'!I141</f>
        <v>1725.5</v>
      </c>
      <c r="H141" s="51"/>
      <c r="I141" s="17">
        <f t="shared" si="2"/>
        <v>1725.5</v>
      </c>
      <c r="J141" s="30"/>
      <c r="K141" s="395"/>
    </row>
    <row r="142" spans="1:11">
      <c r="A142" s="4">
        <v>51201</v>
      </c>
      <c r="B142" s="2" t="s">
        <v>119</v>
      </c>
      <c r="C142" s="2"/>
      <c r="D142" s="3" t="s">
        <v>97</v>
      </c>
      <c r="E142" s="3" t="s">
        <v>29</v>
      </c>
      <c r="F142" s="3" t="s">
        <v>30</v>
      </c>
      <c r="G142" s="305">
        <f>'SEPT-18'!I142</f>
        <v>1699.17</v>
      </c>
      <c r="H142" s="51">
        <f>330+357.5+330+330+330</f>
        <v>1677.5</v>
      </c>
      <c r="I142" s="17">
        <f t="shared" si="2"/>
        <v>21.670000000000073</v>
      </c>
      <c r="J142" s="30"/>
      <c r="K142" s="277"/>
    </row>
    <row r="143" spans="1:11">
      <c r="A143" s="4">
        <v>51301</v>
      </c>
      <c r="B143" s="2" t="s">
        <v>45</v>
      </c>
      <c r="C143" s="2"/>
      <c r="D143" s="3" t="s">
        <v>97</v>
      </c>
      <c r="E143" s="3" t="s">
        <v>29</v>
      </c>
      <c r="F143" s="3" t="s">
        <v>106</v>
      </c>
      <c r="G143" s="305">
        <f>'SEPT-18'!I143</f>
        <v>595.92999999999893</v>
      </c>
      <c r="H143" s="51"/>
      <c r="I143" s="17">
        <f t="shared" si="2"/>
        <v>595.92999999999893</v>
      </c>
      <c r="J143" s="20"/>
      <c r="K143" s="35"/>
    </row>
    <row r="144" spans="1:11" ht="34.5" customHeight="1">
      <c r="A144" s="4">
        <v>51401</v>
      </c>
      <c r="B144" s="5" t="s">
        <v>139</v>
      </c>
      <c r="C144" s="2"/>
      <c r="D144" s="3" t="s">
        <v>97</v>
      </c>
      <c r="E144" s="3" t="s">
        <v>29</v>
      </c>
      <c r="F144" s="3" t="s">
        <v>106</v>
      </c>
      <c r="G144" s="305">
        <f>'SEPT-18'!I144</f>
        <v>3467.0700000000011</v>
      </c>
      <c r="H144" s="51">
        <f>69.9+1048.36+83.25</f>
        <v>1201.51</v>
      </c>
      <c r="I144" s="17">
        <f t="shared" si="2"/>
        <v>2265.5600000000013</v>
      </c>
      <c r="J144" s="35"/>
      <c r="K144" s="35"/>
    </row>
    <row r="145" spans="1:11" ht="45" customHeight="1">
      <c r="A145" s="4">
        <v>51501</v>
      </c>
      <c r="B145" s="5" t="s">
        <v>185</v>
      </c>
      <c r="C145" s="2"/>
      <c r="D145" s="3" t="s">
        <v>97</v>
      </c>
      <c r="E145" s="3" t="s">
        <v>29</v>
      </c>
      <c r="F145" s="3" t="s">
        <v>106</v>
      </c>
      <c r="G145" s="305">
        <f>'SEPT-18'!I145</f>
        <v>5731.53</v>
      </c>
      <c r="H145" s="51">
        <f>658.17+353.22</f>
        <v>1011.39</v>
      </c>
      <c r="I145" s="17">
        <f t="shared" si="2"/>
        <v>4720.1399999999994</v>
      </c>
      <c r="J145" s="35"/>
      <c r="K145" s="35"/>
    </row>
    <row r="146" spans="1:11" ht="20.25" customHeight="1">
      <c r="A146" s="4">
        <v>54110</v>
      </c>
      <c r="B146" s="5" t="s">
        <v>108</v>
      </c>
      <c r="C146" s="2"/>
      <c r="D146" s="3" t="s">
        <v>97</v>
      </c>
      <c r="E146" s="3" t="s">
        <v>29</v>
      </c>
      <c r="F146" s="3" t="s">
        <v>106</v>
      </c>
      <c r="G146" s="305">
        <f>'SEPT-18'!I146</f>
        <v>1</v>
      </c>
      <c r="H146" s="51"/>
      <c r="I146" s="17">
        <f t="shared" si="2"/>
        <v>1</v>
      </c>
      <c r="J146" s="35"/>
      <c r="K146" s="35"/>
    </row>
    <row r="147" spans="1:11">
      <c r="A147" s="4">
        <v>54121</v>
      </c>
      <c r="B147" s="2" t="s">
        <v>120</v>
      </c>
      <c r="C147" s="2"/>
      <c r="D147" s="3" t="s">
        <v>97</v>
      </c>
      <c r="E147" s="3" t="s">
        <v>29</v>
      </c>
      <c r="F147" s="3" t="s">
        <v>106</v>
      </c>
      <c r="G147" s="305">
        <f>'SEPT-18'!I147</f>
        <v>657</v>
      </c>
      <c r="H147" s="51"/>
      <c r="I147" s="17">
        <f t="shared" si="2"/>
        <v>657</v>
      </c>
      <c r="J147" s="35"/>
      <c r="K147" s="29"/>
    </row>
    <row r="148" spans="1:11">
      <c r="A148" s="4">
        <v>54301</v>
      </c>
      <c r="B148" s="2" t="s">
        <v>140</v>
      </c>
      <c r="C148" s="2"/>
      <c r="D148" s="3" t="s">
        <v>97</v>
      </c>
      <c r="E148" s="3" t="s">
        <v>29</v>
      </c>
      <c r="F148" s="3" t="s">
        <v>106</v>
      </c>
      <c r="G148" s="305">
        <f>'SEPT-18'!I148</f>
        <v>1</v>
      </c>
      <c r="H148" s="51"/>
      <c r="I148" s="17">
        <f t="shared" si="2"/>
        <v>1</v>
      </c>
      <c r="J148" s="35"/>
      <c r="K148" s="29"/>
    </row>
    <row r="149" spans="1:11">
      <c r="A149" s="4">
        <v>54302</v>
      </c>
      <c r="B149" s="2" t="s">
        <v>121</v>
      </c>
      <c r="C149" s="2"/>
      <c r="D149" s="3" t="s">
        <v>122</v>
      </c>
      <c r="E149" s="3" t="s">
        <v>29</v>
      </c>
      <c r="F149" s="3" t="s">
        <v>30</v>
      </c>
      <c r="G149" s="305">
        <f>'SEPT-18'!I149</f>
        <v>1</v>
      </c>
      <c r="H149" s="51"/>
      <c r="I149" s="17">
        <f t="shared" si="2"/>
        <v>1</v>
      </c>
      <c r="J149" s="35"/>
      <c r="K149" s="29"/>
    </row>
    <row r="150" spans="1:11" ht="45">
      <c r="A150" s="4">
        <v>54501</v>
      </c>
      <c r="B150" s="7" t="s">
        <v>1055</v>
      </c>
      <c r="C150" s="2"/>
      <c r="D150" s="3" t="s">
        <v>122</v>
      </c>
      <c r="E150" s="3" t="s">
        <v>29</v>
      </c>
      <c r="F150" s="3" t="s">
        <v>30</v>
      </c>
      <c r="G150" s="305">
        <f>'SEPT-18'!I150</f>
        <v>25</v>
      </c>
      <c r="H150" s="51"/>
      <c r="I150" s="17">
        <f>G150-H150+J150-K150</f>
        <v>25</v>
      </c>
      <c r="J150" s="22"/>
      <c r="K150" s="29"/>
    </row>
    <row r="151" spans="1:11" ht="21">
      <c r="A151" s="38" t="s">
        <v>8</v>
      </c>
      <c r="B151" s="39" t="s">
        <v>123</v>
      </c>
      <c r="C151" s="39"/>
      <c r="D151" s="39" t="s">
        <v>97</v>
      </c>
      <c r="E151" s="39" t="s">
        <v>29</v>
      </c>
      <c r="F151" s="39" t="s">
        <v>30</v>
      </c>
      <c r="G151" s="305">
        <f>SUM(G139:G150)</f>
        <v>82020.60000000002</v>
      </c>
      <c r="H151" s="95">
        <f>SUM(H139:H150)</f>
        <v>19740.62</v>
      </c>
      <c r="I151" s="40">
        <f>G151-H151+J151-K151</f>
        <v>62279.980000000025</v>
      </c>
      <c r="J151" s="107">
        <f>SUM(J141:J150)</f>
        <v>0</v>
      </c>
      <c r="K151" s="107">
        <f>SUM(K139:K150)</f>
        <v>0</v>
      </c>
    </row>
    <row r="152" spans="1:11">
      <c r="A152" s="1">
        <v>54305</v>
      </c>
      <c r="B152" s="2" t="s">
        <v>0</v>
      </c>
      <c r="C152" s="2"/>
      <c r="D152" s="3" t="s">
        <v>1</v>
      </c>
      <c r="E152" s="3" t="s">
        <v>25</v>
      </c>
      <c r="F152" s="3" t="s">
        <v>26</v>
      </c>
      <c r="G152" s="305">
        <f>'SEPT-18'!I152</f>
        <v>1500</v>
      </c>
      <c r="H152" s="51"/>
      <c r="I152" s="17">
        <f t="shared" ref="I152:I283" si="3">G152-H152+J152-K152</f>
        <v>1500</v>
      </c>
      <c r="J152" s="37"/>
      <c r="K152" s="36"/>
    </row>
    <row r="153" spans="1:11" ht="30.75" customHeight="1">
      <c r="A153" s="4">
        <v>54313</v>
      </c>
      <c r="B153" s="5" t="s">
        <v>2</v>
      </c>
      <c r="C153" s="5"/>
      <c r="D153" s="3" t="s">
        <v>1</v>
      </c>
      <c r="E153" s="3" t="s">
        <v>25</v>
      </c>
      <c r="F153" s="3" t="s">
        <v>26</v>
      </c>
      <c r="G153" s="305">
        <f>'SEPT-18'!I153</f>
        <v>1246.32</v>
      </c>
      <c r="H153" s="51"/>
      <c r="I153" s="17">
        <f t="shared" si="3"/>
        <v>1246.32</v>
      </c>
      <c r="J153" s="37"/>
      <c r="K153" s="36"/>
    </row>
    <row r="154" spans="1:11">
      <c r="A154" s="4">
        <v>54503</v>
      </c>
      <c r="B154" s="5" t="s">
        <v>3</v>
      </c>
      <c r="C154" s="2"/>
      <c r="D154" s="3" t="s">
        <v>1</v>
      </c>
      <c r="E154" s="3" t="s">
        <v>25</v>
      </c>
      <c r="F154" s="3" t="s">
        <v>26</v>
      </c>
      <c r="G154" s="305">
        <f>'SEPT-18'!I154</f>
        <v>2000</v>
      </c>
      <c r="H154" s="51"/>
      <c r="I154" s="17">
        <f t="shared" si="3"/>
        <v>2000</v>
      </c>
      <c r="J154" s="37"/>
      <c r="K154" s="36"/>
    </row>
    <row r="155" spans="1:11">
      <c r="A155" s="4">
        <v>54505</v>
      </c>
      <c r="B155" s="2" t="s">
        <v>4</v>
      </c>
      <c r="C155" s="2"/>
      <c r="D155" s="3" t="s">
        <v>1</v>
      </c>
      <c r="E155" s="3" t="s">
        <v>25</v>
      </c>
      <c r="F155" s="3" t="s">
        <v>27</v>
      </c>
      <c r="G155" s="305">
        <f>'SEPT-18'!I155</f>
        <v>2000</v>
      </c>
      <c r="H155" s="51"/>
      <c r="I155" s="17">
        <f t="shared" si="3"/>
        <v>2000</v>
      </c>
      <c r="J155" s="37"/>
      <c r="K155" s="36"/>
    </row>
    <row r="156" spans="1:11" ht="30">
      <c r="A156" s="11">
        <v>54599</v>
      </c>
      <c r="B156" s="54" t="s">
        <v>5</v>
      </c>
      <c r="C156" s="68"/>
      <c r="D156" s="14" t="s">
        <v>1</v>
      </c>
      <c r="E156" s="14" t="s">
        <v>25</v>
      </c>
      <c r="F156" s="14" t="s">
        <v>27</v>
      </c>
      <c r="G156" s="305">
        <f>'SEPT-18'!I156</f>
        <v>367.60999999999967</v>
      </c>
      <c r="H156" s="51"/>
      <c r="I156" s="17">
        <f t="shared" si="3"/>
        <v>367.60999999999967</v>
      </c>
      <c r="J156" s="62"/>
      <c r="K156" s="63"/>
    </row>
    <row r="157" spans="1:11">
      <c r="A157" s="11">
        <v>55603</v>
      </c>
      <c r="B157" s="54" t="s">
        <v>6</v>
      </c>
      <c r="C157" s="55"/>
      <c r="D157" s="14" t="s">
        <v>1</v>
      </c>
      <c r="E157" s="14" t="s">
        <v>25</v>
      </c>
      <c r="F157" s="14" t="s">
        <v>26</v>
      </c>
      <c r="G157" s="305">
        <f>'SEPT-18'!I157</f>
        <v>97.4</v>
      </c>
      <c r="H157" s="51"/>
      <c r="I157" s="17">
        <f t="shared" si="3"/>
        <v>97.4</v>
      </c>
      <c r="J157" s="64"/>
      <c r="K157" s="65"/>
    </row>
    <row r="158" spans="1:11" ht="26.25">
      <c r="A158" s="4">
        <v>61599</v>
      </c>
      <c r="B158" s="5" t="s">
        <v>7</v>
      </c>
      <c r="C158" s="5"/>
      <c r="D158" s="3" t="s">
        <v>1</v>
      </c>
      <c r="E158" s="3" t="s">
        <v>25</v>
      </c>
      <c r="F158" s="3" t="s">
        <v>26</v>
      </c>
      <c r="G158" s="305">
        <f>'SEPT-18'!I158</f>
        <v>687.83999999999992</v>
      </c>
      <c r="H158" s="51"/>
      <c r="I158" s="17">
        <f t="shared" si="3"/>
        <v>687.83999999999992</v>
      </c>
      <c r="J158" s="37"/>
      <c r="K158" s="36"/>
    </row>
    <row r="159" spans="1:11" ht="21">
      <c r="A159" s="38" t="s">
        <v>8</v>
      </c>
      <c r="B159" s="39" t="s">
        <v>9</v>
      </c>
      <c r="C159" s="39"/>
      <c r="D159" s="39" t="s">
        <v>1</v>
      </c>
      <c r="E159" s="39" t="s">
        <v>25</v>
      </c>
      <c r="F159" s="39" t="s">
        <v>27</v>
      </c>
      <c r="G159" s="305">
        <f>'SEPT-18'!I159</f>
        <v>7899.1699999999992</v>
      </c>
      <c r="H159" s="95">
        <f>SUM(H152:H158)</f>
        <v>0</v>
      </c>
      <c r="I159" s="40">
        <f>G159-H159+J159-K159</f>
        <v>7899.1699999999992</v>
      </c>
      <c r="J159" s="40"/>
      <c r="K159" s="40"/>
    </row>
    <row r="160" spans="1:11" ht="28.5" customHeight="1">
      <c r="A160" s="367">
        <v>54104</v>
      </c>
      <c r="B160" s="7" t="s">
        <v>186</v>
      </c>
      <c r="C160" s="6"/>
      <c r="D160" s="3" t="s">
        <v>11</v>
      </c>
      <c r="E160" s="3" t="s">
        <v>25</v>
      </c>
      <c r="F160" s="3" t="s">
        <v>26</v>
      </c>
      <c r="G160" s="305">
        <f>'SEPT-18'!I160</f>
        <v>3000</v>
      </c>
      <c r="H160" s="51"/>
      <c r="I160" s="17">
        <f t="shared" si="3"/>
        <v>3000</v>
      </c>
      <c r="J160" s="37"/>
      <c r="K160" s="36"/>
    </row>
    <row r="161" spans="1:11" ht="44.25" customHeight="1">
      <c r="A161" s="4">
        <v>54117</v>
      </c>
      <c r="B161" s="7" t="s">
        <v>187</v>
      </c>
      <c r="C161" s="6"/>
      <c r="D161" s="3" t="s">
        <v>11</v>
      </c>
      <c r="E161" s="3" t="s">
        <v>25</v>
      </c>
      <c r="F161" s="3" t="s">
        <v>26</v>
      </c>
      <c r="G161" s="305">
        <f>'SEPT-18'!I161</f>
        <v>1500</v>
      </c>
      <c r="H161" s="51"/>
      <c r="I161" s="17">
        <f t="shared" si="3"/>
        <v>1500</v>
      </c>
      <c r="J161" s="37"/>
      <c r="K161" s="36"/>
    </row>
    <row r="162" spans="1:11" ht="30.75" customHeight="1">
      <c r="A162" s="4">
        <v>55603</v>
      </c>
      <c r="B162" s="5" t="s">
        <v>13</v>
      </c>
      <c r="C162" s="6"/>
      <c r="D162" s="3" t="s">
        <v>11</v>
      </c>
      <c r="E162" s="3" t="s">
        <v>25</v>
      </c>
      <c r="F162" s="3" t="s">
        <v>26</v>
      </c>
      <c r="G162" s="305">
        <f>'SEPT-18'!I162</f>
        <v>764.67000000000007</v>
      </c>
      <c r="H162" s="51"/>
      <c r="I162" s="17">
        <f t="shared" si="3"/>
        <v>764.67000000000007</v>
      </c>
      <c r="J162" s="37"/>
      <c r="K162" s="385"/>
    </row>
    <row r="163" spans="1:11" ht="30.75" customHeight="1">
      <c r="A163" s="66" t="s">
        <v>14</v>
      </c>
      <c r="B163" s="67" t="s">
        <v>188</v>
      </c>
      <c r="C163" s="55"/>
      <c r="D163" s="14" t="s">
        <v>11</v>
      </c>
      <c r="E163" s="14" t="s">
        <v>25</v>
      </c>
      <c r="F163" s="50" t="s">
        <v>26</v>
      </c>
      <c r="G163" s="305">
        <f>'SEPT-18'!I163</f>
        <v>0.26000000000021828</v>
      </c>
      <c r="H163" s="51"/>
      <c r="I163" s="50">
        <f t="shared" si="3"/>
        <v>3000.26</v>
      </c>
      <c r="J163" s="387">
        <v>3000</v>
      </c>
      <c r="K163" s="54"/>
    </row>
    <row r="164" spans="1:11" ht="36.75" customHeight="1">
      <c r="A164" s="11">
        <v>61104</v>
      </c>
      <c r="B164" s="54" t="s">
        <v>189</v>
      </c>
      <c r="C164" s="55"/>
      <c r="D164" s="14" t="s">
        <v>11</v>
      </c>
      <c r="E164" s="14" t="s">
        <v>25</v>
      </c>
      <c r="F164" s="14" t="s">
        <v>27</v>
      </c>
      <c r="G164" s="305">
        <f>'SEPT-18'!I164</f>
        <v>626.86000000000035</v>
      </c>
      <c r="H164" s="51"/>
      <c r="I164" s="17">
        <f t="shared" si="3"/>
        <v>626.86000000000035</v>
      </c>
      <c r="J164" s="62"/>
      <c r="K164" s="320"/>
    </row>
    <row r="165" spans="1:11" ht="31.5" customHeight="1">
      <c r="A165" s="11">
        <v>61109</v>
      </c>
      <c r="B165" s="54" t="s">
        <v>190</v>
      </c>
      <c r="C165" s="55"/>
      <c r="D165" s="14" t="s">
        <v>11</v>
      </c>
      <c r="E165" s="14" t="s">
        <v>25</v>
      </c>
      <c r="F165" s="14" t="s">
        <v>26</v>
      </c>
      <c r="G165" s="305">
        <f>'SEPT-18'!I165</f>
        <v>673.5</v>
      </c>
      <c r="H165" s="51"/>
      <c r="I165" s="17">
        <f t="shared" si="3"/>
        <v>673.5</v>
      </c>
      <c r="J165" s="62"/>
      <c r="K165" s="387"/>
    </row>
    <row r="166" spans="1:11" ht="30.75" customHeight="1">
      <c r="A166" s="11" t="s">
        <v>160</v>
      </c>
      <c r="B166" s="54" t="s">
        <v>194</v>
      </c>
      <c r="C166" s="55"/>
      <c r="D166" s="14" t="s">
        <v>11</v>
      </c>
      <c r="E166" s="14" t="s">
        <v>25</v>
      </c>
      <c r="F166" s="14" t="s">
        <v>26</v>
      </c>
      <c r="G166" s="305">
        <f>'SEPT-18'!I166</f>
        <v>0</v>
      </c>
      <c r="H166" s="51"/>
      <c r="I166" s="17">
        <f t="shared" si="3"/>
        <v>0</v>
      </c>
      <c r="J166" s="62"/>
      <c r="K166" s="63"/>
    </row>
    <row r="167" spans="1:11" ht="27.75" customHeight="1">
      <c r="A167" s="11" t="s">
        <v>191</v>
      </c>
      <c r="B167" s="54" t="s">
        <v>195</v>
      </c>
      <c r="C167" s="55"/>
      <c r="D167" s="14" t="s">
        <v>11</v>
      </c>
      <c r="E167" s="14" t="s">
        <v>25</v>
      </c>
      <c r="F167" s="14" t="s">
        <v>26</v>
      </c>
      <c r="G167" s="305">
        <f>'SEPT-18'!I167</f>
        <v>15000</v>
      </c>
      <c r="H167" s="51"/>
      <c r="I167" s="17">
        <f t="shared" si="3"/>
        <v>0</v>
      </c>
      <c r="J167" s="64"/>
      <c r="K167" s="385">
        <v>15000</v>
      </c>
    </row>
    <row r="168" spans="1:11" ht="31.5" customHeight="1">
      <c r="A168" s="11" t="s">
        <v>192</v>
      </c>
      <c r="B168" s="53" t="s">
        <v>196</v>
      </c>
      <c r="C168" s="8"/>
      <c r="D168" s="3" t="s">
        <v>11</v>
      </c>
      <c r="E168" s="3" t="s">
        <v>25</v>
      </c>
      <c r="F168" s="3" t="s">
        <v>26</v>
      </c>
      <c r="G168" s="305">
        <f>'SEPT-18'!I168</f>
        <v>10000</v>
      </c>
      <c r="H168" s="51"/>
      <c r="I168" s="17">
        <f t="shared" si="3"/>
        <v>2000</v>
      </c>
      <c r="J168" s="45"/>
      <c r="K168" s="385">
        <f>3000+5000</f>
        <v>8000</v>
      </c>
    </row>
    <row r="169" spans="1:11" ht="45" customHeight="1">
      <c r="A169" s="11" t="s">
        <v>193</v>
      </c>
      <c r="B169" s="53" t="s">
        <v>197</v>
      </c>
      <c r="C169" s="8"/>
      <c r="D169" s="3" t="s">
        <v>11</v>
      </c>
      <c r="E169" s="3" t="s">
        <v>25</v>
      </c>
      <c r="F169" s="3" t="s">
        <v>26</v>
      </c>
      <c r="G169" s="305">
        <f>'SEPT-18'!I169</f>
        <v>10000</v>
      </c>
      <c r="H169" s="51"/>
      <c r="I169" s="17">
        <f t="shared" si="3"/>
        <v>10000</v>
      </c>
      <c r="J169" s="45"/>
      <c r="K169" s="46"/>
    </row>
    <row r="170" spans="1:11" ht="42.75" customHeight="1">
      <c r="A170" s="11" t="s">
        <v>198</v>
      </c>
      <c r="B170" s="53" t="s">
        <v>1029</v>
      </c>
      <c r="C170" s="6"/>
      <c r="D170" s="3" t="s">
        <v>11</v>
      </c>
      <c r="E170" s="3" t="s">
        <v>25</v>
      </c>
      <c r="F170" s="3" t="s">
        <v>26</v>
      </c>
      <c r="G170" s="305">
        <f>'SEPT-18'!I170</f>
        <v>14000</v>
      </c>
      <c r="H170" s="51"/>
      <c r="I170" s="17">
        <f t="shared" si="3"/>
        <v>14000</v>
      </c>
      <c r="J170" s="45"/>
      <c r="K170" s="46"/>
    </row>
    <row r="171" spans="1:11" ht="85.5">
      <c r="A171" s="144" t="s">
        <v>200</v>
      </c>
      <c r="B171" s="54" t="s">
        <v>202</v>
      </c>
      <c r="C171" s="343" t="s">
        <v>1096</v>
      </c>
      <c r="D171" s="14" t="s">
        <v>11</v>
      </c>
      <c r="E171" s="14" t="s">
        <v>25</v>
      </c>
      <c r="F171" s="14" t="s">
        <v>26</v>
      </c>
      <c r="G171" s="305">
        <f>'SEPT-18'!I171</f>
        <v>0</v>
      </c>
      <c r="H171" s="51"/>
      <c r="I171" s="17">
        <f t="shared" si="3"/>
        <v>0</v>
      </c>
      <c r="J171" s="64"/>
      <c r="K171" s="261"/>
    </row>
    <row r="172" spans="1:11" ht="36.75" customHeight="1">
      <c r="A172" s="11" t="s">
        <v>556</v>
      </c>
      <c r="B172" s="145" t="s">
        <v>1030</v>
      </c>
      <c r="C172" s="55" t="s">
        <v>1097</v>
      </c>
      <c r="D172" s="14" t="s">
        <v>11</v>
      </c>
      <c r="E172" s="14" t="s">
        <v>25</v>
      </c>
      <c r="F172" s="14" t="s">
        <v>26</v>
      </c>
      <c r="G172" s="305">
        <f>'SEPT-18'!I172</f>
        <v>223.82999999999902</v>
      </c>
      <c r="H172" s="51">
        <f>277.9+217.84+217.84+186.76+140+140+140+140+233.38+277.9+217.84+186.76+140+140+140+140+233.38+277.9+217.84+217.84+217.84+186.76+140+140+140+140+217.84</f>
        <v>5065.6200000000008</v>
      </c>
      <c r="I172" s="17">
        <f t="shared" si="3"/>
        <v>66.149999999998215</v>
      </c>
      <c r="J172" s="108">
        <v>5000</v>
      </c>
      <c r="K172" s="269">
        <v>92.06</v>
      </c>
    </row>
    <row r="173" spans="1:11" ht="36.75" customHeight="1">
      <c r="A173" s="144" t="s">
        <v>1038</v>
      </c>
      <c r="B173" s="250" t="s">
        <v>1007</v>
      </c>
      <c r="C173" s="55" t="s">
        <v>1097</v>
      </c>
      <c r="D173" s="14" t="s">
        <v>11</v>
      </c>
      <c r="E173" s="14" t="s">
        <v>25</v>
      </c>
      <c r="F173" s="14" t="s">
        <v>26</v>
      </c>
      <c r="G173" s="305">
        <f>'SEPT-18'!I173</f>
        <v>1082.5</v>
      </c>
      <c r="H173" s="51">
        <f>2731+3664</f>
        <v>6395</v>
      </c>
      <c r="I173" s="17">
        <f t="shared" si="3"/>
        <v>0</v>
      </c>
      <c r="J173" s="108">
        <v>5400</v>
      </c>
      <c r="K173" s="269">
        <v>87.5</v>
      </c>
    </row>
    <row r="174" spans="1:11" ht="36" customHeight="1">
      <c r="A174" s="144" t="s">
        <v>1138</v>
      </c>
      <c r="B174" s="250" t="s">
        <v>1139</v>
      </c>
      <c r="C174" s="55" t="s">
        <v>1097</v>
      </c>
      <c r="D174" s="14" t="s">
        <v>11</v>
      </c>
      <c r="E174" s="14" t="s">
        <v>25</v>
      </c>
      <c r="F174" s="14" t="s">
        <v>26</v>
      </c>
      <c r="G174" s="305">
        <f>'SEPT-18'!I174</f>
        <v>246.8</v>
      </c>
      <c r="H174" s="51"/>
      <c r="I174" s="17">
        <f t="shared" si="3"/>
        <v>0</v>
      </c>
      <c r="J174" s="108"/>
      <c r="K174" s="269">
        <v>246.8</v>
      </c>
    </row>
    <row r="175" spans="1:11" ht="36" customHeight="1">
      <c r="A175" s="144" t="s">
        <v>1216</v>
      </c>
      <c r="B175" s="250" t="s">
        <v>1217</v>
      </c>
      <c r="C175" s="55" t="s">
        <v>1097</v>
      </c>
      <c r="D175" s="14" t="s">
        <v>11</v>
      </c>
      <c r="E175" s="14" t="s">
        <v>25</v>
      </c>
      <c r="F175" s="14" t="s">
        <v>26</v>
      </c>
      <c r="G175" s="305">
        <v>0</v>
      </c>
      <c r="H175" s="51">
        <v>29</v>
      </c>
      <c r="I175" s="17">
        <f t="shared" ref="I175" si="4">G175-H175+J175-K175</f>
        <v>0</v>
      </c>
      <c r="J175" s="108">
        <v>50</v>
      </c>
      <c r="K175" s="269">
        <v>21</v>
      </c>
    </row>
    <row r="176" spans="1:11" ht="38.25" customHeight="1">
      <c r="A176" s="144" t="s">
        <v>571</v>
      </c>
      <c r="B176" s="250" t="s">
        <v>1067</v>
      </c>
      <c r="C176" s="55" t="s">
        <v>1097</v>
      </c>
      <c r="D176" s="14" t="s">
        <v>11</v>
      </c>
      <c r="E176" s="14" t="s">
        <v>25</v>
      </c>
      <c r="F176" s="14" t="s">
        <v>26</v>
      </c>
      <c r="G176" s="305">
        <f>'SEPT-18'!I175</f>
        <v>1.789999999999992</v>
      </c>
      <c r="H176" s="51"/>
      <c r="I176" s="17">
        <f t="shared" si="3"/>
        <v>-7.9936057773011271E-15</v>
      </c>
      <c r="J176" s="108"/>
      <c r="K176" s="269">
        <v>1.79</v>
      </c>
    </row>
    <row r="177" spans="1:11" ht="38.25" customHeight="1">
      <c r="A177" s="144">
        <v>54599</v>
      </c>
      <c r="B177" s="250" t="s">
        <v>1184</v>
      </c>
      <c r="C177" s="55"/>
      <c r="D177" s="14" t="s">
        <v>11</v>
      </c>
      <c r="E177" s="14" t="s">
        <v>25</v>
      </c>
      <c r="F177" s="14" t="s">
        <v>26</v>
      </c>
      <c r="G177" s="305">
        <f>'SEPT-18'!I176</f>
        <v>0.85000000000000009</v>
      </c>
      <c r="H177" s="51"/>
      <c r="I177" s="17">
        <f t="shared" si="3"/>
        <v>0</v>
      </c>
      <c r="J177" s="108"/>
      <c r="K177" s="269">
        <v>0.85</v>
      </c>
    </row>
    <row r="178" spans="1:11" ht="40.5" customHeight="1">
      <c r="A178" s="144" t="s">
        <v>969</v>
      </c>
      <c r="B178" s="145" t="s">
        <v>1039</v>
      </c>
      <c r="C178" s="55" t="s">
        <v>1097</v>
      </c>
      <c r="D178" s="14" t="s">
        <v>11</v>
      </c>
      <c r="E178" s="14" t="s">
        <v>25</v>
      </c>
      <c r="F178" s="14" t="s">
        <v>26</v>
      </c>
      <c r="G178" s="305">
        <f>'SEPT-18'!I177</f>
        <v>-4.4408920985006262E-16</v>
      </c>
      <c r="H178" s="51"/>
      <c r="I178" s="18">
        <f t="shared" si="3"/>
        <v>-4.4408920985006262E-16</v>
      </c>
      <c r="J178" s="108"/>
      <c r="K178" s="65"/>
    </row>
    <row r="179" spans="1:11" ht="106.5">
      <c r="A179" s="144" t="s">
        <v>201</v>
      </c>
      <c r="B179" s="54" t="s">
        <v>204</v>
      </c>
      <c r="C179" s="343" t="s">
        <v>1098</v>
      </c>
      <c r="D179" s="14" t="s">
        <v>11</v>
      </c>
      <c r="E179" s="14" t="s">
        <v>25</v>
      </c>
      <c r="F179" s="14" t="s">
        <v>26</v>
      </c>
      <c r="G179" s="305">
        <f>'SEPT-18'!I178</f>
        <v>0</v>
      </c>
      <c r="H179" s="51"/>
      <c r="I179" s="17">
        <f t="shared" si="3"/>
        <v>0</v>
      </c>
      <c r="J179" s="62"/>
      <c r="K179" s="63"/>
    </row>
    <row r="180" spans="1:11" ht="19.5" customHeight="1">
      <c r="A180" s="11" t="s">
        <v>203</v>
      </c>
      <c r="B180" s="145" t="s">
        <v>206</v>
      </c>
      <c r="C180" s="55" t="s">
        <v>1099</v>
      </c>
      <c r="D180" s="14" t="s">
        <v>11</v>
      </c>
      <c r="E180" s="14" t="s">
        <v>25</v>
      </c>
      <c r="F180" s="14" t="s">
        <v>26</v>
      </c>
      <c r="G180" s="305">
        <f>'SEPT-18'!I179</f>
        <v>1364.6999999999989</v>
      </c>
      <c r="H180" s="51">
        <f>277.9+217.84+108.92+140+140+140+140+140+140+140+140+140+140+233.38+277.9+217.84+108.92+202.28+140+140+140+120+140+140+120+140+140+140+233.38</f>
        <v>4638.3600000000006</v>
      </c>
      <c r="I180" s="17">
        <f t="shared" si="3"/>
        <v>1726.3399999999983</v>
      </c>
      <c r="J180" s="108">
        <v>5000</v>
      </c>
      <c r="K180" s="65"/>
    </row>
    <row r="181" spans="1:11" ht="36">
      <c r="A181" s="11" t="s">
        <v>1041</v>
      </c>
      <c r="B181" s="145" t="s">
        <v>1042</v>
      </c>
      <c r="C181" s="55" t="s">
        <v>1099</v>
      </c>
      <c r="D181" s="14" t="s">
        <v>11</v>
      </c>
      <c r="E181" s="14" t="s">
        <v>25</v>
      </c>
      <c r="F181" s="14" t="s">
        <v>26</v>
      </c>
      <c r="G181" s="305">
        <f>'SEPT-18'!I180</f>
        <v>0</v>
      </c>
      <c r="H181" s="51"/>
      <c r="I181" s="17">
        <f t="shared" si="3"/>
        <v>0</v>
      </c>
      <c r="J181" s="108"/>
      <c r="K181" s="65"/>
    </row>
    <row r="182" spans="1:11" ht="20.25" customHeight="1">
      <c r="A182" s="11" t="s">
        <v>205</v>
      </c>
      <c r="B182" s="145" t="s">
        <v>207</v>
      </c>
      <c r="C182" s="55" t="s">
        <v>1099</v>
      </c>
      <c r="D182" s="14" t="s">
        <v>11</v>
      </c>
      <c r="E182" s="14" t="s">
        <v>25</v>
      </c>
      <c r="F182" s="14" t="s">
        <v>26</v>
      </c>
      <c r="G182" s="305">
        <f>'SEPT-18'!I181</f>
        <v>200</v>
      </c>
      <c r="H182" s="51"/>
      <c r="I182" s="17">
        <f t="shared" si="3"/>
        <v>200</v>
      </c>
      <c r="J182" s="64"/>
      <c r="K182" s="65"/>
    </row>
    <row r="183" spans="1:11" ht="36">
      <c r="A183" s="11" t="s">
        <v>208</v>
      </c>
      <c r="B183" s="145" t="s">
        <v>209</v>
      </c>
      <c r="C183" s="55" t="s">
        <v>1099</v>
      </c>
      <c r="D183" s="14" t="s">
        <v>11</v>
      </c>
      <c r="E183" s="14" t="s">
        <v>25</v>
      </c>
      <c r="F183" s="14" t="s">
        <v>26</v>
      </c>
      <c r="G183" s="305">
        <f>'SEPT-18'!I182</f>
        <v>11633.91</v>
      </c>
      <c r="H183" s="51">
        <f>430+1568+3617</f>
        <v>5615</v>
      </c>
      <c r="I183" s="17">
        <f t="shared" si="3"/>
        <v>3018.91</v>
      </c>
      <c r="J183" s="64"/>
      <c r="K183" s="269">
        <v>3000</v>
      </c>
    </row>
    <row r="184" spans="1:11" ht="24">
      <c r="A184" s="11" t="s">
        <v>210</v>
      </c>
      <c r="B184" s="145" t="s">
        <v>211</v>
      </c>
      <c r="C184" s="55" t="s">
        <v>1099</v>
      </c>
      <c r="D184" s="14" t="s">
        <v>11</v>
      </c>
      <c r="E184" s="14" t="s">
        <v>25</v>
      </c>
      <c r="F184" s="14" t="s">
        <v>26</v>
      </c>
      <c r="G184" s="305">
        <f>'SEPT-18'!I183</f>
        <v>1428.25</v>
      </c>
      <c r="H184" s="276">
        <f>376</f>
        <v>376</v>
      </c>
      <c r="I184" s="17">
        <f t="shared" si="3"/>
        <v>1052.25</v>
      </c>
      <c r="J184" s="108"/>
      <c r="K184" s="65"/>
    </row>
    <row r="185" spans="1:11" ht="34.5" customHeight="1">
      <c r="A185" s="11" t="s">
        <v>212</v>
      </c>
      <c r="B185" s="145" t="s">
        <v>213</v>
      </c>
      <c r="C185" s="55" t="s">
        <v>1099</v>
      </c>
      <c r="D185" s="3" t="s">
        <v>11</v>
      </c>
      <c r="E185" s="3" t="s">
        <v>25</v>
      </c>
      <c r="F185" s="3" t="s">
        <v>26</v>
      </c>
      <c r="G185" s="305">
        <f>'SEPT-18'!I184</f>
        <v>41.49000000000003</v>
      </c>
      <c r="H185" s="51"/>
      <c r="I185" s="17">
        <f t="shared" si="3"/>
        <v>41.49000000000003</v>
      </c>
      <c r="J185" s="45"/>
      <c r="K185" s="46"/>
    </row>
    <row r="186" spans="1:11" ht="34.5" customHeight="1">
      <c r="A186" s="11" t="s">
        <v>1143</v>
      </c>
      <c r="B186" s="145" t="s">
        <v>1140</v>
      </c>
      <c r="C186" s="55" t="s">
        <v>1099</v>
      </c>
      <c r="D186" s="3" t="s">
        <v>11</v>
      </c>
      <c r="E186" s="3" t="s">
        <v>25</v>
      </c>
      <c r="F186" s="3" t="s">
        <v>26</v>
      </c>
      <c r="G186" s="305">
        <f>'SEPT-18'!I185</f>
        <v>270</v>
      </c>
      <c r="H186" s="51"/>
      <c r="I186" s="17">
        <f t="shared" si="3"/>
        <v>270</v>
      </c>
      <c r="J186" s="126"/>
      <c r="K186" s="46"/>
    </row>
    <row r="187" spans="1:11" ht="37.5" customHeight="1">
      <c r="A187" s="11" t="s">
        <v>1043</v>
      </c>
      <c r="B187" s="145" t="s">
        <v>1044</v>
      </c>
      <c r="C187" s="55" t="s">
        <v>1099</v>
      </c>
      <c r="D187" s="3" t="s">
        <v>11</v>
      </c>
      <c r="E187" s="3" t="s">
        <v>25</v>
      </c>
      <c r="F187" s="3" t="s">
        <v>26</v>
      </c>
      <c r="G187" s="305">
        <f>'SEPT-18'!I186</f>
        <v>1.8099999999999454</v>
      </c>
      <c r="H187" s="51"/>
      <c r="I187" s="17">
        <f t="shared" si="3"/>
        <v>1.8099999999999454</v>
      </c>
      <c r="J187" s="126"/>
      <c r="K187" s="46"/>
    </row>
    <row r="188" spans="1:11" ht="28.5" customHeight="1">
      <c r="A188" s="11" t="s">
        <v>215</v>
      </c>
      <c r="B188" s="145" t="s">
        <v>214</v>
      </c>
      <c r="C188" s="55" t="s">
        <v>1099</v>
      </c>
      <c r="D188" s="3" t="s">
        <v>11</v>
      </c>
      <c r="E188" s="3" t="s">
        <v>25</v>
      </c>
      <c r="F188" s="3" t="s">
        <v>26</v>
      </c>
      <c r="G188" s="305">
        <f>'SEPT-18'!I187</f>
        <v>4915</v>
      </c>
      <c r="H188" s="51"/>
      <c r="I188" s="17">
        <f t="shared" si="3"/>
        <v>3915</v>
      </c>
      <c r="J188" s="45"/>
      <c r="K188" s="270">
        <v>1000</v>
      </c>
    </row>
    <row r="189" spans="1:11" ht="27.75" customHeight="1">
      <c r="A189" s="11" t="s">
        <v>216</v>
      </c>
      <c r="B189" s="145" t="s">
        <v>217</v>
      </c>
      <c r="C189" s="55" t="s">
        <v>1099</v>
      </c>
      <c r="D189" s="3" t="s">
        <v>11</v>
      </c>
      <c r="E189" s="3" t="s">
        <v>25</v>
      </c>
      <c r="F189" s="3" t="s">
        <v>26</v>
      </c>
      <c r="G189" s="305">
        <f>'SEPT-18'!I188</f>
        <v>6364.9</v>
      </c>
      <c r="H189" s="51"/>
      <c r="I189" s="17">
        <f t="shared" si="3"/>
        <v>5364.9</v>
      </c>
      <c r="J189" s="126"/>
      <c r="K189" s="270">
        <v>1000</v>
      </c>
    </row>
    <row r="190" spans="1:11" ht="44.25" customHeight="1">
      <c r="A190" s="141" t="s">
        <v>1208</v>
      </c>
      <c r="B190" s="250" t="s">
        <v>1206</v>
      </c>
      <c r="C190" s="55"/>
      <c r="D190" s="3" t="s">
        <v>11</v>
      </c>
      <c r="E190" s="3" t="s">
        <v>25</v>
      </c>
      <c r="F190" s="3" t="s">
        <v>26</v>
      </c>
      <c r="G190" s="305">
        <f>'SEPT-18'!I189</f>
        <v>4.5</v>
      </c>
      <c r="H190" s="51"/>
      <c r="I190" s="17">
        <f t="shared" si="3"/>
        <v>4.5</v>
      </c>
      <c r="J190" s="126"/>
      <c r="K190" s="270"/>
    </row>
    <row r="191" spans="1:11" ht="36" customHeight="1">
      <c r="A191" s="11" t="s">
        <v>218</v>
      </c>
      <c r="B191" s="145" t="s">
        <v>219</v>
      </c>
      <c r="C191" s="55" t="s">
        <v>1099</v>
      </c>
      <c r="D191" s="3" t="s">
        <v>11</v>
      </c>
      <c r="E191" s="3" t="s">
        <v>25</v>
      </c>
      <c r="F191" s="3" t="s">
        <v>26</v>
      </c>
      <c r="G191" s="305">
        <f>'SEPT-18'!I190</f>
        <v>42.65</v>
      </c>
      <c r="H191" s="51"/>
      <c r="I191" s="17">
        <f t="shared" si="3"/>
        <v>42.65</v>
      </c>
      <c r="J191" s="45"/>
      <c r="K191" s="46"/>
    </row>
    <row r="192" spans="1:11" ht="111.75" customHeight="1">
      <c r="A192" s="144" t="s">
        <v>220</v>
      </c>
      <c r="B192" s="54" t="s">
        <v>221</v>
      </c>
      <c r="C192" s="343" t="s">
        <v>1100</v>
      </c>
      <c r="D192" s="3"/>
      <c r="E192" s="3"/>
      <c r="F192" s="3"/>
      <c r="G192" s="305">
        <f>'SEPT-18'!I191</f>
        <v>0</v>
      </c>
      <c r="H192" s="51"/>
      <c r="I192" s="17"/>
      <c r="J192" s="45"/>
      <c r="K192" s="46"/>
    </row>
    <row r="193" spans="1:11" ht="18" customHeight="1">
      <c r="A193" s="11" t="s">
        <v>222</v>
      </c>
      <c r="B193" s="145" t="s">
        <v>223</v>
      </c>
      <c r="C193" s="55" t="s">
        <v>1101</v>
      </c>
      <c r="D193" s="3" t="s">
        <v>11</v>
      </c>
      <c r="E193" s="3" t="s">
        <v>25</v>
      </c>
      <c r="F193" s="3" t="s">
        <v>26</v>
      </c>
      <c r="G193" s="305">
        <f>'SEPT-18'!I192</f>
        <v>9089.81</v>
      </c>
      <c r="H193" s="51">
        <f>277.9+217.84+217.84+217.84+140+140+140+140+140+140+140+140+140+233.38+277.9+217.84+217.84+217.84+140+140+140+140+140+140+140+70+70+70+233.38+277.9+217.84+217.84+217.84+140+140+140+140+140+140+140+140+140+140+140</f>
        <v>7251.0200000000013</v>
      </c>
      <c r="I193" s="17">
        <f t="shared" si="3"/>
        <v>1838.7899999999981</v>
      </c>
      <c r="J193" s="126"/>
      <c r="K193" s="46"/>
    </row>
    <row r="194" spans="1:11" ht="38.25" customHeight="1">
      <c r="A194" s="11" t="s">
        <v>1209</v>
      </c>
      <c r="B194" s="146" t="s">
        <v>1207</v>
      </c>
      <c r="C194" s="55"/>
      <c r="D194" s="3" t="s">
        <v>11</v>
      </c>
      <c r="E194" s="3" t="s">
        <v>25</v>
      </c>
      <c r="F194" s="3" t="s">
        <v>26</v>
      </c>
      <c r="G194" s="305">
        <f>'SEPT-18'!I193</f>
        <v>52</v>
      </c>
      <c r="H194" s="51"/>
      <c r="I194" s="17">
        <f t="shared" si="3"/>
        <v>52</v>
      </c>
      <c r="J194" s="126"/>
      <c r="K194" s="46"/>
    </row>
    <row r="195" spans="1:11" ht="30" customHeight="1">
      <c r="A195" s="11" t="s">
        <v>225</v>
      </c>
      <c r="B195" s="145" t="s">
        <v>224</v>
      </c>
      <c r="C195" s="55"/>
      <c r="D195" s="3" t="s">
        <v>11</v>
      </c>
      <c r="E195" s="3" t="s">
        <v>25</v>
      </c>
      <c r="F195" s="3" t="s">
        <v>26</v>
      </c>
      <c r="G195" s="305">
        <f>'SEPT-18'!I194</f>
        <v>100</v>
      </c>
      <c r="H195" s="51"/>
      <c r="I195" s="17">
        <f t="shared" si="3"/>
        <v>100</v>
      </c>
      <c r="J195" s="126"/>
      <c r="K195" s="46"/>
    </row>
    <row r="196" spans="1:11" ht="33.75" customHeight="1">
      <c r="A196" s="11" t="s">
        <v>226</v>
      </c>
      <c r="B196" s="145" t="s">
        <v>227</v>
      </c>
      <c r="C196" s="55" t="s">
        <v>1101</v>
      </c>
      <c r="D196" s="3" t="s">
        <v>11</v>
      </c>
      <c r="E196" s="3" t="s">
        <v>25</v>
      </c>
      <c r="F196" s="3" t="s">
        <v>26</v>
      </c>
      <c r="G196" s="305">
        <f>'SEPT-18'!I195</f>
        <v>19040.150000000001</v>
      </c>
      <c r="H196" s="51">
        <f>1565.2</f>
        <v>1565.2</v>
      </c>
      <c r="I196" s="17">
        <f t="shared" si="3"/>
        <v>17474.95</v>
      </c>
      <c r="J196" s="126"/>
      <c r="K196" s="324"/>
    </row>
    <row r="197" spans="1:11" ht="28.5" customHeight="1">
      <c r="A197" s="11" t="s">
        <v>228</v>
      </c>
      <c r="B197" s="145" t="s">
        <v>229</v>
      </c>
      <c r="C197" s="55"/>
      <c r="D197" s="3" t="s">
        <v>11</v>
      </c>
      <c r="E197" s="3" t="s">
        <v>25</v>
      </c>
      <c r="F197" s="3" t="s">
        <v>26</v>
      </c>
      <c r="G197" s="305">
        <f>'SEPT-18'!I196</f>
        <v>6600.6999999999989</v>
      </c>
      <c r="H197" s="51">
        <f>470.91</f>
        <v>470.91</v>
      </c>
      <c r="I197" s="17">
        <f t="shared" si="3"/>
        <v>6129.7899999999991</v>
      </c>
      <c r="J197" s="126"/>
      <c r="K197" s="324"/>
    </row>
    <row r="198" spans="1:11" ht="26.25" customHeight="1">
      <c r="A198" s="11" t="s">
        <v>230</v>
      </c>
      <c r="B198" s="145" t="s">
        <v>231</v>
      </c>
      <c r="C198" s="55"/>
      <c r="D198" s="3" t="s">
        <v>11</v>
      </c>
      <c r="E198" s="3" t="s">
        <v>25</v>
      </c>
      <c r="F198" s="3" t="s">
        <v>26</v>
      </c>
      <c r="G198" s="305">
        <f>'SEPT-18'!I197</f>
        <v>94.6</v>
      </c>
      <c r="H198" s="51"/>
      <c r="I198" s="17">
        <f t="shared" si="3"/>
        <v>94.6</v>
      </c>
      <c r="J198" s="126"/>
      <c r="K198" s="324"/>
    </row>
    <row r="199" spans="1:11" ht="23.25" customHeight="1">
      <c r="A199" s="11" t="s">
        <v>232</v>
      </c>
      <c r="B199" s="145" t="s">
        <v>233</v>
      </c>
      <c r="C199" s="55"/>
      <c r="D199" s="3" t="s">
        <v>11</v>
      </c>
      <c r="E199" s="3" t="s">
        <v>25</v>
      </c>
      <c r="F199" s="3" t="s">
        <v>26</v>
      </c>
      <c r="G199" s="305">
        <f>'SEPT-18'!I198</f>
        <v>17000</v>
      </c>
      <c r="H199" s="51"/>
      <c r="I199" s="17">
        <f t="shared" si="3"/>
        <v>12000</v>
      </c>
      <c r="J199" s="126"/>
      <c r="K199" s="324">
        <v>5000</v>
      </c>
    </row>
    <row r="200" spans="1:11" ht="28.5" customHeight="1">
      <c r="A200" s="11" t="s">
        <v>234</v>
      </c>
      <c r="B200" s="145" t="s">
        <v>237</v>
      </c>
      <c r="C200" s="55"/>
      <c r="D200" s="3" t="s">
        <v>11</v>
      </c>
      <c r="E200" s="3" t="s">
        <v>25</v>
      </c>
      <c r="F200" s="3" t="s">
        <v>26</v>
      </c>
      <c r="G200" s="305">
        <f>'SEPT-18'!I199</f>
        <v>17500</v>
      </c>
      <c r="H200" s="51"/>
      <c r="I200" s="17">
        <f t="shared" si="3"/>
        <v>12500</v>
      </c>
      <c r="J200" s="126"/>
      <c r="K200" s="324">
        <v>5000</v>
      </c>
    </row>
    <row r="201" spans="1:11" ht="45" customHeight="1">
      <c r="A201" s="11" t="s">
        <v>1182</v>
      </c>
      <c r="B201" s="145" t="s">
        <v>1185</v>
      </c>
      <c r="C201" s="55"/>
      <c r="D201" s="3" t="s">
        <v>11</v>
      </c>
      <c r="E201" s="3" t="s">
        <v>25</v>
      </c>
      <c r="F201" s="3" t="s">
        <v>1181</v>
      </c>
      <c r="G201" s="305">
        <f>'SEPT-18'!I200</f>
        <v>5</v>
      </c>
      <c r="H201" s="51"/>
      <c r="I201" s="17">
        <f t="shared" si="3"/>
        <v>5</v>
      </c>
      <c r="J201" s="126"/>
      <c r="K201" s="46"/>
    </row>
    <row r="202" spans="1:11" ht="24" customHeight="1">
      <c r="A202" s="11" t="s">
        <v>235</v>
      </c>
      <c r="B202" s="145" t="s">
        <v>236</v>
      </c>
      <c r="C202" s="55" t="s">
        <v>1101</v>
      </c>
      <c r="D202" s="3" t="s">
        <v>11</v>
      </c>
      <c r="E202" s="3" t="s">
        <v>25</v>
      </c>
      <c r="F202" s="3" t="s">
        <v>26</v>
      </c>
      <c r="G202" s="305">
        <f>'SEPT-18'!I201</f>
        <v>40.050000000000004</v>
      </c>
      <c r="H202" s="51"/>
      <c r="I202" s="17">
        <f t="shared" si="3"/>
        <v>40.050000000000004</v>
      </c>
      <c r="J202" s="45"/>
      <c r="K202" s="46"/>
    </row>
    <row r="203" spans="1:11" ht="87" customHeight="1">
      <c r="A203" s="144" t="s">
        <v>238</v>
      </c>
      <c r="B203" s="54" t="s">
        <v>239</v>
      </c>
      <c r="C203" s="55"/>
      <c r="D203" s="3"/>
      <c r="E203" s="3"/>
      <c r="F203" s="3"/>
      <c r="G203" s="305">
        <f>'SEPT-18'!I202</f>
        <v>0</v>
      </c>
      <c r="H203" s="51"/>
      <c r="I203" s="17"/>
      <c r="J203" s="45"/>
      <c r="K203" s="46"/>
    </row>
    <row r="204" spans="1:11" ht="24" customHeight="1">
      <c r="A204" s="11" t="s">
        <v>240</v>
      </c>
      <c r="B204" s="145" t="s">
        <v>243</v>
      </c>
      <c r="C204" s="55"/>
      <c r="D204" s="3" t="s">
        <v>11</v>
      </c>
      <c r="E204" s="3" t="s">
        <v>25</v>
      </c>
      <c r="F204" s="3" t="s">
        <v>26</v>
      </c>
      <c r="G204" s="305">
        <f>'SEPT-18'!I203</f>
        <v>0</v>
      </c>
      <c r="H204" s="51"/>
      <c r="I204" s="17">
        <f t="shared" si="3"/>
        <v>0</v>
      </c>
      <c r="J204" s="45"/>
      <c r="K204" s="280"/>
    </row>
    <row r="205" spans="1:11" ht="24" customHeight="1">
      <c r="A205" s="11" t="s">
        <v>241</v>
      </c>
      <c r="B205" s="145" t="s">
        <v>242</v>
      </c>
      <c r="C205" s="55"/>
      <c r="D205" s="3" t="s">
        <v>11</v>
      </c>
      <c r="E205" s="3" t="s">
        <v>25</v>
      </c>
      <c r="F205" s="3" t="s">
        <v>26</v>
      </c>
      <c r="G205" s="305">
        <f>'SEPT-18'!I204</f>
        <v>0</v>
      </c>
      <c r="H205" s="51"/>
      <c r="I205" s="17">
        <f t="shared" si="3"/>
        <v>0</v>
      </c>
      <c r="J205" s="45"/>
      <c r="K205" s="280"/>
    </row>
    <row r="206" spans="1:11" ht="40.5" customHeight="1">
      <c r="A206" s="11" t="s">
        <v>245</v>
      </c>
      <c r="B206" s="145" t="s">
        <v>244</v>
      </c>
      <c r="C206" s="55"/>
      <c r="D206" s="3" t="s">
        <v>11</v>
      </c>
      <c r="E206" s="3" t="s">
        <v>25</v>
      </c>
      <c r="F206" s="3" t="s">
        <v>26</v>
      </c>
      <c r="G206" s="305">
        <f>'SEPT-18'!I205</f>
        <v>0</v>
      </c>
      <c r="H206" s="51"/>
      <c r="I206" s="17">
        <f t="shared" si="3"/>
        <v>0</v>
      </c>
      <c r="J206" s="45"/>
      <c r="K206" s="280"/>
    </row>
    <row r="207" spans="1:11" ht="24" customHeight="1">
      <c r="A207" s="11" t="s">
        <v>246</v>
      </c>
      <c r="B207" s="145" t="s">
        <v>247</v>
      </c>
      <c r="C207" s="55"/>
      <c r="D207" s="3" t="s">
        <v>11</v>
      </c>
      <c r="E207" s="3" t="s">
        <v>25</v>
      </c>
      <c r="F207" s="3" t="s">
        <v>26</v>
      </c>
      <c r="G207" s="305">
        <f>'SEPT-18'!I206</f>
        <v>0</v>
      </c>
      <c r="H207" s="51"/>
      <c r="I207" s="17">
        <f t="shared" si="3"/>
        <v>0</v>
      </c>
      <c r="J207" s="45"/>
      <c r="K207" s="280"/>
    </row>
    <row r="208" spans="1:11" ht="24" customHeight="1">
      <c r="A208" s="11" t="s">
        <v>249</v>
      </c>
      <c r="B208" s="145" t="s">
        <v>248</v>
      </c>
      <c r="C208" s="55"/>
      <c r="D208" s="3" t="s">
        <v>11</v>
      </c>
      <c r="E208" s="3" t="s">
        <v>25</v>
      </c>
      <c r="F208" s="3" t="s">
        <v>26</v>
      </c>
      <c r="G208" s="305">
        <f>'SEPT-18'!I207</f>
        <v>0</v>
      </c>
      <c r="H208" s="51"/>
      <c r="I208" s="17">
        <f t="shared" si="3"/>
        <v>0</v>
      </c>
      <c r="J208" s="45"/>
      <c r="K208" s="280"/>
    </row>
    <row r="209" spans="1:11" ht="24" customHeight="1">
      <c r="A209" s="11" t="s">
        <v>251</v>
      </c>
      <c r="B209" s="145" t="s">
        <v>252</v>
      </c>
      <c r="C209" s="55"/>
      <c r="D209" s="3" t="s">
        <v>11</v>
      </c>
      <c r="E209" s="3" t="s">
        <v>25</v>
      </c>
      <c r="F209" s="3" t="s">
        <v>26</v>
      </c>
      <c r="G209" s="305">
        <f>'SEPT-18'!I208</f>
        <v>0</v>
      </c>
      <c r="H209" s="51"/>
      <c r="I209" s="17">
        <f t="shared" si="3"/>
        <v>0</v>
      </c>
      <c r="J209" s="45"/>
      <c r="K209" s="280"/>
    </row>
    <row r="210" spans="1:11" ht="24" customHeight="1">
      <c r="A210" s="11" t="s">
        <v>250</v>
      </c>
      <c r="B210" s="145" t="s">
        <v>253</v>
      </c>
      <c r="C210" s="55"/>
      <c r="D210" s="3" t="s">
        <v>11</v>
      </c>
      <c r="E210" s="3" t="s">
        <v>25</v>
      </c>
      <c r="F210" s="3" t="s">
        <v>26</v>
      </c>
      <c r="G210" s="305">
        <f>'SEPT-18'!I209</f>
        <v>0</v>
      </c>
      <c r="H210" s="51"/>
      <c r="I210" s="17">
        <f t="shared" si="3"/>
        <v>0</v>
      </c>
      <c r="J210" s="45"/>
      <c r="K210" s="280"/>
    </row>
    <row r="211" spans="1:11" ht="24" customHeight="1">
      <c r="A211" s="11" t="s">
        <v>255</v>
      </c>
      <c r="B211" s="145" t="s">
        <v>254</v>
      </c>
      <c r="C211" s="55"/>
      <c r="D211" s="3" t="s">
        <v>11</v>
      </c>
      <c r="E211" s="3" t="s">
        <v>25</v>
      </c>
      <c r="F211" s="3" t="s">
        <v>26</v>
      </c>
      <c r="G211" s="305">
        <f>'SEPT-18'!I210</f>
        <v>0</v>
      </c>
      <c r="H211" s="51"/>
      <c r="I211" s="17">
        <f t="shared" si="3"/>
        <v>0</v>
      </c>
      <c r="J211" s="45"/>
      <c r="K211" s="280"/>
    </row>
    <row r="212" spans="1:11" ht="87" customHeight="1">
      <c r="A212" s="144" t="s">
        <v>256</v>
      </c>
      <c r="B212" s="54" t="s">
        <v>257</v>
      </c>
      <c r="C212" s="55"/>
      <c r="D212" s="3"/>
      <c r="E212" s="3"/>
      <c r="F212" s="3"/>
      <c r="G212" s="305">
        <f>'SEPT-18'!I211</f>
        <v>0</v>
      </c>
      <c r="H212" s="51"/>
      <c r="I212" s="17"/>
      <c r="J212" s="45"/>
      <c r="K212" s="46"/>
    </row>
    <row r="213" spans="1:11" ht="24" customHeight="1">
      <c r="A213" s="11" t="s">
        <v>258</v>
      </c>
      <c r="B213" s="145" t="s">
        <v>263</v>
      </c>
      <c r="C213" s="55"/>
      <c r="D213" s="3" t="s">
        <v>11</v>
      </c>
      <c r="E213" s="3" t="s">
        <v>25</v>
      </c>
      <c r="F213" s="3" t="s">
        <v>26</v>
      </c>
      <c r="G213" s="305">
        <f>'SEPT-18'!I212</f>
        <v>0</v>
      </c>
      <c r="H213" s="51"/>
      <c r="I213" s="17">
        <f t="shared" si="3"/>
        <v>0</v>
      </c>
      <c r="J213" s="45"/>
      <c r="K213" s="280"/>
    </row>
    <row r="214" spans="1:11" ht="24" customHeight="1">
      <c r="A214" s="11" t="s">
        <v>259</v>
      </c>
      <c r="B214" s="145" t="s">
        <v>262</v>
      </c>
      <c r="C214" s="55"/>
      <c r="D214" s="3" t="s">
        <v>11</v>
      </c>
      <c r="E214" s="3" t="s">
        <v>25</v>
      </c>
      <c r="F214" s="3" t="s">
        <v>26</v>
      </c>
      <c r="G214" s="305">
        <f>'SEPT-18'!I213</f>
        <v>0</v>
      </c>
      <c r="H214" s="51"/>
      <c r="I214" s="17">
        <f t="shared" si="3"/>
        <v>0</v>
      </c>
      <c r="J214" s="45"/>
      <c r="K214" s="280"/>
    </row>
    <row r="215" spans="1:11" ht="24" customHeight="1">
      <c r="A215" s="11" t="s">
        <v>260</v>
      </c>
      <c r="B215" s="145" t="s">
        <v>261</v>
      </c>
      <c r="C215" s="55"/>
      <c r="D215" s="3" t="s">
        <v>11</v>
      </c>
      <c r="E215" s="3" t="s">
        <v>25</v>
      </c>
      <c r="F215" s="3" t="s">
        <v>26</v>
      </c>
      <c r="G215" s="305">
        <f>'SEPT-18'!I214</f>
        <v>0</v>
      </c>
      <c r="H215" s="51"/>
      <c r="I215" s="17">
        <f t="shared" si="3"/>
        <v>0</v>
      </c>
      <c r="J215" s="45"/>
      <c r="K215" s="280"/>
    </row>
    <row r="216" spans="1:11" ht="60" customHeight="1">
      <c r="A216" s="144" t="s">
        <v>264</v>
      </c>
      <c r="B216" s="54" t="s">
        <v>287</v>
      </c>
      <c r="C216" s="55"/>
      <c r="D216" s="3"/>
      <c r="E216" s="3"/>
      <c r="F216" s="3"/>
      <c r="G216" s="305">
        <f>'SEPT-18'!I215</f>
        <v>0</v>
      </c>
      <c r="H216" s="51"/>
      <c r="I216" s="17"/>
      <c r="J216" s="45"/>
      <c r="K216" s="46"/>
    </row>
    <row r="217" spans="1:11" ht="24" customHeight="1">
      <c r="A217" s="11" t="s">
        <v>265</v>
      </c>
      <c r="B217" s="145" t="s">
        <v>1046</v>
      </c>
      <c r="C217" s="55"/>
      <c r="D217" s="3" t="s">
        <v>11</v>
      </c>
      <c r="E217" s="3" t="s">
        <v>25</v>
      </c>
      <c r="F217" s="3" t="s">
        <v>26</v>
      </c>
      <c r="G217" s="305">
        <f>'SEPT-18'!I216</f>
        <v>0</v>
      </c>
      <c r="H217" s="51"/>
      <c r="I217" s="17">
        <f t="shared" si="3"/>
        <v>0</v>
      </c>
      <c r="J217" s="45"/>
      <c r="K217" s="385"/>
    </row>
    <row r="218" spans="1:11" ht="24" customHeight="1">
      <c r="A218" s="11" t="s">
        <v>266</v>
      </c>
      <c r="B218" s="145" t="s">
        <v>268</v>
      </c>
      <c r="C218" s="55"/>
      <c r="D218" s="3" t="s">
        <v>11</v>
      </c>
      <c r="E218" s="3" t="s">
        <v>25</v>
      </c>
      <c r="F218" s="3" t="s">
        <v>26</v>
      </c>
      <c r="G218" s="305">
        <f>'SEPT-18'!I217</f>
        <v>0</v>
      </c>
      <c r="H218" s="51"/>
      <c r="I218" s="17">
        <f t="shared" si="3"/>
        <v>0</v>
      </c>
      <c r="J218" s="45"/>
      <c r="K218" s="385"/>
    </row>
    <row r="219" spans="1:11" ht="71.25" customHeight="1">
      <c r="A219" s="144" t="s">
        <v>269</v>
      </c>
      <c r="B219" s="54" t="s">
        <v>286</v>
      </c>
      <c r="C219" s="343" t="s">
        <v>1111</v>
      </c>
      <c r="D219" s="3"/>
      <c r="E219" s="3"/>
      <c r="F219" s="3"/>
      <c r="G219" s="305">
        <f>'SEPT-18'!I218</f>
        <v>0</v>
      </c>
      <c r="H219" s="51"/>
      <c r="I219" s="17"/>
      <c r="J219" s="45"/>
      <c r="K219" s="46"/>
    </row>
    <row r="220" spans="1:11" ht="27.75" customHeight="1">
      <c r="A220" s="11" t="s">
        <v>273</v>
      </c>
      <c r="B220" s="145" t="s">
        <v>270</v>
      </c>
      <c r="C220" s="55"/>
      <c r="D220" s="3" t="s">
        <v>11</v>
      </c>
      <c r="E220" s="3" t="s">
        <v>25</v>
      </c>
      <c r="F220" s="3" t="s">
        <v>26</v>
      </c>
      <c r="G220" s="305">
        <f>'SEPT-18'!I219</f>
        <v>2435</v>
      </c>
      <c r="H220" s="51">
        <f>300</f>
        <v>300</v>
      </c>
      <c r="I220" s="17">
        <f t="shared" si="3"/>
        <v>2135</v>
      </c>
      <c r="J220" s="45"/>
      <c r="K220" s="46"/>
    </row>
    <row r="221" spans="1:11" ht="24" customHeight="1">
      <c r="A221" s="11" t="s">
        <v>272</v>
      </c>
      <c r="B221" s="145" t="s">
        <v>271</v>
      </c>
      <c r="C221" s="55"/>
      <c r="D221" s="3" t="s">
        <v>11</v>
      </c>
      <c r="E221" s="3" t="s">
        <v>25</v>
      </c>
      <c r="F221" s="3" t="s">
        <v>26</v>
      </c>
      <c r="G221" s="305">
        <f>'SEPT-18'!I220</f>
        <v>8174.13</v>
      </c>
      <c r="H221" s="51">
        <f>2113.12+1795.5+90+1511.1</f>
        <v>5509.7199999999993</v>
      </c>
      <c r="I221" s="17">
        <f t="shared" si="3"/>
        <v>2664.4100000000008</v>
      </c>
      <c r="J221" s="45"/>
      <c r="K221" s="126"/>
    </row>
    <row r="222" spans="1:11" ht="24" customHeight="1">
      <c r="A222" s="11" t="s">
        <v>274</v>
      </c>
      <c r="B222" s="145" t="s">
        <v>275</v>
      </c>
      <c r="C222" s="55"/>
      <c r="D222" s="3" t="s">
        <v>11</v>
      </c>
      <c r="E222" s="3" t="s">
        <v>25</v>
      </c>
      <c r="F222" s="3" t="s">
        <v>26</v>
      </c>
      <c r="G222" s="305">
        <f>'SEPT-18'!I221</f>
        <v>748.07999999999993</v>
      </c>
      <c r="H222" s="51">
        <f>418.74</f>
        <v>418.74</v>
      </c>
      <c r="I222" s="17">
        <f t="shared" si="3"/>
        <v>329.33999999999992</v>
      </c>
      <c r="J222" s="45"/>
      <c r="K222" s="46"/>
    </row>
    <row r="223" spans="1:11" ht="24" customHeight="1">
      <c r="A223" s="11" t="s">
        <v>276</v>
      </c>
      <c r="B223" s="145" t="s">
        <v>277</v>
      </c>
      <c r="C223" s="55"/>
      <c r="D223" s="3" t="s">
        <v>11</v>
      </c>
      <c r="E223" s="3" t="s">
        <v>25</v>
      </c>
      <c r="F223" s="3" t="s">
        <v>26</v>
      </c>
      <c r="G223" s="305">
        <f>'SEPT-18'!I222</f>
        <v>7894.9499999999989</v>
      </c>
      <c r="H223" s="51">
        <f>360.6+1013.83</f>
        <v>1374.43</v>
      </c>
      <c r="I223" s="17">
        <f t="shared" si="3"/>
        <v>6520.5199999999986</v>
      </c>
      <c r="J223" s="45"/>
      <c r="K223" s="279"/>
    </row>
    <row r="224" spans="1:11" ht="24" customHeight="1">
      <c r="A224" s="11" t="s">
        <v>278</v>
      </c>
      <c r="B224" s="145" t="s">
        <v>279</v>
      </c>
      <c r="C224" s="55"/>
      <c r="D224" s="3" t="s">
        <v>11</v>
      </c>
      <c r="E224" s="3" t="s">
        <v>25</v>
      </c>
      <c r="F224" s="3" t="s">
        <v>26</v>
      </c>
      <c r="G224" s="305">
        <f>'SEPT-18'!I223</f>
        <v>518.1</v>
      </c>
      <c r="H224" s="51"/>
      <c r="I224" s="17">
        <f t="shared" si="3"/>
        <v>518.1</v>
      </c>
      <c r="J224" s="45"/>
      <c r="K224" s="46"/>
    </row>
    <row r="225" spans="1:11" ht="24" customHeight="1">
      <c r="A225" s="11" t="s">
        <v>280</v>
      </c>
      <c r="B225" s="145" t="s">
        <v>281</v>
      </c>
      <c r="C225" s="55"/>
      <c r="D225" s="3" t="s">
        <v>11</v>
      </c>
      <c r="E225" s="3" t="s">
        <v>25</v>
      </c>
      <c r="F225" s="3" t="s">
        <v>26</v>
      </c>
      <c r="G225" s="305">
        <f>'SEPT-18'!I224</f>
        <v>1290</v>
      </c>
      <c r="H225" s="51"/>
      <c r="I225" s="17">
        <f t="shared" si="3"/>
        <v>1290</v>
      </c>
      <c r="J225" s="126"/>
      <c r="K225" s="46"/>
    </row>
    <row r="226" spans="1:11" ht="24" customHeight="1">
      <c r="A226" s="11" t="s">
        <v>282</v>
      </c>
      <c r="B226" s="145" t="s">
        <v>283</v>
      </c>
      <c r="C226" s="55"/>
      <c r="D226" s="3" t="s">
        <v>11</v>
      </c>
      <c r="E226" s="3" t="s">
        <v>25</v>
      </c>
      <c r="F226" s="3" t="s">
        <v>26</v>
      </c>
      <c r="G226" s="305">
        <f>'SEPT-18'!I225</f>
        <v>927.06000000000029</v>
      </c>
      <c r="H226" s="51"/>
      <c r="I226" s="17">
        <f t="shared" si="3"/>
        <v>927.06000000000029</v>
      </c>
      <c r="J226" s="126"/>
      <c r="K226" s="46"/>
    </row>
    <row r="227" spans="1:11" ht="24" customHeight="1">
      <c r="A227" s="11" t="s">
        <v>284</v>
      </c>
      <c r="B227" s="145" t="s">
        <v>285</v>
      </c>
      <c r="C227" s="55"/>
      <c r="D227" s="3" t="s">
        <v>11</v>
      </c>
      <c r="E227" s="3" t="s">
        <v>25</v>
      </c>
      <c r="F227" s="3" t="s">
        <v>26</v>
      </c>
      <c r="G227" s="305">
        <f>'SEPT-18'!I226</f>
        <v>14.17</v>
      </c>
      <c r="H227" s="51"/>
      <c r="I227" s="17">
        <f t="shared" si="3"/>
        <v>14.17</v>
      </c>
      <c r="J227" s="45"/>
      <c r="K227" s="46"/>
    </row>
    <row r="228" spans="1:11" ht="102" customHeight="1">
      <c r="A228" s="144" t="s">
        <v>289</v>
      </c>
      <c r="B228" s="54" t="s">
        <v>1198</v>
      </c>
      <c r="C228" s="55" t="s">
        <v>1057</v>
      </c>
      <c r="D228" s="3"/>
      <c r="E228" s="3"/>
      <c r="F228" s="3"/>
      <c r="G228" s="305">
        <f>'SEPT-18'!I227</f>
        <v>0</v>
      </c>
      <c r="H228" s="275"/>
      <c r="I228" s="17"/>
      <c r="J228" s="45"/>
      <c r="K228" s="46"/>
    </row>
    <row r="229" spans="1:11" ht="24" customHeight="1">
      <c r="A229" s="11" t="s">
        <v>290</v>
      </c>
      <c r="B229" s="145" t="s">
        <v>291</v>
      </c>
      <c r="C229" s="55"/>
      <c r="D229" s="3" t="s">
        <v>11</v>
      </c>
      <c r="E229" s="3" t="s">
        <v>25</v>
      </c>
      <c r="F229" s="3" t="s">
        <v>26</v>
      </c>
      <c r="G229" s="305">
        <f>'SEPT-18'!I228</f>
        <v>500</v>
      </c>
      <c r="H229" s="51"/>
      <c r="I229" s="17">
        <f t="shared" si="3"/>
        <v>500</v>
      </c>
      <c r="J229" s="45"/>
      <c r="K229" s="46"/>
    </row>
    <row r="230" spans="1:11" ht="24" customHeight="1">
      <c r="A230" s="11" t="s">
        <v>292</v>
      </c>
      <c r="B230" s="145" t="s">
        <v>293</v>
      </c>
      <c r="C230" s="55"/>
      <c r="D230" s="3" t="s">
        <v>11</v>
      </c>
      <c r="E230" s="3" t="s">
        <v>25</v>
      </c>
      <c r="F230" s="3" t="s">
        <v>26</v>
      </c>
      <c r="G230" s="305">
        <f>'SEPT-18'!I229</f>
        <v>0</v>
      </c>
      <c r="H230" s="51"/>
      <c r="I230" s="17">
        <f t="shared" si="3"/>
        <v>0</v>
      </c>
      <c r="J230" s="45"/>
      <c r="K230" s="280"/>
    </row>
    <row r="231" spans="1:11" ht="18" customHeight="1">
      <c r="A231" s="11" t="s">
        <v>294</v>
      </c>
      <c r="B231" s="145" t="s">
        <v>295</v>
      </c>
      <c r="C231" s="55"/>
      <c r="D231" s="3" t="s">
        <v>11</v>
      </c>
      <c r="E231" s="3" t="s">
        <v>25</v>
      </c>
      <c r="F231" s="3" t="s">
        <v>26</v>
      </c>
      <c r="G231" s="305">
        <f>'SEPT-18'!I230</f>
        <v>97.4</v>
      </c>
      <c r="H231" s="51"/>
      <c r="I231" s="17">
        <f t="shared" si="3"/>
        <v>97.4</v>
      </c>
      <c r="J231" s="45"/>
      <c r="K231" s="46"/>
    </row>
    <row r="232" spans="1:11" ht="19.5" customHeight="1">
      <c r="A232" s="11" t="s">
        <v>296</v>
      </c>
      <c r="B232" s="145" t="s">
        <v>297</v>
      </c>
      <c r="C232" s="55"/>
      <c r="D232" s="3" t="s">
        <v>11</v>
      </c>
      <c r="E232" s="3" t="s">
        <v>25</v>
      </c>
      <c r="F232" s="3" t="s">
        <v>26</v>
      </c>
      <c r="G232" s="305">
        <f>'SEPT-18'!I231</f>
        <v>18480</v>
      </c>
      <c r="H232" s="51"/>
      <c r="I232" s="17">
        <f t="shared" si="3"/>
        <v>18480</v>
      </c>
      <c r="J232" s="45"/>
      <c r="K232" s="46"/>
    </row>
    <row r="233" spans="1:11" ht="21" customHeight="1">
      <c r="A233" s="11" t="s">
        <v>298</v>
      </c>
      <c r="B233" s="145" t="s">
        <v>299</v>
      </c>
      <c r="C233" s="55"/>
      <c r="D233" s="3" t="s">
        <v>11</v>
      </c>
      <c r="E233" s="3" t="s">
        <v>25</v>
      </c>
      <c r="F233" s="3" t="s">
        <v>26</v>
      </c>
      <c r="G233" s="305">
        <f>'SEPT-18'!I232</f>
        <v>862.29</v>
      </c>
      <c r="H233" s="51"/>
      <c r="I233" s="17">
        <f t="shared" si="3"/>
        <v>862.29</v>
      </c>
      <c r="J233" s="45"/>
      <c r="K233" s="385"/>
    </row>
    <row r="234" spans="1:11" ht="75" customHeight="1">
      <c r="A234" s="144" t="s">
        <v>300</v>
      </c>
      <c r="B234" s="54" t="s">
        <v>301</v>
      </c>
      <c r="C234" s="343" t="s">
        <v>1112</v>
      </c>
      <c r="D234" s="3"/>
      <c r="E234" s="3"/>
      <c r="F234" s="3"/>
      <c r="G234" s="305">
        <f>'SEPT-18'!I233</f>
        <v>0</v>
      </c>
      <c r="H234" s="51"/>
      <c r="I234" s="17"/>
      <c r="J234" s="45"/>
      <c r="K234" s="46"/>
    </row>
    <row r="235" spans="1:11" ht="18.75" customHeight="1">
      <c r="A235" s="11" t="s">
        <v>302</v>
      </c>
      <c r="B235" s="145" t="s">
        <v>309</v>
      </c>
      <c r="C235" s="55"/>
      <c r="D235" s="3" t="s">
        <v>11</v>
      </c>
      <c r="E235" s="3" t="s">
        <v>25</v>
      </c>
      <c r="F235" s="3" t="s">
        <v>26</v>
      </c>
      <c r="G235" s="305">
        <f>'SEPT-18'!I234</f>
        <v>1066.6600000000003</v>
      </c>
      <c r="H235" s="51">
        <f>166.67+166.67+166.67+166.67+166.67+166.67</f>
        <v>1000.0199999999999</v>
      </c>
      <c r="I235" s="17">
        <f t="shared" si="3"/>
        <v>66.640000000000441</v>
      </c>
      <c r="J235" s="126"/>
      <c r="K235" s="321"/>
    </row>
    <row r="236" spans="1:11" ht="18.75" customHeight="1">
      <c r="A236" s="11" t="s">
        <v>303</v>
      </c>
      <c r="B236" s="145" t="s">
        <v>310</v>
      </c>
      <c r="C236" s="55"/>
      <c r="D236" s="3" t="s">
        <v>11</v>
      </c>
      <c r="E236" s="3" t="s">
        <v>25</v>
      </c>
      <c r="F236" s="3" t="s">
        <v>26</v>
      </c>
      <c r="G236" s="305">
        <f>'SEPT-18'!I235</f>
        <v>4000</v>
      </c>
      <c r="H236" s="51"/>
      <c r="I236" s="17">
        <f t="shared" si="3"/>
        <v>4000</v>
      </c>
      <c r="J236" s="45"/>
      <c r="K236" s="411"/>
    </row>
    <row r="237" spans="1:11" ht="24.75" customHeight="1">
      <c r="A237" s="11" t="s">
        <v>304</v>
      </c>
      <c r="B237" s="145" t="s">
        <v>311</v>
      </c>
      <c r="C237" s="55"/>
      <c r="D237" s="3" t="s">
        <v>11</v>
      </c>
      <c r="E237" s="3" t="s">
        <v>25</v>
      </c>
      <c r="F237" s="3" t="s">
        <v>26</v>
      </c>
      <c r="G237" s="305">
        <f>'SEPT-18'!I236</f>
        <v>1000</v>
      </c>
      <c r="H237" s="51"/>
      <c r="I237" s="17">
        <f t="shared" si="3"/>
        <v>1000</v>
      </c>
      <c r="J237" s="45"/>
      <c r="K237" s="322"/>
    </row>
    <row r="238" spans="1:11" ht="16.5" customHeight="1">
      <c r="A238" s="11" t="s">
        <v>305</v>
      </c>
      <c r="B238" s="145" t="s">
        <v>312</v>
      </c>
      <c r="C238" s="55"/>
      <c r="D238" s="3" t="s">
        <v>11</v>
      </c>
      <c r="E238" s="3" t="s">
        <v>25</v>
      </c>
      <c r="F238" s="3" t="s">
        <v>26</v>
      </c>
      <c r="G238" s="305">
        <f>'SEPT-18'!I237</f>
        <v>1104.78</v>
      </c>
      <c r="H238" s="51">
        <f>150</f>
        <v>150</v>
      </c>
      <c r="I238" s="17">
        <f t="shared" si="3"/>
        <v>954.78</v>
      </c>
      <c r="J238" s="45"/>
      <c r="K238" s="323"/>
    </row>
    <row r="239" spans="1:11" ht="22.5" customHeight="1">
      <c r="A239" s="11" t="s">
        <v>306</v>
      </c>
      <c r="B239" s="145" t="s">
        <v>313</v>
      </c>
      <c r="C239" s="55"/>
      <c r="D239" s="3" t="s">
        <v>11</v>
      </c>
      <c r="E239" s="3" t="s">
        <v>25</v>
      </c>
      <c r="F239" s="3" t="s">
        <v>26</v>
      </c>
      <c r="G239" s="305">
        <f>'SEPT-18'!I238</f>
        <v>1218.3400000000001</v>
      </c>
      <c r="H239" s="51"/>
      <c r="I239" s="17">
        <f t="shared" si="3"/>
        <v>918.34000000000015</v>
      </c>
      <c r="J239" s="45"/>
      <c r="K239" s="324">
        <v>300</v>
      </c>
    </row>
    <row r="240" spans="1:11" ht="19.5" customHeight="1">
      <c r="A240" s="11" t="s">
        <v>307</v>
      </c>
      <c r="B240" s="145" t="s">
        <v>314</v>
      </c>
      <c r="C240" s="55"/>
      <c r="D240" s="3" t="s">
        <v>11</v>
      </c>
      <c r="E240" s="3" t="s">
        <v>25</v>
      </c>
      <c r="F240" s="3" t="s">
        <v>26</v>
      </c>
      <c r="G240" s="305">
        <f>'SEPT-18'!I239</f>
        <v>9.17</v>
      </c>
      <c r="H240" s="51"/>
      <c r="I240" s="17">
        <f t="shared" si="3"/>
        <v>9.17</v>
      </c>
      <c r="J240" s="45"/>
      <c r="K240" s="324"/>
    </row>
    <row r="241" spans="1:11" ht="24" customHeight="1">
      <c r="A241" s="11" t="s">
        <v>308</v>
      </c>
      <c r="B241" s="145" t="s">
        <v>315</v>
      </c>
      <c r="C241" s="55"/>
      <c r="D241" s="3" t="s">
        <v>11</v>
      </c>
      <c r="E241" s="3" t="s">
        <v>25</v>
      </c>
      <c r="F241" s="3" t="s">
        <v>26</v>
      </c>
      <c r="G241" s="305">
        <f>'SEPT-18'!I240</f>
        <v>25</v>
      </c>
      <c r="H241" s="51">
        <f>275</f>
        <v>275</v>
      </c>
      <c r="I241" s="17">
        <f t="shared" si="3"/>
        <v>50</v>
      </c>
      <c r="J241" s="126">
        <v>300</v>
      </c>
      <c r="K241" s="324"/>
    </row>
    <row r="242" spans="1:11" ht="72.75" customHeight="1">
      <c r="A242" s="144" t="s">
        <v>316</v>
      </c>
      <c r="B242" s="54" t="s">
        <v>317</v>
      </c>
      <c r="C242" s="343" t="s">
        <v>1113</v>
      </c>
      <c r="D242" s="3"/>
      <c r="E242" s="3"/>
      <c r="F242" s="3"/>
      <c r="G242" s="305">
        <f>'SEPT-18'!I241</f>
        <v>0</v>
      </c>
      <c r="H242" s="51"/>
      <c r="I242" s="17"/>
      <c r="J242" s="45"/>
      <c r="K242" s="46"/>
    </row>
    <row r="243" spans="1:11" ht="20.25" customHeight="1">
      <c r="A243" s="11" t="s">
        <v>318</v>
      </c>
      <c r="B243" s="145" t="s">
        <v>322</v>
      </c>
      <c r="C243" s="55"/>
      <c r="D243" s="3" t="s">
        <v>11</v>
      </c>
      <c r="E243" s="3" t="s">
        <v>25</v>
      </c>
      <c r="F243" s="3" t="s">
        <v>26</v>
      </c>
      <c r="G243" s="305">
        <f>'SEPT-18'!I242</f>
        <v>333.32000000000033</v>
      </c>
      <c r="H243" s="51">
        <f>333.34</f>
        <v>333.34</v>
      </c>
      <c r="I243" s="17">
        <f t="shared" ref="I243:I277" si="5">G243-H243+J243-K243</f>
        <v>699.98000000000036</v>
      </c>
      <c r="J243" s="126">
        <v>700</v>
      </c>
      <c r="K243" s="46"/>
    </row>
    <row r="244" spans="1:11" ht="36.75" customHeight="1">
      <c r="A244" s="11" t="s">
        <v>1009</v>
      </c>
      <c r="B244" s="145" t="s">
        <v>1011</v>
      </c>
      <c r="C244" s="55"/>
      <c r="D244" s="3" t="s">
        <v>11</v>
      </c>
      <c r="E244" s="3" t="s">
        <v>25</v>
      </c>
      <c r="F244" s="3" t="s">
        <v>26</v>
      </c>
      <c r="G244" s="305">
        <f>'SEPT-18'!I243</f>
        <v>175</v>
      </c>
      <c r="H244" s="51"/>
      <c r="I244" s="17">
        <f t="shared" si="5"/>
        <v>175</v>
      </c>
      <c r="J244" s="126"/>
      <c r="K244" s="46"/>
    </row>
    <row r="245" spans="1:11" ht="31.5" customHeight="1">
      <c r="A245" s="11" t="s">
        <v>319</v>
      </c>
      <c r="B245" s="145" t="s">
        <v>1010</v>
      </c>
      <c r="C245" s="55"/>
      <c r="D245" s="3" t="s">
        <v>11</v>
      </c>
      <c r="E245" s="3" t="s">
        <v>25</v>
      </c>
      <c r="F245" s="3" t="s">
        <v>26</v>
      </c>
      <c r="G245" s="305">
        <f>'SEPT-18'!I244</f>
        <v>1728</v>
      </c>
      <c r="H245" s="51"/>
      <c r="I245" s="17">
        <f t="shared" si="5"/>
        <v>1028</v>
      </c>
      <c r="J245" s="45"/>
      <c r="K245" s="260">
        <v>700</v>
      </c>
    </row>
    <row r="246" spans="1:11" ht="20.25" customHeight="1">
      <c r="A246" s="11" t="s">
        <v>320</v>
      </c>
      <c r="B246" s="145" t="s">
        <v>324</v>
      </c>
      <c r="C246" s="55"/>
      <c r="D246" s="3" t="s">
        <v>11</v>
      </c>
      <c r="E246" s="3" t="s">
        <v>25</v>
      </c>
      <c r="F246" s="3" t="s">
        <v>26</v>
      </c>
      <c r="G246" s="305">
        <f>'SEPT-18'!I245</f>
        <v>15.87</v>
      </c>
      <c r="H246" s="51"/>
      <c r="I246" s="17">
        <f t="shared" si="5"/>
        <v>15.87</v>
      </c>
      <c r="J246" s="45"/>
      <c r="K246" s="46"/>
    </row>
    <row r="247" spans="1:11" ht="29.25" customHeight="1">
      <c r="A247" s="11" t="s">
        <v>321</v>
      </c>
      <c r="B247" s="145" t="s">
        <v>325</v>
      </c>
      <c r="C247" s="55"/>
      <c r="D247" s="3" t="s">
        <v>11</v>
      </c>
      <c r="E247" s="3" t="s">
        <v>25</v>
      </c>
      <c r="F247" s="3" t="s">
        <v>26</v>
      </c>
      <c r="G247" s="305">
        <f>'SEPT-18'!I246</f>
        <v>1980</v>
      </c>
      <c r="H247" s="51"/>
      <c r="I247" s="17">
        <f t="shared" si="5"/>
        <v>1980</v>
      </c>
      <c r="J247" s="45"/>
      <c r="K247" s="46"/>
    </row>
    <row r="248" spans="1:11" ht="66" customHeight="1">
      <c r="A248" s="271" t="s">
        <v>326</v>
      </c>
      <c r="B248" s="54" t="s">
        <v>327</v>
      </c>
      <c r="C248" s="55"/>
      <c r="D248" s="3"/>
      <c r="E248" s="3"/>
      <c r="F248" s="3"/>
      <c r="G248" s="305">
        <f>'SEPT-18'!I247</f>
        <v>0</v>
      </c>
      <c r="H248" s="51"/>
      <c r="I248" s="17"/>
      <c r="J248" s="45"/>
      <c r="K248" s="46"/>
    </row>
    <row r="249" spans="1:11" ht="23.25" customHeight="1">
      <c r="A249" s="11" t="s">
        <v>328</v>
      </c>
      <c r="B249" s="145" t="s">
        <v>329</v>
      </c>
      <c r="C249" s="55"/>
      <c r="D249" s="3" t="s">
        <v>11</v>
      </c>
      <c r="E249" s="3" t="s">
        <v>25</v>
      </c>
      <c r="F249" s="3" t="s">
        <v>26</v>
      </c>
      <c r="G249" s="305">
        <f>'SEPT-18'!I248</f>
        <v>0</v>
      </c>
      <c r="H249" s="51"/>
      <c r="I249" s="17">
        <f t="shared" si="5"/>
        <v>0</v>
      </c>
      <c r="J249" s="45"/>
      <c r="K249" s="324"/>
    </row>
    <row r="250" spans="1:11" ht="26.25" customHeight="1">
      <c r="A250" s="11" t="s">
        <v>330</v>
      </c>
      <c r="B250" s="145" t="s">
        <v>331</v>
      </c>
      <c r="C250" s="55"/>
      <c r="D250" s="3" t="s">
        <v>11</v>
      </c>
      <c r="E250" s="3" t="s">
        <v>25</v>
      </c>
      <c r="F250" s="3" t="s">
        <v>26</v>
      </c>
      <c r="G250" s="305">
        <f>'SEPT-18'!I249</f>
        <v>0</v>
      </c>
      <c r="H250" s="51"/>
      <c r="I250" s="17">
        <f t="shared" si="5"/>
        <v>0</v>
      </c>
      <c r="J250" s="45"/>
      <c r="K250" s="324"/>
    </row>
    <row r="251" spans="1:11" ht="18.75" customHeight="1">
      <c r="A251" s="11" t="s">
        <v>332</v>
      </c>
      <c r="B251" s="145" t="s">
        <v>333</v>
      </c>
      <c r="C251" s="55"/>
      <c r="D251" s="3" t="s">
        <v>11</v>
      </c>
      <c r="E251" s="3" t="s">
        <v>25</v>
      </c>
      <c r="F251" s="3" t="s">
        <v>26</v>
      </c>
      <c r="G251" s="305">
        <f>'SEPT-18'!I250</f>
        <v>0</v>
      </c>
      <c r="H251" s="51"/>
      <c r="I251" s="17">
        <f t="shared" si="5"/>
        <v>0</v>
      </c>
      <c r="J251" s="45"/>
      <c r="K251" s="324"/>
    </row>
    <row r="252" spans="1:11" ht="18" customHeight="1">
      <c r="A252" s="11" t="s">
        <v>334</v>
      </c>
      <c r="B252" s="145" t="s">
        <v>335</v>
      </c>
      <c r="C252" s="55"/>
      <c r="D252" s="3" t="s">
        <v>11</v>
      </c>
      <c r="E252" s="3" t="s">
        <v>25</v>
      </c>
      <c r="F252" s="3" t="s">
        <v>26</v>
      </c>
      <c r="G252" s="305">
        <f>'SEPT-18'!I251</f>
        <v>0</v>
      </c>
      <c r="H252" s="51"/>
      <c r="I252" s="17">
        <f t="shared" si="5"/>
        <v>0</v>
      </c>
      <c r="J252" s="45"/>
      <c r="K252" s="324"/>
    </row>
    <row r="253" spans="1:11" ht="24.75" customHeight="1">
      <c r="A253" s="11" t="s">
        <v>336</v>
      </c>
      <c r="B253" s="145" t="s">
        <v>337</v>
      </c>
      <c r="C253" s="55"/>
      <c r="D253" s="3" t="s">
        <v>11</v>
      </c>
      <c r="E253" s="3" t="s">
        <v>25</v>
      </c>
      <c r="F253" s="3" t="s">
        <v>26</v>
      </c>
      <c r="G253" s="305">
        <f>'SEPT-18'!I252</f>
        <v>0</v>
      </c>
      <c r="H253" s="51"/>
      <c r="I253" s="17">
        <f t="shared" si="5"/>
        <v>0</v>
      </c>
      <c r="J253" s="45"/>
      <c r="K253" s="324"/>
    </row>
    <row r="254" spans="1:11" ht="60.75" customHeight="1">
      <c r="A254" s="144" t="s">
        <v>338</v>
      </c>
      <c r="B254" s="54" t="s">
        <v>339</v>
      </c>
      <c r="C254" s="55" t="s">
        <v>1059</v>
      </c>
      <c r="D254" s="3"/>
      <c r="E254" s="3"/>
      <c r="F254" s="3"/>
      <c r="G254" s="305">
        <f>'SEPT-18'!I253</f>
        <v>0</v>
      </c>
      <c r="H254" s="51"/>
      <c r="I254" s="17"/>
      <c r="J254" s="45"/>
      <c r="K254" s="46"/>
    </row>
    <row r="255" spans="1:11" ht="18.75" customHeight="1">
      <c r="A255" s="11" t="s">
        <v>340</v>
      </c>
      <c r="B255" s="145" t="s">
        <v>344</v>
      </c>
      <c r="C255" s="55"/>
      <c r="D255" s="3" t="s">
        <v>11</v>
      </c>
      <c r="E255" s="3" t="s">
        <v>25</v>
      </c>
      <c r="F255" s="3" t="s">
        <v>26</v>
      </c>
      <c r="G255" s="305">
        <f>'SEPT-18'!I254</f>
        <v>0</v>
      </c>
      <c r="H255" s="51"/>
      <c r="I255" s="17">
        <f t="shared" si="5"/>
        <v>0</v>
      </c>
      <c r="J255" s="45"/>
      <c r="K255" s="280"/>
    </row>
    <row r="256" spans="1:11" ht="31.5" customHeight="1">
      <c r="A256" s="11" t="s">
        <v>341</v>
      </c>
      <c r="B256" s="145" t="s">
        <v>345</v>
      </c>
      <c r="C256" s="55" t="s">
        <v>1059</v>
      </c>
      <c r="D256" s="3" t="s">
        <v>11</v>
      </c>
      <c r="E256" s="3" t="s">
        <v>25</v>
      </c>
      <c r="F256" s="3" t="s">
        <v>26</v>
      </c>
      <c r="G256" s="305">
        <f>'SEPT-18'!I255</f>
        <v>0</v>
      </c>
      <c r="H256" s="51"/>
      <c r="I256" s="17">
        <f t="shared" si="5"/>
        <v>0</v>
      </c>
      <c r="J256" s="45"/>
      <c r="K256" s="280"/>
    </row>
    <row r="257" spans="1:11" ht="20.25" customHeight="1">
      <c r="A257" s="11" t="s">
        <v>342</v>
      </c>
      <c r="B257" s="145" t="s">
        <v>346</v>
      </c>
      <c r="C257" s="55"/>
      <c r="D257" s="3" t="s">
        <v>11</v>
      </c>
      <c r="E257" s="3" t="s">
        <v>25</v>
      </c>
      <c r="F257" s="3" t="s">
        <v>26</v>
      </c>
      <c r="G257" s="305">
        <f>'SEPT-18'!I256</f>
        <v>0</v>
      </c>
      <c r="H257" s="51"/>
      <c r="I257" s="17">
        <f t="shared" si="5"/>
        <v>0</v>
      </c>
      <c r="J257" s="45"/>
      <c r="K257" s="280"/>
    </row>
    <row r="258" spans="1:11" ht="24" customHeight="1">
      <c r="A258" s="11" t="s">
        <v>343</v>
      </c>
      <c r="B258" s="145" t="s">
        <v>347</v>
      </c>
      <c r="C258" s="55"/>
      <c r="D258" s="3" t="s">
        <v>11</v>
      </c>
      <c r="E258" s="3" t="s">
        <v>25</v>
      </c>
      <c r="F258" s="3" t="s">
        <v>26</v>
      </c>
      <c r="G258" s="305">
        <f>'SEPT-18'!I257</f>
        <v>0</v>
      </c>
      <c r="H258" s="51"/>
      <c r="I258" s="17">
        <f t="shared" si="5"/>
        <v>0</v>
      </c>
      <c r="J258" s="45"/>
      <c r="K258" s="280"/>
    </row>
    <row r="259" spans="1:11" ht="70.5" customHeight="1">
      <c r="A259" s="144" t="s">
        <v>348</v>
      </c>
      <c r="B259" s="54" t="s">
        <v>349</v>
      </c>
      <c r="C259" s="55"/>
      <c r="D259" s="3"/>
      <c r="E259" s="3"/>
      <c r="F259" s="3"/>
      <c r="G259" s="305">
        <f>'SEPT-18'!I258</f>
        <v>0</v>
      </c>
      <c r="H259" s="51"/>
      <c r="I259" s="17"/>
      <c r="J259" s="45"/>
      <c r="K259" s="46"/>
    </row>
    <row r="260" spans="1:11" ht="23.25" customHeight="1">
      <c r="A260" s="11" t="s">
        <v>350</v>
      </c>
      <c r="B260" s="145" t="s">
        <v>355</v>
      </c>
      <c r="C260" s="55"/>
      <c r="D260" s="3" t="s">
        <v>11</v>
      </c>
      <c r="E260" s="3" t="s">
        <v>25</v>
      </c>
      <c r="F260" s="3" t="s">
        <v>26</v>
      </c>
      <c r="G260" s="305">
        <f>'SEPT-18'!I259</f>
        <v>0</v>
      </c>
      <c r="H260" s="51"/>
      <c r="I260" s="17">
        <f t="shared" si="5"/>
        <v>0</v>
      </c>
      <c r="J260" s="45"/>
      <c r="K260" s="324"/>
    </row>
    <row r="261" spans="1:11" ht="22.5" customHeight="1">
      <c r="A261" s="11" t="s">
        <v>351</v>
      </c>
      <c r="B261" s="145" t="s">
        <v>354</v>
      </c>
      <c r="C261" s="55"/>
      <c r="D261" s="3" t="s">
        <v>11</v>
      </c>
      <c r="E261" s="3" t="s">
        <v>25</v>
      </c>
      <c r="F261" s="3" t="s">
        <v>26</v>
      </c>
      <c r="G261" s="305">
        <f>'SEPT-18'!I260</f>
        <v>0</v>
      </c>
      <c r="H261" s="51"/>
      <c r="I261" s="17">
        <f t="shared" si="5"/>
        <v>0</v>
      </c>
      <c r="J261" s="45"/>
      <c r="K261" s="324"/>
    </row>
    <row r="262" spans="1:11" ht="24.75" customHeight="1">
      <c r="A262" s="11" t="s">
        <v>352</v>
      </c>
      <c r="B262" s="145" t="s">
        <v>356</v>
      </c>
      <c r="C262" s="55"/>
      <c r="D262" s="3" t="s">
        <v>11</v>
      </c>
      <c r="E262" s="3" t="s">
        <v>25</v>
      </c>
      <c r="F262" s="3" t="s">
        <v>26</v>
      </c>
      <c r="G262" s="305">
        <f>'SEPT-18'!I261</f>
        <v>0</v>
      </c>
      <c r="H262" s="51"/>
      <c r="I262" s="17">
        <f t="shared" si="5"/>
        <v>0</v>
      </c>
      <c r="J262" s="45"/>
      <c r="K262" s="385"/>
    </row>
    <row r="263" spans="1:11" ht="24.75" customHeight="1">
      <c r="A263" s="11" t="s">
        <v>353</v>
      </c>
      <c r="B263" s="145" t="s">
        <v>357</v>
      </c>
      <c r="C263" s="55"/>
      <c r="D263" s="3" t="s">
        <v>11</v>
      </c>
      <c r="E263" s="3" t="s">
        <v>25</v>
      </c>
      <c r="F263" s="3" t="s">
        <v>26</v>
      </c>
      <c r="G263" s="305">
        <f>'SEPT-18'!I262</f>
        <v>0</v>
      </c>
      <c r="H263" s="51"/>
      <c r="I263" s="17">
        <f t="shared" si="5"/>
        <v>0</v>
      </c>
      <c r="J263" s="45"/>
      <c r="K263" s="385"/>
    </row>
    <row r="264" spans="1:11" ht="59.25" customHeight="1">
      <c r="A264" s="144" t="s">
        <v>358</v>
      </c>
      <c r="B264" s="54" t="s">
        <v>359</v>
      </c>
      <c r="C264" s="55"/>
      <c r="D264" s="3"/>
      <c r="E264" s="3"/>
      <c r="F264" s="3"/>
      <c r="G264" s="305">
        <f>'SEPT-18'!I263</f>
        <v>0</v>
      </c>
      <c r="H264" s="51"/>
      <c r="I264" s="17"/>
      <c r="J264" s="45"/>
      <c r="K264" s="46"/>
    </row>
    <row r="265" spans="1:11" ht="18.75" customHeight="1">
      <c r="A265" s="11" t="s">
        <v>361</v>
      </c>
      <c r="B265" s="146" t="s">
        <v>360</v>
      </c>
      <c r="C265" s="55"/>
      <c r="D265" s="3" t="s">
        <v>11</v>
      </c>
      <c r="E265" s="3" t="s">
        <v>25</v>
      </c>
      <c r="F265" s="3" t="s">
        <v>26</v>
      </c>
      <c r="G265" s="305">
        <f>'SEPT-18'!I264</f>
        <v>3000</v>
      </c>
      <c r="H265" s="51"/>
      <c r="I265" s="17">
        <f t="shared" si="5"/>
        <v>3000</v>
      </c>
      <c r="J265" s="45"/>
      <c r="K265" s="46"/>
    </row>
    <row r="266" spans="1:11" ht="18.75" customHeight="1">
      <c r="A266" s="11" t="s">
        <v>362</v>
      </c>
      <c r="B266" s="145" t="s">
        <v>365</v>
      </c>
      <c r="C266" s="55"/>
      <c r="D266" s="3" t="s">
        <v>11</v>
      </c>
      <c r="E266" s="3" t="s">
        <v>25</v>
      </c>
      <c r="F266" s="3" t="s">
        <v>26</v>
      </c>
      <c r="G266" s="305">
        <f>'SEPT-18'!I265</f>
        <v>500</v>
      </c>
      <c r="H266" s="51"/>
      <c r="I266" s="17">
        <f t="shared" si="5"/>
        <v>500</v>
      </c>
      <c r="J266" s="45"/>
      <c r="K266" s="46"/>
    </row>
    <row r="267" spans="1:11" ht="24.75" customHeight="1">
      <c r="A267" s="11" t="s">
        <v>363</v>
      </c>
      <c r="B267" s="145" t="s">
        <v>366</v>
      </c>
      <c r="C267" s="55"/>
      <c r="D267" s="3" t="s">
        <v>11</v>
      </c>
      <c r="E267" s="3" t="s">
        <v>25</v>
      </c>
      <c r="F267" s="3" t="s">
        <v>26</v>
      </c>
      <c r="G267" s="305">
        <f>'SEPT-18'!I266</f>
        <v>200</v>
      </c>
      <c r="H267" s="51"/>
      <c r="I267" s="17">
        <f t="shared" si="5"/>
        <v>200</v>
      </c>
      <c r="J267" s="45"/>
      <c r="K267" s="46"/>
    </row>
    <row r="268" spans="1:11" ht="28.5" customHeight="1">
      <c r="A268" s="11" t="s">
        <v>364</v>
      </c>
      <c r="B268" s="146" t="s">
        <v>367</v>
      </c>
      <c r="C268" s="55"/>
      <c r="D268" s="3" t="s">
        <v>11</v>
      </c>
      <c r="E268" s="3" t="s">
        <v>25</v>
      </c>
      <c r="F268" s="3" t="s">
        <v>26</v>
      </c>
      <c r="G268" s="305">
        <f>'SEPT-18'!I267</f>
        <v>7280</v>
      </c>
      <c r="H268" s="51"/>
      <c r="I268" s="17">
        <f t="shared" si="5"/>
        <v>7280</v>
      </c>
      <c r="J268" s="45"/>
      <c r="K268" s="46"/>
    </row>
    <row r="269" spans="1:11" ht="27.75" customHeight="1">
      <c r="A269" s="11" t="s">
        <v>368</v>
      </c>
      <c r="B269" s="145" t="s">
        <v>369</v>
      </c>
      <c r="C269" s="55"/>
      <c r="D269" s="3" t="s">
        <v>11</v>
      </c>
      <c r="E269" s="3" t="s">
        <v>25</v>
      </c>
      <c r="F269" s="3" t="s">
        <v>26</v>
      </c>
      <c r="G269" s="305">
        <f>'SEPT-18'!I268</f>
        <v>3000</v>
      </c>
      <c r="H269" s="51"/>
      <c r="I269" s="17">
        <f t="shared" si="5"/>
        <v>3000</v>
      </c>
      <c r="J269" s="45"/>
      <c r="K269" s="46"/>
    </row>
    <row r="270" spans="1:11" ht="23.25" customHeight="1">
      <c r="A270" s="11" t="s">
        <v>370</v>
      </c>
      <c r="B270" s="145" t="s">
        <v>371</v>
      </c>
      <c r="C270" s="55"/>
      <c r="D270" s="3" t="s">
        <v>11</v>
      </c>
      <c r="E270" s="3" t="s">
        <v>25</v>
      </c>
      <c r="F270" s="3" t="s">
        <v>26</v>
      </c>
      <c r="G270" s="305">
        <f>'SEPT-18'!I269</f>
        <v>1000</v>
      </c>
      <c r="H270" s="51"/>
      <c r="I270" s="17">
        <f t="shared" si="5"/>
        <v>1000</v>
      </c>
      <c r="J270" s="45"/>
      <c r="K270" s="46"/>
    </row>
    <row r="271" spans="1:11" ht="24" customHeight="1">
      <c r="A271" s="11" t="s">
        <v>372</v>
      </c>
      <c r="B271" s="145" t="s">
        <v>373</v>
      </c>
      <c r="C271" s="55"/>
      <c r="D271" s="3" t="s">
        <v>11</v>
      </c>
      <c r="E271" s="3" t="s">
        <v>25</v>
      </c>
      <c r="F271" s="3" t="s">
        <v>26</v>
      </c>
      <c r="G271" s="305">
        <f>'SEPT-18'!I270</f>
        <v>18.7</v>
      </c>
      <c r="H271" s="51"/>
      <c r="I271" s="17">
        <f t="shared" si="5"/>
        <v>18.7</v>
      </c>
      <c r="J271" s="45"/>
      <c r="K271" s="46"/>
    </row>
    <row r="272" spans="1:11" ht="69" customHeight="1">
      <c r="A272" s="144" t="s">
        <v>374</v>
      </c>
      <c r="B272" s="54" t="s">
        <v>375</v>
      </c>
      <c r="C272" s="55"/>
      <c r="D272" s="3"/>
      <c r="E272" s="3"/>
      <c r="F272" s="3"/>
      <c r="G272" s="305">
        <f>'SEPT-18'!I271</f>
        <v>0</v>
      </c>
      <c r="H272" s="51"/>
      <c r="I272" s="17"/>
      <c r="J272" s="45"/>
      <c r="K272" s="46"/>
    </row>
    <row r="273" spans="1:11" ht="24" customHeight="1">
      <c r="A273" s="11" t="s">
        <v>376</v>
      </c>
      <c r="B273" s="146" t="s">
        <v>377</v>
      </c>
      <c r="C273" s="55"/>
      <c r="D273" s="3" t="s">
        <v>11</v>
      </c>
      <c r="E273" s="3" t="s">
        <v>25</v>
      </c>
      <c r="F273" s="3" t="s">
        <v>26</v>
      </c>
      <c r="G273" s="305">
        <f>'SEPT-18'!I272</f>
        <v>0</v>
      </c>
      <c r="H273" s="51"/>
      <c r="I273" s="17">
        <f t="shared" si="5"/>
        <v>0</v>
      </c>
      <c r="J273" s="45"/>
      <c r="K273" s="324"/>
    </row>
    <row r="274" spans="1:11" ht="28.5" customHeight="1">
      <c r="A274" s="11" t="s">
        <v>383</v>
      </c>
      <c r="B274" s="145" t="s">
        <v>378</v>
      </c>
      <c r="C274" s="55"/>
      <c r="D274" s="3" t="s">
        <v>11</v>
      </c>
      <c r="E274" s="3" t="s">
        <v>25</v>
      </c>
      <c r="F274" s="3" t="s">
        <v>26</v>
      </c>
      <c r="G274" s="305">
        <f>'SEPT-18'!I273</f>
        <v>0</v>
      </c>
      <c r="H274" s="51"/>
      <c r="I274" s="17">
        <f t="shared" si="5"/>
        <v>0</v>
      </c>
      <c r="J274" s="45"/>
      <c r="K274" s="324"/>
    </row>
    <row r="275" spans="1:11" ht="33" customHeight="1">
      <c r="A275" s="11" t="s">
        <v>384</v>
      </c>
      <c r="B275" s="146" t="s">
        <v>379</v>
      </c>
      <c r="C275" s="55"/>
      <c r="D275" s="3" t="s">
        <v>11</v>
      </c>
      <c r="E275" s="3" t="s">
        <v>25</v>
      </c>
      <c r="F275" s="3" t="s">
        <v>26</v>
      </c>
      <c r="G275" s="305">
        <f>'SEPT-18'!I274</f>
        <v>0</v>
      </c>
      <c r="H275" s="51"/>
      <c r="I275" s="17">
        <f t="shared" si="5"/>
        <v>0</v>
      </c>
      <c r="J275" s="45"/>
      <c r="K275" s="324"/>
    </row>
    <row r="276" spans="1:11" ht="41.25" customHeight="1">
      <c r="A276" s="11" t="s">
        <v>385</v>
      </c>
      <c r="B276" s="145" t="s">
        <v>380</v>
      </c>
      <c r="C276" s="55"/>
      <c r="D276" s="3" t="s">
        <v>11</v>
      </c>
      <c r="E276" s="3" t="s">
        <v>25</v>
      </c>
      <c r="F276" s="3" t="s">
        <v>26</v>
      </c>
      <c r="G276" s="305">
        <f>'SEPT-18'!I275</f>
        <v>0</v>
      </c>
      <c r="H276" s="51"/>
      <c r="I276" s="17">
        <f t="shared" si="5"/>
        <v>0</v>
      </c>
      <c r="J276" s="45"/>
      <c r="K276" s="324"/>
    </row>
    <row r="277" spans="1:11" ht="30" customHeight="1">
      <c r="A277" s="11" t="s">
        <v>386</v>
      </c>
      <c r="B277" s="145" t="s">
        <v>381</v>
      </c>
      <c r="C277" s="55"/>
      <c r="D277" s="3" t="s">
        <v>11</v>
      </c>
      <c r="E277" s="3" t="s">
        <v>25</v>
      </c>
      <c r="F277" s="3" t="s">
        <v>26</v>
      </c>
      <c r="G277" s="305">
        <f>'SEPT-18'!I276</f>
        <v>1464.83</v>
      </c>
      <c r="H277" s="51"/>
      <c r="I277" s="17">
        <f t="shared" si="5"/>
        <v>1464.83</v>
      </c>
      <c r="J277" s="45"/>
      <c r="K277" s="324"/>
    </row>
    <row r="278" spans="1:11" ht="27" customHeight="1">
      <c r="A278" s="11" t="s">
        <v>387</v>
      </c>
      <c r="B278" s="145" t="s">
        <v>382</v>
      </c>
      <c r="C278" s="6"/>
      <c r="D278" s="3" t="s">
        <v>11</v>
      </c>
      <c r="E278" s="3" t="s">
        <v>25</v>
      </c>
      <c r="F278" s="3" t="s">
        <v>26</v>
      </c>
      <c r="G278" s="305">
        <f>'SEPT-18'!I277</f>
        <v>20</v>
      </c>
      <c r="H278" s="51"/>
      <c r="I278" s="17">
        <f t="shared" si="3"/>
        <v>20</v>
      </c>
      <c r="J278" s="45"/>
      <c r="K278" s="385"/>
    </row>
    <row r="279" spans="1:11" ht="143.25" customHeight="1">
      <c r="A279" s="144" t="s">
        <v>388</v>
      </c>
      <c r="B279" s="54" t="s">
        <v>391</v>
      </c>
      <c r="C279" s="55"/>
      <c r="D279" s="14"/>
      <c r="E279" s="14"/>
      <c r="F279" s="14"/>
      <c r="G279" s="305">
        <f>'SEPT-18'!I278</f>
        <v>0</v>
      </c>
      <c r="H279" s="51"/>
      <c r="I279" s="17"/>
      <c r="J279" s="62"/>
      <c r="K279" s="63"/>
    </row>
    <row r="280" spans="1:11" ht="29.25">
      <c r="A280" s="11" t="s">
        <v>389</v>
      </c>
      <c r="B280" s="54" t="s">
        <v>390</v>
      </c>
      <c r="C280" s="55"/>
      <c r="D280" s="14" t="s">
        <v>11</v>
      </c>
      <c r="E280" s="14" t="s">
        <v>25</v>
      </c>
      <c r="F280" s="14" t="s">
        <v>26</v>
      </c>
      <c r="G280" s="305">
        <f>'SEPT-18'!I279</f>
        <v>0</v>
      </c>
      <c r="H280" s="51"/>
      <c r="I280" s="17">
        <f t="shared" si="3"/>
        <v>0</v>
      </c>
      <c r="J280" s="62"/>
      <c r="K280" s="324"/>
    </row>
    <row r="281" spans="1:11" ht="68.25" customHeight="1">
      <c r="A281" s="412" t="s">
        <v>392</v>
      </c>
      <c r="B281" s="54" t="s">
        <v>393</v>
      </c>
      <c r="C281" s="343" t="s">
        <v>1114</v>
      </c>
      <c r="D281" s="14"/>
      <c r="E281" s="14"/>
      <c r="F281" s="14"/>
      <c r="G281" s="305">
        <f>'SEPT-18'!I280</f>
        <v>0</v>
      </c>
      <c r="H281" s="51"/>
      <c r="I281" s="17"/>
      <c r="J281" s="62"/>
      <c r="K281" s="63"/>
    </row>
    <row r="282" spans="1:11">
      <c r="A282" s="11">
        <v>51999</v>
      </c>
      <c r="B282" s="54" t="s">
        <v>394</v>
      </c>
      <c r="C282" s="55"/>
      <c r="D282" s="14" t="s">
        <v>11</v>
      </c>
      <c r="E282" s="14" t="s">
        <v>25</v>
      </c>
      <c r="F282" s="14" t="s">
        <v>26</v>
      </c>
      <c r="G282" s="305">
        <f>'SEPT-18'!I281</f>
        <v>25</v>
      </c>
      <c r="H282" s="51">
        <f>150+150+277.77+200</f>
        <v>777.77</v>
      </c>
      <c r="I282" s="17">
        <f t="shared" si="3"/>
        <v>47.230000000000018</v>
      </c>
      <c r="J282" s="108">
        <v>800</v>
      </c>
      <c r="K282" s="320"/>
    </row>
    <row r="283" spans="1:11" ht="29.25">
      <c r="A283" s="11">
        <v>54112</v>
      </c>
      <c r="B283" s="54" t="s">
        <v>395</v>
      </c>
      <c r="C283" s="55"/>
      <c r="D283" s="14" t="s">
        <v>11</v>
      </c>
      <c r="E283" s="14" t="s">
        <v>25</v>
      </c>
      <c r="F283" s="14" t="s">
        <v>26</v>
      </c>
      <c r="G283" s="305">
        <f>'SEPT-18'!I282</f>
        <v>1000</v>
      </c>
      <c r="H283" s="51"/>
      <c r="I283" s="17">
        <f t="shared" si="3"/>
        <v>1000</v>
      </c>
      <c r="J283" s="62"/>
      <c r="K283" s="320"/>
    </row>
    <row r="284" spans="1:11" ht="29.25">
      <c r="A284" s="11">
        <v>54199</v>
      </c>
      <c r="B284" s="54" t="s">
        <v>396</v>
      </c>
      <c r="C284" s="55"/>
      <c r="D284" s="14" t="s">
        <v>11</v>
      </c>
      <c r="E284" s="14" t="s">
        <v>25</v>
      </c>
      <c r="F284" s="14" t="s">
        <v>26</v>
      </c>
      <c r="G284" s="305">
        <f>'SEPT-18'!I283</f>
        <v>500</v>
      </c>
      <c r="H284" s="51"/>
      <c r="I284" s="17">
        <f t="shared" ref="I284:I346" si="6">G284-H284+J284-K284</f>
        <v>500</v>
      </c>
      <c r="J284" s="62"/>
      <c r="K284" s="320"/>
    </row>
    <row r="285" spans="1:11" ht="21.75" customHeight="1">
      <c r="A285" s="11">
        <v>54305</v>
      </c>
      <c r="B285" s="54" t="s">
        <v>397</v>
      </c>
      <c r="C285" s="55"/>
      <c r="D285" s="14" t="s">
        <v>11</v>
      </c>
      <c r="E285" s="14" t="s">
        <v>25</v>
      </c>
      <c r="F285" s="14" t="s">
        <v>26</v>
      </c>
      <c r="G285" s="305">
        <f>'SEPT-18'!I284</f>
        <v>4091.2</v>
      </c>
      <c r="H285" s="51"/>
      <c r="I285" s="17">
        <f t="shared" si="6"/>
        <v>1191.1999999999998</v>
      </c>
      <c r="J285" s="62"/>
      <c r="K285" s="108">
        <v>2900</v>
      </c>
    </row>
    <row r="286" spans="1:11" ht="30">
      <c r="A286" s="11">
        <v>54313</v>
      </c>
      <c r="B286" s="54" t="s">
        <v>398</v>
      </c>
      <c r="C286" s="55" t="s">
        <v>1064</v>
      </c>
      <c r="D286" s="14" t="s">
        <v>11</v>
      </c>
      <c r="E286" s="14" t="s">
        <v>25</v>
      </c>
      <c r="F286" s="14" t="s">
        <v>26</v>
      </c>
      <c r="G286" s="305">
        <f>'SEPT-18'!I285</f>
        <v>138.14999999999998</v>
      </c>
      <c r="H286" s="51"/>
      <c r="I286" s="17">
        <f t="shared" si="6"/>
        <v>138.14999999999998</v>
      </c>
      <c r="J286" s="408"/>
      <c r="K286" s="63"/>
    </row>
    <row r="287" spans="1:11" ht="29.25">
      <c r="A287" s="11">
        <v>54314</v>
      </c>
      <c r="B287" s="54" t="s">
        <v>1218</v>
      </c>
      <c r="C287" s="55"/>
      <c r="D287" s="14" t="s">
        <v>11</v>
      </c>
      <c r="E287" s="14" t="s">
        <v>25</v>
      </c>
      <c r="F287" s="14" t="s">
        <v>27</v>
      </c>
      <c r="G287" s="305">
        <v>0</v>
      </c>
      <c r="H287" s="51">
        <f>468+468+624</f>
        <v>1560</v>
      </c>
      <c r="I287" s="17">
        <f t="shared" si="6"/>
        <v>40</v>
      </c>
      <c r="J287" s="408">
        <v>1600</v>
      </c>
      <c r="K287" s="63"/>
    </row>
    <row r="288" spans="1:11" ht="30">
      <c r="A288" s="11">
        <v>54399</v>
      </c>
      <c r="B288" s="54" t="s">
        <v>399</v>
      </c>
      <c r="C288" s="55"/>
      <c r="D288" s="14" t="s">
        <v>11</v>
      </c>
      <c r="E288" s="14" t="s">
        <v>25</v>
      </c>
      <c r="F288" s="14" t="s">
        <v>26</v>
      </c>
      <c r="G288" s="305">
        <f>'SEPT-18'!I286</f>
        <v>40</v>
      </c>
      <c r="H288" s="51"/>
      <c r="I288" s="17">
        <f t="shared" si="6"/>
        <v>40</v>
      </c>
      <c r="J288" s="62"/>
      <c r="K288" s="387"/>
    </row>
    <row r="289" spans="1:11" ht="30">
      <c r="A289" s="11">
        <v>55603</v>
      </c>
      <c r="B289" s="54" t="s">
        <v>400</v>
      </c>
      <c r="C289" s="55"/>
      <c r="D289" s="14" t="s">
        <v>11</v>
      </c>
      <c r="E289" s="14" t="s">
        <v>25</v>
      </c>
      <c r="F289" s="14" t="s">
        <v>26</v>
      </c>
      <c r="G289" s="305">
        <f>'SEPT-18'!I287</f>
        <v>14.17</v>
      </c>
      <c r="H289" s="51"/>
      <c r="I289" s="17">
        <f t="shared" si="6"/>
        <v>14.17</v>
      </c>
      <c r="J289" s="62"/>
      <c r="K289" s="63"/>
    </row>
    <row r="290" spans="1:11" ht="29.25">
      <c r="A290" s="11">
        <v>61101</v>
      </c>
      <c r="B290" s="54" t="s">
        <v>1183</v>
      </c>
      <c r="C290" s="55"/>
      <c r="D290" s="14" t="s">
        <v>11</v>
      </c>
      <c r="E290" s="14" t="s">
        <v>25</v>
      </c>
      <c r="F290" s="14" t="s">
        <v>1181</v>
      </c>
      <c r="G290" s="305">
        <f>'SEPT-18'!I288</f>
        <v>422.48999999999978</v>
      </c>
      <c r="H290" s="51">
        <f>899.01</f>
        <v>899.01</v>
      </c>
      <c r="I290" s="17">
        <f t="shared" si="6"/>
        <v>23.479999999999791</v>
      </c>
      <c r="J290" s="408">
        <v>500</v>
      </c>
      <c r="K290" s="63"/>
    </row>
    <row r="291" spans="1:11" ht="75.75" customHeight="1">
      <c r="A291" s="144" t="s">
        <v>401</v>
      </c>
      <c r="B291" s="54" t="s">
        <v>402</v>
      </c>
      <c r="C291" s="55" t="s">
        <v>1063</v>
      </c>
      <c r="D291" s="14"/>
      <c r="E291" s="14"/>
      <c r="F291" s="14"/>
      <c r="G291" s="305">
        <f>'SEPT-18'!I289</f>
        <v>0</v>
      </c>
      <c r="H291" s="51"/>
      <c r="I291" s="17"/>
      <c r="J291" s="62"/>
      <c r="K291" s="63"/>
    </row>
    <row r="292" spans="1:11" ht="20.25" customHeight="1">
      <c r="A292" s="147">
        <v>54119</v>
      </c>
      <c r="B292" s="145" t="s">
        <v>403</v>
      </c>
      <c r="C292" s="55" t="s">
        <v>1063</v>
      </c>
      <c r="D292" s="14" t="s">
        <v>11</v>
      </c>
      <c r="E292" s="14" t="s">
        <v>25</v>
      </c>
      <c r="F292" s="14" t="s">
        <v>26</v>
      </c>
      <c r="G292" s="305">
        <f>'SEPT-18'!I290</f>
        <v>-9.0949470177292824E-13</v>
      </c>
      <c r="H292" s="51"/>
      <c r="I292" s="134">
        <f t="shared" si="6"/>
        <v>14509.2</v>
      </c>
      <c r="J292" s="108">
        <v>15000</v>
      </c>
      <c r="K292" s="433">
        <v>490.8</v>
      </c>
    </row>
    <row r="293" spans="1:11" ht="39.75" customHeight="1">
      <c r="A293" s="147">
        <v>51999</v>
      </c>
      <c r="B293" s="145" t="s">
        <v>1051</v>
      </c>
      <c r="C293" s="55" t="s">
        <v>1063</v>
      </c>
      <c r="D293" s="14" t="s">
        <v>11</v>
      </c>
      <c r="E293" s="14" t="s">
        <v>25</v>
      </c>
      <c r="F293" s="14" t="s">
        <v>26</v>
      </c>
      <c r="G293" s="305">
        <f>'SEPT-18'!I291</f>
        <v>7.2830630415410269E-14</v>
      </c>
      <c r="H293" s="51"/>
      <c r="I293" s="17">
        <f t="shared" si="6"/>
        <v>5000</v>
      </c>
      <c r="J293" s="108">
        <v>5000</v>
      </c>
      <c r="K293" s="387"/>
    </row>
    <row r="294" spans="1:11" ht="24">
      <c r="A294" s="147">
        <v>54112</v>
      </c>
      <c r="B294" s="145" t="s">
        <v>404</v>
      </c>
      <c r="C294" s="55"/>
      <c r="D294" s="14" t="s">
        <v>11</v>
      </c>
      <c r="E294" s="14" t="s">
        <v>25</v>
      </c>
      <c r="F294" s="14" t="s">
        <v>26</v>
      </c>
      <c r="G294" s="305">
        <f>'SEPT-18'!I292</f>
        <v>0</v>
      </c>
      <c r="H294" s="51"/>
      <c r="I294" s="17">
        <f t="shared" si="6"/>
        <v>0</v>
      </c>
      <c r="J294" s="62"/>
      <c r="K294" s="387"/>
    </row>
    <row r="295" spans="1:11" ht="22.5" customHeight="1">
      <c r="A295" s="147">
        <v>54199</v>
      </c>
      <c r="B295" s="145" t="s">
        <v>405</v>
      </c>
      <c r="C295" s="55"/>
      <c r="D295" s="14" t="s">
        <v>11</v>
      </c>
      <c r="E295" s="14" t="s">
        <v>25</v>
      </c>
      <c r="F295" s="14" t="s">
        <v>26</v>
      </c>
      <c r="G295" s="305">
        <f>'SEPT-18'!I293</f>
        <v>0</v>
      </c>
      <c r="H295" s="51"/>
      <c r="I295" s="17">
        <f t="shared" si="6"/>
        <v>0</v>
      </c>
      <c r="J295" s="62"/>
      <c r="K295" s="387"/>
    </row>
    <row r="296" spans="1:11" ht="24">
      <c r="A296" s="147">
        <v>54399</v>
      </c>
      <c r="B296" s="145" t="s">
        <v>406</v>
      </c>
      <c r="C296" s="55"/>
      <c r="D296" s="14" t="s">
        <v>11</v>
      </c>
      <c r="E296" s="14" t="s">
        <v>25</v>
      </c>
      <c r="F296" s="14" t="s">
        <v>26</v>
      </c>
      <c r="G296" s="305">
        <f>'SEPT-18'!I294</f>
        <v>0</v>
      </c>
      <c r="H296" s="51"/>
      <c r="I296" s="17">
        <f t="shared" si="6"/>
        <v>0</v>
      </c>
      <c r="J296" s="62"/>
      <c r="K296" s="387"/>
    </row>
    <row r="297" spans="1:11" ht="23.25" customHeight="1">
      <c r="A297" s="147">
        <v>55603</v>
      </c>
      <c r="B297" s="145" t="s">
        <v>407</v>
      </c>
      <c r="C297" s="55"/>
      <c r="D297" s="14" t="s">
        <v>11</v>
      </c>
      <c r="E297" s="14" t="s">
        <v>25</v>
      </c>
      <c r="F297" s="14" t="s">
        <v>26</v>
      </c>
      <c r="G297" s="305">
        <f>'SEPT-18'!I295</f>
        <v>0</v>
      </c>
      <c r="H297" s="309"/>
      <c r="I297" s="17">
        <f t="shared" si="6"/>
        <v>0</v>
      </c>
      <c r="J297" s="62"/>
      <c r="K297" s="387"/>
    </row>
    <row r="298" spans="1:11" s="213" customFormat="1" ht="66.75" customHeight="1">
      <c r="A298" s="144" t="s">
        <v>408</v>
      </c>
      <c r="B298" s="54" t="s">
        <v>409</v>
      </c>
      <c r="C298" s="378" t="s">
        <v>1141</v>
      </c>
      <c r="D298" s="14"/>
      <c r="E298" s="14"/>
      <c r="F298" s="14"/>
      <c r="G298" s="305">
        <f>'SEPT-18'!I296</f>
        <v>0</v>
      </c>
      <c r="H298" s="51"/>
      <c r="I298" s="17"/>
      <c r="J298" s="62"/>
      <c r="K298" s="63"/>
    </row>
    <row r="299" spans="1:11" ht="29.25">
      <c r="A299" s="11">
        <v>51999</v>
      </c>
      <c r="B299" s="54" t="s">
        <v>410</v>
      </c>
      <c r="C299" s="55"/>
      <c r="D299" s="14" t="s">
        <v>11</v>
      </c>
      <c r="E299" s="14" t="s">
        <v>25</v>
      </c>
      <c r="F299" s="14" t="s">
        <v>26</v>
      </c>
      <c r="G299" s="305">
        <f>'SEPT-18'!I297</f>
        <v>809.32999999999993</v>
      </c>
      <c r="H299" s="51">
        <f>217+47</f>
        <v>264</v>
      </c>
      <c r="I299" s="17">
        <f t="shared" si="6"/>
        <v>545.32999999999993</v>
      </c>
      <c r="J299" s="62"/>
      <c r="K299" s="63"/>
    </row>
    <row r="300" spans="1:11" ht="43.5">
      <c r="A300" s="11">
        <v>54107</v>
      </c>
      <c r="B300" s="54" t="s">
        <v>1211</v>
      </c>
      <c r="C300" s="55"/>
      <c r="D300" s="14" t="s">
        <v>11</v>
      </c>
      <c r="E300" s="14" t="s">
        <v>25</v>
      </c>
      <c r="F300" s="14" t="s">
        <v>26</v>
      </c>
      <c r="G300" s="305">
        <f>'SEPT-18'!I298</f>
        <v>86</v>
      </c>
      <c r="H300" s="51"/>
      <c r="I300" s="17">
        <f t="shared" si="6"/>
        <v>86</v>
      </c>
      <c r="J300" s="408"/>
      <c r="K300" s="63"/>
    </row>
    <row r="301" spans="1:11" ht="29.25">
      <c r="A301" s="11">
        <v>54111</v>
      </c>
      <c r="B301" s="54" t="s">
        <v>411</v>
      </c>
      <c r="C301" s="55" t="s">
        <v>1142</v>
      </c>
      <c r="D301" s="14" t="s">
        <v>11</v>
      </c>
      <c r="E301" s="14" t="s">
        <v>25</v>
      </c>
      <c r="F301" s="14" t="s">
        <v>26</v>
      </c>
      <c r="G301" s="305">
        <f>'SEPT-18'!I299</f>
        <v>2275.33</v>
      </c>
      <c r="H301" s="51">
        <f>118.75+242.6+256.66</f>
        <v>618.01</v>
      </c>
      <c r="I301" s="17">
        <f t="shared" si="6"/>
        <v>1657.32</v>
      </c>
      <c r="J301" s="62"/>
      <c r="K301" s="320"/>
    </row>
    <row r="302" spans="1:11" ht="29.25">
      <c r="A302" s="11">
        <v>54112</v>
      </c>
      <c r="B302" s="54" t="s">
        <v>412</v>
      </c>
      <c r="C302" s="55"/>
      <c r="D302" s="14" t="s">
        <v>11</v>
      </c>
      <c r="E302" s="14" t="s">
        <v>25</v>
      </c>
      <c r="F302" s="14" t="s">
        <v>26</v>
      </c>
      <c r="G302" s="305">
        <f>'SEPT-18'!I300</f>
        <v>1517.55</v>
      </c>
      <c r="H302" s="51">
        <f>16.89+5+98.04</f>
        <v>119.93</v>
      </c>
      <c r="I302" s="17">
        <f t="shared" si="6"/>
        <v>837.61999999999989</v>
      </c>
      <c r="J302" s="62"/>
      <c r="K302" s="434">
        <v>560</v>
      </c>
    </row>
    <row r="303" spans="1:11" ht="30">
      <c r="A303" s="11">
        <v>54118</v>
      </c>
      <c r="B303" s="54" t="s">
        <v>413</v>
      </c>
      <c r="C303" s="55" t="s">
        <v>1142</v>
      </c>
      <c r="D303" s="14" t="s">
        <v>11</v>
      </c>
      <c r="E303" s="14" t="s">
        <v>25</v>
      </c>
      <c r="F303" s="14" t="s">
        <v>26</v>
      </c>
      <c r="G303" s="305">
        <f>'SEPT-18'!I301</f>
        <v>1812.9499999999998</v>
      </c>
      <c r="H303" s="51">
        <f>107.5+160</f>
        <v>267.5</v>
      </c>
      <c r="I303" s="17">
        <f t="shared" si="6"/>
        <v>1095.4499999999998</v>
      </c>
      <c r="J303" s="62"/>
      <c r="K303" s="320">
        <v>450</v>
      </c>
    </row>
    <row r="304" spans="1:11" ht="29.25">
      <c r="A304" s="11">
        <v>54199</v>
      </c>
      <c r="B304" s="54" t="s">
        <v>414</v>
      </c>
      <c r="C304" s="55"/>
      <c r="D304" s="14" t="s">
        <v>11</v>
      </c>
      <c r="E304" s="14" t="s">
        <v>25</v>
      </c>
      <c r="F304" s="14" t="s">
        <v>26</v>
      </c>
      <c r="G304" s="305">
        <f>'SEPT-18'!I302</f>
        <v>643.98</v>
      </c>
      <c r="H304" s="51">
        <f>18.9</f>
        <v>18.899999999999999</v>
      </c>
      <c r="I304" s="17">
        <f t="shared" si="6"/>
        <v>625.08000000000004</v>
      </c>
      <c r="J304" s="62"/>
      <c r="K304" s="320"/>
    </row>
    <row r="305" spans="1:11" ht="30">
      <c r="A305" s="11">
        <v>54301</v>
      </c>
      <c r="B305" s="54" t="s">
        <v>415</v>
      </c>
      <c r="C305" s="55" t="s">
        <v>1142</v>
      </c>
      <c r="D305" s="14" t="s">
        <v>11</v>
      </c>
      <c r="E305" s="14" t="s">
        <v>25</v>
      </c>
      <c r="F305" s="14" t="s">
        <v>26</v>
      </c>
      <c r="G305" s="305">
        <f>'SEPT-18'!I303</f>
        <v>333.25000000000023</v>
      </c>
      <c r="H305" s="51"/>
      <c r="I305" s="17">
        <f t="shared" si="6"/>
        <v>333.25000000000023</v>
      </c>
      <c r="J305" s="62"/>
      <c r="K305" s="320"/>
    </row>
    <row r="306" spans="1:11" ht="29.25">
      <c r="A306" s="11">
        <v>54316</v>
      </c>
      <c r="B306" s="54" t="s">
        <v>1146</v>
      </c>
      <c r="C306" s="55" t="s">
        <v>1142</v>
      </c>
      <c r="D306" s="14" t="s">
        <v>11</v>
      </c>
      <c r="E306" s="14" t="s">
        <v>25</v>
      </c>
      <c r="F306" s="14" t="s">
        <v>26</v>
      </c>
      <c r="G306" s="305">
        <f>'SEPT-18'!I304</f>
        <v>410</v>
      </c>
      <c r="H306" s="51">
        <f>203.76</f>
        <v>203.76</v>
      </c>
      <c r="I306" s="17">
        <f t="shared" si="6"/>
        <v>206.24</v>
      </c>
      <c r="J306" s="108"/>
      <c r="K306" s="320"/>
    </row>
    <row r="307" spans="1:11" ht="30">
      <c r="A307" s="11">
        <v>54399</v>
      </c>
      <c r="B307" s="54" t="s">
        <v>416</v>
      </c>
      <c r="C307" s="55"/>
      <c r="D307" s="14" t="s">
        <v>11</v>
      </c>
      <c r="E307" s="14" t="s">
        <v>25</v>
      </c>
      <c r="F307" s="14" t="s">
        <v>26</v>
      </c>
      <c r="G307" s="305">
        <f>'SEPT-18'!I305</f>
        <v>141.5</v>
      </c>
      <c r="H307" s="51"/>
      <c r="I307" s="17">
        <f t="shared" si="6"/>
        <v>141.5</v>
      </c>
      <c r="J307" s="62"/>
      <c r="K307" s="320"/>
    </row>
    <row r="308" spans="1:11" ht="29.25">
      <c r="A308" s="11">
        <v>55603</v>
      </c>
      <c r="B308" s="54" t="s">
        <v>417</v>
      </c>
      <c r="C308" s="55"/>
      <c r="D308" s="14" t="s">
        <v>11</v>
      </c>
      <c r="E308" s="14" t="s">
        <v>25</v>
      </c>
      <c r="F308" s="14" t="s">
        <v>26</v>
      </c>
      <c r="G308" s="305">
        <f>'SEPT-18'!I306</f>
        <v>1.7499999999999991</v>
      </c>
      <c r="H308" s="51"/>
      <c r="I308" s="17">
        <f t="shared" si="6"/>
        <v>1.7499999999999991</v>
      </c>
      <c r="J308" s="62"/>
      <c r="K308" s="63"/>
    </row>
    <row r="309" spans="1:11" ht="29.25">
      <c r="A309" s="11">
        <v>61101</v>
      </c>
      <c r="B309" s="54" t="s">
        <v>1219</v>
      </c>
      <c r="C309" s="55"/>
      <c r="D309" s="14" t="s">
        <v>11</v>
      </c>
      <c r="E309" s="14" t="s">
        <v>25</v>
      </c>
      <c r="F309" s="14" t="s">
        <v>27</v>
      </c>
      <c r="G309" s="305">
        <v>0</v>
      </c>
      <c r="H309" s="51">
        <v>450</v>
      </c>
      <c r="I309" s="17">
        <f t="shared" si="6"/>
        <v>0</v>
      </c>
      <c r="J309" s="108">
        <v>450</v>
      </c>
      <c r="K309" s="63"/>
    </row>
    <row r="310" spans="1:11" ht="64.5" customHeight="1">
      <c r="A310" s="144" t="s">
        <v>418</v>
      </c>
      <c r="B310" s="54" t="s">
        <v>419</v>
      </c>
      <c r="C310" s="344" t="s">
        <v>1144</v>
      </c>
      <c r="D310" s="14"/>
      <c r="E310" s="14"/>
      <c r="F310" s="14"/>
      <c r="G310" s="305">
        <f>'SEPT-18'!I307</f>
        <v>0</v>
      </c>
      <c r="H310" s="51"/>
      <c r="I310" s="17"/>
      <c r="J310" s="62"/>
      <c r="K310" s="63"/>
    </row>
    <row r="311" spans="1:11" ht="20.25" customHeight="1">
      <c r="A311" s="11">
        <v>51202</v>
      </c>
      <c r="B311" s="54" t="s">
        <v>420</v>
      </c>
      <c r="C311" s="55"/>
      <c r="D311" s="14" t="s">
        <v>11</v>
      </c>
      <c r="E311" s="14" t="s">
        <v>25</v>
      </c>
      <c r="F311" s="14" t="s">
        <v>26</v>
      </c>
      <c r="G311" s="305">
        <f>'SEPT-18'!I308</f>
        <v>238.27999999999997</v>
      </c>
      <c r="H311" s="51">
        <f>90+150+75+132+40</f>
        <v>487</v>
      </c>
      <c r="I311" s="17">
        <f t="shared" si="6"/>
        <v>51.279999999999973</v>
      </c>
      <c r="J311" s="408">
        <v>300</v>
      </c>
      <c r="K311" s="320"/>
    </row>
    <row r="312" spans="1:11" ht="25.5" customHeight="1">
      <c r="A312" s="11">
        <v>54110</v>
      </c>
      <c r="B312" s="54" t="s">
        <v>421</v>
      </c>
      <c r="C312" s="55"/>
      <c r="D312" s="14" t="s">
        <v>11</v>
      </c>
      <c r="E312" s="14" t="s">
        <v>25</v>
      </c>
      <c r="F312" s="14" t="s">
        <v>26</v>
      </c>
      <c r="G312" s="305">
        <f>'SEPT-18'!I309</f>
        <v>3472.3999999999996</v>
      </c>
      <c r="H312" s="51"/>
      <c r="I312" s="17">
        <f t="shared" si="6"/>
        <v>2172.3999999999996</v>
      </c>
      <c r="J312" s="62"/>
      <c r="K312" s="320">
        <v>1300</v>
      </c>
    </row>
    <row r="313" spans="1:11" ht="29.25">
      <c r="A313" s="11">
        <v>54111</v>
      </c>
      <c r="B313" s="54" t="s">
        <v>422</v>
      </c>
      <c r="C313" s="55" t="s">
        <v>1145</v>
      </c>
      <c r="D313" s="14" t="s">
        <v>11</v>
      </c>
      <c r="E313" s="14" t="s">
        <v>25</v>
      </c>
      <c r="F313" s="14" t="s">
        <v>26</v>
      </c>
      <c r="G313" s="305">
        <f>'SEPT-18'!I310</f>
        <v>3010.7799999999997</v>
      </c>
      <c r="H313" s="51">
        <f>162.5+17.1+600</f>
        <v>779.6</v>
      </c>
      <c r="I313" s="17">
        <f t="shared" si="6"/>
        <v>659.97999999999979</v>
      </c>
      <c r="J313" s="108"/>
      <c r="K313" s="434">
        <v>1571.2</v>
      </c>
    </row>
    <row r="314" spans="1:11" ht="29.25">
      <c r="A314" s="11">
        <v>54112</v>
      </c>
      <c r="B314" s="54" t="s">
        <v>423</v>
      </c>
      <c r="C314" s="55" t="s">
        <v>1145</v>
      </c>
      <c r="D314" s="14" t="s">
        <v>11</v>
      </c>
      <c r="E314" s="14" t="s">
        <v>25</v>
      </c>
      <c r="F314" s="14" t="s">
        <v>26</v>
      </c>
      <c r="G314" s="305">
        <f>'SEPT-18'!I311</f>
        <v>1491.25</v>
      </c>
      <c r="H314" s="51">
        <v>72</v>
      </c>
      <c r="I314" s="17">
        <f t="shared" si="6"/>
        <v>1419.25</v>
      </c>
      <c r="J314" s="62"/>
      <c r="K314" s="320"/>
    </row>
    <row r="315" spans="1:11" ht="45">
      <c r="A315" s="11">
        <v>54118</v>
      </c>
      <c r="B315" s="54" t="s">
        <v>1223</v>
      </c>
      <c r="C315" s="55"/>
      <c r="D315" s="14" t="s">
        <v>11</v>
      </c>
      <c r="E315" s="14" t="s">
        <v>25</v>
      </c>
      <c r="F315" s="14" t="s">
        <v>27</v>
      </c>
      <c r="G315" s="305">
        <v>0</v>
      </c>
      <c r="H315" s="51">
        <v>858</v>
      </c>
      <c r="I315" s="17">
        <f t="shared" si="6"/>
        <v>142</v>
      </c>
      <c r="J315" s="108">
        <v>1000</v>
      </c>
      <c r="K315" s="320"/>
    </row>
    <row r="316" spans="1:11" ht="29.25">
      <c r="A316" s="11">
        <v>54313</v>
      </c>
      <c r="B316" s="54" t="s">
        <v>424</v>
      </c>
      <c r="C316" s="55"/>
      <c r="D316" s="14" t="s">
        <v>11</v>
      </c>
      <c r="E316" s="14" t="s">
        <v>25</v>
      </c>
      <c r="F316" s="14" t="s">
        <v>26</v>
      </c>
      <c r="G316" s="305">
        <f>'SEPT-18'!I312</f>
        <v>490</v>
      </c>
      <c r="H316" s="51"/>
      <c r="I316" s="17">
        <f t="shared" si="6"/>
        <v>490</v>
      </c>
      <c r="J316" s="62"/>
      <c r="K316" s="63"/>
    </row>
    <row r="317" spans="1:11" ht="29.25">
      <c r="A317" s="11">
        <v>54316</v>
      </c>
      <c r="B317" s="54" t="s">
        <v>425</v>
      </c>
      <c r="C317" s="55"/>
      <c r="D317" s="14" t="s">
        <v>11</v>
      </c>
      <c r="E317" s="14" t="s">
        <v>25</v>
      </c>
      <c r="F317" s="14" t="s">
        <v>26</v>
      </c>
      <c r="G317" s="305">
        <f>'SEPT-18'!I313</f>
        <v>3240</v>
      </c>
      <c r="H317" s="51">
        <f>1160</f>
        <v>1160</v>
      </c>
      <c r="I317" s="17">
        <f t="shared" si="6"/>
        <v>2080</v>
      </c>
      <c r="J317" s="408"/>
      <c r="K317" s="63"/>
    </row>
    <row r="318" spans="1:11" ht="30">
      <c r="A318" s="11">
        <v>54399</v>
      </c>
      <c r="B318" s="54" t="s">
        <v>399</v>
      </c>
      <c r="C318" s="55"/>
      <c r="D318" s="14" t="s">
        <v>11</v>
      </c>
      <c r="E318" s="14" t="s">
        <v>25</v>
      </c>
      <c r="F318" s="14" t="s">
        <v>26</v>
      </c>
      <c r="G318" s="305">
        <f>'SEPT-18'!I314</f>
        <v>3000</v>
      </c>
      <c r="H318" s="51"/>
      <c r="I318" s="17">
        <f t="shared" si="6"/>
        <v>0</v>
      </c>
      <c r="J318" s="62"/>
      <c r="K318" s="434">
        <v>3000</v>
      </c>
    </row>
    <row r="319" spans="1:11">
      <c r="A319" s="11">
        <v>55603</v>
      </c>
      <c r="B319" s="54" t="s">
        <v>427</v>
      </c>
      <c r="C319" s="55"/>
      <c r="D319" s="14" t="s">
        <v>11</v>
      </c>
      <c r="E319" s="14" t="s">
        <v>25</v>
      </c>
      <c r="F319" s="14" t="s">
        <v>26</v>
      </c>
      <c r="G319" s="305">
        <f>'SEPT-18'!I315</f>
        <v>1.1799999999999993</v>
      </c>
      <c r="H319" s="51"/>
      <c r="I319" s="17">
        <f t="shared" si="6"/>
        <v>1.1799999999999993</v>
      </c>
      <c r="J319" s="62"/>
      <c r="K319" s="63"/>
    </row>
    <row r="320" spans="1:11" ht="20.25" customHeight="1">
      <c r="A320" s="11">
        <v>55799</v>
      </c>
      <c r="B320" s="54" t="s">
        <v>428</v>
      </c>
      <c r="C320" s="55"/>
      <c r="D320" s="14" t="s">
        <v>11</v>
      </c>
      <c r="E320" s="14" t="s">
        <v>25</v>
      </c>
      <c r="F320" s="14" t="s">
        <v>26</v>
      </c>
      <c r="G320" s="305">
        <f>'SEPT-18'!I316</f>
        <v>2000</v>
      </c>
      <c r="H320" s="51"/>
      <c r="I320" s="17">
        <f t="shared" si="6"/>
        <v>0</v>
      </c>
      <c r="J320" s="62"/>
      <c r="K320" s="434">
        <v>2000</v>
      </c>
    </row>
    <row r="321" spans="1:11" ht="77.25" customHeight="1">
      <c r="A321" s="144" t="s">
        <v>429</v>
      </c>
      <c r="B321" s="399" t="s">
        <v>430</v>
      </c>
      <c r="C321" s="343" t="s">
        <v>1102</v>
      </c>
      <c r="D321" s="14"/>
      <c r="E321" s="14"/>
      <c r="F321" s="14"/>
      <c r="G321" s="305">
        <f>'SEPT-18'!I317</f>
        <v>0</v>
      </c>
      <c r="H321" s="51"/>
      <c r="I321" s="17"/>
      <c r="J321" s="62"/>
      <c r="K321" s="63"/>
    </row>
    <row r="322" spans="1:11" ht="33.75" customHeight="1">
      <c r="A322" s="148">
        <v>54199</v>
      </c>
      <c r="B322" s="54" t="s">
        <v>431</v>
      </c>
      <c r="C322" s="55" t="s">
        <v>1103</v>
      </c>
      <c r="D322" s="14" t="s">
        <v>11</v>
      </c>
      <c r="E322" s="14" t="s">
        <v>25</v>
      </c>
      <c r="F322" s="14" t="s">
        <v>26</v>
      </c>
      <c r="G322" s="305">
        <f>'SEPT-18'!I318</f>
        <v>2675</v>
      </c>
      <c r="H322" s="51">
        <f>1120+560</f>
        <v>1680</v>
      </c>
      <c r="I322" s="17">
        <f t="shared" si="6"/>
        <v>995</v>
      </c>
      <c r="J322" s="62"/>
      <c r="K322" s="63"/>
    </row>
    <row r="323" spans="1:11" ht="73.5" customHeight="1">
      <c r="A323" s="148">
        <v>54314</v>
      </c>
      <c r="B323" s="179" t="s">
        <v>1202</v>
      </c>
      <c r="C323" s="55" t="s">
        <v>1103</v>
      </c>
      <c r="D323" s="14" t="s">
        <v>11</v>
      </c>
      <c r="E323" s="14" t="s">
        <v>25</v>
      </c>
      <c r="F323" s="14" t="s">
        <v>26</v>
      </c>
      <c r="G323" s="305">
        <f>'SEPT-18'!I319</f>
        <v>6786.91</v>
      </c>
      <c r="H323" s="135">
        <f>150+150+150</f>
        <v>450</v>
      </c>
      <c r="I323" s="17">
        <f t="shared" si="6"/>
        <v>6336.91</v>
      </c>
      <c r="J323" s="62"/>
      <c r="K323" s="63"/>
    </row>
    <row r="324" spans="1:11" ht="30.75" customHeight="1">
      <c r="A324" s="148">
        <v>54399</v>
      </c>
      <c r="B324" s="54" t="s">
        <v>433</v>
      </c>
      <c r="C324" s="55"/>
      <c r="D324" s="14" t="s">
        <v>11</v>
      </c>
      <c r="E324" s="14" t="s">
        <v>25</v>
      </c>
      <c r="F324" s="14" t="s">
        <v>26</v>
      </c>
      <c r="G324" s="305">
        <f>'SEPT-18'!I320</f>
        <v>5000</v>
      </c>
      <c r="H324" s="51"/>
      <c r="I324" s="17">
        <f t="shared" si="6"/>
        <v>5000</v>
      </c>
      <c r="J324" s="62"/>
      <c r="K324" s="63"/>
    </row>
    <row r="325" spans="1:11" ht="33" customHeight="1">
      <c r="A325" s="148">
        <v>55603</v>
      </c>
      <c r="B325" s="54" t="s">
        <v>434</v>
      </c>
      <c r="C325" s="55"/>
      <c r="D325" s="14" t="s">
        <v>11</v>
      </c>
      <c r="E325" s="14" t="s">
        <v>25</v>
      </c>
      <c r="F325" s="14" t="s">
        <v>26</v>
      </c>
      <c r="G325" s="305">
        <f>'SEPT-18'!I321</f>
        <v>4.169999999999999</v>
      </c>
      <c r="H325" s="51"/>
      <c r="I325" s="17">
        <f t="shared" si="6"/>
        <v>4.169999999999999</v>
      </c>
      <c r="J325" s="62"/>
      <c r="K325" s="63"/>
    </row>
    <row r="326" spans="1:11" ht="31.5" customHeight="1">
      <c r="A326" s="148">
        <v>56303</v>
      </c>
      <c r="B326" s="54" t="s">
        <v>986</v>
      </c>
      <c r="C326" s="55"/>
      <c r="D326" s="14" t="s">
        <v>11</v>
      </c>
      <c r="E326" s="14" t="s">
        <v>25</v>
      </c>
      <c r="F326" s="14" t="s">
        <v>26</v>
      </c>
      <c r="G326" s="305">
        <f>'SEPT-18'!I322</f>
        <v>9990</v>
      </c>
      <c r="H326" s="108"/>
      <c r="I326" s="17">
        <f t="shared" si="6"/>
        <v>9990</v>
      </c>
      <c r="J326" s="62"/>
      <c r="K326" s="63"/>
    </row>
    <row r="327" spans="1:11" ht="77.25" customHeight="1">
      <c r="A327" s="144" t="s">
        <v>437</v>
      </c>
      <c r="B327" s="54" t="s">
        <v>436</v>
      </c>
      <c r="C327" s="55"/>
      <c r="D327" s="14" t="s">
        <v>11</v>
      </c>
      <c r="E327" s="14" t="s">
        <v>25</v>
      </c>
      <c r="F327" s="14" t="s">
        <v>26</v>
      </c>
      <c r="G327" s="305">
        <f>'SEPT-18'!I323</f>
        <v>0</v>
      </c>
      <c r="H327" s="51"/>
      <c r="I327" s="17"/>
      <c r="J327" s="62"/>
      <c r="K327" s="63"/>
    </row>
    <row r="328" spans="1:11" ht="28.5" customHeight="1">
      <c r="A328" s="148">
        <v>54199</v>
      </c>
      <c r="B328" s="54" t="s">
        <v>438</v>
      </c>
      <c r="C328" s="55"/>
      <c r="D328" s="14" t="s">
        <v>11</v>
      </c>
      <c r="E328" s="14" t="s">
        <v>25</v>
      </c>
      <c r="F328" s="14" t="s">
        <v>26</v>
      </c>
      <c r="G328" s="305">
        <f>'SEPT-18'!I324</f>
        <v>0</v>
      </c>
      <c r="H328" s="51"/>
      <c r="I328" s="17">
        <f t="shared" si="6"/>
        <v>0</v>
      </c>
      <c r="J328" s="62"/>
      <c r="K328" s="281"/>
    </row>
    <row r="329" spans="1:11" ht="15" customHeight="1">
      <c r="A329" s="148">
        <v>54314</v>
      </c>
      <c r="B329" s="54" t="s">
        <v>439</v>
      </c>
      <c r="C329" s="55"/>
      <c r="D329" s="14" t="s">
        <v>11</v>
      </c>
      <c r="E329" s="14" t="s">
        <v>25</v>
      </c>
      <c r="F329" s="14" t="s">
        <v>26</v>
      </c>
      <c r="G329" s="305">
        <f>'SEPT-18'!I325</f>
        <v>0</v>
      </c>
      <c r="H329" s="51"/>
      <c r="I329" s="17">
        <f t="shared" si="6"/>
        <v>0</v>
      </c>
      <c r="J329" s="62"/>
      <c r="K329" s="281"/>
    </row>
    <row r="330" spans="1:11" ht="27.75" customHeight="1">
      <c r="A330" s="148">
        <v>54399</v>
      </c>
      <c r="B330" s="54" t="s">
        <v>440</v>
      </c>
      <c r="C330" s="55"/>
      <c r="D330" s="14" t="s">
        <v>11</v>
      </c>
      <c r="E330" s="14" t="s">
        <v>25</v>
      </c>
      <c r="F330" s="14" t="s">
        <v>26</v>
      </c>
      <c r="G330" s="305">
        <f>'SEPT-18'!I326</f>
        <v>0</v>
      </c>
      <c r="H330" s="51"/>
      <c r="I330" s="17">
        <f t="shared" si="6"/>
        <v>0</v>
      </c>
      <c r="J330" s="62"/>
      <c r="K330" s="281"/>
    </row>
    <row r="331" spans="1:11" ht="29.25" customHeight="1">
      <c r="A331" s="148">
        <v>55603</v>
      </c>
      <c r="B331" s="54" t="s">
        <v>441</v>
      </c>
      <c r="C331" s="55"/>
      <c r="D331" s="14" t="s">
        <v>11</v>
      </c>
      <c r="E331" s="14" t="s">
        <v>25</v>
      </c>
      <c r="F331" s="14" t="s">
        <v>26</v>
      </c>
      <c r="G331" s="305">
        <f>'SEPT-18'!I327</f>
        <v>0</v>
      </c>
      <c r="H331" s="51"/>
      <c r="I331" s="17">
        <f t="shared" si="6"/>
        <v>0</v>
      </c>
      <c r="J331" s="62"/>
      <c r="K331" s="281"/>
    </row>
    <row r="332" spans="1:11" ht="18" customHeight="1">
      <c r="A332" s="148">
        <v>55799</v>
      </c>
      <c r="B332" s="54" t="s">
        <v>442</v>
      </c>
      <c r="C332" s="55"/>
      <c r="D332" s="14" t="s">
        <v>11</v>
      </c>
      <c r="E332" s="14" t="s">
        <v>25</v>
      </c>
      <c r="F332" s="14" t="s">
        <v>26</v>
      </c>
      <c r="G332" s="305">
        <f>'SEPT-18'!I328</f>
        <v>0</v>
      </c>
      <c r="H332" s="51"/>
      <c r="I332" s="17">
        <f t="shared" si="6"/>
        <v>0</v>
      </c>
      <c r="J332" s="62"/>
      <c r="K332" s="281"/>
    </row>
    <row r="333" spans="1:11" ht="68.25" customHeight="1">
      <c r="A333" s="144" t="s">
        <v>443</v>
      </c>
      <c r="B333" s="339" t="s">
        <v>1136</v>
      </c>
      <c r="C333" s="343" t="s">
        <v>1122</v>
      </c>
      <c r="D333" s="14"/>
      <c r="E333" s="14"/>
      <c r="F333" s="14"/>
      <c r="G333" s="305">
        <f>'SEPT-18'!I329</f>
        <v>0</v>
      </c>
      <c r="H333" s="51"/>
      <c r="I333" s="17"/>
      <c r="J333" s="62"/>
      <c r="K333" s="63"/>
    </row>
    <row r="334" spans="1:11" ht="27.75" customHeight="1">
      <c r="A334" s="148">
        <v>54199</v>
      </c>
      <c r="B334" s="54" t="s">
        <v>445</v>
      </c>
      <c r="C334" s="55"/>
      <c r="D334" s="14" t="s">
        <v>11</v>
      </c>
      <c r="E334" s="14" t="s">
        <v>25</v>
      </c>
      <c r="F334" s="14" t="s">
        <v>26</v>
      </c>
      <c r="G334" s="305">
        <f>'SEPT-18'!I330</f>
        <v>0</v>
      </c>
      <c r="H334" s="51"/>
      <c r="I334" s="17">
        <f t="shared" si="6"/>
        <v>0</v>
      </c>
      <c r="J334" s="62"/>
      <c r="K334" s="320"/>
    </row>
    <row r="335" spans="1:11" ht="24.75" customHeight="1">
      <c r="A335" s="148">
        <v>54314</v>
      </c>
      <c r="B335" s="54" t="s">
        <v>446</v>
      </c>
      <c r="C335" s="55"/>
      <c r="D335" s="14" t="s">
        <v>11</v>
      </c>
      <c r="E335" s="14" t="s">
        <v>25</v>
      </c>
      <c r="F335" s="14" t="s">
        <v>26</v>
      </c>
      <c r="G335" s="305">
        <f>'SEPT-18'!I331</f>
        <v>2.7284841053187847E-12</v>
      </c>
      <c r="H335" s="51"/>
      <c r="I335" s="18">
        <f t="shared" si="6"/>
        <v>2.7284841053187847E-12</v>
      </c>
      <c r="J335" s="108"/>
      <c r="K335" s="320"/>
    </row>
    <row r="336" spans="1:11" ht="33.75" customHeight="1">
      <c r="A336" s="148">
        <v>54313</v>
      </c>
      <c r="B336" s="54" t="s">
        <v>447</v>
      </c>
      <c r="C336" s="55"/>
      <c r="D336" s="14" t="s">
        <v>11</v>
      </c>
      <c r="E336" s="14" t="s">
        <v>25</v>
      </c>
      <c r="F336" s="14" t="s">
        <v>26</v>
      </c>
      <c r="G336" s="305">
        <f>'SEPT-18'!I332</f>
        <v>0</v>
      </c>
      <c r="H336" s="51"/>
      <c r="I336" s="17">
        <f t="shared" si="6"/>
        <v>0</v>
      </c>
      <c r="J336" s="62"/>
      <c r="K336" s="320"/>
    </row>
    <row r="337" spans="1:11" ht="28.5" customHeight="1">
      <c r="A337" s="148">
        <v>55399</v>
      </c>
      <c r="B337" s="149" t="s">
        <v>450</v>
      </c>
      <c r="C337" s="55"/>
      <c r="D337" s="14" t="s">
        <v>11</v>
      </c>
      <c r="E337" s="14" t="s">
        <v>25</v>
      </c>
      <c r="F337" s="14" t="s">
        <v>26</v>
      </c>
      <c r="G337" s="305">
        <f>'SEPT-18'!I333</f>
        <v>0</v>
      </c>
      <c r="H337" s="51"/>
      <c r="I337" s="18">
        <f t="shared" si="6"/>
        <v>0</v>
      </c>
      <c r="J337" s="108"/>
      <c r="K337" s="320"/>
    </row>
    <row r="338" spans="1:11" ht="30.75" customHeight="1">
      <c r="A338" s="148">
        <v>55603</v>
      </c>
      <c r="B338" s="54" t="s">
        <v>448</v>
      </c>
      <c r="C338" s="55"/>
      <c r="D338" s="14" t="s">
        <v>11</v>
      </c>
      <c r="E338" s="14" t="s">
        <v>25</v>
      </c>
      <c r="F338" s="14" t="s">
        <v>26</v>
      </c>
      <c r="G338" s="305">
        <f>'SEPT-18'!I334</f>
        <v>0</v>
      </c>
      <c r="H338" s="51"/>
      <c r="I338" s="17">
        <f t="shared" si="6"/>
        <v>0</v>
      </c>
      <c r="J338" s="62"/>
      <c r="K338" s="320"/>
    </row>
    <row r="339" spans="1:11" ht="31.5" customHeight="1">
      <c r="A339" s="148">
        <v>56303</v>
      </c>
      <c r="B339" s="54" t="s">
        <v>449</v>
      </c>
      <c r="C339" s="55"/>
      <c r="D339" s="14" t="s">
        <v>11</v>
      </c>
      <c r="E339" s="14" t="s">
        <v>25</v>
      </c>
      <c r="F339" s="14" t="s">
        <v>26</v>
      </c>
      <c r="G339" s="305">
        <f>'SEPT-18'!I335</f>
        <v>0</v>
      </c>
      <c r="H339" s="51"/>
      <c r="I339" s="17">
        <f t="shared" si="6"/>
        <v>0</v>
      </c>
      <c r="J339" s="62"/>
      <c r="K339" s="320"/>
    </row>
    <row r="340" spans="1:11" ht="74.25" customHeight="1">
      <c r="A340" s="415" t="s">
        <v>451</v>
      </c>
      <c r="B340" s="54" t="s">
        <v>452</v>
      </c>
      <c r="C340" s="55"/>
      <c r="D340" s="14"/>
      <c r="E340" s="14"/>
      <c r="F340" s="14"/>
      <c r="G340" s="305">
        <f>'SEPT-18'!I336</f>
        <v>0</v>
      </c>
      <c r="H340" s="51"/>
      <c r="I340" s="17"/>
      <c r="J340" s="52"/>
      <c r="K340" s="52"/>
    </row>
    <row r="341" spans="1:11" ht="30.75" customHeight="1">
      <c r="A341" s="4">
        <v>54199</v>
      </c>
      <c r="B341" s="5" t="s">
        <v>453</v>
      </c>
      <c r="C341" s="10"/>
      <c r="D341" s="14" t="s">
        <v>11</v>
      </c>
      <c r="E341" s="14" t="s">
        <v>25</v>
      </c>
      <c r="F341" s="14" t="s">
        <v>26</v>
      </c>
      <c r="G341" s="305">
        <f>'SEPT-18'!I337</f>
        <v>0</v>
      </c>
      <c r="H341" s="51">
        <f>192.4+152</f>
        <v>344.4</v>
      </c>
      <c r="I341" s="17">
        <f t="shared" si="6"/>
        <v>0</v>
      </c>
      <c r="J341" s="425">
        <v>344.4</v>
      </c>
      <c r="K341" s="414"/>
    </row>
    <row r="342" spans="1:11" ht="40.5" customHeight="1">
      <c r="A342" s="11">
        <v>54314</v>
      </c>
      <c r="B342" s="150" t="s">
        <v>454</v>
      </c>
      <c r="C342" s="55"/>
      <c r="D342" s="14" t="s">
        <v>11</v>
      </c>
      <c r="E342" s="14" t="s">
        <v>25</v>
      </c>
      <c r="F342" s="14" t="s">
        <v>26</v>
      </c>
      <c r="G342" s="305">
        <f>'SEPT-18'!I338</f>
        <v>903.80000000000018</v>
      </c>
      <c r="H342" s="51">
        <f>50+75+333.33+60+75+56+83.3+50+100+100</f>
        <v>982.62999999999988</v>
      </c>
      <c r="I342" s="17">
        <f t="shared" si="6"/>
        <v>1.1700000000003001</v>
      </c>
      <c r="J342" s="108">
        <v>80</v>
      </c>
      <c r="K342" s="413"/>
    </row>
    <row r="343" spans="1:11" ht="44.25" customHeight="1">
      <c r="A343" s="11">
        <v>54304</v>
      </c>
      <c r="B343" s="150" t="s">
        <v>1210</v>
      </c>
      <c r="C343" s="55"/>
      <c r="D343" s="14" t="s">
        <v>11</v>
      </c>
      <c r="E343" s="14" t="s">
        <v>25</v>
      </c>
      <c r="F343" s="14" t="s">
        <v>26</v>
      </c>
      <c r="G343" s="305">
        <f>'SEPT-18'!I339</f>
        <v>900</v>
      </c>
      <c r="H343" s="51">
        <f>50+50+50</f>
        <v>150</v>
      </c>
      <c r="I343" s="17">
        <f t="shared" si="6"/>
        <v>325.60000000000002</v>
      </c>
      <c r="J343" s="108"/>
      <c r="K343" s="320">
        <v>424.4</v>
      </c>
    </row>
    <row r="344" spans="1:11" ht="43.5" customHeight="1">
      <c r="A344" s="11">
        <v>54399</v>
      </c>
      <c r="B344" s="429" t="s">
        <v>455</v>
      </c>
      <c r="C344" s="13"/>
      <c r="D344" s="14" t="s">
        <v>11</v>
      </c>
      <c r="E344" s="14" t="s">
        <v>25</v>
      </c>
      <c r="F344" s="14" t="s">
        <v>26</v>
      </c>
      <c r="G344" s="305">
        <f>'SEPT-18'!I340</f>
        <v>0</v>
      </c>
      <c r="H344" s="51"/>
      <c r="I344" s="134">
        <f t="shared" si="6"/>
        <v>0</v>
      </c>
      <c r="J344" s="52"/>
      <c r="K344" s="301"/>
    </row>
    <row r="345" spans="1:11" ht="29.25">
      <c r="A345" s="4">
        <v>55603</v>
      </c>
      <c r="B345" s="150" t="s">
        <v>456</v>
      </c>
      <c r="C345" s="9"/>
      <c r="D345" s="14" t="s">
        <v>11</v>
      </c>
      <c r="E345" s="14" t="s">
        <v>25</v>
      </c>
      <c r="F345" s="14" t="s">
        <v>26</v>
      </c>
      <c r="G345" s="305">
        <f>'SEPT-18'!I341</f>
        <v>7.74</v>
      </c>
      <c r="H345" s="51">
        <v>3.39</v>
      </c>
      <c r="I345" s="17">
        <f t="shared" si="6"/>
        <v>4.3499999999999996</v>
      </c>
      <c r="J345" s="44"/>
      <c r="K345" s="414"/>
    </row>
    <row r="346" spans="1:11" ht="37.5" customHeight="1">
      <c r="A346" s="4">
        <v>55799</v>
      </c>
      <c r="B346" s="150" t="s">
        <v>457</v>
      </c>
      <c r="C346" s="9"/>
      <c r="D346" s="14" t="s">
        <v>11</v>
      </c>
      <c r="E346" s="14" t="s">
        <v>25</v>
      </c>
      <c r="F346" s="14" t="s">
        <v>26</v>
      </c>
      <c r="G346" s="305">
        <f>'SEPT-18'!I342</f>
        <v>0</v>
      </c>
      <c r="H346" s="51"/>
      <c r="I346" s="17">
        <f t="shared" si="6"/>
        <v>0</v>
      </c>
      <c r="J346" s="44"/>
      <c r="K346" s="414"/>
    </row>
    <row r="347" spans="1:11" ht="68.25" customHeight="1">
      <c r="A347" s="144" t="s">
        <v>459</v>
      </c>
      <c r="B347" s="54" t="s">
        <v>458</v>
      </c>
      <c r="C347" s="9"/>
      <c r="D347" s="3"/>
      <c r="E347" s="3"/>
      <c r="F347" s="3"/>
      <c r="G347" s="305">
        <f>'SEPT-18'!I343</f>
        <v>0</v>
      </c>
      <c r="H347" s="51"/>
      <c r="I347" s="17"/>
      <c r="J347" s="44"/>
      <c r="K347" s="44"/>
    </row>
    <row r="348" spans="1:11" ht="25.5" customHeight="1">
      <c r="A348" s="4">
        <v>54314</v>
      </c>
      <c r="B348" s="70" t="s">
        <v>460</v>
      </c>
      <c r="C348" s="5"/>
      <c r="D348" s="14" t="s">
        <v>11</v>
      </c>
      <c r="E348" s="14" t="s">
        <v>25</v>
      </c>
      <c r="F348" s="14" t="s">
        <v>26</v>
      </c>
      <c r="G348" s="305">
        <f>'SEPT-18'!I344</f>
        <v>639.87999999999988</v>
      </c>
      <c r="H348" s="51"/>
      <c r="I348" s="17">
        <f>G348-H348+J348-K348</f>
        <v>639.87999999999988</v>
      </c>
      <c r="J348" s="44"/>
      <c r="K348" s="419"/>
    </row>
    <row r="349" spans="1:11" ht="63.75" customHeight="1">
      <c r="A349" s="144" t="s">
        <v>461</v>
      </c>
      <c r="B349" s="54" t="s">
        <v>470</v>
      </c>
      <c r="C349" s="55"/>
      <c r="D349" s="14"/>
      <c r="E349" s="14"/>
      <c r="F349" s="14"/>
      <c r="G349" s="305">
        <f>'SEPT-18'!I345</f>
        <v>0</v>
      </c>
      <c r="H349" s="51"/>
      <c r="I349" s="17"/>
      <c r="J349" s="62"/>
      <c r="K349" s="63"/>
    </row>
    <row r="350" spans="1:11" ht="33" customHeight="1">
      <c r="A350" s="11">
        <v>54199</v>
      </c>
      <c r="B350" s="70" t="s">
        <v>462</v>
      </c>
      <c r="C350" s="55"/>
      <c r="D350" s="14" t="s">
        <v>11</v>
      </c>
      <c r="E350" s="14" t="s">
        <v>25</v>
      </c>
      <c r="F350" s="14" t="s">
        <v>26</v>
      </c>
      <c r="G350" s="305">
        <f>'SEPT-18'!I346</f>
        <v>2000</v>
      </c>
      <c r="H350" s="51"/>
      <c r="I350" s="17">
        <f>G350-H350+J350-K350</f>
        <v>2000</v>
      </c>
      <c r="J350" s="62"/>
      <c r="K350" s="63"/>
    </row>
    <row r="351" spans="1:11" ht="36.75" customHeight="1">
      <c r="A351" s="11">
        <v>54314</v>
      </c>
      <c r="B351" s="151" t="s">
        <v>463</v>
      </c>
      <c r="C351" s="55"/>
      <c r="D351" s="14" t="s">
        <v>11</v>
      </c>
      <c r="E351" s="14" t="s">
        <v>25</v>
      </c>
      <c r="F351" s="14" t="s">
        <v>26</v>
      </c>
      <c r="G351" s="305">
        <f>'SEPT-18'!I347</f>
        <v>22000</v>
      </c>
      <c r="H351" s="51"/>
      <c r="I351" s="17">
        <f t="shared" ref="I351:I417" si="7">G351-H351+J351-K351</f>
        <v>22000</v>
      </c>
      <c r="J351" s="62"/>
      <c r="K351" s="63"/>
    </row>
    <row r="352" spans="1:11" ht="39" customHeight="1">
      <c r="A352" s="11">
        <v>54313</v>
      </c>
      <c r="B352" s="151" t="s">
        <v>464</v>
      </c>
      <c r="C352" s="55"/>
      <c r="D352" s="14" t="s">
        <v>11</v>
      </c>
      <c r="E352" s="14" t="s">
        <v>25</v>
      </c>
      <c r="F352" s="14" t="s">
        <v>26</v>
      </c>
      <c r="G352" s="305">
        <f>'SEPT-18'!I348</f>
        <v>5000</v>
      </c>
      <c r="H352" s="51"/>
      <c r="I352" s="17">
        <f t="shared" si="7"/>
        <v>5000</v>
      </c>
      <c r="J352" s="62"/>
      <c r="K352" s="63"/>
    </row>
    <row r="353" spans="1:11" ht="33.75" customHeight="1">
      <c r="A353" s="11">
        <v>54399</v>
      </c>
      <c r="B353" s="151" t="s">
        <v>465</v>
      </c>
      <c r="C353" s="13"/>
      <c r="D353" s="14" t="s">
        <v>11</v>
      </c>
      <c r="E353" s="14" t="s">
        <v>25</v>
      </c>
      <c r="F353" s="14" t="s">
        <v>26</v>
      </c>
      <c r="G353" s="305">
        <f>'SEPT-18'!I349</f>
        <v>990</v>
      </c>
      <c r="H353" s="51"/>
      <c r="I353" s="17">
        <f t="shared" si="7"/>
        <v>990</v>
      </c>
      <c r="J353" s="52"/>
      <c r="K353" s="52"/>
    </row>
    <row r="354" spans="1:11" ht="35.25" customHeight="1">
      <c r="A354" s="11">
        <v>55603</v>
      </c>
      <c r="B354" s="151" t="s">
        <v>466</v>
      </c>
      <c r="C354" s="13"/>
      <c r="D354" s="14" t="s">
        <v>11</v>
      </c>
      <c r="E354" s="14" t="s">
        <v>25</v>
      </c>
      <c r="F354" s="14" t="s">
        <v>26</v>
      </c>
      <c r="G354" s="305">
        <f>'SEPT-18'!I350</f>
        <v>10</v>
      </c>
      <c r="H354" s="51"/>
      <c r="I354" s="17">
        <f t="shared" si="7"/>
        <v>10</v>
      </c>
      <c r="J354" s="52"/>
      <c r="K354" s="52"/>
    </row>
    <row r="355" spans="1:11" ht="34.5" customHeight="1">
      <c r="A355" s="11">
        <v>56603</v>
      </c>
      <c r="B355" s="151" t="s">
        <v>467</v>
      </c>
      <c r="C355" s="61"/>
      <c r="D355" s="14" t="s">
        <v>11</v>
      </c>
      <c r="E355" s="14" t="s">
        <v>25</v>
      </c>
      <c r="F355" s="14" t="s">
        <v>26</v>
      </c>
      <c r="G355" s="305">
        <f>'SEPT-18'!I351</f>
        <v>5000</v>
      </c>
      <c r="H355" s="51"/>
      <c r="I355" s="17">
        <f t="shared" si="7"/>
        <v>5000</v>
      </c>
      <c r="J355" s="11"/>
      <c r="K355" s="54"/>
    </row>
    <row r="356" spans="1:11" ht="68.25" customHeight="1">
      <c r="A356" s="144" t="s">
        <v>468</v>
      </c>
      <c r="B356" s="54" t="s">
        <v>987</v>
      </c>
      <c r="C356" s="344" t="s">
        <v>1115</v>
      </c>
      <c r="D356" s="14"/>
      <c r="E356" s="14"/>
      <c r="F356" s="14"/>
      <c r="G356" s="305">
        <f>'SEPT-18'!I352</f>
        <v>0</v>
      </c>
      <c r="H356" s="51"/>
      <c r="I356" s="17"/>
      <c r="J356" s="52"/>
      <c r="K356" s="52"/>
    </row>
    <row r="357" spans="1:11" ht="33" customHeight="1">
      <c r="A357" s="11">
        <v>51202</v>
      </c>
      <c r="B357" s="70" t="s">
        <v>471</v>
      </c>
      <c r="C357" s="61"/>
      <c r="D357" s="14" t="s">
        <v>11</v>
      </c>
      <c r="E357" s="14" t="s">
        <v>25</v>
      </c>
      <c r="F357" s="14" t="s">
        <v>26</v>
      </c>
      <c r="G357" s="305">
        <f>'SEPT-18'!I353</f>
        <v>-5.4001247917767614E-13</v>
      </c>
      <c r="H357" s="51"/>
      <c r="I357" s="17">
        <f t="shared" si="7"/>
        <v>-5.4001247917767614E-13</v>
      </c>
      <c r="J357" s="237"/>
      <c r="K357" s="392"/>
    </row>
    <row r="358" spans="1:11" ht="34.5" customHeight="1">
      <c r="A358" s="11">
        <v>54111</v>
      </c>
      <c r="B358" s="70" t="s">
        <v>472</v>
      </c>
      <c r="C358" s="61"/>
      <c r="D358" s="14" t="s">
        <v>11</v>
      </c>
      <c r="E358" s="14" t="s">
        <v>25</v>
      </c>
      <c r="F358" s="14" t="s">
        <v>26</v>
      </c>
      <c r="G358" s="305">
        <f>'SEPT-18'!I354</f>
        <v>0</v>
      </c>
      <c r="H358" s="51"/>
      <c r="I358" s="17">
        <f t="shared" si="7"/>
        <v>0</v>
      </c>
      <c r="J358" s="44"/>
      <c r="K358" s="316"/>
    </row>
    <row r="359" spans="1:11" ht="41.25" customHeight="1">
      <c r="A359" s="11">
        <v>54112</v>
      </c>
      <c r="B359" s="70" t="s">
        <v>473</v>
      </c>
      <c r="C359" s="12"/>
      <c r="D359" s="14" t="s">
        <v>11</v>
      </c>
      <c r="E359" s="14" t="s">
        <v>25</v>
      </c>
      <c r="F359" s="14" t="s">
        <v>26</v>
      </c>
      <c r="G359" s="305">
        <f>'SEPT-18'!I355</f>
        <v>0</v>
      </c>
      <c r="H359" s="51"/>
      <c r="I359" s="17">
        <f t="shared" si="7"/>
        <v>0</v>
      </c>
      <c r="J359" s="44"/>
      <c r="K359" s="316"/>
    </row>
    <row r="360" spans="1:11" ht="29.25">
      <c r="A360" s="11">
        <v>54118</v>
      </c>
      <c r="B360" s="151" t="s">
        <v>474</v>
      </c>
      <c r="C360" s="61"/>
      <c r="D360" s="14" t="s">
        <v>11</v>
      </c>
      <c r="E360" s="14" t="s">
        <v>25</v>
      </c>
      <c r="F360" s="14" t="s">
        <v>26</v>
      </c>
      <c r="G360" s="305">
        <f>'SEPT-18'!I356</f>
        <v>0</v>
      </c>
      <c r="H360" s="51"/>
      <c r="I360" s="17">
        <f t="shared" si="7"/>
        <v>0</v>
      </c>
      <c r="J360" s="44"/>
      <c r="K360" s="316"/>
    </row>
    <row r="361" spans="1:11" ht="29.25">
      <c r="A361" s="11">
        <v>54313</v>
      </c>
      <c r="B361" s="151" t="s">
        <v>475</v>
      </c>
      <c r="C361" s="12"/>
      <c r="D361" s="14" t="s">
        <v>11</v>
      </c>
      <c r="E361" s="14" t="s">
        <v>25</v>
      </c>
      <c r="F361" s="14" t="s">
        <v>26</v>
      </c>
      <c r="G361" s="305">
        <f>'SEPT-18'!I357</f>
        <v>0</v>
      </c>
      <c r="H361" s="51"/>
      <c r="I361" s="17">
        <f t="shared" si="7"/>
        <v>0</v>
      </c>
      <c r="J361" s="44"/>
      <c r="K361" s="316"/>
    </row>
    <row r="362" spans="1:11" ht="29.25">
      <c r="A362" s="152">
        <v>55603</v>
      </c>
      <c r="B362" s="151" t="s">
        <v>476</v>
      </c>
      <c r="C362" s="154"/>
      <c r="D362" s="14" t="s">
        <v>11</v>
      </c>
      <c r="E362" s="14" t="s">
        <v>25</v>
      </c>
      <c r="F362" s="14" t="s">
        <v>26</v>
      </c>
      <c r="G362" s="305">
        <f>'SEPT-18'!I358</f>
        <v>0</v>
      </c>
      <c r="H362" s="157"/>
      <c r="I362" s="17">
        <f t="shared" si="7"/>
        <v>0</v>
      </c>
      <c r="J362" s="159"/>
      <c r="K362" s="381"/>
    </row>
    <row r="363" spans="1:11" ht="85.5">
      <c r="A363" s="144" t="s">
        <v>477</v>
      </c>
      <c r="B363" s="54" t="s">
        <v>1085</v>
      </c>
      <c r="C363" s="154"/>
      <c r="D363" s="155"/>
      <c r="E363" s="155"/>
      <c r="F363" s="155"/>
      <c r="G363" s="305">
        <f>'SEPT-18'!I359</f>
        <v>0</v>
      </c>
      <c r="H363" s="157"/>
      <c r="I363" s="158"/>
      <c r="J363" s="159"/>
      <c r="K363" s="159"/>
    </row>
    <row r="364" spans="1:11" ht="29.25">
      <c r="A364" s="152">
        <v>51202</v>
      </c>
      <c r="B364" s="164" t="s">
        <v>479</v>
      </c>
      <c r="C364" s="154"/>
      <c r="D364" s="14" t="s">
        <v>11</v>
      </c>
      <c r="E364" s="14" t="s">
        <v>25</v>
      </c>
      <c r="F364" s="14" t="s">
        <v>26</v>
      </c>
      <c r="G364" s="305">
        <f>'SEPT-18'!I360</f>
        <v>0</v>
      </c>
      <c r="H364" s="157"/>
      <c r="I364" s="17">
        <f t="shared" si="7"/>
        <v>0</v>
      </c>
      <c r="J364" s="159"/>
      <c r="K364" s="325"/>
    </row>
    <row r="365" spans="1:11" ht="44.25">
      <c r="A365" s="152">
        <v>54111</v>
      </c>
      <c r="B365" s="164" t="s">
        <v>480</v>
      </c>
      <c r="C365" s="154"/>
      <c r="D365" s="14" t="s">
        <v>11</v>
      </c>
      <c r="E365" s="14" t="s">
        <v>25</v>
      </c>
      <c r="F365" s="14" t="s">
        <v>26</v>
      </c>
      <c r="G365" s="305">
        <f>'SEPT-18'!I361</f>
        <v>0</v>
      </c>
      <c r="H365" s="157"/>
      <c r="I365" s="17">
        <f t="shared" si="7"/>
        <v>0</v>
      </c>
      <c r="J365" s="159"/>
      <c r="K365" s="325"/>
    </row>
    <row r="366" spans="1:11" ht="30">
      <c r="A366" s="152">
        <v>54112</v>
      </c>
      <c r="B366" s="164" t="s">
        <v>481</v>
      </c>
      <c r="C366" s="154"/>
      <c r="D366" s="14" t="s">
        <v>11</v>
      </c>
      <c r="E366" s="14" t="s">
        <v>25</v>
      </c>
      <c r="F366" s="14" t="s">
        <v>26</v>
      </c>
      <c r="G366" s="305">
        <f>'SEPT-18'!I362</f>
        <v>0</v>
      </c>
      <c r="H366" s="157"/>
      <c r="I366" s="17">
        <f t="shared" si="7"/>
        <v>0</v>
      </c>
      <c r="J366" s="159"/>
      <c r="K366" s="325"/>
    </row>
    <row r="367" spans="1:11" ht="29.25">
      <c r="A367" s="152">
        <v>54118</v>
      </c>
      <c r="B367" s="164" t="s">
        <v>482</v>
      </c>
      <c r="C367" s="154"/>
      <c r="D367" s="14" t="s">
        <v>11</v>
      </c>
      <c r="E367" s="14" t="s">
        <v>25</v>
      </c>
      <c r="F367" s="14" t="s">
        <v>26</v>
      </c>
      <c r="G367" s="305">
        <f>'SEPT-18'!I363</f>
        <v>0</v>
      </c>
      <c r="H367" s="157"/>
      <c r="I367" s="17">
        <f t="shared" si="7"/>
        <v>0</v>
      </c>
      <c r="J367" s="159"/>
      <c r="K367" s="325"/>
    </row>
    <row r="368" spans="1:11" ht="30">
      <c r="A368" s="152">
        <v>54313</v>
      </c>
      <c r="B368" s="164" t="s">
        <v>483</v>
      </c>
      <c r="C368" s="154"/>
      <c r="D368" s="14" t="s">
        <v>11</v>
      </c>
      <c r="E368" s="14" t="s">
        <v>25</v>
      </c>
      <c r="F368" s="14" t="s">
        <v>26</v>
      </c>
      <c r="G368" s="305">
        <f>'SEPT-18'!I364</f>
        <v>0</v>
      </c>
      <c r="H368" s="157"/>
      <c r="I368" s="17">
        <f t="shared" si="7"/>
        <v>0</v>
      </c>
      <c r="J368" s="159"/>
      <c r="K368" s="325"/>
    </row>
    <row r="369" spans="1:11" ht="30">
      <c r="A369" s="152">
        <v>54399</v>
      </c>
      <c r="B369" s="164" t="s">
        <v>484</v>
      </c>
      <c r="C369" s="154"/>
      <c r="D369" s="14" t="s">
        <v>11</v>
      </c>
      <c r="E369" s="14" t="s">
        <v>25</v>
      </c>
      <c r="F369" s="14" t="s">
        <v>26</v>
      </c>
      <c r="G369" s="305">
        <f>'SEPT-18'!I365</f>
        <v>0</v>
      </c>
      <c r="H369" s="157"/>
      <c r="I369" s="17">
        <f t="shared" si="7"/>
        <v>0</v>
      </c>
      <c r="J369" s="159"/>
      <c r="K369" s="325"/>
    </row>
    <row r="370" spans="1:11" ht="29.25">
      <c r="A370" s="152">
        <v>55603</v>
      </c>
      <c r="B370" s="164" t="s">
        <v>485</v>
      </c>
      <c r="C370" s="154"/>
      <c r="D370" s="14" t="s">
        <v>11</v>
      </c>
      <c r="E370" s="14" t="s">
        <v>25</v>
      </c>
      <c r="F370" s="14" t="s">
        <v>26</v>
      </c>
      <c r="G370" s="305">
        <f>'SEPT-18'!I366</f>
        <v>0</v>
      </c>
      <c r="H370" s="157"/>
      <c r="I370" s="17">
        <f t="shared" si="7"/>
        <v>0</v>
      </c>
      <c r="J370" s="159"/>
      <c r="K370" s="325"/>
    </row>
    <row r="371" spans="1:11" ht="80.25" customHeight="1">
      <c r="A371" s="144" t="s">
        <v>486</v>
      </c>
      <c r="B371" s="54" t="s">
        <v>487</v>
      </c>
      <c r="C371" s="154"/>
      <c r="D371" s="155"/>
      <c r="E371" s="155"/>
      <c r="F371" s="155"/>
      <c r="G371" s="305">
        <f>'SEPT-18'!I367</f>
        <v>0</v>
      </c>
      <c r="H371" s="157"/>
      <c r="I371" s="158"/>
      <c r="J371" s="159"/>
      <c r="K371" s="159"/>
    </row>
    <row r="372" spans="1:11" ht="29.25">
      <c r="A372" s="152">
        <v>51202</v>
      </c>
      <c r="B372" s="164" t="s">
        <v>488</v>
      </c>
      <c r="C372" s="154"/>
      <c r="D372" s="14" t="s">
        <v>11</v>
      </c>
      <c r="E372" s="14" t="s">
        <v>25</v>
      </c>
      <c r="F372" s="14" t="s">
        <v>26</v>
      </c>
      <c r="G372" s="305">
        <f>'SEPT-18'!I368</f>
        <v>8800</v>
      </c>
      <c r="H372" s="157"/>
      <c r="I372" s="17">
        <f t="shared" si="7"/>
        <v>8800</v>
      </c>
      <c r="J372" s="326"/>
      <c r="K372" s="326"/>
    </row>
    <row r="373" spans="1:11" ht="29.25">
      <c r="A373" s="152">
        <v>51999</v>
      </c>
      <c r="B373" s="164" t="s">
        <v>489</v>
      </c>
      <c r="C373" s="154"/>
      <c r="D373" s="14" t="s">
        <v>11</v>
      </c>
      <c r="E373" s="14" t="s">
        <v>25</v>
      </c>
      <c r="F373" s="14" t="s">
        <v>26</v>
      </c>
      <c r="G373" s="305">
        <f>'SEPT-18'!I369</f>
        <v>2000</v>
      </c>
      <c r="H373" s="157"/>
      <c r="I373" s="17">
        <f t="shared" si="7"/>
        <v>2000</v>
      </c>
      <c r="J373" s="326"/>
      <c r="K373" s="326"/>
    </row>
    <row r="374" spans="1:11" ht="29.25">
      <c r="A374" s="152">
        <v>54111</v>
      </c>
      <c r="B374" s="164" t="s">
        <v>490</v>
      </c>
      <c r="C374" s="154"/>
      <c r="D374" s="14" t="s">
        <v>11</v>
      </c>
      <c r="E374" s="14" t="s">
        <v>25</v>
      </c>
      <c r="F374" s="14" t="s">
        <v>26</v>
      </c>
      <c r="G374" s="305">
        <f>'SEPT-18'!I370</f>
        <v>15000</v>
      </c>
      <c r="H374" s="157"/>
      <c r="I374" s="17">
        <f t="shared" si="7"/>
        <v>15000</v>
      </c>
      <c r="J374" s="326"/>
      <c r="K374" s="326"/>
    </row>
    <row r="375" spans="1:11" ht="29.25">
      <c r="A375" s="152">
        <v>54112</v>
      </c>
      <c r="B375" s="164" t="s">
        <v>491</v>
      </c>
      <c r="C375" s="154"/>
      <c r="D375" s="14" t="s">
        <v>11</v>
      </c>
      <c r="E375" s="14" t="s">
        <v>25</v>
      </c>
      <c r="F375" s="14" t="s">
        <v>26</v>
      </c>
      <c r="G375" s="305">
        <f>'SEPT-18'!I371</f>
        <v>8990</v>
      </c>
      <c r="H375" s="157"/>
      <c r="I375" s="17">
        <f t="shared" si="7"/>
        <v>8990</v>
      </c>
      <c r="J375" s="326"/>
      <c r="K375" s="326"/>
    </row>
    <row r="376" spans="1:11" ht="29.25">
      <c r="A376" s="152">
        <v>54118</v>
      </c>
      <c r="B376" s="164" t="s">
        <v>492</v>
      </c>
      <c r="C376" s="154"/>
      <c r="D376" s="14" t="s">
        <v>11</v>
      </c>
      <c r="E376" s="14" t="s">
        <v>25</v>
      </c>
      <c r="F376" s="14" t="s">
        <v>26</v>
      </c>
      <c r="G376" s="305">
        <f>'SEPT-18'!I372</f>
        <v>5000</v>
      </c>
      <c r="H376" s="157"/>
      <c r="I376" s="17">
        <f t="shared" si="7"/>
        <v>5000</v>
      </c>
      <c r="J376" s="326"/>
      <c r="K376" s="326"/>
    </row>
    <row r="377" spans="1:11" ht="29.25">
      <c r="A377" s="152">
        <v>54199</v>
      </c>
      <c r="B377" s="164" t="s">
        <v>493</v>
      </c>
      <c r="C377" s="154"/>
      <c r="D377" s="14" t="s">
        <v>11</v>
      </c>
      <c r="E377" s="14" t="s">
        <v>25</v>
      </c>
      <c r="F377" s="14" t="s">
        <v>26</v>
      </c>
      <c r="G377" s="305">
        <f>'SEPT-18'!I373</f>
        <v>100</v>
      </c>
      <c r="H377" s="157"/>
      <c r="I377" s="17">
        <f t="shared" si="7"/>
        <v>100</v>
      </c>
      <c r="J377" s="326"/>
      <c r="K377" s="326"/>
    </row>
    <row r="378" spans="1:11" ht="29.25">
      <c r="A378" s="152">
        <v>54399</v>
      </c>
      <c r="B378" s="164" t="s">
        <v>494</v>
      </c>
      <c r="C378" s="154"/>
      <c r="D378" s="14" t="s">
        <v>11</v>
      </c>
      <c r="E378" s="14" t="s">
        <v>25</v>
      </c>
      <c r="F378" s="14" t="s">
        <v>26</v>
      </c>
      <c r="G378" s="305">
        <f>'SEPT-18'!I374</f>
        <v>100</v>
      </c>
      <c r="H378" s="157"/>
      <c r="I378" s="17">
        <f t="shared" si="7"/>
        <v>100</v>
      </c>
      <c r="J378" s="326"/>
      <c r="K378" s="326"/>
    </row>
    <row r="379" spans="1:11" ht="29.25">
      <c r="A379" s="152">
        <v>55603</v>
      </c>
      <c r="B379" s="164" t="s">
        <v>495</v>
      </c>
      <c r="C379" s="154"/>
      <c r="D379" s="14" t="s">
        <v>11</v>
      </c>
      <c r="E379" s="14" t="s">
        <v>25</v>
      </c>
      <c r="F379" s="14" t="s">
        <v>26</v>
      </c>
      <c r="G379" s="305">
        <f>'SEPT-18'!I375</f>
        <v>10</v>
      </c>
      <c r="H379" s="157"/>
      <c r="I379" s="17">
        <f t="shared" si="7"/>
        <v>10</v>
      </c>
      <c r="J379" s="326"/>
      <c r="K379" s="326"/>
    </row>
    <row r="380" spans="1:11" ht="55.5">
      <c r="A380" s="144" t="s">
        <v>504</v>
      </c>
      <c r="B380" s="54" t="s">
        <v>496</v>
      </c>
      <c r="C380" s="154" t="s">
        <v>1066</v>
      </c>
      <c r="D380" s="155"/>
      <c r="E380" s="155"/>
      <c r="F380" s="155"/>
      <c r="G380" s="305">
        <f>'SEPT-18'!I376</f>
        <v>0</v>
      </c>
      <c r="H380" s="157"/>
      <c r="I380" s="158"/>
      <c r="J380" s="159"/>
      <c r="K380" s="159"/>
    </row>
    <row r="381" spans="1:11" ht="29.25">
      <c r="A381" s="152">
        <v>51202</v>
      </c>
      <c r="B381" s="164" t="s">
        <v>500</v>
      </c>
      <c r="C381" s="154"/>
      <c r="D381" s="14" t="s">
        <v>11</v>
      </c>
      <c r="E381" s="14" t="s">
        <v>25</v>
      </c>
      <c r="F381" s="14" t="s">
        <v>26</v>
      </c>
      <c r="G381" s="305">
        <f>'SEPT-18'!I377</f>
        <v>2000</v>
      </c>
      <c r="H381" s="157"/>
      <c r="I381" s="17">
        <f t="shared" si="7"/>
        <v>0</v>
      </c>
      <c r="J381" s="159"/>
      <c r="K381" s="326">
        <v>2000</v>
      </c>
    </row>
    <row r="382" spans="1:11" ht="29.25">
      <c r="A382" s="152">
        <v>54111</v>
      </c>
      <c r="B382" s="164" t="s">
        <v>499</v>
      </c>
      <c r="C382" s="154" t="s">
        <v>1066</v>
      </c>
      <c r="D382" s="14" t="s">
        <v>11</v>
      </c>
      <c r="E382" s="14" t="s">
        <v>25</v>
      </c>
      <c r="F382" s="14" t="s">
        <v>26</v>
      </c>
      <c r="G382" s="305">
        <f>'SEPT-18'!I378</f>
        <v>3076</v>
      </c>
      <c r="H382" s="157">
        <f>49.8</f>
        <v>49.8</v>
      </c>
      <c r="I382" s="17">
        <f t="shared" si="7"/>
        <v>1026.1999999999998</v>
      </c>
      <c r="J382" s="159"/>
      <c r="K382" s="326">
        <v>2000</v>
      </c>
    </row>
    <row r="383" spans="1:11" ht="29.25">
      <c r="A383" s="152">
        <v>54112</v>
      </c>
      <c r="B383" s="164" t="s">
        <v>497</v>
      </c>
      <c r="C383" s="154" t="s">
        <v>1066</v>
      </c>
      <c r="D383" s="14" t="s">
        <v>11</v>
      </c>
      <c r="E383" s="14" t="s">
        <v>25</v>
      </c>
      <c r="F383" s="14" t="s">
        <v>26</v>
      </c>
      <c r="G383" s="305">
        <f>'SEPT-18'!I379</f>
        <v>516.79999999999927</v>
      </c>
      <c r="H383" s="157">
        <f>102+6075</f>
        <v>6177</v>
      </c>
      <c r="I383" s="17">
        <f t="shared" si="7"/>
        <v>39.799999999999272</v>
      </c>
      <c r="J383" s="427">
        <v>5700</v>
      </c>
      <c r="K383" s="327"/>
    </row>
    <row r="384" spans="1:11" ht="29.25">
      <c r="A384" s="152">
        <v>54118</v>
      </c>
      <c r="B384" s="164" t="s">
        <v>498</v>
      </c>
      <c r="C384" s="154"/>
      <c r="D384" s="14" t="s">
        <v>11</v>
      </c>
      <c r="E384" s="14" t="s">
        <v>25</v>
      </c>
      <c r="F384" s="14" t="s">
        <v>26</v>
      </c>
      <c r="G384" s="305">
        <f>'SEPT-18'!I380</f>
        <v>1700</v>
      </c>
      <c r="H384" s="157"/>
      <c r="I384" s="17">
        <f t="shared" si="7"/>
        <v>0</v>
      </c>
      <c r="J384" s="159"/>
      <c r="K384" s="327">
        <v>1700</v>
      </c>
    </row>
    <row r="385" spans="1:11" ht="29.25">
      <c r="A385" s="152">
        <v>54313</v>
      </c>
      <c r="B385" s="164" t="s">
        <v>501</v>
      </c>
      <c r="C385" s="154"/>
      <c r="D385" s="14" t="s">
        <v>11</v>
      </c>
      <c r="E385" s="14" t="s">
        <v>25</v>
      </c>
      <c r="F385" s="14" t="s">
        <v>26</v>
      </c>
      <c r="G385" s="305">
        <f>'SEPT-18'!I381</f>
        <v>0</v>
      </c>
      <c r="H385" s="157"/>
      <c r="I385" s="17">
        <f t="shared" si="7"/>
        <v>0</v>
      </c>
      <c r="J385" s="159"/>
      <c r="K385" s="326"/>
    </row>
    <row r="386" spans="1:11" ht="29.25">
      <c r="A386" s="152">
        <v>54399</v>
      </c>
      <c r="B386" s="164" t="s">
        <v>502</v>
      </c>
      <c r="C386" s="154"/>
      <c r="D386" s="14" t="s">
        <v>11</v>
      </c>
      <c r="E386" s="14" t="s">
        <v>25</v>
      </c>
      <c r="F386" s="14" t="s">
        <v>26</v>
      </c>
      <c r="G386" s="305">
        <f>'SEPT-18'!I382</f>
        <v>0</v>
      </c>
      <c r="H386" s="157"/>
      <c r="I386" s="17">
        <f t="shared" si="7"/>
        <v>0</v>
      </c>
      <c r="J386" s="159"/>
      <c r="K386" s="326"/>
    </row>
    <row r="387" spans="1:11" ht="29.25">
      <c r="A387" s="152">
        <v>55603</v>
      </c>
      <c r="B387" s="164" t="s">
        <v>503</v>
      </c>
      <c r="C387" s="154"/>
      <c r="D387" s="14" t="s">
        <v>11</v>
      </c>
      <c r="E387" s="14" t="s">
        <v>25</v>
      </c>
      <c r="F387" s="14" t="s">
        <v>26</v>
      </c>
      <c r="G387" s="305">
        <f>'SEPT-18'!I383</f>
        <v>5.6999999999999993</v>
      </c>
      <c r="H387" s="157">
        <v>2.2599999999999998</v>
      </c>
      <c r="I387" s="17">
        <f t="shared" si="7"/>
        <v>3.4399999999999995</v>
      </c>
      <c r="J387" s="159"/>
      <c r="K387" s="159"/>
    </row>
    <row r="388" spans="1:11" ht="84.75">
      <c r="A388" s="144" t="s">
        <v>505</v>
      </c>
      <c r="B388" s="53" t="s">
        <v>510</v>
      </c>
      <c r="C388" s="154"/>
      <c r="D388" s="155"/>
      <c r="E388" s="155"/>
      <c r="F388" s="155"/>
      <c r="G388" s="305">
        <f>'SEPT-18'!I384</f>
        <v>0</v>
      </c>
      <c r="H388" s="157"/>
      <c r="I388" s="158"/>
      <c r="J388" s="159"/>
      <c r="K388" s="159"/>
    </row>
    <row r="389" spans="1:11" ht="29.25">
      <c r="A389" s="152">
        <v>51999</v>
      </c>
      <c r="B389" s="153" t="s">
        <v>506</v>
      </c>
      <c r="C389" s="154"/>
      <c r="D389" s="14" t="s">
        <v>11</v>
      </c>
      <c r="E389" s="14" t="s">
        <v>25</v>
      </c>
      <c r="F389" s="14" t="s">
        <v>26</v>
      </c>
      <c r="G389" s="305">
        <f>'SEPT-18'!I385</f>
        <v>0</v>
      </c>
      <c r="H389" s="157"/>
      <c r="I389" s="17">
        <f t="shared" si="7"/>
        <v>0</v>
      </c>
      <c r="J389" s="159"/>
      <c r="K389" s="326"/>
    </row>
    <row r="390" spans="1:11" ht="29.25">
      <c r="A390" s="152">
        <v>54199</v>
      </c>
      <c r="B390" s="153" t="s">
        <v>507</v>
      </c>
      <c r="C390" s="154"/>
      <c r="D390" s="14" t="s">
        <v>11</v>
      </c>
      <c r="E390" s="14" t="s">
        <v>25</v>
      </c>
      <c r="F390" s="14" t="s">
        <v>26</v>
      </c>
      <c r="G390" s="305">
        <f>'SEPT-18'!I386</f>
        <v>0</v>
      </c>
      <c r="H390" s="157"/>
      <c r="I390" s="17">
        <f t="shared" si="7"/>
        <v>0</v>
      </c>
      <c r="J390" s="159"/>
      <c r="K390" s="326"/>
    </row>
    <row r="391" spans="1:11" ht="43.5">
      <c r="A391" s="152">
        <v>54399</v>
      </c>
      <c r="B391" s="153" t="s">
        <v>508</v>
      </c>
      <c r="C391" s="154"/>
      <c r="D391" s="14" t="s">
        <v>11</v>
      </c>
      <c r="E391" s="14" t="s">
        <v>25</v>
      </c>
      <c r="F391" s="14" t="s">
        <v>26</v>
      </c>
      <c r="G391" s="305">
        <f>'SEPT-18'!I387</f>
        <v>0</v>
      </c>
      <c r="H391" s="157"/>
      <c r="I391" s="17">
        <f t="shared" si="7"/>
        <v>0</v>
      </c>
      <c r="J391" s="159"/>
      <c r="K391" s="326"/>
    </row>
    <row r="392" spans="1:11" ht="29.25">
      <c r="A392" s="152">
        <v>55603</v>
      </c>
      <c r="B392" s="153" t="s">
        <v>509</v>
      </c>
      <c r="C392" s="154"/>
      <c r="D392" s="14" t="s">
        <v>11</v>
      </c>
      <c r="E392" s="14" t="s">
        <v>25</v>
      </c>
      <c r="F392" s="14" t="s">
        <v>26</v>
      </c>
      <c r="G392" s="305">
        <f>'SEPT-18'!I388</f>
        <v>0</v>
      </c>
      <c r="H392" s="157"/>
      <c r="I392" s="17">
        <f t="shared" si="7"/>
        <v>0</v>
      </c>
      <c r="J392" s="159"/>
      <c r="K392" s="326"/>
    </row>
    <row r="393" spans="1:11" ht="94.5" customHeight="1">
      <c r="A393" s="144" t="s">
        <v>511</v>
      </c>
      <c r="B393" s="53" t="s">
        <v>512</v>
      </c>
      <c r="C393" s="154"/>
      <c r="D393" s="155"/>
      <c r="E393" s="155"/>
      <c r="F393" s="155"/>
      <c r="G393" s="305">
        <f>'SEPT-18'!I389</f>
        <v>0</v>
      </c>
      <c r="H393" s="157"/>
      <c r="I393" s="158"/>
      <c r="J393" s="159"/>
      <c r="K393" s="159"/>
    </row>
    <row r="394" spans="1:11" ht="29.25">
      <c r="A394" s="152">
        <v>51999</v>
      </c>
      <c r="B394" s="164" t="s">
        <v>513</v>
      </c>
      <c r="C394" s="154"/>
      <c r="D394" s="14" t="s">
        <v>11</v>
      </c>
      <c r="E394" s="14" t="s">
        <v>25</v>
      </c>
      <c r="F394" s="14" t="s">
        <v>26</v>
      </c>
      <c r="G394" s="305">
        <f>'SEPT-18'!I390</f>
        <v>1000</v>
      </c>
      <c r="H394" s="157"/>
      <c r="I394" s="17">
        <f t="shared" si="7"/>
        <v>1000</v>
      </c>
      <c r="J394" s="159"/>
      <c r="K394" s="159"/>
    </row>
    <row r="395" spans="1:11" ht="29.25">
      <c r="A395" s="152">
        <v>54115</v>
      </c>
      <c r="B395" s="164" t="s">
        <v>514</v>
      </c>
      <c r="C395" s="154"/>
      <c r="D395" s="14" t="s">
        <v>11</v>
      </c>
      <c r="E395" s="14" t="s">
        <v>25</v>
      </c>
      <c r="F395" s="14" t="s">
        <v>26</v>
      </c>
      <c r="G395" s="305">
        <f>'SEPT-18'!I391</f>
        <v>1990</v>
      </c>
      <c r="H395" s="157"/>
      <c r="I395" s="17">
        <f t="shared" si="7"/>
        <v>490</v>
      </c>
      <c r="J395" s="159"/>
      <c r="K395" s="426">
        <v>1500</v>
      </c>
    </row>
    <row r="396" spans="1:11" ht="29.25">
      <c r="A396" s="152">
        <v>61104</v>
      </c>
      <c r="B396" s="164" t="s">
        <v>515</v>
      </c>
      <c r="C396" s="154"/>
      <c r="D396" s="14" t="s">
        <v>11</v>
      </c>
      <c r="E396" s="14" t="s">
        <v>25</v>
      </c>
      <c r="F396" s="14" t="s">
        <v>26</v>
      </c>
      <c r="G396" s="305">
        <f>'SEPT-18'!I392</f>
        <v>2000</v>
      </c>
      <c r="H396" s="157">
        <f>2067+1358.5</f>
        <v>3425.5</v>
      </c>
      <c r="I396" s="17">
        <f t="shared" si="7"/>
        <v>74.5</v>
      </c>
      <c r="J396" s="426">
        <v>1500</v>
      </c>
      <c r="K396" s="159"/>
    </row>
    <row r="397" spans="1:11" ht="29.25">
      <c r="A397" s="152">
        <v>55603</v>
      </c>
      <c r="B397" s="164" t="s">
        <v>516</v>
      </c>
      <c r="C397" s="154"/>
      <c r="D397" s="14" t="s">
        <v>11</v>
      </c>
      <c r="E397" s="14" t="s">
        <v>25</v>
      </c>
      <c r="F397" s="14" t="s">
        <v>26</v>
      </c>
      <c r="G397" s="305">
        <f>'SEPT-18'!I393</f>
        <v>10</v>
      </c>
      <c r="H397" s="157">
        <v>1.41</v>
      </c>
      <c r="I397" s="17">
        <f t="shared" si="7"/>
        <v>8.59</v>
      </c>
      <c r="J397" s="159"/>
      <c r="K397" s="159"/>
    </row>
    <row r="398" spans="1:11" ht="63" customHeight="1">
      <c r="A398" s="144" t="s">
        <v>517</v>
      </c>
      <c r="B398" s="53" t="s">
        <v>518</v>
      </c>
      <c r="C398" s="154"/>
      <c r="D398" s="155"/>
      <c r="E398" s="155"/>
      <c r="F398" s="155"/>
      <c r="G398" s="305">
        <f>'SEPT-18'!I394</f>
        <v>0</v>
      </c>
      <c r="H398" s="157"/>
      <c r="I398" s="158"/>
      <c r="J398" s="159"/>
      <c r="K398" s="159"/>
    </row>
    <row r="399" spans="1:11" ht="29.25">
      <c r="A399" s="152">
        <v>51999</v>
      </c>
      <c r="B399" s="164" t="s">
        <v>519</v>
      </c>
      <c r="C399" s="154"/>
      <c r="D399" s="14" t="s">
        <v>11</v>
      </c>
      <c r="E399" s="14" t="s">
        <v>25</v>
      </c>
      <c r="F399" s="14" t="s">
        <v>26</v>
      </c>
      <c r="G399" s="305">
        <f>'SEPT-18'!I395</f>
        <v>10000</v>
      </c>
      <c r="H399" s="157"/>
      <c r="I399" s="17">
        <f t="shared" si="7"/>
        <v>10000</v>
      </c>
      <c r="J399" s="159"/>
      <c r="K399" s="159"/>
    </row>
    <row r="400" spans="1:11" ht="30">
      <c r="A400" s="152">
        <v>54313</v>
      </c>
      <c r="B400" s="164" t="s">
        <v>520</v>
      </c>
      <c r="C400" s="154"/>
      <c r="D400" s="14" t="s">
        <v>11</v>
      </c>
      <c r="E400" s="14" t="s">
        <v>25</v>
      </c>
      <c r="F400" s="14" t="s">
        <v>26</v>
      </c>
      <c r="G400" s="305">
        <f>'SEPT-18'!I396</f>
        <v>500</v>
      </c>
      <c r="H400" s="157"/>
      <c r="I400" s="17">
        <f t="shared" si="7"/>
        <v>500</v>
      </c>
      <c r="J400" s="159"/>
      <c r="K400" s="159"/>
    </row>
    <row r="401" spans="1:11" ht="30">
      <c r="A401" s="152">
        <v>54399</v>
      </c>
      <c r="B401" s="164" t="s">
        <v>521</v>
      </c>
      <c r="C401" s="154"/>
      <c r="D401" s="14" t="s">
        <v>11</v>
      </c>
      <c r="E401" s="14" t="s">
        <v>25</v>
      </c>
      <c r="F401" s="14" t="s">
        <v>26</v>
      </c>
      <c r="G401" s="305">
        <f>'SEPT-18'!I397</f>
        <v>990</v>
      </c>
      <c r="H401" s="157"/>
      <c r="I401" s="17">
        <f t="shared" si="7"/>
        <v>990</v>
      </c>
      <c r="J401" s="159"/>
      <c r="K401" s="159"/>
    </row>
    <row r="402" spans="1:11" ht="29.25">
      <c r="A402" s="152">
        <v>54599</v>
      </c>
      <c r="B402" s="164" t="s">
        <v>522</v>
      </c>
      <c r="C402" s="154"/>
      <c r="D402" s="14" t="s">
        <v>11</v>
      </c>
      <c r="E402" s="14" t="s">
        <v>25</v>
      </c>
      <c r="F402" s="14" t="s">
        <v>26</v>
      </c>
      <c r="G402" s="305">
        <f>'SEPT-18'!I398</f>
        <v>13500</v>
      </c>
      <c r="H402" s="157"/>
      <c r="I402" s="17">
        <f t="shared" si="7"/>
        <v>13500</v>
      </c>
      <c r="J402" s="159"/>
      <c r="K402" s="159"/>
    </row>
    <row r="403" spans="1:11" ht="29.25">
      <c r="A403" s="152">
        <v>55603</v>
      </c>
      <c r="B403" s="164" t="s">
        <v>523</v>
      </c>
      <c r="C403" s="154"/>
      <c r="D403" s="14" t="s">
        <v>11</v>
      </c>
      <c r="E403" s="14" t="s">
        <v>25</v>
      </c>
      <c r="F403" s="14" t="s">
        <v>26</v>
      </c>
      <c r="G403" s="305">
        <f>'SEPT-18'!I399</f>
        <v>10</v>
      </c>
      <c r="H403" s="157"/>
      <c r="I403" s="17">
        <f t="shared" si="7"/>
        <v>10</v>
      </c>
      <c r="J403" s="159"/>
      <c r="K403" s="159"/>
    </row>
    <row r="404" spans="1:11" ht="69.75">
      <c r="A404" s="144" t="s">
        <v>524</v>
      </c>
      <c r="B404" s="53" t="s">
        <v>525</v>
      </c>
      <c r="C404" s="154"/>
      <c r="D404" s="14" t="s">
        <v>11</v>
      </c>
      <c r="E404" s="14" t="s">
        <v>25</v>
      </c>
      <c r="F404" s="14" t="s">
        <v>26</v>
      </c>
      <c r="G404" s="305">
        <f>'SEPT-18'!I400</f>
        <v>0</v>
      </c>
      <c r="H404" s="157"/>
      <c r="I404" s="158">
        <f t="shared" si="7"/>
        <v>0</v>
      </c>
      <c r="J404" s="159"/>
      <c r="K404" s="328"/>
    </row>
    <row r="405" spans="1:11" ht="44.25">
      <c r="A405" s="144" t="s">
        <v>526</v>
      </c>
      <c r="B405" s="53" t="s">
        <v>527</v>
      </c>
      <c r="C405" s="154"/>
      <c r="D405" s="14" t="s">
        <v>11</v>
      </c>
      <c r="E405" s="14" t="s">
        <v>25</v>
      </c>
      <c r="F405" s="14" t="s">
        <v>26</v>
      </c>
      <c r="G405" s="305">
        <f>'SEPT-18'!I401</f>
        <v>15000</v>
      </c>
      <c r="H405" s="157"/>
      <c r="I405" s="158">
        <f t="shared" si="7"/>
        <v>15000</v>
      </c>
      <c r="J405" s="381"/>
      <c r="K405" s="329"/>
    </row>
    <row r="406" spans="1:11" ht="39.75">
      <c r="A406" s="144" t="s">
        <v>528</v>
      </c>
      <c r="B406" s="53" t="s">
        <v>529</v>
      </c>
      <c r="C406" s="154"/>
      <c r="D406" s="14" t="s">
        <v>11</v>
      </c>
      <c r="E406" s="14" t="s">
        <v>25</v>
      </c>
      <c r="F406" s="14" t="s">
        <v>26</v>
      </c>
      <c r="G406" s="305">
        <f>'SEPT-18'!I402</f>
        <v>8000</v>
      </c>
      <c r="H406" s="157"/>
      <c r="I406" s="158">
        <f t="shared" si="7"/>
        <v>8000</v>
      </c>
      <c r="J406" s="381"/>
      <c r="K406" s="329"/>
    </row>
    <row r="407" spans="1:11" ht="39.75">
      <c r="A407" s="144" t="s">
        <v>530</v>
      </c>
      <c r="B407" s="53" t="s">
        <v>531</v>
      </c>
      <c r="C407" s="154"/>
      <c r="D407" s="14" t="s">
        <v>11</v>
      </c>
      <c r="E407" s="14" t="s">
        <v>25</v>
      </c>
      <c r="F407" s="14" t="s">
        <v>26</v>
      </c>
      <c r="G407" s="305">
        <f>'SEPT-18'!I403</f>
        <v>15000</v>
      </c>
      <c r="H407" s="157"/>
      <c r="I407" s="158">
        <f t="shared" si="7"/>
        <v>15000</v>
      </c>
      <c r="J407" s="381"/>
      <c r="K407" s="329"/>
    </row>
    <row r="408" spans="1:11" ht="55.5">
      <c r="A408" s="144" t="s">
        <v>532</v>
      </c>
      <c r="B408" s="53" t="s">
        <v>533</v>
      </c>
      <c r="C408" s="154"/>
      <c r="D408" s="155"/>
      <c r="E408" s="155"/>
      <c r="F408" s="155"/>
      <c r="G408" s="305">
        <f>'SEPT-18'!I404</f>
        <v>0</v>
      </c>
      <c r="H408" s="157"/>
      <c r="I408" s="158">
        <f t="shared" si="7"/>
        <v>0</v>
      </c>
      <c r="J408" s="159"/>
      <c r="K408" s="159"/>
    </row>
    <row r="409" spans="1:11">
      <c r="A409" s="152">
        <v>51202</v>
      </c>
      <c r="B409" s="153" t="s">
        <v>534</v>
      </c>
      <c r="C409" s="154"/>
      <c r="D409" s="14" t="s">
        <v>11</v>
      </c>
      <c r="E409" s="14" t="s">
        <v>25</v>
      </c>
      <c r="F409" s="14" t="s">
        <v>26</v>
      </c>
      <c r="G409" s="305">
        <f>'SEPT-18'!I405</f>
        <v>8000</v>
      </c>
      <c r="H409" s="157"/>
      <c r="I409" s="158">
        <f t="shared" si="7"/>
        <v>8000</v>
      </c>
      <c r="J409" s="159"/>
      <c r="K409" s="159"/>
    </row>
    <row r="410" spans="1:11" ht="29.25">
      <c r="A410" s="152">
        <v>54111</v>
      </c>
      <c r="B410" s="153" t="s">
        <v>535</v>
      </c>
      <c r="C410" s="154"/>
      <c r="D410" s="14" t="s">
        <v>11</v>
      </c>
      <c r="E410" s="14" t="s">
        <v>25</v>
      </c>
      <c r="F410" s="14" t="s">
        <v>26</v>
      </c>
      <c r="G410" s="305">
        <f>'SEPT-18'!I406</f>
        <v>5500</v>
      </c>
      <c r="H410" s="157"/>
      <c r="I410" s="158">
        <f t="shared" si="7"/>
        <v>5500</v>
      </c>
      <c r="J410" s="159"/>
      <c r="K410" s="159"/>
    </row>
    <row r="411" spans="1:11" ht="29.25">
      <c r="A411" s="152">
        <v>54112</v>
      </c>
      <c r="B411" s="153" t="s">
        <v>536</v>
      </c>
      <c r="C411" s="154"/>
      <c r="D411" s="14" t="s">
        <v>11</v>
      </c>
      <c r="E411" s="14" t="s">
        <v>25</v>
      </c>
      <c r="F411" s="14" t="s">
        <v>26</v>
      </c>
      <c r="G411" s="305">
        <f>'SEPT-18'!I407</f>
        <v>5000</v>
      </c>
      <c r="H411" s="157"/>
      <c r="I411" s="158">
        <f t="shared" si="7"/>
        <v>5000</v>
      </c>
      <c r="J411" s="159"/>
      <c r="K411" s="159"/>
    </row>
    <row r="412" spans="1:11" ht="30">
      <c r="A412" s="152">
        <v>54313</v>
      </c>
      <c r="B412" s="153" t="s">
        <v>537</v>
      </c>
      <c r="C412" s="154"/>
      <c r="D412" s="14" t="s">
        <v>11</v>
      </c>
      <c r="E412" s="14" t="s">
        <v>25</v>
      </c>
      <c r="F412" s="14" t="s">
        <v>26</v>
      </c>
      <c r="G412" s="305">
        <f>'SEPT-18'!I408</f>
        <v>500</v>
      </c>
      <c r="H412" s="157"/>
      <c r="I412" s="158">
        <f t="shared" si="7"/>
        <v>500</v>
      </c>
      <c r="J412" s="159"/>
      <c r="K412" s="159"/>
    </row>
    <row r="413" spans="1:11" ht="30">
      <c r="A413" s="152">
        <v>54399</v>
      </c>
      <c r="B413" s="153" t="s">
        <v>538</v>
      </c>
      <c r="C413" s="154"/>
      <c r="D413" s="14" t="s">
        <v>11</v>
      </c>
      <c r="E413" s="14" t="s">
        <v>25</v>
      </c>
      <c r="F413" s="14" t="s">
        <v>26</v>
      </c>
      <c r="G413" s="305">
        <f>'SEPT-18'!I409</f>
        <v>990</v>
      </c>
      <c r="H413" s="157"/>
      <c r="I413" s="158">
        <f t="shared" si="7"/>
        <v>990</v>
      </c>
      <c r="J413" s="159"/>
      <c r="K413" s="159"/>
    </row>
    <row r="414" spans="1:11" ht="29.25">
      <c r="A414" s="152">
        <v>55603</v>
      </c>
      <c r="B414" s="153" t="s">
        <v>539</v>
      </c>
      <c r="C414" s="154"/>
      <c r="D414" s="14" t="s">
        <v>11</v>
      </c>
      <c r="E414" s="14" t="s">
        <v>25</v>
      </c>
      <c r="F414" s="14" t="s">
        <v>26</v>
      </c>
      <c r="G414" s="305">
        <f>'SEPT-18'!I410</f>
        <v>10</v>
      </c>
      <c r="H414" s="157"/>
      <c r="I414" s="158">
        <f t="shared" si="7"/>
        <v>10</v>
      </c>
      <c r="J414" s="159"/>
      <c r="K414" s="159"/>
    </row>
    <row r="415" spans="1:11" ht="55.5">
      <c r="A415" s="384" t="s">
        <v>540</v>
      </c>
      <c r="B415" s="53" t="s">
        <v>541</v>
      </c>
      <c r="C415" s="154"/>
      <c r="D415" s="155"/>
      <c r="E415" s="155"/>
      <c r="F415" s="155"/>
      <c r="G415" s="305">
        <f>'SEPT-18'!I411</f>
        <v>0</v>
      </c>
      <c r="H415" s="157"/>
      <c r="I415" s="158"/>
      <c r="J415" s="159"/>
      <c r="K415" s="159"/>
    </row>
    <row r="416" spans="1:11" ht="29.25">
      <c r="A416" s="152">
        <v>51202</v>
      </c>
      <c r="B416" s="153" t="s">
        <v>542</v>
      </c>
      <c r="C416" s="154"/>
      <c r="D416" s="14" t="s">
        <v>11</v>
      </c>
      <c r="E416" s="14" t="s">
        <v>25</v>
      </c>
      <c r="F416" s="14" t="s">
        <v>26</v>
      </c>
      <c r="G416" s="305">
        <f>'SEPT-18'!I412</f>
        <v>0</v>
      </c>
      <c r="H416" s="157"/>
      <c r="I416" s="158">
        <f t="shared" si="7"/>
        <v>0</v>
      </c>
      <c r="J416" s="159"/>
      <c r="K416" s="326"/>
    </row>
    <row r="417" spans="1:27" ht="46.5" customHeight="1">
      <c r="A417" s="152">
        <v>54111</v>
      </c>
      <c r="B417" s="153" t="s">
        <v>543</v>
      </c>
      <c r="C417" s="154"/>
      <c r="D417" s="14" t="s">
        <v>11</v>
      </c>
      <c r="E417" s="14" t="s">
        <v>25</v>
      </c>
      <c r="F417" s="14" t="s">
        <v>26</v>
      </c>
      <c r="G417" s="305">
        <f>'SEPT-18'!I413</f>
        <v>0</v>
      </c>
      <c r="H417" s="157"/>
      <c r="I417" s="158">
        <f t="shared" si="7"/>
        <v>0</v>
      </c>
      <c r="J417" s="159"/>
      <c r="K417" s="326"/>
    </row>
    <row r="418" spans="1:27" ht="35.25" customHeight="1">
      <c r="A418" s="152">
        <v>54112</v>
      </c>
      <c r="B418" s="153" t="s">
        <v>544</v>
      </c>
      <c r="C418" s="154"/>
      <c r="D418" s="14" t="s">
        <v>11</v>
      </c>
      <c r="E418" s="14" t="s">
        <v>25</v>
      </c>
      <c r="F418" s="14" t="s">
        <v>26</v>
      </c>
      <c r="G418" s="305">
        <f>'SEPT-18'!I414</f>
        <v>0</v>
      </c>
      <c r="H418" s="157"/>
      <c r="I418" s="158">
        <f t="shared" ref="I418:I433" si="8">G418-H418+J418-K418</f>
        <v>0</v>
      </c>
      <c r="J418" s="159"/>
      <c r="K418" s="326"/>
    </row>
    <row r="419" spans="1:27" ht="36.75" customHeight="1">
      <c r="A419" s="152">
        <v>54313</v>
      </c>
      <c r="B419" s="153" t="s">
        <v>545</v>
      </c>
      <c r="C419" s="154"/>
      <c r="D419" s="14" t="s">
        <v>11</v>
      </c>
      <c r="E419" s="14" t="s">
        <v>25</v>
      </c>
      <c r="F419" s="14" t="s">
        <v>26</v>
      </c>
      <c r="G419" s="305">
        <f>'SEPT-18'!I415</f>
        <v>0</v>
      </c>
      <c r="H419" s="157"/>
      <c r="I419" s="158">
        <f t="shared" si="8"/>
        <v>0</v>
      </c>
      <c r="J419" s="159"/>
      <c r="K419" s="326"/>
      <c r="M419" s="167"/>
      <c r="N419" s="167"/>
      <c r="O419" s="167"/>
      <c r="P419" s="167"/>
      <c r="Q419" s="167"/>
    </row>
    <row r="420" spans="1:27" ht="34.5" customHeight="1">
      <c r="A420" s="152">
        <v>54399</v>
      </c>
      <c r="B420" s="153" t="s">
        <v>546</v>
      </c>
      <c r="C420" s="154"/>
      <c r="D420" s="14" t="s">
        <v>11</v>
      </c>
      <c r="E420" s="14" t="s">
        <v>25</v>
      </c>
      <c r="F420" s="14" t="s">
        <v>26</v>
      </c>
      <c r="G420" s="305">
        <f>'SEPT-18'!I416</f>
        <v>0</v>
      </c>
      <c r="H420" s="157"/>
      <c r="I420" s="158">
        <f t="shared" si="8"/>
        <v>0</v>
      </c>
      <c r="J420" s="159"/>
      <c r="K420" s="326"/>
      <c r="M420" s="167"/>
      <c r="N420" s="167"/>
      <c r="O420" s="167"/>
      <c r="P420" s="167"/>
      <c r="Q420" s="167"/>
    </row>
    <row r="421" spans="1:27" s="47" customFormat="1" ht="29.25">
      <c r="A421" s="11">
        <v>55603</v>
      </c>
      <c r="B421" s="153" t="s">
        <v>547</v>
      </c>
      <c r="C421" s="12"/>
      <c r="D421" s="14" t="s">
        <v>11</v>
      </c>
      <c r="E421" s="14" t="s">
        <v>25</v>
      </c>
      <c r="F421" s="14" t="s">
        <v>26</v>
      </c>
      <c r="G421" s="305">
        <f>'SEPT-18'!I417</f>
        <v>0</v>
      </c>
      <c r="H421" s="51"/>
      <c r="I421" s="158">
        <f t="shared" si="8"/>
        <v>0</v>
      </c>
      <c r="J421" s="44"/>
      <c r="K421" s="330"/>
      <c r="L421" s="167"/>
      <c r="M421" s="167"/>
      <c r="N421" s="167"/>
      <c r="O421" s="167"/>
      <c r="P421" s="167"/>
      <c r="Q421" s="167"/>
      <c r="R421" s="167"/>
      <c r="S421" s="167"/>
      <c r="T421" s="167"/>
      <c r="U421" s="167"/>
      <c r="V421" s="167"/>
      <c r="W421" s="167"/>
      <c r="X421" s="167"/>
      <c r="Y421" s="167"/>
      <c r="Z421" s="167"/>
      <c r="AA421" s="166"/>
    </row>
    <row r="422" spans="1:27" s="47" customFormat="1" ht="28.5">
      <c r="A422" s="144" t="s">
        <v>548</v>
      </c>
      <c r="B422" s="53" t="s">
        <v>549</v>
      </c>
      <c r="C422" s="12"/>
      <c r="D422" s="14" t="s">
        <v>11</v>
      </c>
      <c r="E422" s="14" t="s">
        <v>25</v>
      </c>
      <c r="F422" s="14" t="s">
        <v>26</v>
      </c>
      <c r="G422" s="305">
        <f>'SEPT-18'!I418</f>
        <v>5000</v>
      </c>
      <c r="H422" s="51"/>
      <c r="I422" s="17">
        <f t="shared" si="8"/>
        <v>5000</v>
      </c>
      <c r="J422" s="44"/>
      <c r="K422" s="44"/>
      <c r="L422" s="167"/>
      <c r="M422" s="167"/>
      <c r="N422" s="167"/>
      <c r="O422" s="167"/>
      <c r="P422" s="167"/>
      <c r="Q422" s="167"/>
      <c r="R422" s="167"/>
      <c r="S422" s="167"/>
      <c r="T422" s="167"/>
      <c r="U422" s="167"/>
      <c r="V422" s="167"/>
      <c r="W422" s="167"/>
      <c r="X422" s="167"/>
      <c r="Y422" s="167"/>
      <c r="Z422" s="167"/>
      <c r="AA422" s="166"/>
    </row>
    <row r="423" spans="1:27" s="47" customFormat="1" ht="40.5">
      <c r="A423" s="144" t="s">
        <v>550</v>
      </c>
      <c r="B423" s="53" t="s">
        <v>1026</v>
      </c>
      <c r="C423" s="12"/>
      <c r="D423" s="3"/>
      <c r="E423" s="3"/>
      <c r="F423" s="3"/>
      <c r="G423" s="305">
        <f>'SEPT-18'!I419</f>
        <v>0</v>
      </c>
      <c r="H423" s="51"/>
      <c r="I423" s="17"/>
      <c r="J423" s="44"/>
      <c r="K423" s="52"/>
      <c r="L423" s="167"/>
      <c r="M423" s="167"/>
      <c r="N423" s="167"/>
      <c r="O423" s="167"/>
      <c r="P423" s="167"/>
      <c r="Q423" s="167"/>
      <c r="R423" s="167"/>
      <c r="S423" s="167"/>
      <c r="T423" s="167"/>
      <c r="U423" s="167"/>
      <c r="V423" s="167"/>
      <c r="W423" s="167"/>
      <c r="X423" s="167"/>
      <c r="Y423" s="167"/>
      <c r="Z423" s="167"/>
      <c r="AA423" s="166"/>
    </row>
    <row r="424" spans="1:27" s="47" customFormat="1" ht="20.25" customHeight="1">
      <c r="A424" s="11">
        <v>51999</v>
      </c>
      <c r="B424" s="70" t="s">
        <v>552</v>
      </c>
      <c r="C424" s="12"/>
      <c r="D424" s="14" t="s">
        <v>11</v>
      </c>
      <c r="E424" s="14" t="s">
        <v>25</v>
      </c>
      <c r="F424" s="14" t="s">
        <v>26</v>
      </c>
      <c r="G424" s="305">
        <f>'SEPT-18'!I420</f>
        <v>0</v>
      </c>
      <c r="H424" s="51"/>
      <c r="I424" s="17">
        <f t="shared" si="8"/>
        <v>0</v>
      </c>
      <c r="J424" s="44"/>
      <c r="K424" s="266"/>
      <c r="L424" s="167"/>
      <c r="M424" s="167"/>
      <c r="N424" s="167"/>
      <c r="O424" s="167"/>
      <c r="P424" s="167"/>
      <c r="Q424" s="167"/>
      <c r="R424" s="167"/>
      <c r="S424" s="167"/>
      <c r="T424" s="167"/>
      <c r="U424" s="167"/>
      <c r="V424" s="167"/>
      <c r="W424" s="167"/>
      <c r="X424" s="167"/>
      <c r="Y424" s="167"/>
      <c r="Z424" s="167"/>
    </row>
    <row r="425" spans="1:27" s="47" customFormat="1" ht="23.25" customHeight="1">
      <c r="A425" s="11">
        <v>54399</v>
      </c>
      <c r="B425" s="70" t="s">
        <v>553</v>
      </c>
      <c r="C425" s="12"/>
      <c r="D425" s="14" t="s">
        <v>11</v>
      </c>
      <c r="E425" s="14" t="s">
        <v>25</v>
      </c>
      <c r="F425" s="14" t="s">
        <v>26</v>
      </c>
      <c r="G425" s="305">
        <f>'SEPT-18'!I421</f>
        <v>0</v>
      </c>
      <c r="H425" s="51"/>
      <c r="I425" s="17">
        <f t="shared" si="8"/>
        <v>0</v>
      </c>
      <c r="J425" s="44"/>
      <c r="K425" s="266"/>
      <c r="L425" s="167"/>
      <c r="M425" s="167"/>
      <c r="N425" s="167"/>
      <c r="O425" s="167"/>
      <c r="P425" s="167"/>
      <c r="Q425" s="167"/>
      <c r="R425" s="167"/>
      <c r="S425" s="167"/>
      <c r="T425" s="167"/>
      <c r="U425" s="167"/>
      <c r="V425" s="167"/>
      <c r="W425" s="167"/>
      <c r="X425" s="167"/>
      <c r="Y425" s="167"/>
      <c r="Z425" s="167"/>
    </row>
    <row r="426" spans="1:27" s="47" customFormat="1" ht="20.25" customHeight="1">
      <c r="A426" s="11">
        <v>54599</v>
      </c>
      <c r="B426" s="70" t="s">
        <v>554</v>
      </c>
      <c r="C426" s="12"/>
      <c r="D426" s="14" t="s">
        <v>11</v>
      </c>
      <c r="E426" s="14" t="s">
        <v>25</v>
      </c>
      <c r="F426" s="14" t="s">
        <v>26</v>
      </c>
      <c r="G426" s="305">
        <f>'SEPT-18'!I422</f>
        <v>0</v>
      </c>
      <c r="H426" s="51"/>
      <c r="I426" s="17">
        <f t="shared" si="8"/>
        <v>0</v>
      </c>
      <c r="J426" s="44"/>
      <c r="K426" s="266"/>
      <c r="L426" s="167"/>
      <c r="M426" s="167"/>
      <c r="N426" s="167"/>
      <c r="O426" s="167"/>
      <c r="P426" s="167"/>
      <c r="Q426" s="167"/>
      <c r="R426" s="167"/>
      <c r="S426" s="167"/>
      <c r="T426" s="167"/>
      <c r="U426" s="167"/>
      <c r="V426" s="167"/>
      <c r="W426" s="167"/>
      <c r="X426" s="167"/>
      <c r="Y426" s="167"/>
      <c r="Z426" s="167"/>
    </row>
    <row r="427" spans="1:27" s="47" customFormat="1" ht="44.25" customHeight="1">
      <c r="A427" s="144" t="s">
        <v>909</v>
      </c>
      <c r="B427" s="349" t="s">
        <v>1089</v>
      </c>
      <c r="C427" s="12"/>
      <c r="D427" s="14"/>
      <c r="E427" s="14"/>
      <c r="F427" s="14"/>
      <c r="G427" s="305">
        <f>'SEPT-18'!I423</f>
        <v>0</v>
      </c>
      <c r="H427" s="51"/>
      <c r="I427" s="17"/>
      <c r="J427" s="44"/>
      <c r="K427" s="266"/>
      <c r="L427" s="167"/>
      <c r="M427" s="167"/>
      <c r="N427" s="167"/>
      <c r="O427" s="167"/>
      <c r="P427" s="167"/>
      <c r="Q427" s="167"/>
      <c r="R427" s="167"/>
      <c r="S427" s="167"/>
      <c r="T427" s="167"/>
      <c r="U427" s="167"/>
      <c r="V427" s="167"/>
      <c r="W427" s="167"/>
      <c r="X427" s="167"/>
      <c r="Y427" s="167"/>
      <c r="Z427" s="167"/>
    </row>
    <row r="428" spans="1:27" s="47" customFormat="1" ht="45" customHeight="1">
      <c r="A428" s="11">
        <v>54314</v>
      </c>
      <c r="B428" s="70" t="s">
        <v>1125</v>
      </c>
      <c r="C428" s="12"/>
      <c r="D428" s="14" t="s">
        <v>11</v>
      </c>
      <c r="E428" s="14" t="s">
        <v>25</v>
      </c>
      <c r="F428" s="14" t="s">
        <v>26</v>
      </c>
      <c r="G428" s="305">
        <f>'SEPT-18'!I424</f>
        <v>0</v>
      </c>
      <c r="H428" s="51"/>
      <c r="I428" s="17">
        <f t="shared" si="8"/>
        <v>0</v>
      </c>
      <c r="J428" s="347"/>
      <c r="K428" s="266"/>
      <c r="L428" s="167"/>
      <c r="M428" s="167"/>
      <c r="N428" s="167"/>
      <c r="O428" s="167"/>
      <c r="P428" s="167"/>
      <c r="Q428" s="167"/>
      <c r="R428" s="167"/>
      <c r="S428" s="167"/>
      <c r="T428" s="167"/>
      <c r="U428" s="167"/>
      <c r="V428" s="167"/>
      <c r="W428" s="167"/>
      <c r="X428" s="167"/>
      <c r="Y428" s="167"/>
      <c r="Z428" s="167"/>
    </row>
    <row r="429" spans="1:27" s="47" customFormat="1" ht="30">
      <c r="A429" s="47">
        <v>55603</v>
      </c>
      <c r="B429" s="5" t="s">
        <v>1091</v>
      </c>
      <c r="C429" s="12"/>
      <c r="D429" s="14" t="s">
        <v>11</v>
      </c>
      <c r="E429" s="14" t="s">
        <v>25</v>
      </c>
      <c r="F429" s="14" t="s">
        <v>26</v>
      </c>
      <c r="G429" s="305">
        <f>'SEPT-18'!I425</f>
        <v>0</v>
      </c>
      <c r="H429" s="375"/>
      <c r="I429" s="17">
        <f t="shared" si="8"/>
        <v>0</v>
      </c>
      <c r="J429" s="316"/>
      <c r="K429" s="44"/>
      <c r="L429" s="167"/>
      <c r="M429" s="167"/>
      <c r="N429" s="167"/>
      <c r="O429" s="167"/>
      <c r="P429" s="167"/>
      <c r="Q429" s="167"/>
      <c r="R429" s="167"/>
      <c r="S429" s="167"/>
      <c r="T429" s="167"/>
      <c r="U429" s="167"/>
      <c r="V429" s="167"/>
      <c r="W429" s="167"/>
      <c r="X429" s="167"/>
      <c r="Y429" s="167"/>
      <c r="Z429" s="167"/>
    </row>
    <row r="430" spans="1:27" s="47" customFormat="1">
      <c r="B430" s="5"/>
      <c r="C430" s="12"/>
      <c r="D430" s="14"/>
      <c r="E430" s="14"/>
      <c r="F430" s="14"/>
      <c r="G430" s="305">
        <f>'SEPT-18'!I426</f>
        <v>0</v>
      </c>
      <c r="H430" s="51"/>
      <c r="I430" s="17"/>
      <c r="J430" s="316"/>
      <c r="K430" s="44"/>
      <c r="L430" s="167"/>
      <c r="M430" s="167"/>
      <c r="N430" s="167"/>
      <c r="O430" s="167"/>
      <c r="P430" s="167"/>
      <c r="Q430" s="167"/>
      <c r="R430" s="167"/>
      <c r="S430" s="167"/>
      <c r="T430" s="167"/>
      <c r="U430" s="167"/>
      <c r="V430" s="167"/>
      <c r="W430" s="167"/>
      <c r="X430" s="167"/>
      <c r="Y430" s="167"/>
      <c r="Z430" s="167"/>
    </row>
    <row r="431" spans="1:27" s="47" customFormat="1" ht="75" customHeight="1">
      <c r="A431" s="317" t="s">
        <v>1149</v>
      </c>
      <c r="B431" s="338" t="s">
        <v>1186</v>
      </c>
      <c r="C431" s="318"/>
      <c r="D431" s="14" t="s">
        <v>11</v>
      </c>
      <c r="E431" s="14" t="s">
        <v>25</v>
      </c>
      <c r="F431" s="14" t="s">
        <v>26</v>
      </c>
      <c r="G431" s="305">
        <f>'SEPT-18'!I427</f>
        <v>15228.960000000014</v>
      </c>
      <c r="H431" s="51"/>
      <c r="I431" s="17">
        <f t="shared" si="8"/>
        <v>15228.960000000014</v>
      </c>
      <c r="J431" s="316"/>
      <c r="K431" s="388"/>
      <c r="L431" s="167"/>
      <c r="M431" s="167"/>
      <c r="N431" s="167"/>
      <c r="O431" s="167"/>
      <c r="P431" s="167"/>
      <c r="Q431" s="167"/>
      <c r="R431" s="167"/>
      <c r="S431" s="167"/>
      <c r="T431" s="167"/>
      <c r="U431" s="167"/>
      <c r="V431" s="167"/>
      <c r="W431" s="167"/>
      <c r="X431" s="167"/>
      <c r="Y431" s="167"/>
      <c r="Z431" s="167"/>
    </row>
    <row r="432" spans="1:27" s="47" customFormat="1" ht="79.5" customHeight="1">
      <c r="A432" s="47">
        <v>61599</v>
      </c>
      <c r="B432" s="179" t="s">
        <v>1187</v>
      </c>
      <c r="C432" s="12"/>
      <c r="D432" s="14" t="s">
        <v>11</v>
      </c>
      <c r="E432" s="14" t="s">
        <v>25</v>
      </c>
      <c r="F432" s="14" t="s">
        <v>1181</v>
      </c>
      <c r="G432" s="305">
        <f>'SEPT-18'!I428</f>
        <v>0</v>
      </c>
      <c r="H432" s="51"/>
      <c r="I432" s="386">
        <f t="shared" si="8"/>
        <v>0</v>
      </c>
      <c r="J432" s="389"/>
      <c r="K432" s="347"/>
      <c r="L432" s="167"/>
      <c r="M432" s="167"/>
      <c r="N432" s="167"/>
      <c r="O432" s="167"/>
      <c r="P432" s="167"/>
      <c r="Q432" s="167"/>
      <c r="R432" s="167"/>
      <c r="S432" s="167"/>
      <c r="T432" s="167"/>
      <c r="U432" s="167"/>
      <c r="V432" s="167"/>
      <c r="W432" s="167"/>
      <c r="X432" s="167"/>
      <c r="Y432" s="167"/>
      <c r="Z432" s="167"/>
    </row>
    <row r="433" spans="1:26" s="47" customFormat="1" ht="48" customHeight="1">
      <c r="A433" s="47" t="s">
        <v>1150</v>
      </c>
      <c r="B433" s="340" t="s">
        <v>1116</v>
      </c>
      <c r="C433" s="319"/>
      <c r="D433" s="14" t="s">
        <v>11</v>
      </c>
      <c r="E433" s="14" t="s">
        <v>25</v>
      </c>
      <c r="F433" s="14" t="s">
        <v>26</v>
      </c>
      <c r="G433" s="305">
        <f>'SEPT-18'!I429</f>
        <v>45012.350000000006</v>
      </c>
      <c r="H433" s="51">
        <f>14987.7+14987.7</f>
        <v>29975.4</v>
      </c>
      <c r="I433" s="17">
        <f t="shared" si="8"/>
        <v>15036.950000000004</v>
      </c>
      <c r="J433" s="347"/>
      <c r="K433" s="389"/>
      <c r="L433" s="167"/>
      <c r="M433" s="167"/>
      <c r="N433" s="167"/>
      <c r="O433" s="167"/>
      <c r="P433" s="167"/>
      <c r="Q433" s="167"/>
      <c r="R433" s="167"/>
      <c r="S433" s="167"/>
      <c r="T433" s="167"/>
      <c r="U433" s="167"/>
      <c r="V433" s="167"/>
      <c r="W433" s="167"/>
      <c r="X433" s="167"/>
      <c r="Y433" s="167"/>
      <c r="Z433" s="167"/>
    </row>
    <row r="434" spans="1:26" s="47" customFormat="1" ht="51.75" customHeight="1">
      <c r="A434" s="47">
        <v>54107</v>
      </c>
      <c r="B434" s="5" t="s">
        <v>1148</v>
      </c>
      <c r="C434" s="12"/>
      <c r="D434" s="14"/>
      <c r="E434" s="14"/>
      <c r="F434" s="14"/>
      <c r="G434" s="305">
        <f>'SEPT-18'!I430</f>
        <v>0</v>
      </c>
      <c r="H434" s="51"/>
      <c r="I434" s="17"/>
      <c r="J434" s="316"/>
      <c r="K434" s="44"/>
      <c r="L434" s="167"/>
      <c r="M434" s="167"/>
      <c r="N434" s="167"/>
      <c r="O434" s="167"/>
      <c r="P434" s="167"/>
      <c r="Q434" s="167"/>
      <c r="R434" s="167"/>
      <c r="S434" s="167"/>
      <c r="T434" s="167"/>
      <c r="U434" s="167"/>
      <c r="V434" s="167"/>
      <c r="W434" s="167"/>
      <c r="X434" s="167"/>
      <c r="Y434" s="167"/>
      <c r="Z434" s="167"/>
    </row>
    <row r="435" spans="1:26" s="47" customFormat="1" ht="81.75">
      <c r="A435" s="379" t="s">
        <v>1151</v>
      </c>
      <c r="B435" s="53" t="s">
        <v>1170</v>
      </c>
      <c r="C435" s="344" t="s">
        <v>1157</v>
      </c>
      <c r="D435" s="14"/>
      <c r="E435" s="14"/>
      <c r="F435" s="14"/>
      <c r="G435" s="305">
        <f>'SEPT-18'!I431</f>
        <v>0</v>
      </c>
      <c r="H435" s="51"/>
      <c r="I435" s="17"/>
      <c r="J435" s="316"/>
      <c r="K435" s="44"/>
      <c r="L435" s="167"/>
      <c r="M435" s="167"/>
      <c r="N435" s="167"/>
      <c r="O435" s="167"/>
      <c r="P435" s="167"/>
      <c r="Q435" s="167"/>
      <c r="R435" s="167"/>
      <c r="S435" s="167"/>
      <c r="T435" s="167"/>
      <c r="U435" s="167"/>
      <c r="V435" s="167"/>
      <c r="W435" s="167"/>
      <c r="X435" s="167"/>
      <c r="Y435" s="167"/>
      <c r="Z435" s="167"/>
    </row>
    <row r="436" spans="1:26" s="47" customFormat="1" ht="29.25">
      <c r="A436" s="152">
        <v>51202</v>
      </c>
      <c r="B436" s="153" t="s">
        <v>1152</v>
      </c>
      <c r="C436" s="12" t="s">
        <v>1158</v>
      </c>
      <c r="D436" s="14" t="s">
        <v>11</v>
      </c>
      <c r="E436" s="14" t="s">
        <v>25</v>
      </c>
      <c r="F436" s="14" t="s">
        <v>26</v>
      </c>
      <c r="G436" s="305">
        <f>'SEPT-18'!I432</f>
        <v>2392.1999999999998</v>
      </c>
      <c r="H436" s="51">
        <f>135+90</f>
        <v>225</v>
      </c>
      <c r="I436" s="17">
        <f t="shared" ref="I436:I448" si="9">G436-H436+J436-K436</f>
        <v>2167.1999999999998</v>
      </c>
      <c r="J436" s="347"/>
      <c r="K436" s="44"/>
      <c r="L436" s="167"/>
      <c r="M436" s="167"/>
      <c r="N436" s="167"/>
      <c r="O436" s="167"/>
      <c r="P436" s="167"/>
      <c r="Q436" s="167"/>
      <c r="R436" s="167"/>
      <c r="S436" s="167"/>
      <c r="T436" s="167"/>
      <c r="U436" s="167"/>
      <c r="V436" s="167"/>
      <c r="W436" s="167"/>
      <c r="X436" s="167"/>
      <c r="Y436" s="167"/>
      <c r="Z436" s="167"/>
    </row>
    <row r="437" spans="1:26" s="47" customFormat="1" ht="57.75">
      <c r="A437" s="152">
        <v>51999</v>
      </c>
      <c r="B437" s="153" t="s">
        <v>1220</v>
      </c>
      <c r="C437" s="12"/>
      <c r="D437" s="14" t="s">
        <v>11</v>
      </c>
      <c r="E437" s="14" t="s">
        <v>25</v>
      </c>
      <c r="F437" s="14" t="s">
        <v>27</v>
      </c>
      <c r="G437" s="305">
        <v>0</v>
      </c>
      <c r="H437" s="51">
        <v>937</v>
      </c>
      <c r="I437" s="17">
        <f t="shared" si="9"/>
        <v>63</v>
      </c>
      <c r="J437" s="347">
        <v>1000</v>
      </c>
      <c r="K437" s="44"/>
      <c r="L437" s="167"/>
      <c r="M437" s="167"/>
      <c r="N437" s="167"/>
      <c r="O437" s="167"/>
      <c r="P437" s="167"/>
      <c r="Q437" s="167"/>
      <c r="R437" s="167"/>
      <c r="S437" s="167"/>
      <c r="T437" s="167"/>
      <c r="U437" s="167"/>
      <c r="V437" s="167"/>
      <c r="W437" s="167"/>
      <c r="X437" s="167"/>
      <c r="Y437" s="167"/>
      <c r="Z437" s="167"/>
    </row>
    <row r="438" spans="1:26" s="47" customFormat="1" ht="59.25">
      <c r="A438" s="152">
        <v>54107</v>
      </c>
      <c r="B438" s="164" t="s">
        <v>1188</v>
      </c>
      <c r="C438" s="12"/>
      <c r="D438" s="14" t="s">
        <v>11</v>
      </c>
      <c r="E438" s="14" t="s">
        <v>25</v>
      </c>
      <c r="F438" s="14" t="s">
        <v>1181</v>
      </c>
      <c r="G438" s="305">
        <f>'SEPT-18'!I433</f>
        <v>0</v>
      </c>
      <c r="H438" s="51"/>
      <c r="I438" s="386">
        <f t="shared" si="9"/>
        <v>0</v>
      </c>
      <c r="J438" s="347"/>
      <c r="K438" s="44"/>
      <c r="L438" s="167"/>
      <c r="M438" s="167"/>
      <c r="N438" s="167"/>
      <c r="O438" s="167"/>
      <c r="P438" s="167"/>
      <c r="Q438" s="167"/>
      <c r="R438" s="167"/>
      <c r="S438" s="167"/>
      <c r="T438" s="167"/>
      <c r="U438" s="167"/>
      <c r="V438" s="167"/>
      <c r="W438" s="167"/>
      <c r="X438" s="167"/>
      <c r="Y438" s="167"/>
      <c r="Z438" s="167"/>
    </row>
    <row r="439" spans="1:26" s="47" customFormat="1" ht="44.25">
      <c r="A439" s="152">
        <v>54111</v>
      </c>
      <c r="B439" s="153" t="s">
        <v>1154</v>
      </c>
      <c r="C439" s="12"/>
      <c r="D439" s="14" t="s">
        <v>11</v>
      </c>
      <c r="E439" s="14" t="s">
        <v>25</v>
      </c>
      <c r="F439" s="14" t="s">
        <v>26</v>
      </c>
      <c r="G439" s="305">
        <f>'SEPT-18'!I434</f>
        <v>4255.8099999999995</v>
      </c>
      <c r="H439" s="51">
        <f>98+127.5</f>
        <v>225.5</v>
      </c>
      <c r="I439" s="17">
        <f t="shared" si="9"/>
        <v>3030.3099999999995</v>
      </c>
      <c r="J439" s="347"/>
      <c r="K439" s="347">
        <v>1000</v>
      </c>
      <c r="L439" s="167"/>
      <c r="M439" s="167"/>
      <c r="N439" s="167"/>
      <c r="O439" s="167"/>
      <c r="P439" s="167"/>
      <c r="Q439" s="167"/>
      <c r="R439" s="167"/>
      <c r="S439" s="167"/>
      <c r="T439" s="167"/>
      <c r="U439" s="167"/>
      <c r="V439" s="167"/>
      <c r="W439" s="167"/>
      <c r="X439" s="167"/>
      <c r="Y439" s="167"/>
      <c r="Z439" s="167"/>
    </row>
    <row r="440" spans="1:26" s="47" customFormat="1" ht="44.25">
      <c r="A440" s="152">
        <v>54112</v>
      </c>
      <c r="B440" s="153" t="s">
        <v>1153</v>
      </c>
      <c r="C440" s="12"/>
      <c r="D440" s="14" t="s">
        <v>11</v>
      </c>
      <c r="E440" s="14" t="s">
        <v>25</v>
      </c>
      <c r="F440" s="14" t="s">
        <v>26</v>
      </c>
      <c r="G440" s="305">
        <f>'SEPT-18'!I435</f>
        <v>3729.5</v>
      </c>
      <c r="H440" s="51">
        <f>11+1511.74+970.69</f>
        <v>2493.4300000000003</v>
      </c>
      <c r="I440" s="17">
        <f t="shared" si="9"/>
        <v>1236.0699999999997</v>
      </c>
      <c r="J440" s="347"/>
      <c r="K440" s="44"/>
      <c r="L440" s="167"/>
      <c r="M440" s="167"/>
      <c r="N440" s="167"/>
      <c r="O440" s="167"/>
      <c r="P440" s="167"/>
      <c r="Q440" s="167"/>
      <c r="R440" s="167"/>
      <c r="S440" s="167"/>
      <c r="T440" s="167"/>
      <c r="U440" s="167"/>
      <c r="V440" s="167"/>
      <c r="W440" s="167"/>
      <c r="X440" s="167"/>
      <c r="Y440" s="167"/>
      <c r="Z440" s="167"/>
    </row>
    <row r="441" spans="1:26" s="47" customFormat="1" ht="43.5">
      <c r="A441" s="152">
        <v>54118</v>
      </c>
      <c r="B441" s="153" t="s">
        <v>1155</v>
      </c>
      <c r="C441" s="12"/>
      <c r="D441" s="14" t="s">
        <v>11</v>
      </c>
      <c r="E441" s="14" t="s">
        <v>25</v>
      </c>
      <c r="F441" s="14" t="s">
        <v>26</v>
      </c>
      <c r="G441" s="305">
        <f>'SEPT-18'!I436</f>
        <v>1967.9099999999999</v>
      </c>
      <c r="H441" s="51"/>
      <c r="I441" s="17">
        <f t="shared" si="9"/>
        <v>1967.9099999999999</v>
      </c>
      <c r="J441" s="347"/>
      <c r="K441" s="390"/>
      <c r="L441" s="167"/>
      <c r="M441" s="167"/>
      <c r="N441" s="167"/>
      <c r="O441" s="167"/>
      <c r="P441" s="167"/>
      <c r="Q441" s="167"/>
      <c r="R441" s="167"/>
      <c r="S441" s="167"/>
      <c r="T441" s="167"/>
      <c r="U441" s="167"/>
      <c r="V441" s="167"/>
      <c r="W441" s="167"/>
      <c r="X441" s="167"/>
      <c r="Y441" s="167"/>
      <c r="Z441" s="167"/>
    </row>
    <row r="442" spans="1:26" s="47" customFormat="1" ht="43.5">
      <c r="A442" s="152">
        <v>55603</v>
      </c>
      <c r="B442" s="153" t="s">
        <v>1156</v>
      </c>
      <c r="C442" s="12"/>
      <c r="D442" s="14" t="s">
        <v>11</v>
      </c>
      <c r="E442" s="14" t="s">
        <v>25</v>
      </c>
      <c r="F442" s="14" t="s">
        <v>26</v>
      </c>
      <c r="G442" s="305">
        <f>'SEPT-18'!I437</f>
        <v>5.8699999999999992</v>
      </c>
      <c r="H442" s="51"/>
      <c r="I442" s="17">
        <f t="shared" si="9"/>
        <v>5.8699999999999992</v>
      </c>
      <c r="J442" s="347"/>
      <c r="K442" s="44"/>
      <c r="L442" s="167"/>
      <c r="M442" s="167"/>
      <c r="N442" s="167"/>
      <c r="O442" s="167"/>
      <c r="P442" s="167"/>
      <c r="Q442" s="167"/>
      <c r="R442" s="167"/>
      <c r="S442" s="167"/>
      <c r="T442" s="167"/>
      <c r="U442" s="167"/>
      <c r="V442" s="167"/>
      <c r="W442" s="167"/>
      <c r="X442" s="167"/>
      <c r="Y442" s="167"/>
      <c r="Z442" s="167"/>
    </row>
    <row r="443" spans="1:26" s="47" customFormat="1" ht="67.5">
      <c r="A443" s="379" t="s">
        <v>1190</v>
      </c>
      <c r="B443" s="53" t="s">
        <v>1191</v>
      </c>
      <c r="C443" s="12"/>
      <c r="D443" s="14"/>
      <c r="E443" s="14"/>
      <c r="F443" s="14"/>
      <c r="G443" s="305">
        <f>'SEPT-18'!I438</f>
        <v>0</v>
      </c>
      <c r="H443" s="51"/>
      <c r="I443" s="17"/>
      <c r="J443" s="347"/>
      <c r="K443" s="44"/>
      <c r="L443" s="167"/>
      <c r="M443" s="167"/>
      <c r="N443" s="167"/>
      <c r="O443" s="167"/>
      <c r="P443" s="167"/>
      <c r="Q443" s="167"/>
      <c r="R443" s="167"/>
      <c r="S443" s="167"/>
      <c r="T443" s="167"/>
      <c r="U443" s="167"/>
      <c r="V443" s="167"/>
      <c r="W443" s="167"/>
      <c r="X443" s="167"/>
      <c r="Y443" s="167"/>
      <c r="Z443" s="167"/>
    </row>
    <row r="444" spans="1:26" s="47" customFormat="1" ht="29.25">
      <c r="A444" s="152">
        <v>51202</v>
      </c>
      <c r="B444" s="153" t="s">
        <v>1192</v>
      </c>
      <c r="C444" s="12"/>
      <c r="D444" s="14" t="s">
        <v>11</v>
      </c>
      <c r="E444" s="14" t="s">
        <v>25</v>
      </c>
      <c r="F444" s="14" t="s">
        <v>26</v>
      </c>
      <c r="G444" s="305">
        <f>'SEPT-18'!I439</f>
        <v>2500</v>
      </c>
      <c r="H444" s="51">
        <f>165+72+60+50+60+120+50+60+150+100</f>
        <v>887</v>
      </c>
      <c r="I444" s="17">
        <f t="shared" si="9"/>
        <v>1613</v>
      </c>
      <c r="J444" s="347"/>
      <c r="K444" s="44"/>
      <c r="L444" s="167"/>
      <c r="M444" s="167"/>
      <c r="N444" s="167"/>
      <c r="O444" s="167"/>
      <c r="P444" s="167"/>
      <c r="Q444" s="167"/>
      <c r="R444" s="167"/>
      <c r="S444" s="167"/>
      <c r="T444" s="167"/>
      <c r="U444" s="167"/>
      <c r="V444" s="167"/>
      <c r="W444" s="167"/>
      <c r="X444" s="167"/>
      <c r="Y444" s="167"/>
      <c r="Z444" s="167"/>
    </row>
    <row r="445" spans="1:26" s="47" customFormat="1" ht="44.25">
      <c r="A445" s="152">
        <v>54111</v>
      </c>
      <c r="B445" s="153" t="s">
        <v>1193</v>
      </c>
      <c r="C445" s="12"/>
      <c r="D445" s="14" t="s">
        <v>11</v>
      </c>
      <c r="E445" s="14" t="s">
        <v>25</v>
      </c>
      <c r="F445" s="14" t="s">
        <v>26</v>
      </c>
      <c r="G445" s="305">
        <f>'SEPT-18'!I440</f>
        <v>3000</v>
      </c>
      <c r="H445" s="51">
        <f>80.1+1632+3.7</f>
        <v>1715.8</v>
      </c>
      <c r="I445" s="17">
        <f t="shared" si="9"/>
        <v>1284.2</v>
      </c>
      <c r="J445" s="347"/>
      <c r="K445" s="44"/>
      <c r="L445" s="167"/>
      <c r="M445" s="167"/>
      <c r="N445" s="167"/>
      <c r="O445" s="167"/>
      <c r="P445" s="167"/>
      <c r="Q445" s="167"/>
      <c r="R445" s="167"/>
      <c r="S445" s="167"/>
      <c r="T445" s="167"/>
      <c r="U445" s="167"/>
      <c r="V445" s="167"/>
      <c r="W445" s="167"/>
      <c r="X445" s="167"/>
      <c r="Y445" s="167"/>
      <c r="Z445" s="167"/>
    </row>
    <row r="446" spans="1:26" s="47" customFormat="1" ht="44.25">
      <c r="A446" s="152">
        <v>54112</v>
      </c>
      <c r="B446" s="153" t="s">
        <v>1194</v>
      </c>
      <c r="C446" s="12"/>
      <c r="D446" s="14" t="s">
        <v>11</v>
      </c>
      <c r="E446" s="14" t="s">
        <v>25</v>
      </c>
      <c r="F446" s="14" t="s">
        <v>26</v>
      </c>
      <c r="G446" s="305">
        <f>'SEPT-18'!I441</f>
        <v>1500</v>
      </c>
      <c r="H446" s="51">
        <f>111</f>
        <v>111</v>
      </c>
      <c r="I446" s="17">
        <f t="shared" si="9"/>
        <v>1389</v>
      </c>
      <c r="J446" s="347"/>
      <c r="K446" s="44"/>
      <c r="L446" s="167"/>
      <c r="M446" s="167"/>
      <c r="N446" s="167"/>
      <c r="O446" s="167"/>
      <c r="P446" s="167"/>
      <c r="Q446" s="167"/>
      <c r="R446" s="167"/>
      <c r="S446" s="167"/>
      <c r="T446" s="167"/>
      <c r="U446" s="167"/>
      <c r="V446" s="167"/>
      <c r="W446" s="167"/>
      <c r="X446" s="167"/>
      <c r="Y446" s="167"/>
      <c r="Z446" s="167"/>
    </row>
    <row r="447" spans="1:26" s="47" customFormat="1" ht="29.25">
      <c r="A447" s="152">
        <v>54118</v>
      </c>
      <c r="B447" s="153" t="s">
        <v>1195</v>
      </c>
      <c r="C447" s="12"/>
      <c r="D447" s="14" t="s">
        <v>11</v>
      </c>
      <c r="E447" s="14" t="s">
        <v>25</v>
      </c>
      <c r="F447" s="14" t="s">
        <v>26</v>
      </c>
      <c r="G447" s="305">
        <f>'SEPT-18'!I442</f>
        <v>1505.17</v>
      </c>
      <c r="H447" s="51">
        <f>19.54</f>
        <v>19.54</v>
      </c>
      <c r="I447" s="17">
        <f t="shared" si="9"/>
        <v>1485.63</v>
      </c>
      <c r="J447" s="347"/>
      <c r="K447" s="44"/>
      <c r="L447" s="167"/>
      <c r="M447" s="167"/>
      <c r="N447" s="167"/>
      <c r="O447" s="167"/>
      <c r="P447" s="167"/>
      <c r="Q447" s="167"/>
      <c r="R447" s="167"/>
      <c r="S447" s="167"/>
      <c r="T447" s="167"/>
      <c r="U447" s="167"/>
      <c r="V447" s="167"/>
      <c r="W447" s="167"/>
      <c r="X447" s="167"/>
      <c r="Y447" s="167"/>
      <c r="Z447" s="167"/>
    </row>
    <row r="448" spans="1:26" s="47" customFormat="1" ht="29.25">
      <c r="A448" s="152">
        <v>55603</v>
      </c>
      <c r="B448" s="153" t="s">
        <v>1196</v>
      </c>
      <c r="C448" s="12"/>
      <c r="D448" s="14" t="s">
        <v>11</v>
      </c>
      <c r="E448" s="14" t="s">
        <v>25</v>
      </c>
      <c r="F448" s="14" t="s">
        <v>26</v>
      </c>
      <c r="G448" s="305">
        <f>'SEPT-18'!I443</f>
        <v>10</v>
      </c>
      <c r="H448" s="51">
        <f>1.41+3.39</f>
        <v>4.8</v>
      </c>
      <c r="I448" s="17">
        <f t="shared" si="9"/>
        <v>5.2</v>
      </c>
      <c r="J448" s="347"/>
      <c r="K448" s="44"/>
      <c r="L448" s="167"/>
      <c r="M448" s="167"/>
      <c r="N448" s="167"/>
      <c r="O448" s="167"/>
      <c r="P448" s="167"/>
      <c r="Q448" s="167"/>
      <c r="R448" s="167"/>
      <c r="S448" s="167"/>
      <c r="T448" s="167"/>
      <c r="U448" s="167"/>
      <c r="V448" s="167"/>
      <c r="W448" s="167"/>
      <c r="X448" s="167"/>
      <c r="Y448" s="167"/>
      <c r="Z448" s="167"/>
    </row>
    <row r="449" spans="1:26" s="47" customFormat="1">
      <c r="A449" s="152"/>
      <c r="B449" s="153"/>
      <c r="C449" s="12"/>
      <c r="D449" s="14"/>
      <c r="E449" s="14"/>
      <c r="F449" s="14"/>
      <c r="G449" s="305">
        <f>'SEPT-18'!I444</f>
        <v>0</v>
      </c>
      <c r="H449" s="51"/>
      <c r="I449" s="17"/>
      <c r="J449" s="347"/>
      <c r="K449" s="44"/>
      <c r="L449" s="167"/>
      <c r="M449" s="167"/>
      <c r="N449" s="167"/>
      <c r="O449" s="167"/>
      <c r="P449" s="167"/>
      <c r="Q449" s="167"/>
      <c r="R449" s="167"/>
      <c r="S449" s="167"/>
      <c r="T449" s="167"/>
      <c r="U449" s="167"/>
      <c r="V449" s="167"/>
      <c r="W449" s="167"/>
      <c r="X449" s="167"/>
      <c r="Y449" s="167"/>
      <c r="Z449" s="167"/>
    </row>
    <row r="450" spans="1:26" s="47" customFormat="1">
      <c r="B450" s="5"/>
      <c r="C450" s="12"/>
      <c r="D450" s="14"/>
      <c r="E450" s="14"/>
      <c r="F450" s="14"/>
      <c r="G450" s="305">
        <f>'SEPT-18'!I445</f>
        <v>0</v>
      </c>
      <c r="H450" s="51"/>
      <c r="I450" s="17"/>
      <c r="J450" s="316"/>
      <c r="K450" s="44"/>
      <c r="L450" s="167"/>
      <c r="M450" s="167"/>
      <c r="N450" s="167"/>
      <c r="O450" s="167"/>
      <c r="P450" s="167"/>
      <c r="Q450" s="167"/>
      <c r="R450" s="167"/>
      <c r="S450" s="167"/>
      <c r="T450" s="167"/>
      <c r="U450" s="167"/>
      <c r="V450" s="167"/>
      <c r="W450" s="167"/>
      <c r="X450" s="167"/>
      <c r="Y450" s="167"/>
      <c r="Z450" s="167"/>
    </row>
    <row r="451" spans="1:26" s="47" customFormat="1">
      <c r="A451" s="11"/>
      <c r="B451" s="5"/>
      <c r="C451" s="12"/>
      <c r="D451" s="3"/>
      <c r="E451" s="3"/>
      <c r="F451" s="3"/>
      <c r="G451" s="305">
        <f>'SEPT-18'!I446</f>
        <v>0</v>
      </c>
      <c r="H451" s="51"/>
      <c r="I451" s="17"/>
      <c r="J451" s="44"/>
      <c r="K451" s="44"/>
      <c r="L451" s="167"/>
      <c r="M451" s="167"/>
      <c r="N451" s="167"/>
      <c r="O451" s="167"/>
      <c r="P451" s="167"/>
      <c r="Q451" s="167"/>
      <c r="R451" s="167"/>
      <c r="S451" s="167"/>
      <c r="T451" s="167"/>
      <c r="U451" s="167"/>
      <c r="V451" s="167"/>
      <c r="W451" s="167"/>
      <c r="X451" s="167"/>
      <c r="Y451" s="167"/>
      <c r="Z451" s="167"/>
    </row>
    <row r="452" spans="1:26">
      <c r="A452" s="160"/>
      <c r="B452" s="161" t="s">
        <v>17</v>
      </c>
      <c r="C452" s="161"/>
      <c r="D452" s="161"/>
      <c r="E452" s="161"/>
      <c r="F452" s="161"/>
      <c r="G452" s="305">
        <f>'SEPT-18'!I447</f>
        <v>538511.74</v>
      </c>
      <c r="H452" s="163">
        <f>SUM(H160:H451)</f>
        <v>99163.7</v>
      </c>
      <c r="I452" s="162">
        <f>SUM(I160:I451)</f>
        <v>431726.04000000015</v>
      </c>
      <c r="J452" s="162">
        <f>SUM(J160:J451)</f>
        <v>52724.4</v>
      </c>
      <c r="K452" s="162">
        <f>SUM(K160:K451)</f>
        <v>60346.400000000001</v>
      </c>
      <c r="M452" s="167"/>
      <c r="N452" s="167"/>
      <c r="O452" s="167"/>
      <c r="P452" s="167"/>
      <c r="Q452" s="167"/>
      <c r="R452" s="167"/>
      <c r="S452" s="167"/>
      <c r="T452" s="167"/>
      <c r="U452" s="167"/>
      <c r="V452" s="167"/>
      <c r="W452" s="167"/>
      <c r="X452" s="167"/>
      <c r="Y452" s="167"/>
      <c r="Z452" s="167"/>
    </row>
    <row r="453" spans="1:26" ht="58.5">
      <c r="A453" s="11" t="s">
        <v>555</v>
      </c>
      <c r="B453" s="57" t="s">
        <v>557</v>
      </c>
      <c r="C453" s="344" t="s">
        <v>1159</v>
      </c>
      <c r="D453" s="14" t="s">
        <v>18</v>
      </c>
      <c r="E453" s="14" t="s">
        <v>28</v>
      </c>
      <c r="F453" s="14" t="s">
        <v>26</v>
      </c>
      <c r="G453" s="305">
        <f>'SEPT-18'!I448</f>
        <v>0</v>
      </c>
      <c r="H453" s="51"/>
      <c r="I453" s="17">
        <f t="shared" ref="I453:I524" si="10">G453-H453+J453-K453</f>
        <v>0</v>
      </c>
      <c r="J453" s="52"/>
      <c r="K453" s="143"/>
      <c r="M453" s="167"/>
      <c r="N453" s="167"/>
      <c r="O453" s="167"/>
      <c r="P453" s="167"/>
      <c r="Q453" s="167"/>
      <c r="R453" s="167"/>
      <c r="S453" s="167"/>
      <c r="T453" s="167"/>
      <c r="U453" s="167"/>
      <c r="V453" s="167"/>
      <c r="W453" s="167"/>
      <c r="X453" s="167"/>
      <c r="Y453" s="167"/>
      <c r="Z453" s="167"/>
    </row>
    <row r="454" spans="1:26" ht="58.5">
      <c r="A454" s="11" t="s">
        <v>556</v>
      </c>
      <c r="B454" s="57" t="s">
        <v>558</v>
      </c>
      <c r="C454" s="58"/>
      <c r="D454" s="14" t="s">
        <v>18</v>
      </c>
      <c r="E454" s="14" t="s">
        <v>28</v>
      </c>
      <c r="F454" s="14" t="s">
        <v>26</v>
      </c>
      <c r="G454" s="305">
        <f>'SEPT-18'!I449</f>
        <v>27.269999999998618</v>
      </c>
      <c r="H454" s="51"/>
      <c r="I454" s="17">
        <f t="shared" si="10"/>
        <v>-1.3820056210533949E-12</v>
      </c>
      <c r="J454" s="391"/>
      <c r="K454" s="266">
        <v>27.27</v>
      </c>
      <c r="M454" s="167"/>
      <c r="N454" s="167"/>
      <c r="O454" s="167"/>
      <c r="P454" s="167"/>
      <c r="Q454" s="167"/>
    </row>
    <row r="455" spans="1:26" ht="72.75">
      <c r="A455" s="11" t="s">
        <v>560</v>
      </c>
      <c r="B455" s="57" t="s">
        <v>559</v>
      </c>
      <c r="C455" s="59"/>
      <c r="D455" s="14" t="s">
        <v>18</v>
      </c>
      <c r="E455" s="14" t="s">
        <v>28</v>
      </c>
      <c r="F455" s="14" t="s">
        <v>26</v>
      </c>
      <c r="G455" s="305">
        <f>'SEPT-18'!I450</f>
        <v>0</v>
      </c>
      <c r="H455" s="51"/>
      <c r="I455" s="17">
        <f t="shared" si="10"/>
        <v>0</v>
      </c>
      <c r="J455" s="52"/>
      <c r="K455" s="143"/>
    </row>
    <row r="456" spans="1:26" ht="72.75">
      <c r="A456" s="11" t="s">
        <v>561</v>
      </c>
      <c r="B456" s="57" t="s">
        <v>562</v>
      </c>
      <c r="C456" s="59"/>
      <c r="D456" s="14" t="s">
        <v>18</v>
      </c>
      <c r="E456" s="14" t="s">
        <v>28</v>
      </c>
      <c r="F456" s="14" t="s">
        <v>26</v>
      </c>
      <c r="G456" s="305">
        <f>'SEPT-18'!I451</f>
        <v>0</v>
      </c>
      <c r="H456" s="51"/>
      <c r="I456" s="17">
        <f t="shared" si="10"/>
        <v>0</v>
      </c>
      <c r="J456" s="56"/>
      <c r="K456" s="391"/>
    </row>
    <row r="457" spans="1:26" ht="72.75">
      <c r="A457" s="11" t="s">
        <v>1160</v>
      </c>
      <c r="B457" s="57" t="s">
        <v>1161</v>
      </c>
      <c r="C457" s="59"/>
      <c r="D457" s="14" t="s">
        <v>18</v>
      </c>
      <c r="E457" s="14" t="s">
        <v>28</v>
      </c>
      <c r="F457" s="14" t="s">
        <v>26</v>
      </c>
      <c r="G457" s="305">
        <f>'SEPT-18'!I452</f>
        <v>0</v>
      </c>
      <c r="H457" s="51"/>
      <c r="I457" s="17">
        <f t="shared" si="10"/>
        <v>0</v>
      </c>
      <c r="J457" s="137"/>
      <c r="K457" s="392"/>
    </row>
    <row r="458" spans="1:26" ht="72.75">
      <c r="A458" s="11" t="s">
        <v>564</v>
      </c>
      <c r="B458" s="57" t="s">
        <v>563</v>
      </c>
      <c r="C458" s="59"/>
      <c r="D458" s="14" t="s">
        <v>18</v>
      </c>
      <c r="E458" s="14" t="s">
        <v>28</v>
      </c>
      <c r="F458" s="14" t="s">
        <v>26</v>
      </c>
      <c r="G458" s="305">
        <f>'SEPT-18'!I453</f>
        <v>0</v>
      </c>
      <c r="H458" s="51"/>
      <c r="I458" s="17">
        <f t="shared" si="10"/>
        <v>0</v>
      </c>
      <c r="J458" s="52"/>
      <c r="K458" s="391"/>
    </row>
    <row r="459" spans="1:26" ht="72.75">
      <c r="A459" s="11" t="s">
        <v>566</v>
      </c>
      <c r="B459" s="57" t="s">
        <v>567</v>
      </c>
      <c r="C459" s="380" t="s">
        <v>1162</v>
      </c>
      <c r="D459" s="14" t="s">
        <v>18</v>
      </c>
      <c r="E459" s="14" t="s">
        <v>28</v>
      </c>
      <c r="F459" s="14" t="s">
        <v>26</v>
      </c>
      <c r="G459" s="305">
        <f>'SEPT-18'!I454</f>
        <v>294.18000000000438</v>
      </c>
      <c r="H459" s="51"/>
      <c r="I459" s="134">
        <f t="shared" si="10"/>
        <v>4.3769432522822171E-12</v>
      </c>
      <c r="J459" s="143"/>
      <c r="K459" s="392">
        <v>294.18</v>
      </c>
    </row>
    <row r="460" spans="1:26" ht="72.75">
      <c r="A460" s="11" t="s">
        <v>565</v>
      </c>
      <c r="B460" s="57" t="s">
        <v>568</v>
      </c>
      <c r="C460" s="59"/>
      <c r="D460" s="14" t="s">
        <v>18</v>
      </c>
      <c r="E460" s="14" t="s">
        <v>28</v>
      </c>
      <c r="F460" s="14" t="s">
        <v>26</v>
      </c>
      <c r="G460" s="305">
        <f>'SEPT-18'!I455</f>
        <v>-4.5474735088646412E-13</v>
      </c>
      <c r="H460" s="51"/>
      <c r="I460" s="17">
        <f t="shared" si="10"/>
        <v>-4.5474735088646412E-13</v>
      </c>
      <c r="J460" s="52"/>
      <c r="K460" s="393"/>
    </row>
    <row r="461" spans="1:26" ht="87">
      <c r="A461" s="11" t="s">
        <v>1117</v>
      </c>
      <c r="B461" s="57" t="s">
        <v>1118</v>
      </c>
      <c r="C461" s="59"/>
      <c r="D461" s="14" t="s">
        <v>18</v>
      </c>
      <c r="E461" s="14" t="s">
        <v>28</v>
      </c>
      <c r="F461" s="14" t="s">
        <v>26</v>
      </c>
      <c r="G461" s="305">
        <f>'SEPT-18'!I456</f>
        <v>0</v>
      </c>
      <c r="H461" s="51"/>
      <c r="I461" s="134">
        <f>G461-H461+J461-K461</f>
        <v>0</v>
      </c>
      <c r="J461" s="137"/>
      <c r="K461" s="393"/>
    </row>
    <row r="462" spans="1:26" ht="87">
      <c r="A462" s="11" t="s">
        <v>1163</v>
      </c>
      <c r="B462" s="57" t="s">
        <v>1164</v>
      </c>
      <c r="C462" s="59"/>
      <c r="D462" s="14" t="s">
        <v>18</v>
      </c>
      <c r="E462" s="14" t="s">
        <v>28</v>
      </c>
      <c r="F462" s="14" t="s">
        <v>26</v>
      </c>
      <c r="G462" s="305">
        <f>'SEPT-18'!I457</f>
        <v>0</v>
      </c>
      <c r="H462" s="51"/>
      <c r="I462" s="134">
        <f>G462-H462+J462-K462</f>
        <v>0</v>
      </c>
      <c r="J462" s="137"/>
      <c r="K462" s="393"/>
    </row>
    <row r="463" spans="1:26" ht="72.75">
      <c r="A463" s="11" t="s">
        <v>569</v>
      </c>
      <c r="B463" s="57" t="s">
        <v>570</v>
      </c>
      <c r="C463" s="286" t="s">
        <v>1072</v>
      </c>
      <c r="D463" s="14" t="s">
        <v>18</v>
      </c>
      <c r="E463" s="14" t="s">
        <v>28</v>
      </c>
      <c r="F463" s="14" t="s">
        <v>26</v>
      </c>
      <c r="G463" s="305">
        <f>'SEPT-18'!I458</f>
        <v>1000</v>
      </c>
      <c r="H463" s="51"/>
      <c r="I463" s="17">
        <f t="shared" si="10"/>
        <v>0</v>
      </c>
      <c r="J463" s="52"/>
      <c r="K463" s="301">
        <v>1000</v>
      </c>
    </row>
    <row r="464" spans="1:26" ht="72.75">
      <c r="A464" s="11" t="s">
        <v>571</v>
      </c>
      <c r="B464" s="57" t="s">
        <v>572</v>
      </c>
      <c r="C464" s="286"/>
      <c r="D464" s="14" t="s">
        <v>18</v>
      </c>
      <c r="E464" s="14" t="s">
        <v>28</v>
      </c>
      <c r="F464" s="14" t="s">
        <v>26</v>
      </c>
      <c r="G464" s="305">
        <f>'SEPT-18'!I459</f>
        <v>35</v>
      </c>
      <c r="H464" s="51"/>
      <c r="I464" s="17">
        <f t="shared" si="10"/>
        <v>11070.03</v>
      </c>
      <c r="J464" s="391">
        <f>9708.15+1000+5.43+27.27+294.18</f>
        <v>11035.03</v>
      </c>
      <c r="K464" s="137"/>
    </row>
    <row r="465" spans="1:510" ht="72.75">
      <c r="A465" s="11" t="s">
        <v>969</v>
      </c>
      <c r="B465" s="57" t="s">
        <v>970</v>
      </c>
      <c r="C465" s="59"/>
      <c r="D465" s="14" t="s">
        <v>18</v>
      </c>
      <c r="E465" s="14" t="s">
        <v>28</v>
      </c>
      <c r="F465" s="14" t="s">
        <v>26</v>
      </c>
      <c r="G465" s="305">
        <f>'SEPT-18'!I460</f>
        <v>5.43</v>
      </c>
      <c r="H465" s="51"/>
      <c r="I465" s="17">
        <f t="shared" si="10"/>
        <v>0</v>
      </c>
      <c r="J465" s="137"/>
      <c r="K465" s="392">
        <v>5.43</v>
      </c>
    </row>
    <row r="466" spans="1:510" ht="39" customHeight="1">
      <c r="A466" s="11">
        <v>54109</v>
      </c>
      <c r="B466" s="54" t="s">
        <v>1180</v>
      </c>
      <c r="C466" s="13" t="s">
        <v>1165</v>
      </c>
      <c r="D466" s="14" t="s">
        <v>18</v>
      </c>
      <c r="E466" s="14" t="s">
        <v>28</v>
      </c>
      <c r="F466" s="14" t="s">
        <v>26</v>
      </c>
      <c r="G466" s="305">
        <f>'SEPT-18'!I461</f>
        <v>1679.9799999999996</v>
      </c>
      <c r="H466" s="51"/>
      <c r="I466" s="17">
        <f t="shared" si="10"/>
        <v>1679.9799999999996</v>
      </c>
      <c r="J466" s="52"/>
      <c r="K466" s="52"/>
    </row>
    <row r="467" spans="1:510" ht="60">
      <c r="A467" s="11" t="s">
        <v>574</v>
      </c>
      <c r="B467" s="54" t="s">
        <v>575</v>
      </c>
      <c r="C467" s="61" t="s">
        <v>1167</v>
      </c>
      <c r="D467" s="14" t="s">
        <v>18</v>
      </c>
      <c r="E467" s="14" t="s">
        <v>28</v>
      </c>
      <c r="F467" s="14" t="s">
        <v>26</v>
      </c>
      <c r="G467" s="305">
        <f>'SEPT-18'!I462</f>
        <v>1302.8000000000004</v>
      </c>
      <c r="H467" s="51">
        <v>620.25</v>
      </c>
      <c r="I467" s="17">
        <f t="shared" si="10"/>
        <v>682.55000000000041</v>
      </c>
      <c r="J467" s="52"/>
      <c r="K467" s="300"/>
    </row>
    <row r="468" spans="1:510" ht="75">
      <c r="A468" s="11" t="s">
        <v>212</v>
      </c>
      <c r="B468" s="54" t="s">
        <v>576</v>
      </c>
      <c r="C468" s="61" t="s">
        <v>1167</v>
      </c>
      <c r="D468" s="14" t="s">
        <v>18</v>
      </c>
      <c r="E468" s="14" t="s">
        <v>28</v>
      </c>
      <c r="F468" s="14" t="s">
        <v>26</v>
      </c>
      <c r="G468" s="305">
        <f>'SEPT-18'!I463</f>
        <v>4970.25</v>
      </c>
      <c r="H468" s="51">
        <v>988</v>
      </c>
      <c r="I468" s="17">
        <f t="shared" si="10"/>
        <v>3982.25</v>
      </c>
      <c r="J468" s="52"/>
      <c r="K468" s="300"/>
    </row>
    <row r="469" spans="1:510" ht="75">
      <c r="A469" s="11" t="s">
        <v>577</v>
      </c>
      <c r="B469" s="54" t="s">
        <v>1094</v>
      </c>
      <c r="C469" s="13"/>
      <c r="D469" s="14" t="s">
        <v>18</v>
      </c>
      <c r="E469" s="14" t="s">
        <v>28</v>
      </c>
      <c r="F469" s="14" t="s">
        <v>26</v>
      </c>
      <c r="G469" s="305">
        <f>'SEPT-18'!I464</f>
        <v>9999.8499999999985</v>
      </c>
      <c r="H469" s="51">
        <v>20</v>
      </c>
      <c r="I469" s="17">
        <f t="shared" si="10"/>
        <v>9979.8499999999985</v>
      </c>
      <c r="J469" s="56"/>
      <c r="K469" s="300"/>
    </row>
    <row r="470" spans="1:510" s="220" customFormat="1" ht="30">
      <c r="A470" s="11" t="s">
        <v>218</v>
      </c>
      <c r="B470" s="54" t="s">
        <v>579</v>
      </c>
      <c r="C470" s="13"/>
      <c r="D470" s="14" t="s">
        <v>18</v>
      </c>
      <c r="E470" s="14" t="s">
        <v>28</v>
      </c>
      <c r="F470" s="14" t="s">
        <v>26</v>
      </c>
      <c r="G470" s="305">
        <f>'SEPT-18'!I465</f>
        <v>2.87</v>
      </c>
      <c r="H470" s="51"/>
      <c r="I470" s="17">
        <f t="shared" si="10"/>
        <v>2.87</v>
      </c>
      <c r="J470" s="56"/>
      <c r="K470" s="56"/>
      <c r="L470" s="167"/>
      <c r="M470" s="167"/>
      <c r="N470" s="167"/>
      <c r="O470" s="167"/>
      <c r="P470" s="167"/>
      <c r="Q470" s="167"/>
      <c r="R470" s="167"/>
      <c r="S470" s="167"/>
      <c r="T470" s="167"/>
      <c r="U470" s="167"/>
      <c r="V470" s="167"/>
      <c r="W470" s="167"/>
      <c r="X470" s="167"/>
      <c r="Y470" s="167"/>
      <c r="Z470" s="167"/>
      <c r="AA470" s="167"/>
      <c r="AB470" s="167"/>
      <c r="AC470" s="167"/>
      <c r="AD470" s="167"/>
      <c r="AE470" s="167"/>
      <c r="AF470" s="167"/>
      <c r="AG470" s="167"/>
      <c r="AH470" s="167"/>
      <c r="AI470" s="167"/>
      <c r="AJ470" s="167"/>
      <c r="AK470" s="167"/>
      <c r="AL470" s="167"/>
      <c r="AM470" s="167"/>
      <c r="AN470" s="167"/>
      <c r="AO470" s="167"/>
      <c r="AP470" s="167"/>
      <c r="AQ470" s="167"/>
      <c r="AR470" s="167"/>
      <c r="AS470" s="167"/>
      <c r="AT470" s="167"/>
      <c r="AU470" s="167"/>
      <c r="AV470" s="167"/>
      <c r="AW470" s="167"/>
      <c r="AX470" s="167"/>
      <c r="AY470" s="167"/>
      <c r="AZ470" s="167"/>
      <c r="BA470" s="167"/>
      <c r="BB470" s="167"/>
      <c r="BC470" s="167"/>
      <c r="BD470" s="167"/>
      <c r="BE470" s="167"/>
      <c r="BF470" s="167"/>
      <c r="BG470" s="167"/>
      <c r="BH470" s="167"/>
      <c r="BI470" s="167"/>
      <c r="BJ470" s="167"/>
      <c r="BK470" s="167"/>
      <c r="BL470" s="167"/>
      <c r="BM470" s="167"/>
      <c r="BN470" s="167"/>
      <c r="BO470" s="167"/>
      <c r="BP470" s="167"/>
      <c r="BQ470" s="167"/>
      <c r="BR470" s="167"/>
      <c r="BS470" s="167"/>
      <c r="BT470" s="167"/>
      <c r="BU470" s="167"/>
      <c r="BV470" s="167"/>
      <c r="BW470" s="167"/>
      <c r="BX470" s="167"/>
      <c r="BY470" s="167"/>
      <c r="BZ470" s="167"/>
      <c r="CA470" s="167"/>
      <c r="CB470" s="167"/>
      <c r="CC470" s="167"/>
      <c r="CD470" s="167"/>
      <c r="CE470" s="167"/>
      <c r="CF470" s="167"/>
      <c r="CG470" s="167"/>
      <c r="CH470" s="167"/>
      <c r="CI470" s="167"/>
      <c r="CJ470" s="167"/>
      <c r="CK470" s="167"/>
      <c r="CL470" s="167"/>
      <c r="CM470" s="167"/>
      <c r="CN470" s="167"/>
      <c r="CO470" s="167"/>
      <c r="CP470" s="167"/>
      <c r="CQ470" s="167"/>
      <c r="CR470" s="167"/>
      <c r="CS470" s="167"/>
      <c r="CT470" s="167"/>
      <c r="CU470" s="167"/>
      <c r="CV470" s="167"/>
      <c r="CW470" s="167"/>
      <c r="CX470" s="167"/>
      <c r="CY470" s="167"/>
      <c r="CZ470" s="167"/>
      <c r="DA470" s="167"/>
      <c r="DB470" s="167"/>
      <c r="DC470" s="167"/>
      <c r="DD470" s="167"/>
      <c r="DE470" s="167"/>
      <c r="DF470" s="167"/>
      <c r="DG470" s="167"/>
      <c r="DH470" s="167"/>
      <c r="DI470" s="167"/>
      <c r="DJ470" s="167"/>
      <c r="DK470" s="167"/>
      <c r="DL470" s="167"/>
      <c r="DM470" s="167"/>
      <c r="DN470" s="167"/>
      <c r="DO470" s="167"/>
      <c r="DP470" s="167"/>
      <c r="DQ470" s="167"/>
      <c r="DR470" s="167"/>
      <c r="DS470" s="167"/>
      <c r="DT470" s="167"/>
      <c r="DU470" s="167"/>
      <c r="DV470" s="167"/>
      <c r="DW470" s="167"/>
      <c r="DX470" s="167"/>
      <c r="DY470" s="167"/>
      <c r="DZ470" s="167"/>
      <c r="EA470" s="167"/>
      <c r="EB470" s="167"/>
      <c r="EC470" s="167"/>
      <c r="ED470" s="167"/>
      <c r="EE470" s="167"/>
      <c r="EF470" s="167"/>
      <c r="EG470" s="167"/>
      <c r="EH470" s="167"/>
      <c r="EI470" s="167"/>
      <c r="EJ470" s="167"/>
      <c r="EK470" s="167"/>
      <c r="EL470" s="167"/>
      <c r="EM470" s="167"/>
      <c r="EN470" s="167"/>
      <c r="EO470" s="167"/>
      <c r="EP470" s="167"/>
      <c r="EQ470" s="167"/>
      <c r="ER470" s="167"/>
      <c r="ES470" s="167"/>
      <c r="ET470" s="167"/>
      <c r="EU470" s="167"/>
      <c r="EV470" s="167"/>
      <c r="EW470" s="167"/>
      <c r="EX470" s="167"/>
      <c r="EY470" s="167"/>
      <c r="EZ470" s="167"/>
      <c r="FA470" s="167"/>
      <c r="FB470" s="167"/>
      <c r="FC470" s="167"/>
      <c r="FD470" s="167"/>
      <c r="FE470" s="167"/>
      <c r="FF470" s="167"/>
      <c r="FG470" s="167"/>
      <c r="FH470" s="167"/>
      <c r="FI470" s="167"/>
      <c r="FJ470" s="167"/>
      <c r="FK470" s="167"/>
      <c r="FL470" s="167"/>
      <c r="FM470" s="167"/>
      <c r="FN470" s="167"/>
      <c r="FO470" s="167"/>
      <c r="FP470" s="167"/>
      <c r="FQ470" s="167"/>
      <c r="FR470" s="167"/>
      <c r="FS470" s="167"/>
      <c r="FT470" s="167"/>
      <c r="FU470" s="167"/>
      <c r="FV470" s="167"/>
      <c r="FW470" s="167"/>
      <c r="FX470" s="167"/>
      <c r="FY470" s="167"/>
      <c r="FZ470" s="167"/>
      <c r="GA470" s="167"/>
      <c r="GB470" s="167"/>
      <c r="GC470" s="167"/>
      <c r="GD470" s="167"/>
      <c r="GE470" s="167"/>
      <c r="GF470" s="167"/>
      <c r="GG470" s="167"/>
      <c r="GH470" s="167"/>
      <c r="GI470" s="167"/>
      <c r="GJ470" s="167"/>
      <c r="GK470" s="167"/>
      <c r="GL470" s="167"/>
      <c r="GM470" s="167"/>
      <c r="GN470" s="167"/>
      <c r="GO470" s="167"/>
      <c r="GP470" s="167"/>
      <c r="GQ470" s="167"/>
      <c r="GR470" s="167"/>
      <c r="GS470" s="167"/>
      <c r="GT470" s="167"/>
      <c r="GU470" s="167"/>
      <c r="GV470" s="167"/>
      <c r="GW470" s="167"/>
      <c r="GX470" s="167"/>
      <c r="GY470" s="167"/>
      <c r="GZ470" s="167"/>
      <c r="HA470" s="167"/>
      <c r="HB470" s="167"/>
      <c r="HC470" s="167"/>
      <c r="HD470" s="167"/>
      <c r="HE470" s="167"/>
      <c r="HF470" s="167"/>
      <c r="HG470" s="167"/>
      <c r="HH470" s="167"/>
      <c r="HI470" s="167"/>
      <c r="HJ470" s="167"/>
      <c r="HK470" s="167"/>
      <c r="HL470" s="167"/>
      <c r="HM470" s="167"/>
      <c r="HN470" s="167"/>
      <c r="HO470" s="167"/>
      <c r="HP470" s="167"/>
      <c r="HQ470" s="167"/>
      <c r="HR470" s="167"/>
      <c r="HS470" s="167"/>
      <c r="HT470" s="167"/>
      <c r="HU470" s="167"/>
      <c r="HV470" s="167"/>
      <c r="HW470" s="167"/>
      <c r="HX470" s="167"/>
      <c r="HY470" s="167"/>
      <c r="HZ470" s="167"/>
      <c r="IA470" s="167"/>
      <c r="IB470" s="167"/>
      <c r="IC470" s="167"/>
      <c r="ID470" s="167"/>
      <c r="IE470" s="167"/>
      <c r="IF470" s="167"/>
      <c r="IG470" s="167"/>
      <c r="IH470" s="167"/>
      <c r="II470" s="167"/>
      <c r="IJ470" s="167"/>
      <c r="IK470" s="167"/>
      <c r="IL470" s="167"/>
      <c r="IM470" s="167"/>
      <c r="IN470" s="167"/>
      <c r="IO470" s="167"/>
      <c r="IP470" s="167"/>
      <c r="IQ470" s="167"/>
      <c r="IR470" s="167"/>
      <c r="IS470" s="167"/>
      <c r="IT470" s="167"/>
      <c r="IU470" s="167"/>
      <c r="IV470" s="167"/>
      <c r="IW470" s="167"/>
      <c r="IX470" s="167"/>
      <c r="IY470" s="167"/>
      <c r="IZ470" s="167"/>
      <c r="JA470" s="167"/>
      <c r="JB470" s="167"/>
      <c r="JC470" s="167"/>
      <c r="JD470" s="167"/>
      <c r="JE470" s="167"/>
      <c r="JF470" s="167"/>
      <c r="JG470" s="167"/>
      <c r="JH470" s="167"/>
      <c r="JI470" s="167"/>
      <c r="JJ470" s="167"/>
      <c r="JK470" s="167"/>
      <c r="JL470" s="167"/>
      <c r="JM470" s="167"/>
      <c r="JN470" s="167"/>
      <c r="JO470" s="167"/>
      <c r="JP470" s="167"/>
      <c r="JQ470" s="167"/>
      <c r="JR470" s="167"/>
      <c r="JS470" s="167"/>
      <c r="JT470" s="167"/>
      <c r="JU470" s="167"/>
      <c r="JV470" s="167"/>
      <c r="JW470" s="167"/>
      <c r="JX470" s="167"/>
      <c r="JY470" s="167"/>
      <c r="JZ470" s="167"/>
      <c r="KA470" s="167"/>
      <c r="KB470" s="167"/>
      <c r="KC470" s="167"/>
      <c r="KD470" s="167"/>
      <c r="KE470" s="167"/>
      <c r="KF470" s="167"/>
      <c r="KG470" s="167"/>
      <c r="KH470" s="167"/>
      <c r="KI470" s="167"/>
      <c r="KJ470" s="167"/>
      <c r="KK470" s="167"/>
      <c r="KL470" s="167"/>
      <c r="KM470" s="167"/>
      <c r="KN470" s="167"/>
      <c r="KO470" s="167"/>
      <c r="KP470" s="167"/>
      <c r="KQ470" s="167"/>
      <c r="KR470" s="167"/>
      <c r="KS470" s="167"/>
      <c r="KT470" s="167"/>
      <c r="KU470" s="167"/>
      <c r="KV470" s="167"/>
      <c r="KW470" s="167"/>
      <c r="KX470" s="167"/>
      <c r="KY470" s="167"/>
      <c r="KZ470" s="167"/>
      <c r="LA470" s="167"/>
      <c r="LB470" s="167"/>
      <c r="LC470" s="167"/>
      <c r="LD470" s="167"/>
      <c r="LE470" s="167"/>
      <c r="LF470" s="167"/>
      <c r="LG470" s="167"/>
      <c r="LH470" s="167"/>
      <c r="LI470" s="167"/>
      <c r="LJ470" s="167"/>
      <c r="LK470" s="167"/>
      <c r="LL470" s="167"/>
      <c r="LM470" s="167"/>
      <c r="LN470" s="167"/>
      <c r="LO470" s="167"/>
      <c r="LP470" s="167"/>
      <c r="LQ470" s="167"/>
      <c r="LR470" s="167"/>
      <c r="LS470" s="167"/>
      <c r="LT470" s="167"/>
      <c r="LU470" s="167"/>
      <c r="LV470" s="167"/>
      <c r="LW470" s="167"/>
      <c r="LX470" s="167"/>
      <c r="LY470" s="167"/>
      <c r="LZ470" s="167"/>
      <c r="MA470" s="167"/>
      <c r="MB470" s="167"/>
      <c r="MC470" s="167"/>
      <c r="MD470" s="167"/>
      <c r="ME470" s="167"/>
      <c r="MF470" s="167"/>
      <c r="MG470" s="167"/>
      <c r="MH470" s="167"/>
      <c r="MI470" s="167"/>
      <c r="MJ470" s="167"/>
      <c r="MK470" s="167"/>
      <c r="ML470" s="167"/>
      <c r="MM470" s="167"/>
      <c r="MN470" s="167"/>
      <c r="MO470" s="167"/>
      <c r="MP470" s="167"/>
      <c r="MQ470" s="167"/>
      <c r="MR470" s="167"/>
      <c r="MS470" s="167"/>
      <c r="MT470" s="167"/>
      <c r="MU470" s="167"/>
      <c r="MV470" s="167"/>
      <c r="MW470" s="167"/>
      <c r="MX470" s="167"/>
      <c r="MY470" s="167"/>
      <c r="MZ470" s="167"/>
      <c r="NA470" s="167"/>
      <c r="NB470" s="167"/>
      <c r="NC470" s="167"/>
      <c r="ND470" s="167"/>
      <c r="NE470" s="167"/>
      <c r="NF470" s="167"/>
      <c r="NG470" s="167"/>
      <c r="NH470" s="167"/>
      <c r="NI470" s="167"/>
      <c r="NJ470" s="167"/>
      <c r="NK470" s="167"/>
      <c r="NL470" s="167"/>
      <c r="NM470" s="167"/>
      <c r="NN470" s="167"/>
      <c r="NO470" s="167"/>
      <c r="NP470" s="167"/>
      <c r="NQ470" s="167"/>
      <c r="NR470" s="167"/>
      <c r="NS470" s="167"/>
      <c r="NT470" s="167"/>
      <c r="NU470" s="167"/>
      <c r="NV470" s="167"/>
      <c r="NW470" s="167"/>
      <c r="NX470" s="167"/>
      <c r="NY470" s="167"/>
      <c r="NZ470" s="167"/>
      <c r="OA470" s="167"/>
      <c r="OB470" s="167"/>
      <c r="OC470" s="167"/>
      <c r="OD470" s="167"/>
      <c r="OE470" s="167"/>
      <c r="OF470" s="167"/>
      <c r="OG470" s="167"/>
      <c r="OH470" s="167"/>
      <c r="OI470" s="167"/>
      <c r="OJ470" s="167"/>
      <c r="OK470" s="167"/>
      <c r="OL470" s="167"/>
      <c r="OM470" s="167"/>
      <c r="ON470" s="167"/>
      <c r="OO470" s="167"/>
      <c r="OP470" s="167"/>
      <c r="OQ470" s="167"/>
      <c r="OR470" s="167"/>
      <c r="OS470" s="167"/>
      <c r="OT470" s="167"/>
      <c r="OU470" s="167"/>
      <c r="OV470" s="167"/>
      <c r="OW470" s="167"/>
      <c r="OX470" s="167"/>
      <c r="OY470" s="167"/>
      <c r="OZ470" s="167"/>
      <c r="PA470" s="167"/>
      <c r="PB470" s="167"/>
      <c r="PC470" s="167"/>
      <c r="PD470" s="167"/>
      <c r="PE470" s="167"/>
      <c r="PF470" s="167"/>
      <c r="PG470" s="167"/>
      <c r="PH470" s="167"/>
      <c r="PI470" s="167"/>
      <c r="PJ470" s="167"/>
      <c r="PK470" s="167"/>
      <c r="PL470" s="167"/>
      <c r="PM470" s="167"/>
      <c r="PN470" s="167"/>
      <c r="PO470" s="167"/>
      <c r="PP470" s="167"/>
      <c r="PQ470" s="167"/>
      <c r="PR470" s="167"/>
      <c r="PS470" s="167"/>
      <c r="PT470" s="167"/>
      <c r="PU470" s="167"/>
      <c r="PV470" s="167"/>
      <c r="PW470" s="167"/>
      <c r="PX470" s="167"/>
      <c r="PY470" s="167"/>
      <c r="PZ470" s="167"/>
      <c r="QA470" s="167"/>
      <c r="QB470" s="167"/>
      <c r="QC470" s="167"/>
      <c r="QD470" s="167"/>
      <c r="QE470" s="167"/>
      <c r="QF470" s="167"/>
      <c r="QG470" s="167"/>
      <c r="QH470" s="167"/>
      <c r="QI470" s="167"/>
      <c r="QJ470" s="167"/>
      <c r="QK470" s="167"/>
      <c r="QL470" s="167"/>
      <c r="QM470" s="167"/>
      <c r="QN470" s="167"/>
      <c r="QO470" s="167"/>
      <c r="QP470" s="167"/>
      <c r="QQ470" s="167"/>
      <c r="QR470" s="167"/>
      <c r="QS470" s="167"/>
      <c r="QT470" s="167"/>
      <c r="QU470" s="167"/>
      <c r="QV470" s="167"/>
      <c r="QW470" s="167"/>
      <c r="QX470" s="167"/>
      <c r="QY470" s="167"/>
      <c r="QZ470" s="167"/>
      <c r="RA470" s="167"/>
      <c r="RB470" s="167"/>
      <c r="RC470" s="167"/>
      <c r="RD470" s="167"/>
      <c r="RE470" s="167"/>
      <c r="RF470" s="167"/>
      <c r="RG470" s="167"/>
      <c r="RH470" s="167"/>
      <c r="RI470" s="167"/>
      <c r="RJ470" s="167"/>
      <c r="RK470" s="167"/>
      <c r="RL470" s="167"/>
      <c r="RM470" s="167"/>
      <c r="RN470" s="167"/>
      <c r="RO470" s="167"/>
      <c r="RP470" s="167"/>
      <c r="RQ470" s="167"/>
      <c r="RR470" s="167"/>
      <c r="RS470" s="167"/>
      <c r="RT470" s="167"/>
      <c r="RU470" s="167"/>
      <c r="RV470" s="167"/>
      <c r="RW470" s="167"/>
      <c r="RX470" s="167"/>
      <c r="RY470" s="167"/>
      <c r="RZ470" s="167"/>
      <c r="SA470" s="167"/>
      <c r="SB470" s="167"/>
      <c r="SC470" s="167"/>
      <c r="SD470" s="167"/>
      <c r="SE470" s="167"/>
      <c r="SF470" s="167"/>
      <c r="SG470" s="167"/>
      <c r="SH470" s="167"/>
      <c r="SI470" s="167"/>
      <c r="SJ470" s="167"/>
      <c r="SK470" s="167"/>
      <c r="SL470" s="167"/>
      <c r="SM470" s="167"/>
      <c r="SN470" s="167"/>
      <c r="SO470" s="167"/>
      <c r="SP470" s="167"/>
    </row>
    <row r="471" spans="1:510" s="229" customFormat="1" ht="9.75" customHeight="1">
      <c r="A471" s="221"/>
      <c r="B471" s="222"/>
      <c r="C471" s="223"/>
      <c r="D471" s="224"/>
      <c r="E471" s="224"/>
      <c r="F471" s="224"/>
      <c r="G471" s="305">
        <f>'SEPT-18'!I466</f>
        <v>0</v>
      </c>
      <c r="H471" s="226"/>
      <c r="I471" s="227"/>
      <c r="J471" s="228"/>
      <c r="K471" s="397"/>
      <c r="L471" s="199"/>
      <c r="M471" s="199"/>
      <c r="N471" s="199"/>
      <c r="O471" s="199"/>
      <c r="P471" s="199"/>
      <c r="Q471" s="199"/>
      <c r="R471" s="199"/>
      <c r="S471" s="199"/>
      <c r="T471" s="199"/>
      <c r="U471" s="199"/>
      <c r="V471" s="199"/>
      <c r="W471" s="199"/>
      <c r="X471" s="199"/>
      <c r="Y471" s="199"/>
      <c r="Z471" s="199"/>
      <c r="AA471" s="199"/>
      <c r="AB471" s="199"/>
      <c r="AC471" s="199"/>
      <c r="AD471" s="199"/>
      <c r="AE471" s="199"/>
      <c r="AF471" s="199"/>
      <c r="AG471" s="199"/>
      <c r="AH471" s="199"/>
      <c r="AI471" s="199"/>
      <c r="AJ471" s="199"/>
      <c r="AK471" s="199"/>
      <c r="AL471" s="199"/>
      <c r="AM471" s="199"/>
      <c r="AN471" s="199"/>
      <c r="AO471" s="199"/>
      <c r="AP471" s="199"/>
      <c r="AQ471" s="199"/>
      <c r="AR471" s="199"/>
      <c r="AS471" s="199"/>
      <c r="AT471" s="199"/>
      <c r="AU471" s="199"/>
      <c r="AV471" s="199"/>
      <c r="AW471" s="199"/>
      <c r="AX471" s="199"/>
      <c r="AY471" s="199"/>
      <c r="AZ471" s="199"/>
      <c r="BA471" s="199"/>
      <c r="BB471" s="199"/>
      <c r="BC471" s="199"/>
      <c r="BD471" s="199"/>
      <c r="BE471" s="199"/>
      <c r="BF471" s="199"/>
      <c r="BG471" s="199"/>
      <c r="BH471" s="199"/>
      <c r="BI471" s="199"/>
      <c r="BJ471" s="199"/>
      <c r="BK471" s="199"/>
      <c r="BL471" s="199"/>
      <c r="BM471" s="199"/>
      <c r="BN471" s="199"/>
      <c r="BO471" s="199"/>
      <c r="BP471" s="199"/>
      <c r="BQ471" s="199"/>
      <c r="BR471" s="199"/>
      <c r="BS471" s="199"/>
      <c r="BT471" s="199"/>
      <c r="BU471" s="199"/>
      <c r="BV471" s="199"/>
      <c r="BW471" s="199"/>
      <c r="BX471" s="199"/>
      <c r="BY471" s="199"/>
      <c r="BZ471" s="199"/>
      <c r="CA471" s="199"/>
      <c r="CB471" s="199"/>
      <c r="CC471" s="199"/>
      <c r="CD471" s="199"/>
      <c r="CE471" s="199"/>
      <c r="CF471" s="199"/>
      <c r="CG471" s="199"/>
      <c r="CH471" s="199"/>
      <c r="CI471" s="199"/>
      <c r="CJ471" s="199"/>
      <c r="CK471" s="199"/>
      <c r="CL471" s="199"/>
      <c r="CM471" s="199"/>
      <c r="CN471" s="199"/>
      <c r="CO471" s="199"/>
      <c r="CP471" s="199"/>
      <c r="CQ471" s="199"/>
      <c r="CR471" s="199"/>
      <c r="CS471" s="199"/>
      <c r="CT471" s="199"/>
      <c r="CU471" s="199"/>
      <c r="CV471" s="199"/>
      <c r="CW471" s="199"/>
      <c r="CX471" s="199"/>
      <c r="CY471" s="199"/>
      <c r="CZ471" s="199"/>
      <c r="DA471" s="199"/>
      <c r="DB471" s="199"/>
      <c r="DC471" s="199"/>
      <c r="DD471" s="199"/>
      <c r="DE471" s="199"/>
      <c r="DF471" s="199"/>
      <c r="DG471" s="199"/>
      <c r="DH471" s="199"/>
      <c r="DI471" s="199"/>
      <c r="DJ471" s="199"/>
      <c r="DK471" s="199"/>
      <c r="DL471" s="199"/>
      <c r="DM471" s="199"/>
      <c r="DN471" s="199"/>
      <c r="DO471" s="199"/>
      <c r="DP471" s="199"/>
      <c r="DQ471" s="199"/>
      <c r="DR471" s="199"/>
      <c r="DS471" s="199"/>
      <c r="DT471" s="199"/>
      <c r="DU471" s="199"/>
      <c r="DV471" s="199"/>
      <c r="DW471" s="199"/>
      <c r="DX471" s="199"/>
      <c r="DY471" s="199"/>
      <c r="DZ471" s="199"/>
      <c r="EA471" s="199"/>
      <c r="EB471" s="199"/>
      <c r="EC471" s="199"/>
      <c r="ED471" s="199"/>
      <c r="EE471" s="199"/>
      <c r="EF471" s="199"/>
      <c r="EG471" s="199"/>
      <c r="EH471" s="199"/>
      <c r="EI471" s="199"/>
      <c r="EJ471" s="199"/>
      <c r="EK471" s="199"/>
      <c r="EL471" s="199"/>
      <c r="EM471" s="199"/>
      <c r="EN471" s="199"/>
      <c r="EO471" s="199"/>
      <c r="EP471" s="199"/>
      <c r="EQ471" s="199"/>
      <c r="ER471" s="199"/>
      <c r="ES471" s="199"/>
      <c r="ET471" s="199"/>
      <c r="EU471" s="199"/>
      <c r="EV471" s="199"/>
      <c r="EW471" s="199"/>
      <c r="EX471" s="199"/>
      <c r="EY471" s="199"/>
      <c r="EZ471" s="199"/>
      <c r="FA471" s="199"/>
      <c r="FB471" s="199"/>
      <c r="FC471" s="199"/>
      <c r="FD471" s="199"/>
      <c r="FE471" s="199"/>
      <c r="FF471" s="199"/>
      <c r="FG471" s="199"/>
      <c r="FH471" s="199"/>
      <c r="FI471" s="199"/>
      <c r="FJ471" s="199"/>
      <c r="FK471" s="199"/>
      <c r="FL471" s="199"/>
      <c r="FM471" s="199"/>
      <c r="FN471" s="199"/>
      <c r="FO471" s="199"/>
      <c r="FP471" s="199"/>
      <c r="FQ471" s="199"/>
      <c r="FR471" s="199"/>
      <c r="FS471" s="199"/>
      <c r="FT471" s="199"/>
      <c r="FU471" s="199"/>
      <c r="FV471" s="199"/>
      <c r="FW471" s="199"/>
      <c r="FX471" s="199"/>
      <c r="FY471" s="199"/>
      <c r="FZ471" s="199"/>
      <c r="GA471" s="199"/>
      <c r="GB471" s="199"/>
      <c r="GC471" s="199"/>
      <c r="GD471" s="199"/>
      <c r="GE471" s="199"/>
      <c r="GF471" s="199"/>
      <c r="GG471" s="199"/>
      <c r="GH471" s="199"/>
      <c r="GI471" s="199"/>
      <c r="GJ471" s="199"/>
      <c r="GK471" s="199"/>
      <c r="GL471" s="199"/>
      <c r="GM471" s="199"/>
      <c r="GN471" s="199"/>
      <c r="GO471" s="199"/>
      <c r="GP471" s="199"/>
      <c r="GQ471" s="199"/>
      <c r="GR471" s="199"/>
      <c r="GS471" s="199"/>
      <c r="GT471" s="199"/>
      <c r="GU471" s="199"/>
      <c r="GV471" s="199"/>
      <c r="GW471" s="199"/>
      <c r="GX471" s="199"/>
      <c r="GY471" s="199"/>
      <c r="GZ471" s="199"/>
      <c r="HA471" s="199"/>
      <c r="HB471" s="199"/>
      <c r="HC471" s="199"/>
      <c r="HD471" s="199"/>
      <c r="HE471" s="199"/>
      <c r="HF471" s="199"/>
      <c r="HG471" s="199"/>
      <c r="HH471" s="199"/>
      <c r="HI471" s="199"/>
      <c r="HJ471" s="199"/>
      <c r="HK471" s="199"/>
      <c r="HL471" s="199"/>
      <c r="HM471" s="199"/>
      <c r="HN471" s="199"/>
      <c r="HO471" s="199"/>
      <c r="HP471" s="199"/>
      <c r="HQ471" s="199"/>
      <c r="HR471" s="199"/>
      <c r="HS471" s="199"/>
      <c r="HT471" s="199"/>
      <c r="HU471" s="199"/>
      <c r="HV471" s="199"/>
      <c r="HW471" s="199"/>
      <c r="HX471" s="199"/>
      <c r="HY471" s="199"/>
      <c r="HZ471" s="199"/>
      <c r="IA471" s="199"/>
      <c r="IB471" s="199"/>
      <c r="IC471" s="199"/>
      <c r="ID471" s="199"/>
      <c r="IE471" s="199"/>
      <c r="IF471" s="199"/>
      <c r="IG471" s="199"/>
      <c r="IH471" s="199"/>
      <c r="II471" s="199"/>
      <c r="IJ471" s="199"/>
      <c r="IK471" s="199"/>
      <c r="IL471" s="199"/>
      <c r="IM471" s="199"/>
      <c r="IN471" s="199"/>
      <c r="IO471" s="199"/>
      <c r="IP471" s="199"/>
      <c r="IQ471" s="199"/>
      <c r="IR471" s="199"/>
      <c r="IS471" s="199"/>
      <c r="IT471" s="199"/>
      <c r="IU471" s="199"/>
      <c r="IV471" s="199"/>
      <c r="IW471" s="199"/>
      <c r="IX471" s="199"/>
      <c r="IY471" s="199"/>
      <c r="IZ471" s="199"/>
      <c r="JA471" s="199"/>
      <c r="JB471" s="199"/>
      <c r="JC471" s="199"/>
      <c r="JD471" s="199"/>
      <c r="JE471" s="199"/>
      <c r="JF471" s="199"/>
      <c r="JG471" s="199"/>
      <c r="JH471" s="199"/>
      <c r="JI471" s="199"/>
      <c r="JJ471" s="199"/>
      <c r="JK471" s="199"/>
      <c r="JL471" s="199"/>
      <c r="JM471" s="199"/>
      <c r="JN471" s="199"/>
      <c r="JO471" s="199"/>
      <c r="JP471" s="199"/>
      <c r="JQ471" s="199"/>
      <c r="JR471" s="199"/>
      <c r="JS471" s="199"/>
      <c r="JT471" s="199"/>
      <c r="JU471" s="199"/>
      <c r="JV471" s="199"/>
      <c r="JW471" s="199"/>
      <c r="JX471" s="199"/>
      <c r="JY471" s="199"/>
      <c r="JZ471" s="199"/>
      <c r="KA471" s="199"/>
      <c r="KB471" s="199"/>
      <c r="KC471" s="199"/>
      <c r="KD471" s="199"/>
      <c r="KE471" s="199"/>
      <c r="KF471" s="199"/>
      <c r="KG471" s="199"/>
      <c r="KH471" s="199"/>
      <c r="KI471" s="199"/>
      <c r="KJ471" s="199"/>
      <c r="KK471" s="199"/>
      <c r="KL471" s="199"/>
      <c r="KM471" s="199"/>
      <c r="KN471" s="199"/>
      <c r="KO471" s="199"/>
      <c r="KP471" s="199"/>
      <c r="KQ471" s="199"/>
      <c r="KR471" s="199"/>
      <c r="KS471" s="199"/>
      <c r="KT471" s="199"/>
      <c r="KU471" s="199"/>
      <c r="KV471" s="199"/>
      <c r="KW471" s="199"/>
      <c r="KX471" s="199"/>
      <c r="KY471" s="199"/>
      <c r="KZ471" s="199"/>
      <c r="LA471" s="199"/>
      <c r="LB471" s="199"/>
      <c r="LC471" s="199"/>
      <c r="LD471" s="199"/>
      <c r="LE471" s="199"/>
      <c r="LF471" s="199"/>
      <c r="LG471" s="199"/>
      <c r="LH471" s="199"/>
      <c r="LI471" s="199"/>
      <c r="LJ471" s="199"/>
      <c r="LK471" s="199"/>
      <c r="LL471" s="199"/>
      <c r="LM471" s="199"/>
      <c r="LN471" s="199"/>
      <c r="LO471" s="199"/>
      <c r="LP471" s="199"/>
      <c r="LQ471" s="199"/>
      <c r="LR471" s="199"/>
      <c r="LS471" s="199"/>
      <c r="LT471" s="199"/>
      <c r="LU471" s="199"/>
      <c r="LV471" s="199"/>
      <c r="LW471" s="199"/>
      <c r="LX471" s="199"/>
      <c r="LY471" s="199"/>
      <c r="LZ471" s="199"/>
      <c r="MA471" s="199"/>
      <c r="MB471" s="199"/>
      <c r="MC471" s="199"/>
      <c r="MD471" s="199"/>
      <c r="ME471" s="199"/>
      <c r="MF471" s="199"/>
      <c r="MG471" s="199"/>
      <c r="MH471" s="199"/>
      <c r="MI471" s="199"/>
      <c r="MJ471" s="199"/>
      <c r="MK471" s="199"/>
      <c r="ML471" s="199"/>
      <c r="MM471" s="199"/>
      <c r="MN471" s="199"/>
      <c r="MO471" s="199"/>
      <c r="MP471" s="199"/>
      <c r="MQ471" s="199"/>
      <c r="MR471" s="199"/>
      <c r="MS471" s="199"/>
      <c r="MT471" s="199"/>
      <c r="MU471" s="199"/>
      <c r="MV471" s="199"/>
      <c r="MW471" s="199"/>
      <c r="MX471" s="199"/>
      <c r="MY471" s="199"/>
      <c r="MZ471" s="199"/>
      <c r="NA471" s="199"/>
      <c r="NB471" s="199"/>
      <c r="NC471" s="199"/>
      <c r="ND471" s="199"/>
      <c r="NE471" s="199"/>
      <c r="NF471" s="199"/>
      <c r="NG471" s="199"/>
      <c r="NH471" s="199"/>
      <c r="NI471" s="199"/>
      <c r="NJ471" s="199"/>
      <c r="NK471" s="199"/>
      <c r="NL471" s="199"/>
      <c r="NM471" s="199"/>
      <c r="NN471" s="199"/>
      <c r="NO471" s="199"/>
      <c r="NP471" s="199"/>
      <c r="NQ471" s="199"/>
      <c r="NR471" s="199"/>
      <c r="NS471" s="199"/>
      <c r="NT471" s="199"/>
      <c r="NU471" s="199"/>
      <c r="NV471" s="199"/>
      <c r="NW471" s="199"/>
      <c r="NX471" s="199"/>
      <c r="NY471" s="199"/>
      <c r="NZ471" s="199"/>
      <c r="OA471" s="199"/>
      <c r="OB471" s="199"/>
      <c r="OC471" s="199"/>
      <c r="OD471" s="199"/>
      <c r="OE471" s="199"/>
      <c r="OF471" s="199"/>
      <c r="OG471" s="199"/>
      <c r="OH471" s="199"/>
      <c r="OI471" s="199"/>
      <c r="OJ471" s="199"/>
      <c r="OK471" s="199"/>
      <c r="OL471" s="199"/>
      <c r="OM471" s="199"/>
      <c r="ON471" s="199"/>
      <c r="OO471" s="199"/>
      <c r="OP471" s="199"/>
      <c r="OQ471" s="199"/>
      <c r="OR471" s="199"/>
      <c r="OS471" s="199"/>
      <c r="OT471" s="199"/>
      <c r="OU471" s="199"/>
      <c r="OV471" s="199"/>
      <c r="OW471" s="199"/>
      <c r="OX471" s="199"/>
      <c r="OY471" s="199"/>
      <c r="OZ471" s="199"/>
      <c r="PA471" s="199"/>
      <c r="PB471" s="199"/>
      <c r="PC471" s="199"/>
      <c r="PD471" s="199"/>
      <c r="PE471" s="199"/>
      <c r="PF471" s="199"/>
      <c r="PG471" s="199"/>
      <c r="PH471" s="199"/>
      <c r="PI471" s="199"/>
      <c r="PJ471" s="199"/>
      <c r="PK471" s="199"/>
      <c r="PL471" s="199"/>
      <c r="PM471" s="199"/>
      <c r="PN471" s="199"/>
      <c r="PO471" s="199"/>
      <c r="PP471" s="199"/>
      <c r="PQ471" s="199"/>
      <c r="PR471" s="199"/>
      <c r="PS471" s="199"/>
      <c r="PT471" s="199"/>
      <c r="PU471" s="199"/>
      <c r="PV471" s="199"/>
      <c r="PW471" s="199"/>
      <c r="PX471" s="199"/>
      <c r="PY471" s="199"/>
      <c r="PZ471" s="199"/>
      <c r="QA471" s="199"/>
      <c r="QB471" s="199"/>
      <c r="QC471" s="199"/>
      <c r="QD471" s="199"/>
      <c r="QE471" s="199"/>
      <c r="QF471" s="199"/>
      <c r="QG471" s="199"/>
      <c r="QH471" s="199"/>
      <c r="QI471" s="199"/>
      <c r="QJ471" s="199"/>
      <c r="QK471" s="199"/>
      <c r="QL471" s="199"/>
      <c r="QM471" s="199"/>
      <c r="QN471" s="199"/>
      <c r="QO471" s="199"/>
      <c r="QP471" s="199"/>
      <c r="QQ471" s="199"/>
      <c r="QR471" s="199"/>
      <c r="QS471" s="199"/>
      <c r="QT471" s="199"/>
      <c r="QU471" s="199"/>
      <c r="QV471" s="199"/>
      <c r="QW471" s="199"/>
      <c r="QX471" s="199"/>
      <c r="QY471" s="199"/>
      <c r="QZ471" s="199"/>
      <c r="RA471" s="199"/>
      <c r="RB471" s="199"/>
      <c r="RC471" s="199"/>
      <c r="RD471" s="199"/>
      <c r="RE471" s="199"/>
      <c r="RF471" s="199"/>
      <c r="RG471" s="199"/>
      <c r="RH471" s="199"/>
      <c r="RI471" s="199"/>
      <c r="RJ471" s="199"/>
      <c r="RK471" s="199"/>
      <c r="RL471" s="199"/>
      <c r="RM471" s="199"/>
      <c r="RN471" s="199"/>
      <c r="RO471" s="199"/>
      <c r="RP471" s="199"/>
      <c r="RQ471" s="199"/>
      <c r="RR471" s="199"/>
      <c r="RS471" s="199"/>
      <c r="RT471" s="199"/>
      <c r="RU471" s="199"/>
      <c r="RV471" s="199"/>
      <c r="RW471" s="199"/>
      <c r="RX471" s="199"/>
      <c r="RY471" s="199"/>
      <c r="RZ471" s="199"/>
      <c r="SA471" s="199"/>
      <c r="SB471" s="199"/>
      <c r="SC471" s="199"/>
      <c r="SD471" s="199"/>
      <c r="SE471" s="199"/>
      <c r="SF471" s="199"/>
      <c r="SG471" s="199"/>
      <c r="SH471" s="199"/>
      <c r="SI471" s="199"/>
      <c r="SJ471" s="199"/>
      <c r="SK471" s="199"/>
      <c r="SL471" s="199"/>
      <c r="SM471" s="199"/>
      <c r="SN471" s="199"/>
      <c r="SO471" s="199"/>
      <c r="SP471" s="199"/>
    </row>
    <row r="472" spans="1:510" ht="52.5">
      <c r="A472" s="214" t="s">
        <v>988</v>
      </c>
      <c r="B472" s="215" t="s">
        <v>581</v>
      </c>
      <c r="C472" s="344" t="s">
        <v>1104</v>
      </c>
      <c r="D472" s="187" t="s">
        <v>18</v>
      </c>
      <c r="E472" s="187" t="s">
        <v>28</v>
      </c>
      <c r="F472" s="187" t="s">
        <v>27</v>
      </c>
      <c r="G472" s="305">
        <f>'SEPT-18'!I467</f>
        <v>4663.26</v>
      </c>
      <c r="H472" s="348">
        <f>1106.07+1022.57</f>
        <v>2128.64</v>
      </c>
      <c r="I472" s="189">
        <f t="shared" si="10"/>
        <v>2534.6200000000003</v>
      </c>
      <c r="J472" s="219"/>
      <c r="K472" s="219"/>
    </row>
    <row r="473" spans="1:510" ht="30">
      <c r="A473" s="11" t="s">
        <v>235</v>
      </c>
      <c r="B473" s="54" t="s">
        <v>582</v>
      </c>
      <c r="C473" s="13"/>
      <c r="D473" s="14" t="s">
        <v>18</v>
      </c>
      <c r="E473" s="14" t="s">
        <v>28</v>
      </c>
      <c r="F473" s="14" t="s">
        <v>27</v>
      </c>
      <c r="G473" s="305">
        <f>'SEPT-18'!I468</f>
        <v>2.8699999999999992</v>
      </c>
      <c r="H473" s="276"/>
      <c r="I473" s="17">
        <f t="shared" si="10"/>
        <v>2.8699999999999992</v>
      </c>
      <c r="J473" s="56"/>
      <c r="K473" s="56"/>
    </row>
    <row r="474" spans="1:510" ht="96" customHeight="1">
      <c r="A474" s="11" t="s">
        <v>200</v>
      </c>
      <c r="B474" s="53" t="s">
        <v>584</v>
      </c>
      <c r="C474" s="61"/>
      <c r="D474" s="14"/>
      <c r="E474" s="14"/>
      <c r="F474" s="14"/>
      <c r="G474" s="305">
        <f>'SEPT-18'!I469</f>
        <v>0</v>
      </c>
      <c r="H474" s="51"/>
      <c r="I474" s="17"/>
      <c r="J474" s="56"/>
      <c r="K474" s="56"/>
    </row>
    <row r="475" spans="1:510" ht="30">
      <c r="A475" s="11">
        <v>54111</v>
      </c>
      <c r="B475" s="54" t="s">
        <v>583</v>
      </c>
      <c r="C475" s="13"/>
      <c r="D475" s="14" t="s">
        <v>18</v>
      </c>
      <c r="E475" s="14" t="s">
        <v>28</v>
      </c>
      <c r="F475" s="14" t="s">
        <v>27</v>
      </c>
      <c r="G475" s="305">
        <f>'SEPT-18'!I470</f>
        <v>0</v>
      </c>
      <c r="H475" s="51"/>
      <c r="I475" s="17">
        <f t="shared" si="10"/>
        <v>0</v>
      </c>
      <c r="J475" s="56"/>
      <c r="K475" s="300"/>
    </row>
    <row r="476" spans="1:510" ht="75">
      <c r="A476" s="141" t="s">
        <v>201</v>
      </c>
      <c r="B476" s="53" t="s">
        <v>585</v>
      </c>
      <c r="C476" s="13"/>
      <c r="D476" s="14"/>
      <c r="E476" s="14"/>
      <c r="F476" s="14"/>
      <c r="G476" s="305">
        <f>'SEPT-18'!I471</f>
        <v>0</v>
      </c>
      <c r="H476" s="51"/>
      <c r="I476" s="17"/>
      <c r="J476" s="56"/>
      <c r="K476" s="56"/>
    </row>
    <row r="477" spans="1:510" ht="29.25">
      <c r="A477" s="11">
        <v>54110</v>
      </c>
      <c r="B477" s="54" t="s">
        <v>586</v>
      </c>
      <c r="C477" s="13"/>
      <c r="D477" s="14" t="s">
        <v>18</v>
      </c>
      <c r="E477" s="14" t="s">
        <v>28</v>
      </c>
      <c r="F477" s="14" t="s">
        <v>27</v>
      </c>
      <c r="G477" s="305">
        <f>'SEPT-18'!I472</f>
        <v>0</v>
      </c>
      <c r="H477" s="51"/>
      <c r="I477" s="17">
        <f t="shared" si="10"/>
        <v>0</v>
      </c>
      <c r="J477" s="56"/>
      <c r="K477" s="300"/>
    </row>
    <row r="478" spans="1:510" ht="30">
      <c r="A478" s="11">
        <v>54111</v>
      </c>
      <c r="B478" s="54" t="s">
        <v>587</v>
      </c>
      <c r="C478" s="13"/>
      <c r="D478" s="14" t="s">
        <v>18</v>
      </c>
      <c r="E478" s="14" t="s">
        <v>28</v>
      </c>
      <c r="F478" s="14" t="s">
        <v>27</v>
      </c>
      <c r="G478" s="305">
        <f>'SEPT-18'!I473</f>
        <v>0</v>
      </c>
      <c r="H478" s="51"/>
      <c r="I478" s="17">
        <f t="shared" si="10"/>
        <v>0</v>
      </c>
      <c r="J478" s="56"/>
      <c r="K478" s="300"/>
    </row>
    <row r="479" spans="1:510" ht="29.25">
      <c r="A479" s="11">
        <v>54112</v>
      </c>
      <c r="B479" s="54" t="s">
        <v>588</v>
      </c>
      <c r="C479" s="59"/>
      <c r="D479" s="14" t="s">
        <v>18</v>
      </c>
      <c r="E479" s="14" t="s">
        <v>28</v>
      </c>
      <c r="F479" s="14" t="s">
        <v>27</v>
      </c>
      <c r="G479" s="305">
        <f>'SEPT-18'!I474</f>
        <v>0</v>
      </c>
      <c r="H479" s="51"/>
      <c r="I479" s="17">
        <f t="shared" si="10"/>
        <v>0</v>
      </c>
      <c r="J479" s="56"/>
      <c r="K479" s="300"/>
    </row>
    <row r="480" spans="1:510" ht="29.25">
      <c r="A480" s="11">
        <v>55603</v>
      </c>
      <c r="B480" s="54" t="s">
        <v>974</v>
      </c>
      <c r="C480" s="55"/>
      <c r="D480" s="14" t="s">
        <v>18</v>
      </c>
      <c r="E480" s="14" t="s">
        <v>28</v>
      </c>
      <c r="F480" s="14" t="s">
        <v>27</v>
      </c>
      <c r="G480" s="305">
        <f>'SEPT-18'!I475</f>
        <v>0</v>
      </c>
      <c r="H480" s="51"/>
      <c r="I480" s="17">
        <f t="shared" si="10"/>
        <v>0</v>
      </c>
      <c r="J480" s="11"/>
      <c r="K480" s="129"/>
    </row>
    <row r="481" spans="1:11" ht="90">
      <c r="A481" s="11" t="s">
        <v>220</v>
      </c>
      <c r="B481" s="53" t="s">
        <v>966</v>
      </c>
      <c r="C481" s="55"/>
      <c r="D481" s="14"/>
      <c r="E481" s="14"/>
      <c r="F481" s="14"/>
      <c r="G481" s="305">
        <f>'SEPT-18'!I476</f>
        <v>0</v>
      </c>
      <c r="H481" s="51"/>
      <c r="I481" s="17"/>
      <c r="J481" s="11"/>
      <c r="K481" s="54"/>
    </row>
    <row r="482" spans="1:11" ht="29.25">
      <c r="A482" s="11">
        <v>51202</v>
      </c>
      <c r="B482" s="54" t="s">
        <v>589</v>
      </c>
      <c r="C482" s="55"/>
      <c r="D482" s="14" t="s">
        <v>18</v>
      </c>
      <c r="E482" s="14" t="s">
        <v>28</v>
      </c>
      <c r="F482" s="14" t="s">
        <v>27</v>
      </c>
      <c r="G482" s="305">
        <f>'SEPT-18'!I477</f>
        <v>0</v>
      </c>
      <c r="H482" s="51"/>
      <c r="I482" s="17">
        <f t="shared" si="10"/>
        <v>0</v>
      </c>
      <c r="J482" s="11"/>
      <c r="K482" s="251"/>
    </row>
    <row r="483" spans="1:11" ht="29.25" customHeight="1">
      <c r="A483" s="11">
        <v>54110</v>
      </c>
      <c r="B483" s="54" t="s">
        <v>590</v>
      </c>
      <c r="C483" s="55"/>
      <c r="D483" s="14" t="s">
        <v>18</v>
      </c>
      <c r="E483" s="14" t="s">
        <v>28</v>
      </c>
      <c r="F483" s="14" t="s">
        <v>27</v>
      </c>
      <c r="G483" s="305">
        <f>'SEPT-18'!I478</f>
        <v>0</v>
      </c>
      <c r="H483" s="51"/>
      <c r="I483" s="17">
        <f t="shared" si="10"/>
        <v>0</v>
      </c>
      <c r="J483" s="11"/>
      <c r="K483" s="251"/>
    </row>
    <row r="484" spans="1:11" ht="30">
      <c r="A484" s="11">
        <v>54111</v>
      </c>
      <c r="B484" s="54" t="s">
        <v>591</v>
      </c>
      <c r="C484" s="55"/>
      <c r="D484" s="14" t="s">
        <v>18</v>
      </c>
      <c r="E484" s="14" t="s">
        <v>28</v>
      </c>
      <c r="F484" s="14" t="s">
        <v>27</v>
      </c>
      <c r="G484" s="305">
        <f>'SEPT-18'!I479</f>
        <v>-6.3726801613483985E-14</v>
      </c>
      <c r="H484" s="51"/>
      <c r="I484" s="17">
        <f t="shared" si="10"/>
        <v>-6.3726801613483985E-14</v>
      </c>
      <c r="J484" s="252"/>
      <c r="K484" s="251"/>
    </row>
    <row r="485" spans="1:11" ht="29.25">
      <c r="A485" s="11">
        <v>54112</v>
      </c>
      <c r="B485" s="54" t="s">
        <v>592</v>
      </c>
      <c r="C485" s="55"/>
      <c r="D485" s="14" t="s">
        <v>18</v>
      </c>
      <c r="E485" s="14" t="s">
        <v>28</v>
      </c>
      <c r="F485" s="14" t="s">
        <v>27</v>
      </c>
      <c r="G485" s="305">
        <f>'SEPT-18'!I480</f>
        <v>0</v>
      </c>
      <c r="H485" s="51"/>
      <c r="I485" s="17">
        <f t="shared" si="10"/>
        <v>0</v>
      </c>
      <c r="J485" s="11"/>
      <c r="K485" s="251"/>
    </row>
    <row r="486" spans="1:11" ht="29.25">
      <c r="A486" s="11">
        <v>54313</v>
      </c>
      <c r="B486" s="54" t="s">
        <v>593</v>
      </c>
      <c r="C486" s="55"/>
      <c r="D486" s="14" t="s">
        <v>18</v>
      </c>
      <c r="E486" s="14" t="s">
        <v>28</v>
      </c>
      <c r="F486" s="14" t="s">
        <v>27</v>
      </c>
      <c r="G486" s="305">
        <f>'SEPT-18'!I481</f>
        <v>0</v>
      </c>
      <c r="H486" s="51"/>
      <c r="I486" s="17">
        <f t="shared" si="10"/>
        <v>0</v>
      </c>
      <c r="J486" s="11"/>
      <c r="K486" s="251"/>
    </row>
    <row r="487" spans="1:11" ht="105" customHeight="1">
      <c r="A487" s="11" t="s">
        <v>238</v>
      </c>
      <c r="B487" s="53" t="s">
        <v>595</v>
      </c>
      <c r="C487" s="343" t="s">
        <v>1105</v>
      </c>
      <c r="D487" s="14"/>
      <c r="E487" s="14"/>
      <c r="F487" s="14"/>
      <c r="G487" s="305">
        <f>'SEPT-18'!I482</f>
        <v>0</v>
      </c>
      <c r="H487" s="51"/>
      <c r="I487" s="17"/>
      <c r="J487" s="11"/>
      <c r="K487" s="54"/>
    </row>
    <row r="488" spans="1:11" ht="29.25">
      <c r="A488" s="11">
        <v>51202</v>
      </c>
      <c r="B488" s="54" t="s">
        <v>594</v>
      </c>
      <c r="C488" s="55"/>
      <c r="D488" s="14" t="s">
        <v>18</v>
      </c>
      <c r="E488" s="14" t="s">
        <v>28</v>
      </c>
      <c r="F488" s="14" t="s">
        <v>27</v>
      </c>
      <c r="G488" s="305">
        <f>'SEPT-18'!I483</f>
        <v>0</v>
      </c>
      <c r="H488" s="51"/>
      <c r="I488" s="17">
        <f t="shared" si="10"/>
        <v>0</v>
      </c>
      <c r="J488" s="272"/>
      <c r="K488" s="129"/>
    </row>
    <row r="489" spans="1:11" ht="29.25">
      <c r="A489" s="11">
        <v>54110</v>
      </c>
      <c r="B489" s="54" t="s">
        <v>596</v>
      </c>
      <c r="C489" s="55"/>
      <c r="D489" s="14" t="s">
        <v>18</v>
      </c>
      <c r="E489" s="14" t="s">
        <v>28</v>
      </c>
      <c r="F489" s="14" t="s">
        <v>27</v>
      </c>
      <c r="G489" s="305">
        <f>'SEPT-18'!I484</f>
        <v>0</v>
      </c>
      <c r="H489" s="51"/>
      <c r="I489" s="17">
        <f t="shared" si="10"/>
        <v>0</v>
      </c>
      <c r="J489" s="272"/>
      <c r="K489" s="129"/>
    </row>
    <row r="490" spans="1:11" ht="29.25">
      <c r="A490" s="11">
        <v>54111</v>
      </c>
      <c r="B490" s="54" t="s">
        <v>597</v>
      </c>
      <c r="C490" s="55"/>
      <c r="D490" s="14" t="s">
        <v>18</v>
      </c>
      <c r="E490" s="14" t="s">
        <v>28</v>
      </c>
      <c r="F490" s="14" t="s">
        <v>27</v>
      </c>
      <c r="G490" s="305">
        <f>'SEPT-18'!I485</f>
        <v>0</v>
      </c>
      <c r="H490" s="51"/>
      <c r="I490" s="17">
        <f t="shared" si="10"/>
        <v>0</v>
      </c>
      <c r="J490" s="128"/>
      <c r="K490" s="129"/>
    </row>
    <row r="491" spans="1:11" ht="29.25">
      <c r="A491" s="11">
        <v>54112</v>
      </c>
      <c r="B491" s="54" t="s">
        <v>598</v>
      </c>
      <c r="C491" s="55"/>
      <c r="D491" s="14" t="s">
        <v>18</v>
      </c>
      <c r="E491" s="14" t="s">
        <v>28</v>
      </c>
      <c r="F491" s="14" t="s">
        <v>27</v>
      </c>
      <c r="G491" s="305">
        <f>'SEPT-18'!I486</f>
        <v>0</v>
      </c>
      <c r="H491" s="51"/>
      <c r="I491" s="17">
        <f t="shared" si="10"/>
        <v>0</v>
      </c>
      <c r="J491" s="128"/>
      <c r="K491" s="129"/>
    </row>
    <row r="492" spans="1:11" ht="29.25">
      <c r="A492" s="11">
        <v>54118</v>
      </c>
      <c r="B492" s="54" t="s">
        <v>599</v>
      </c>
      <c r="C492" s="55"/>
      <c r="D492" s="14" t="s">
        <v>18</v>
      </c>
      <c r="E492" s="14" t="s">
        <v>28</v>
      </c>
      <c r="F492" s="14" t="s">
        <v>27</v>
      </c>
      <c r="G492" s="305">
        <f>'SEPT-18'!I487</f>
        <v>0</v>
      </c>
      <c r="H492" s="51"/>
      <c r="I492" s="17">
        <f t="shared" si="10"/>
        <v>0</v>
      </c>
      <c r="J492" s="142"/>
      <c r="K492" s="142"/>
    </row>
    <row r="493" spans="1:11" ht="29.25">
      <c r="A493" s="11">
        <v>54304</v>
      </c>
      <c r="B493" s="54" t="s">
        <v>600</v>
      </c>
      <c r="C493" s="55"/>
      <c r="D493" s="14" t="s">
        <v>18</v>
      </c>
      <c r="E493" s="14" t="s">
        <v>28</v>
      </c>
      <c r="F493" s="14" t="s">
        <v>27</v>
      </c>
      <c r="G493" s="305">
        <f>'SEPT-18'!I488</f>
        <v>0</v>
      </c>
      <c r="H493" s="51"/>
      <c r="I493" s="17">
        <f t="shared" si="10"/>
        <v>0</v>
      </c>
      <c r="J493" s="56"/>
      <c r="K493" s="237"/>
    </row>
    <row r="494" spans="1:11" ht="29.25">
      <c r="A494" s="11">
        <v>54313</v>
      </c>
      <c r="B494" s="54" t="s">
        <v>601</v>
      </c>
      <c r="C494" s="55"/>
      <c r="D494" s="14" t="s">
        <v>18</v>
      </c>
      <c r="E494" s="14" t="s">
        <v>28</v>
      </c>
      <c r="F494" s="14" t="s">
        <v>27</v>
      </c>
      <c r="G494" s="305">
        <f>'SEPT-18'!I489</f>
        <v>0</v>
      </c>
      <c r="H494" s="51"/>
      <c r="I494" s="17">
        <f t="shared" si="10"/>
        <v>0</v>
      </c>
      <c r="J494" s="56"/>
      <c r="K494" s="237"/>
    </row>
    <row r="495" spans="1:11" ht="57.75">
      <c r="A495" s="11">
        <v>54316</v>
      </c>
      <c r="B495" s="54" t="s">
        <v>1047</v>
      </c>
      <c r="C495" s="55"/>
      <c r="D495" s="14" t="s">
        <v>18</v>
      </c>
      <c r="E495" s="14" t="s">
        <v>28</v>
      </c>
      <c r="F495" s="14" t="s">
        <v>27</v>
      </c>
      <c r="G495" s="305">
        <f>'SEPT-18'!I490</f>
        <v>0</v>
      </c>
      <c r="H495" s="51"/>
      <c r="I495" s="17">
        <f t="shared" si="10"/>
        <v>0</v>
      </c>
      <c r="J495" s="137"/>
      <c r="K495" s="237"/>
    </row>
    <row r="496" spans="1:11" ht="29.25">
      <c r="A496" s="11">
        <v>54399</v>
      </c>
      <c r="B496" s="54" t="s">
        <v>602</v>
      </c>
      <c r="C496" s="13"/>
      <c r="D496" s="14" t="s">
        <v>18</v>
      </c>
      <c r="E496" s="14" t="s">
        <v>28</v>
      </c>
      <c r="F496" s="14" t="s">
        <v>27</v>
      </c>
      <c r="G496" s="305">
        <f>'SEPT-18'!I491</f>
        <v>0</v>
      </c>
      <c r="H496" s="51"/>
      <c r="I496" s="17">
        <f t="shared" si="10"/>
        <v>0</v>
      </c>
      <c r="J496" s="56"/>
      <c r="K496" s="300"/>
    </row>
    <row r="497" spans="1:11" ht="29.25">
      <c r="A497" s="11">
        <v>55603</v>
      </c>
      <c r="B497" s="54" t="s">
        <v>603</v>
      </c>
      <c r="C497" s="55"/>
      <c r="D497" s="14" t="s">
        <v>18</v>
      </c>
      <c r="E497" s="14" t="s">
        <v>28</v>
      </c>
      <c r="F497" s="14" t="s">
        <v>27</v>
      </c>
      <c r="G497" s="305">
        <f>'SEPT-18'!I492</f>
        <v>0</v>
      </c>
      <c r="H497" s="51"/>
      <c r="I497" s="17">
        <f t="shared" si="10"/>
        <v>0</v>
      </c>
      <c r="J497" s="56"/>
      <c r="K497" s="300"/>
    </row>
    <row r="498" spans="1:11" ht="102.75" customHeight="1">
      <c r="A498" s="141" t="s">
        <v>256</v>
      </c>
      <c r="B498" s="53" t="s">
        <v>982</v>
      </c>
      <c r="C498" s="13"/>
      <c r="D498" s="14"/>
      <c r="E498" s="14"/>
      <c r="F498" s="14"/>
      <c r="G498" s="305">
        <f>'SEPT-18'!I493</f>
        <v>0</v>
      </c>
      <c r="H498" s="51"/>
      <c r="I498" s="17"/>
      <c r="J498" s="56"/>
      <c r="K498" s="56"/>
    </row>
    <row r="499" spans="1:11" ht="29.25">
      <c r="A499" s="11">
        <v>51202</v>
      </c>
      <c r="B499" s="53" t="s">
        <v>605</v>
      </c>
      <c r="C499" s="13"/>
      <c r="D499" s="14" t="s">
        <v>18</v>
      </c>
      <c r="E499" s="14" t="s">
        <v>28</v>
      </c>
      <c r="F499" s="14" t="s">
        <v>27</v>
      </c>
      <c r="G499" s="305">
        <f>'SEPT-18'!I494</f>
        <v>0</v>
      </c>
      <c r="H499" s="51"/>
      <c r="I499" s="17">
        <f t="shared" si="10"/>
        <v>0</v>
      </c>
      <c r="J499" s="237"/>
      <c r="K499" s="333"/>
    </row>
    <row r="500" spans="1:11" ht="29.25">
      <c r="A500" s="11">
        <v>54110</v>
      </c>
      <c r="B500" s="53" t="s">
        <v>606</v>
      </c>
      <c r="C500" s="13"/>
      <c r="D500" s="14" t="s">
        <v>18</v>
      </c>
      <c r="E500" s="14" t="s">
        <v>28</v>
      </c>
      <c r="F500" s="14" t="s">
        <v>27</v>
      </c>
      <c r="G500" s="305">
        <f>'SEPT-18'!I495</f>
        <v>0</v>
      </c>
      <c r="H500" s="51"/>
      <c r="I500" s="17">
        <f t="shared" si="10"/>
        <v>0</v>
      </c>
      <c r="J500" s="237"/>
      <c r="K500" s="333"/>
    </row>
    <row r="501" spans="1:11" ht="30">
      <c r="A501" s="11">
        <v>54111</v>
      </c>
      <c r="B501" s="53" t="s">
        <v>607</v>
      </c>
      <c r="C501" s="13"/>
      <c r="D501" s="14" t="s">
        <v>18</v>
      </c>
      <c r="E501" s="14" t="s">
        <v>28</v>
      </c>
      <c r="F501" s="14" t="s">
        <v>27</v>
      </c>
      <c r="G501" s="305">
        <f>'SEPT-18'!I496</f>
        <v>0</v>
      </c>
      <c r="H501" s="212"/>
      <c r="I501" s="17">
        <f t="shared" si="10"/>
        <v>0</v>
      </c>
      <c r="J501" s="253"/>
      <c r="K501" s="333"/>
    </row>
    <row r="502" spans="1:11" ht="29.25">
      <c r="A502" s="11">
        <v>54112</v>
      </c>
      <c r="B502" s="53" t="s">
        <v>608</v>
      </c>
      <c r="C502" s="13"/>
      <c r="D502" s="14" t="s">
        <v>18</v>
      </c>
      <c r="E502" s="14" t="s">
        <v>28</v>
      </c>
      <c r="F502" s="14" t="s">
        <v>27</v>
      </c>
      <c r="G502" s="305">
        <f>'SEPT-18'!I497</f>
        <v>0</v>
      </c>
      <c r="H502" s="51"/>
      <c r="I502" s="17">
        <f t="shared" si="10"/>
        <v>0</v>
      </c>
      <c r="J502" s="237"/>
      <c r="K502" s="334"/>
    </row>
    <row r="503" spans="1:11" ht="29.25">
      <c r="A503" s="11">
        <v>54118</v>
      </c>
      <c r="B503" s="53" t="s">
        <v>609</v>
      </c>
      <c r="C503" s="13"/>
      <c r="D503" s="14" t="s">
        <v>18</v>
      </c>
      <c r="E503" s="14" t="s">
        <v>28</v>
      </c>
      <c r="F503" s="14" t="s">
        <v>27</v>
      </c>
      <c r="G503" s="305">
        <f>'SEPT-18'!I498</f>
        <v>0</v>
      </c>
      <c r="H503" s="51"/>
      <c r="I503" s="17">
        <f t="shared" si="10"/>
        <v>0</v>
      </c>
      <c r="J503" s="237"/>
      <c r="K503" s="333"/>
    </row>
    <row r="504" spans="1:11" ht="29.25">
      <c r="A504" s="11">
        <v>54304</v>
      </c>
      <c r="B504" s="53" t="s">
        <v>610</v>
      </c>
      <c r="C504" s="13"/>
      <c r="D504" s="14" t="s">
        <v>18</v>
      </c>
      <c r="E504" s="14" t="s">
        <v>28</v>
      </c>
      <c r="F504" s="14" t="s">
        <v>27</v>
      </c>
      <c r="G504" s="305">
        <f>'SEPT-18'!I499</f>
        <v>0</v>
      </c>
      <c r="H504" s="51"/>
      <c r="I504" s="17">
        <f t="shared" si="10"/>
        <v>0</v>
      </c>
      <c r="J504" s="56"/>
      <c r="K504" s="300"/>
    </row>
    <row r="505" spans="1:11" ht="29.25">
      <c r="A505" s="11">
        <v>54313</v>
      </c>
      <c r="B505" s="53" t="s">
        <v>611</v>
      </c>
      <c r="C505" s="13"/>
      <c r="D505" s="14" t="s">
        <v>18</v>
      </c>
      <c r="E505" s="14" t="s">
        <v>28</v>
      </c>
      <c r="F505" s="14" t="s">
        <v>27</v>
      </c>
      <c r="G505" s="305">
        <f>'SEPT-18'!I500</f>
        <v>0</v>
      </c>
      <c r="H505" s="51"/>
      <c r="I505" s="17">
        <f t="shared" si="10"/>
        <v>0</v>
      </c>
      <c r="J505" s="56"/>
      <c r="K505" s="300"/>
    </row>
    <row r="506" spans="1:11" ht="105">
      <c r="A506" s="141" t="s">
        <v>264</v>
      </c>
      <c r="B506" s="53" t="s">
        <v>981</v>
      </c>
      <c r="C506" s="13"/>
      <c r="D506" s="14"/>
      <c r="E506" s="14"/>
      <c r="F506" s="14"/>
      <c r="G506" s="305">
        <f>'SEPT-18'!I501</f>
        <v>0</v>
      </c>
      <c r="H506" s="51"/>
      <c r="I506" s="17"/>
      <c r="J506" s="56"/>
      <c r="K506" s="331"/>
    </row>
    <row r="507" spans="1:11" ht="29.25">
      <c r="A507" s="11">
        <v>51202</v>
      </c>
      <c r="B507" s="53" t="s">
        <v>613</v>
      </c>
      <c r="C507" s="13"/>
      <c r="D507" s="14" t="s">
        <v>18</v>
      </c>
      <c r="E507" s="14" t="s">
        <v>28</v>
      </c>
      <c r="F507" s="14" t="s">
        <v>27</v>
      </c>
      <c r="G507" s="305">
        <f>'SEPT-18'!I502</f>
        <v>0</v>
      </c>
      <c r="H507" s="51"/>
      <c r="I507" s="17">
        <f t="shared" si="10"/>
        <v>0</v>
      </c>
      <c r="J507" s="56"/>
      <c r="K507" s="335"/>
    </row>
    <row r="508" spans="1:11" ht="29.25">
      <c r="A508" s="11">
        <v>54110</v>
      </c>
      <c r="B508" s="53" t="s">
        <v>614</v>
      </c>
      <c r="C508" s="13"/>
      <c r="D508" s="14" t="s">
        <v>18</v>
      </c>
      <c r="E508" s="14" t="s">
        <v>28</v>
      </c>
      <c r="F508" s="14" t="s">
        <v>27</v>
      </c>
      <c r="G508" s="305">
        <f>'SEPT-18'!I503</f>
        <v>0</v>
      </c>
      <c r="H508" s="51"/>
      <c r="I508" s="17">
        <f t="shared" si="10"/>
        <v>0</v>
      </c>
      <c r="J508" s="56"/>
      <c r="K508" s="336"/>
    </row>
    <row r="509" spans="1:11" ht="43.5">
      <c r="A509" s="11">
        <v>54111</v>
      </c>
      <c r="B509" s="53" t="s">
        <v>615</v>
      </c>
      <c r="C509" s="13"/>
      <c r="D509" s="14" t="s">
        <v>18</v>
      </c>
      <c r="E509" s="14" t="s">
        <v>28</v>
      </c>
      <c r="F509" s="14" t="s">
        <v>27</v>
      </c>
      <c r="G509" s="305">
        <f>'SEPT-18'!I504</f>
        <v>0</v>
      </c>
      <c r="H509" s="51"/>
      <c r="I509" s="17">
        <f t="shared" si="10"/>
        <v>0</v>
      </c>
      <c r="J509" s="239"/>
      <c r="K509" s="333"/>
    </row>
    <row r="510" spans="1:11" ht="43.5">
      <c r="A510" s="11">
        <v>54112</v>
      </c>
      <c r="B510" s="53" t="s">
        <v>616</v>
      </c>
      <c r="C510" s="13"/>
      <c r="D510" s="14" t="s">
        <v>18</v>
      </c>
      <c r="E510" s="14" t="s">
        <v>28</v>
      </c>
      <c r="F510" s="14" t="s">
        <v>27</v>
      </c>
      <c r="G510" s="305">
        <f>'SEPT-18'!I505</f>
        <v>0</v>
      </c>
      <c r="H510" s="51"/>
      <c r="I510" s="17">
        <f t="shared" si="10"/>
        <v>0</v>
      </c>
      <c r="J510" s="56"/>
      <c r="K510" s="336"/>
    </row>
    <row r="511" spans="1:11" ht="43.5">
      <c r="A511" s="11">
        <v>54118</v>
      </c>
      <c r="B511" s="53" t="s">
        <v>617</v>
      </c>
      <c r="C511" s="13"/>
      <c r="D511" s="14" t="s">
        <v>18</v>
      </c>
      <c r="E511" s="14" t="s">
        <v>28</v>
      </c>
      <c r="F511" s="14" t="s">
        <v>27</v>
      </c>
      <c r="G511" s="305">
        <f>'SEPT-18'!I506</f>
        <v>-9.9920072216264089E-16</v>
      </c>
      <c r="H511" s="51"/>
      <c r="I511" s="17">
        <f t="shared" si="10"/>
        <v>-9.9920072216264089E-16</v>
      </c>
      <c r="J511" s="56"/>
      <c r="K511" s="301"/>
    </row>
    <row r="512" spans="1:11" ht="43.5">
      <c r="A512" s="11">
        <v>54304</v>
      </c>
      <c r="B512" s="53" t="s">
        <v>618</v>
      </c>
      <c r="C512" s="13"/>
      <c r="D512" s="14" t="s">
        <v>18</v>
      </c>
      <c r="E512" s="14" t="s">
        <v>28</v>
      </c>
      <c r="F512" s="14" t="s">
        <v>27</v>
      </c>
      <c r="G512" s="305">
        <f>'SEPT-18'!I507</f>
        <v>0</v>
      </c>
      <c r="H512" s="51"/>
      <c r="I512" s="17">
        <f t="shared" si="10"/>
        <v>0</v>
      </c>
      <c r="J512" s="56"/>
      <c r="K512" s="142"/>
    </row>
    <row r="513" spans="1:11" ht="43.5">
      <c r="A513" s="11">
        <v>54313</v>
      </c>
      <c r="B513" s="53" t="s">
        <v>619</v>
      </c>
      <c r="C513" s="13"/>
      <c r="D513" s="14" t="s">
        <v>18</v>
      </c>
      <c r="E513" s="14" t="s">
        <v>28</v>
      </c>
      <c r="F513" s="14" t="s">
        <v>27</v>
      </c>
      <c r="G513" s="305">
        <f>'SEPT-18'!I508</f>
        <v>0</v>
      </c>
      <c r="H513" s="51"/>
      <c r="I513" s="17">
        <f t="shared" si="10"/>
        <v>0</v>
      </c>
      <c r="J513" s="237"/>
      <c r="K513" s="137"/>
    </row>
    <row r="514" spans="1:11" ht="105">
      <c r="A514" s="144" t="s">
        <v>269</v>
      </c>
      <c r="B514" s="53" t="s">
        <v>983</v>
      </c>
      <c r="C514" s="13"/>
      <c r="D514" s="14"/>
      <c r="E514" s="14"/>
      <c r="F514" s="14"/>
      <c r="G514" s="305">
        <f>'SEPT-18'!I509</f>
        <v>0</v>
      </c>
      <c r="H514" s="51"/>
      <c r="I514" s="17"/>
      <c r="J514" s="331"/>
      <c r="K514" s="56"/>
    </row>
    <row r="515" spans="1:11" ht="29.25">
      <c r="A515" s="11">
        <v>51202</v>
      </c>
      <c r="B515" s="54" t="s">
        <v>620</v>
      </c>
      <c r="C515" s="13"/>
      <c r="D515" s="14" t="s">
        <v>18</v>
      </c>
      <c r="E515" s="14" t="s">
        <v>28</v>
      </c>
      <c r="F515" s="14" t="s">
        <v>27</v>
      </c>
      <c r="G515" s="305">
        <f>'SEPT-18'!I510</f>
        <v>6000</v>
      </c>
      <c r="H515" s="51"/>
      <c r="I515" s="17">
        <f t="shared" si="10"/>
        <v>6000</v>
      </c>
      <c r="J515" s="142"/>
      <c r="K515" s="300"/>
    </row>
    <row r="516" spans="1:11" ht="35.25" customHeight="1">
      <c r="A516" s="11">
        <v>54110</v>
      </c>
      <c r="B516" s="54" t="s">
        <v>622</v>
      </c>
      <c r="C516" s="13"/>
      <c r="D516" s="14" t="s">
        <v>18</v>
      </c>
      <c r="E516" s="14" t="s">
        <v>28</v>
      </c>
      <c r="F516" s="14" t="s">
        <v>27</v>
      </c>
      <c r="G516" s="305">
        <f>'SEPT-18'!I511</f>
        <v>300</v>
      </c>
      <c r="H516" s="51"/>
      <c r="I516" s="17">
        <f t="shared" si="10"/>
        <v>300</v>
      </c>
      <c r="J516" s="142"/>
      <c r="K516" s="300"/>
    </row>
    <row r="517" spans="1:11" ht="43.5">
      <c r="A517" s="11">
        <v>54111</v>
      </c>
      <c r="B517" s="54" t="s">
        <v>621</v>
      </c>
      <c r="C517" s="13"/>
      <c r="D517" s="14" t="s">
        <v>18</v>
      </c>
      <c r="E517" s="14" t="s">
        <v>28</v>
      </c>
      <c r="F517" s="14" t="s">
        <v>27</v>
      </c>
      <c r="G517" s="305">
        <f>'SEPT-18'!I512</f>
        <v>7095.87</v>
      </c>
      <c r="H517" s="51"/>
      <c r="I517" s="17">
        <f t="shared" si="10"/>
        <v>7095.87</v>
      </c>
      <c r="J517" s="142"/>
      <c r="K517" s="300"/>
    </row>
    <row r="518" spans="1:11" ht="43.5">
      <c r="A518" s="11">
        <v>54112</v>
      </c>
      <c r="B518" s="54" t="s">
        <v>623</v>
      </c>
      <c r="C518" s="13"/>
      <c r="D518" s="14" t="s">
        <v>18</v>
      </c>
      <c r="E518" s="14" t="s">
        <v>28</v>
      </c>
      <c r="F518" s="14" t="s">
        <v>27</v>
      </c>
      <c r="G518" s="305">
        <f>'SEPT-18'!I513</f>
        <v>5000</v>
      </c>
      <c r="H518" s="51"/>
      <c r="I518" s="17">
        <f t="shared" si="10"/>
        <v>5000</v>
      </c>
      <c r="J518" s="142"/>
      <c r="K518" s="300"/>
    </row>
    <row r="519" spans="1:11" ht="43.5">
      <c r="A519" s="11">
        <v>54118</v>
      </c>
      <c r="B519" s="54" t="s">
        <v>624</v>
      </c>
      <c r="C519" s="13"/>
      <c r="D519" s="14" t="s">
        <v>18</v>
      </c>
      <c r="E519" s="14" t="s">
        <v>28</v>
      </c>
      <c r="F519" s="14" t="s">
        <v>27</v>
      </c>
      <c r="G519" s="305">
        <f>'SEPT-18'!I514</f>
        <v>1000</v>
      </c>
      <c r="H519" s="51"/>
      <c r="I519" s="17">
        <f t="shared" si="10"/>
        <v>1000</v>
      </c>
      <c r="J519" s="142"/>
      <c r="K519" s="300"/>
    </row>
    <row r="520" spans="1:11" ht="43.5">
      <c r="A520" s="11">
        <v>54304</v>
      </c>
      <c r="B520" s="54" t="s">
        <v>625</v>
      </c>
      <c r="C520" s="13"/>
      <c r="D520" s="14" t="s">
        <v>18</v>
      </c>
      <c r="E520" s="14" t="s">
        <v>28</v>
      </c>
      <c r="F520" s="14" t="s">
        <v>27</v>
      </c>
      <c r="G520" s="305">
        <f>'SEPT-18'!I515</f>
        <v>300</v>
      </c>
      <c r="H520" s="51"/>
      <c r="I520" s="17">
        <f t="shared" si="10"/>
        <v>300</v>
      </c>
      <c r="J520" s="142"/>
      <c r="K520" s="300"/>
    </row>
    <row r="521" spans="1:11" ht="43.5">
      <c r="A521" s="11">
        <v>54313</v>
      </c>
      <c r="B521" s="54" t="s">
        <v>626</v>
      </c>
      <c r="C521" s="13"/>
      <c r="D521" s="14" t="s">
        <v>18</v>
      </c>
      <c r="E521" s="14" t="s">
        <v>28</v>
      </c>
      <c r="F521" s="14" t="s">
        <v>27</v>
      </c>
      <c r="G521" s="305">
        <f>'SEPT-18'!I516</f>
        <v>300</v>
      </c>
      <c r="H521" s="51"/>
      <c r="I521" s="17">
        <f t="shared" si="10"/>
        <v>300</v>
      </c>
      <c r="J521" s="142"/>
      <c r="K521" s="300"/>
    </row>
    <row r="522" spans="1:11" ht="105">
      <c r="A522" s="144" t="s">
        <v>289</v>
      </c>
      <c r="B522" s="53" t="s">
        <v>984</v>
      </c>
      <c r="C522" s="13"/>
      <c r="D522" s="14"/>
      <c r="E522" s="14"/>
      <c r="F522" s="14"/>
      <c r="G522" s="305">
        <f>'SEPT-18'!I517</f>
        <v>0</v>
      </c>
      <c r="H522" s="51"/>
      <c r="I522" s="17"/>
      <c r="J522" s="56"/>
      <c r="K522" s="56"/>
    </row>
    <row r="523" spans="1:11" ht="29.25">
      <c r="A523" s="11">
        <v>51202</v>
      </c>
      <c r="B523" s="53" t="s">
        <v>628</v>
      </c>
      <c r="C523" s="13"/>
      <c r="D523" s="14" t="s">
        <v>18</v>
      </c>
      <c r="E523" s="14" t="s">
        <v>28</v>
      </c>
      <c r="F523" s="14" t="s">
        <v>27</v>
      </c>
      <c r="G523" s="305">
        <f>'SEPT-18'!I518</f>
        <v>0</v>
      </c>
      <c r="H523" s="108"/>
      <c r="I523" s="17">
        <f t="shared" si="10"/>
        <v>0</v>
      </c>
      <c r="J523" s="56"/>
      <c r="K523" s="142"/>
    </row>
    <row r="524" spans="1:11" ht="29.25">
      <c r="A524" s="11">
        <v>54110</v>
      </c>
      <c r="B524" s="53" t="s">
        <v>629</v>
      </c>
      <c r="C524" s="13"/>
      <c r="D524" s="14" t="s">
        <v>18</v>
      </c>
      <c r="E524" s="14" t="s">
        <v>28</v>
      </c>
      <c r="F524" s="14" t="s">
        <v>27</v>
      </c>
      <c r="G524" s="305">
        <f>'SEPT-18'!I519</f>
        <v>0</v>
      </c>
      <c r="H524" s="51"/>
      <c r="I524" s="17">
        <f t="shared" si="10"/>
        <v>0</v>
      </c>
      <c r="J524" s="56"/>
      <c r="K524" s="142"/>
    </row>
    <row r="525" spans="1:11" ht="29.25">
      <c r="A525" s="11">
        <v>54111</v>
      </c>
      <c r="B525" s="53" t="s">
        <v>630</v>
      </c>
      <c r="C525" s="13"/>
      <c r="D525" s="14" t="s">
        <v>18</v>
      </c>
      <c r="E525" s="14" t="s">
        <v>28</v>
      </c>
      <c r="F525" s="14" t="s">
        <v>27</v>
      </c>
      <c r="G525" s="305">
        <f>'SEPT-18'!I520</f>
        <v>0</v>
      </c>
      <c r="H525" s="51"/>
      <c r="I525" s="17">
        <f t="shared" ref="I525:I588" si="11">G525-H525+J525-K525</f>
        <v>0</v>
      </c>
      <c r="J525" s="142"/>
      <c r="K525" s="142"/>
    </row>
    <row r="526" spans="1:11" ht="29.25">
      <c r="A526" s="11">
        <v>54112</v>
      </c>
      <c r="B526" s="53" t="s">
        <v>631</v>
      </c>
      <c r="C526" s="13"/>
      <c r="D526" s="14" t="s">
        <v>18</v>
      </c>
      <c r="E526" s="14" t="s">
        <v>28</v>
      </c>
      <c r="F526" s="14" t="s">
        <v>27</v>
      </c>
      <c r="G526" s="305">
        <f>'SEPT-18'!I521</f>
        <v>0</v>
      </c>
      <c r="H526" s="51"/>
      <c r="I526" s="17">
        <f t="shared" si="11"/>
        <v>0</v>
      </c>
      <c r="J526" s="56"/>
      <c r="K526" s="142"/>
    </row>
    <row r="527" spans="1:11" ht="29.25">
      <c r="A527" s="11">
        <v>54118</v>
      </c>
      <c r="B527" s="53" t="s">
        <v>632</v>
      </c>
      <c r="C527" s="13"/>
      <c r="D527" s="14" t="s">
        <v>18</v>
      </c>
      <c r="E527" s="14" t="s">
        <v>28</v>
      </c>
      <c r="F527" s="14" t="s">
        <v>27</v>
      </c>
      <c r="G527" s="305">
        <f>'SEPT-18'!I522</f>
        <v>0</v>
      </c>
      <c r="H527" s="51"/>
      <c r="I527" s="17">
        <f t="shared" si="11"/>
        <v>0</v>
      </c>
      <c r="J527" s="56"/>
      <c r="K527" s="137"/>
    </row>
    <row r="528" spans="1:11" ht="29.25">
      <c r="A528" s="11">
        <v>54304</v>
      </c>
      <c r="B528" s="53" t="s">
        <v>633</v>
      </c>
      <c r="C528" s="13"/>
      <c r="D528" s="14" t="s">
        <v>18</v>
      </c>
      <c r="E528" s="14" t="s">
        <v>28</v>
      </c>
      <c r="F528" s="14" t="s">
        <v>27</v>
      </c>
      <c r="G528" s="305">
        <f>'SEPT-18'!I523</f>
        <v>0</v>
      </c>
      <c r="H528" s="51"/>
      <c r="I528" s="17">
        <f t="shared" si="11"/>
        <v>0</v>
      </c>
      <c r="J528" s="56"/>
      <c r="K528" s="137"/>
    </row>
    <row r="529" spans="1:11" ht="29.25">
      <c r="A529" s="11">
        <v>54313</v>
      </c>
      <c r="B529" s="53" t="s">
        <v>634</v>
      </c>
      <c r="C529" s="13"/>
      <c r="D529" s="14" t="s">
        <v>18</v>
      </c>
      <c r="E529" s="14" t="s">
        <v>28</v>
      </c>
      <c r="F529" s="14" t="s">
        <v>27</v>
      </c>
      <c r="G529" s="305">
        <f>'SEPT-18'!I524</f>
        <v>0</v>
      </c>
      <c r="H529" s="51"/>
      <c r="I529" s="17">
        <f t="shared" si="11"/>
        <v>0</v>
      </c>
      <c r="J529" s="56"/>
      <c r="K529" s="142"/>
    </row>
    <row r="530" spans="1:11" ht="90">
      <c r="A530" s="141" t="s">
        <v>300</v>
      </c>
      <c r="B530" s="53" t="s">
        <v>635</v>
      </c>
      <c r="C530" s="13"/>
      <c r="D530" s="14"/>
      <c r="E530" s="14"/>
      <c r="F530" s="14"/>
      <c r="G530" s="305">
        <f>'SEPT-18'!I525</f>
        <v>0</v>
      </c>
      <c r="H530" s="51"/>
      <c r="I530" s="17"/>
      <c r="J530" s="56"/>
      <c r="K530" s="56"/>
    </row>
    <row r="531" spans="1:11" ht="29.25">
      <c r="A531" s="11">
        <v>51202</v>
      </c>
      <c r="B531" s="53" t="s">
        <v>636</v>
      </c>
      <c r="C531" s="13"/>
      <c r="D531" s="14" t="s">
        <v>18</v>
      </c>
      <c r="E531" s="14" t="s">
        <v>28</v>
      </c>
      <c r="F531" s="14" t="s">
        <v>27</v>
      </c>
      <c r="G531" s="305">
        <f>'SEPT-18'!I526</f>
        <v>0</v>
      </c>
      <c r="H531" s="51"/>
      <c r="I531" s="17">
        <f t="shared" si="11"/>
        <v>0</v>
      </c>
      <c r="J531" s="56"/>
      <c r="K531" s="142"/>
    </row>
    <row r="532" spans="1:11" ht="29.25">
      <c r="A532" s="11">
        <v>54110</v>
      </c>
      <c r="B532" s="53" t="s">
        <v>637</v>
      </c>
      <c r="C532" s="13"/>
      <c r="D532" s="14" t="s">
        <v>18</v>
      </c>
      <c r="E532" s="14" t="s">
        <v>28</v>
      </c>
      <c r="F532" s="14" t="s">
        <v>27</v>
      </c>
      <c r="G532" s="305">
        <f>'SEPT-18'!I527</f>
        <v>0</v>
      </c>
      <c r="H532" s="51"/>
      <c r="I532" s="17">
        <f t="shared" si="11"/>
        <v>0</v>
      </c>
      <c r="J532" s="56"/>
      <c r="K532" s="142"/>
    </row>
    <row r="533" spans="1:11" ht="29.25">
      <c r="A533" s="11">
        <v>54111</v>
      </c>
      <c r="B533" s="53" t="s">
        <v>638</v>
      </c>
      <c r="C533" s="13"/>
      <c r="D533" s="14" t="s">
        <v>18</v>
      </c>
      <c r="E533" s="14" t="s">
        <v>28</v>
      </c>
      <c r="F533" s="14" t="s">
        <v>27</v>
      </c>
      <c r="G533" s="305">
        <f>'SEPT-18'!I528</f>
        <v>1.8207657603852567E-13</v>
      </c>
      <c r="H533" s="211"/>
      <c r="I533" s="17">
        <f t="shared" si="11"/>
        <v>1.8207657603852567E-13</v>
      </c>
      <c r="J533" s="142"/>
      <c r="K533" s="137"/>
    </row>
    <row r="534" spans="1:11" ht="29.25">
      <c r="A534" s="11">
        <v>54304</v>
      </c>
      <c r="B534" s="53" t="s">
        <v>639</v>
      </c>
      <c r="C534" s="55"/>
      <c r="D534" s="14" t="s">
        <v>18</v>
      </c>
      <c r="E534" s="14" t="s">
        <v>28</v>
      </c>
      <c r="F534" s="14" t="s">
        <v>27</v>
      </c>
      <c r="G534" s="305">
        <f>'SEPT-18'!I529</f>
        <v>0</v>
      </c>
      <c r="H534" s="51"/>
      <c r="I534" s="17">
        <f t="shared" si="11"/>
        <v>0</v>
      </c>
      <c r="J534" s="56"/>
      <c r="K534" s="142"/>
    </row>
    <row r="535" spans="1:11" ht="38.25" customHeight="1">
      <c r="A535" s="11">
        <v>54313</v>
      </c>
      <c r="B535" s="53" t="s">
        <v>640</v>
      </c>
      <c r="C535" s="60"/>
      <c r="D535" s="14" t="s">
        <v>18</v>
      </c>
      <c r="E535" s="14" t="s">
        <v>28</v>
      </c>
      <c r="F535" s="14" t="s">
        <v>27</v>
      </c>
      <c r="G535" s="305">
        <f>'SEPT-18'!I530</f>
        <v>0</v>
      </c>
      <c r="H535" s="51"/>
      <c r="I535" s="17">
        <f t="shared" si="11"/>
        <v>0</v>
      </c>
      <c r="J535" s="56"/>
      <c r="K535" s="142"/>
    </row>
    <row r="536" spans="1:11" ht="106.5" customHeight="1">
      <c r="A536" s="141" t="s">
        <v>316</v>
      </c>
      <c r="B536" s="53" t="s">
        <v>641</v>
      </c>
      <c r="C536" s="60" t="s">
        <v>1013</v>
      </c>
      <c r="D536" s="14"/>
      <c r="E536" s="14"/>
      <c r="F536" s="14"/>
      <c r="G536" s="305">
        <f>'SEPT-18'!I531</f>
        <v>0</v>
      </c>
      <c r="H536" s="51"/>
      <c r="I536" s="17"/>
      <c r="J536" s="56"/>
      <c r="K536" s="56"/>
    </row>
    <row r="537" spans="1:11" ht="38.25" customHeight="1">
      <c r="A537" s="11">
        <v>51202</v>
      </c>
      <c r="B537" s="53" t="s">
        <v>642</v>
      </c>
      <c r="C537" s="60"/>
      <c r="D537" s="14" t="s">
        <v>18</v>
      </c>
      <c r="E537" s="14" t="s">
        <v>28</v>
      </c>
      <c r="F537" s="14" t="s">
        <v>27</v>
      </c>
      <c r="G537" s="305">
        <f>'SEPT-18'!I532</f>
        <v>7.2830630415410269E-14</v>
      </c>
      <c r="H537" s="51"/>
      <c r="I537" s="17">
        <f t="shared" si="11"/>
        <v>7.2830630415410269E-14</v>
      </c>
      <c r="J537" s="56"/>
      <c r="K537" s="142"/>
    </row>
    <row r="538" spans="1:11" ht="38.25" customHeight="1">
      <c r="A538" s="11">
        <v>54110</v>
      </c>
      <c r="B538" s="53" t="s">
        <v>643</v>
      </c>
      <c r="C538" s="60"/>
      <c r="D538" s="14" t="s">
        <v>18</v>
      </c>
      <c r="E538" s="14" t="s">
        <v>28</v>
      </c>
      <c r="F538" s="14" t="s">
        <v>27</v>
      </c>
      <c r="G538" s="305">
        <f>'SEPT-18'!I533</f>
        <v>0</v>
      </c>
      <c r="H538" s="51"/>
      <c r="I538" s="17">
        <f t="shared" si="11"/>
        <v>0</v>
      </c>
      <c r="J538" s="56"/>
      <c r="K538" s="142"/>
    </row>
    <row r="539" spans="1:11" ht="38.25" customHeight="1">
      <c r="A539" s="11">
        <v>54111</v>
      </c>
      <c r="B539" s="53" t="s">
        <v>644</v>
      </c>
      <c r="C539" s="60"/>
      <c r="D539" s="14" t="s">
        <v>18</v>
      </c>
      <c r="E539" s="14" t="s">
        <v>28</v>
      </c>
      <c r="F539" s="14" t="s">
        <v>27</v>
      </c>
      <c r="G539" s="305">
        <f>'SEPT-18'!I534</f>
        <v>2.2737367544323206E-13</v>
      </c>
      <c r="H539" s="51"/>
      <c r="I539" s="17">
        <f t="shared" si="11"/>
        <v>2.2737367544323206E-13</v>
      </c>
      <c r="J539" s="137"/>
      <c r="K539" s="142"/>
    </row>
    <row r="540" spans="1:11" ht="38.25" customHeight="1">
      <c r="A540" s="11">
        <v>54304</v>
      </c>
      <c r="B540" s="53" t="s">
        <v>645</v>
      </c>
      <c r="C540" s="60"/>
      <c r="D540" s="14" t="s">
        <v>18</v>
      </c>
      <c r="E540" s="14" t="s">
        <v>28</v>
      </c>
      <c r="F540" s="14" t="s">
        <v>27</v>
      </c>
      <c r="G540" s="305">
        <f>'SEPT-18'!I535</f>
        <v>0</v>
      </c>
      <c r="H540" s="51"/>
      <c r="I540" s="17">
        <f t="shared" si="11"/>
        <v>0</v>
      </c>
      <c r="J540" s="56"/>
      <c r="K540" s="142"/>
    </row>
    <row r="541" spans="1:11" ht="38.25" customHeight="1">
      <c r="A541" s="11">
        <v>54313</v>
      </c>
      <c r="B541" s="53" t="s">
        <v>646</v>
      </c>
      <c r="C541" s="60"/>
      <c r="D541" s="14" t="s">
        <v>18</v>
      </c>
      <c r="E541" s="14" t="s">
        <v>28</v>
      </c>
      <c r="F541" s="14" t="s">
        <v>27</v>
      </c>
      <c r="G541" s="305">
        <f>'SEPT-18'!I536</f>
        <v>0</v>
      </c>
      <c r="H541" s="51"/>
      <c r="I541" s="17">
        <f t="shared" si="11"/>
        <v>0</v>
      </c>
      <c r="J541" s="56"/>
      <c r="K541" s="142"/>
    </row>
    <row r="542" spans="1:11" ht="99" customHeight="1">
      <c r="A542" s="240" t="s">
        <v>326</v>
      </c>
      <c r="B542" s="53" t="s">
        <v>647</v>
      </c>
      <c r="C542" s="345" t="s">
        <v>1106</v>
      </c>
      <c r="D542" s="14"/>
      <c r="E542" s="14"/>
      <c r="F542" s="14"/>
      <c r="G542" s="305">
        <f>'SEPT-18'!I537</f>
        <v>0</v>
      </c>
      <c r="H542" s="51"/>
      <c r="I542" s="17"/>
      <c r="J542" s="56"/>
      <c r="K542" s="56"/>
    </row>
    <row r="543" spans="1:11" ht="38.25" customHeight="1">
      <c r="A543" s="11">
        <v>51202</v>
      </c>
      <c r="B543" s="53" t="s">
        <v>648</v>
      </c>
      <c r="C543" s="60"/>
      <c r="D543" s="14" t="s">
        <v>18</v>
      </c>
      <c r="E543" s="14" t="s">
        <v>28</v>
      </c>
      <c r="F543" s="14" t="s">
        <v>27</v>
      </c>
      <c r="G543" s="305">
        <f>'SEPT-18'!I538</f>
        <v>0</v>
      </c>
      <c r="H543" s="51"/>
      <c r="I543" s="17">
        <f t="shared" si="11"/>
        <v>0</v>
      </c>
      <c r="J543" s="301"/>
      <c r="K543" s="237"/>
    </row>
    <row r="544" spans="1:11" ht="38.25" customHeight="1">
      <c r="A544" s="11">
        <v>54110</v>
      </c>
      <c r="B544" s="53" t="s">
        <v>649</v>
      </c>
      <c r="C544" s="60"/>
      <c r="D544" s="14" t="s">
        <v>18</v>
      </c>
      <c r="E544" s="14" t="s">
        <v>28</v>
      </c>
      <c r="F544" s="14" t="s">
        <v>27</v>
      </c>
      <c r="G544" s="305">
        <f>'SEPT-18'!I539</f>
        <v>0</v>
      </c>
      <c r="H544" s="51"/>
      <c r="I544" s="17">
        <f t="shared" si="11"/>
        <v>0</v>
      </c>
      <c r="J544" s="237"/>
      <c r="K544" s="237"/>
    </row>
    <row r="545" spans="1:11" ht="38.25" customHeight="1">
      <c r="A545" s="11">
        <v>54111</v>
      </c>
      <c r="B545" s="53" t="s">
        <v>650</v>
      </c>
      <c r="C545" s="60" t="s">
        <v>1107</v>
      </c>
      <c r="D545" s="14" t="s">
        <v>18</v>
      </c>
      <c r="E545" s="14" t="s">
        <v>28</v>
      </c>
      <c r="F545" s="14" t="s">
        <v>27</v>
      </c>
      <c r="G545" s="305">
        <f>'SEPT-18'!I540</f>
        <v>0</v>
      </c>
      <c r="H545" s="51"/>
      <c r="I545" s="134">
        <f t="shared" si="11"/>
        <v>0</v>
      </c>
      <c r="J545" s="346"/>
      <c r="K545" s="237"/>
    </row>
    <row r="546" spans="1:11" ht="29.25">
      <c r="A546" s="11">
        <v>54112</v>
      </c>
      <c r="B546" s="53" t="s">
        <v>651</v>
      </c>
      <c r="C546" s="13"/>
      <c r="D546" s="14" t="s">
        <v>18</v>
      </c>
      <c r="E546" s="14" t="s">
        <v>28</v>
      </c>
      <c r="F546" s="14" t="s">
        <v>27</v>
      </c>
      <c r="G546" s="305">
        <f>'SEPT-18'!I541</f>
        <v>0</v>
      </c>
      <c r="H546" s="51"/>
      <c r="I546" s="17">
        <f t="shared" si="11"/>
        <v>0</v>
      </c>
      <c r="J546" s="237"/>
      <c r="K546" s="237"/>
    </row>
    <row r="547" spans="1:11" ht="29.25">
      <c r="A547" s="11">
        <v>54118</v>
      </c>
      <c r="B547" s="53" t="s">
        <v>652</v>
      </c>
      <c r="C547" s="13"/>
      <c r="D547" s="14" t="s">
        <v>18</v>
      </c>
      <c r="E547" s="14" t="s">
        <v>28</v>
      </c>
      <c r="F547" s="14" t="s">
        <v>27</v>
      </c>
      <c r="G547" s="305">
        <f>'SEPT-18'!I542</f>
        <v>0</v>
      </c>
      <c r="H547" s="51"/>
      <c r="I547" s="17">
        <f t="shared" si="11"/>
        <v>0</v>
      </c>
      <c r="J547" s="237"/>
      <c r="K547" s="237"/>
    </row>
    <row r="548" spans="1:11" ht="29.25">
      <c r="A548" s="11">
        <v>54304</v>
      </c>
      <c r="B548" s="53" t="s">
        <v>653</v>
      </c>
      <c r="C548" s="13"/>
      <c r="D548" s="14" t="s">
        <v>18</v>
      </c>
      <c r="E548" s="14" t="s">
        <v>28</v>
      </c>
      <c r="F548" s="14" t="s">
        <v>27</v>
      </c>
      <c r="G548" s="305">
        <f>'SEPT-18'!I543</f>
        <v>0</v>
      </c>
      <c r="H548" s="51"/>
      <c r="I548" s="17">
        <f t="shared" si="11"/>
        <v>0</v>
      </c>
      <c r="J548" s="237"/>
      <c r="K548" s="237"/>
    </row>
    <row r="549" spans="1:11" ht="29.25">
      <c r="A549" s="11">
        <v>54313</v>
      </c>
      <c r="B549" s="53" t="s">
        <v>654</v>
      </c>
      <c r="C549" s="13"/>
      <c r="D549" s="14" t="s">
        <v>18</v>
      </c>
      <c r="E549" s="14" t="s">
        <v>28</v>
      </c>
      <c r="F549" s="14" t="s">
        <v>27</v>
      </c>
      <c r="G549" s="305">
        <f>'SEPT-18'!I544</f>
        <v>0</v>
      </c>
      <c r="H549" s="51"/>
      <c r="I549" s="17">
        <f t="shared" si="11"/>
        <v>0</v>
      </c>
      <c r="J549" s="237"/>
      <c r="K549" s="346"/>
    </row>
    <row r="550" spans="1:11" ht="29.25">
      <c r="A550" s="11">
        <v>54399</v>
      </c>
      <c r="B550" s="53" t="s">
        <v>655</v>
      </c>
      <c r="C550" s="13"/>
      <c r="D550" s="14" t="s">
        <v>18</v>
      </c>
      <c r="E550" s="14" t="s">
        <v>28</v>
      </c>
      <c r="F550" s="14" t="s">
        <v>27</v>
      </c>
      <c r="G550" s="305">
        <f>'SEPT-18'!I545</f>
        <v>0</v>
      </c>
      <c r="H550" s="51"/>
      <c r="I550" s="17">
        <f t="shared" si="11"/>
        <v>0</v>
      </c>
      <c r="J550" s="237"/>
      <c r="K550" s="237"/>
    </row>
    <row r="551" spans="1:11" ht="75">
      <c r="A551" s="141" t="s">
        <v>338</v>
      </c>
      <c r="B551" s="53" t="s">
        <v>656</v>
      </c>
      <c r="C551" s="13"/>
      <c r="D551" s="14"/>
      <c r="E551" s="14"/>
      <c r="F551" s="14"/>
      <c r="G551" s="305">
        <f>'SEPT-18'!I546</f>
        <v>0</v>
      </c>
      <c r="H551" s="51"/>
      <c r="I551" s="17"/>
      <c r="J551" s="56"/>
      <c r="K551" s="56"/>
    </row>
    <row r="552" spans="1:11" ht="29.25">
      <c r="A552" s="11">
        <v>51202</v>
      </c>
      <c r="B552" s="54" t="s">
        <v>657</v>
      </c>
      <c r="C552" s="13"/>
      <c r="D552" s="14" t="s">
        <v>18</v>
      </c>
      <c r="E552" s="14" t="s">
        <v>28</v>
      </c>
      <c r="F552" s="14" t="s">
        <v>27</v>
      </c>
      <c r="G552" s="305">
        <f>'SEPT-18'!I547</f>
        <v>0</v>
      </c>
      <c r="H552" s="51"/>
      <c r="I552" s="17">
        <f t="shared" si="11"/>
        <v>0</v>
      </c>
      <c r="J552" s="56"/>
      <c r="K552" s="137"/>
    </row>
    <row r="553" spans="1:11" ht="29.25">
      <c r="A553" s="11">
        <v>54110</v>
      </c>
      <c r="B553" s="54" t="s">
        <v>658</v>
      </c>
      <c r="C553" s="13"/>
      <c r="D553" s="14" t="s">
        <v>18</v>
      </c>
      <c r="E553" s="14" t="s">
        <v>28</v>
      </c>
      <c r="F553" s="14" t="s">
        <v>27</v>
      </c>
      <c r="G553" s="305">
        <f>'SEPT-18'!I548</f>
        <v>0</v>
      </c>
      <c r="H553" s="51"/>
      <c r="I553" s="17">
        <f t="shared" si="11"/>
        <v>0</v>
      </c>
      <c r="J553" s="56"/>
      <c r="K553" s="137"/>
    </row>
    <row r="554" spans="1:11" ht="44.25">
      <c r="A554" s="11">
        <v>54111</v>
      </c>
      <c r="B554" s="54" t="s">
        <v>659</v>
      </c>
      <c r="C554" s="13"/>
      <c r="D554" s="14" t="s">
        <v>18</v>
      </c>
      <c r="E554" s="14" t="s">
        <v>28</v>
      </c>
      <c r="F554" s="14" t="s">
        <v>27</v>
      </c>
      <c r="G554" s="305">
        <f>'SEPT-18'!I549</f>
        <v>0</v>
      </c>
      <c r="H554" s="51"/>
      <c r="I554" s="17">
        <f t="shared" si="11"/>
        <v>0</v>
      </c>
      <c r="J554" s="56"/>
      <c r="K554" s="137"/>
    </row>
    <row r="555" spans="1:11" ht="44.25">
      <c r="A555" s="11">
        <v>54112</v>
      </c>
      <c r="B555" s="54" t="s">
        <v>660</v>
      </c>
      <c r="C555" s="13"/>
      <c r="D555" s="14" t="s">
        <v>18</v>
      </c>
      <c r="E555" s="14" t="s">
        <v>28</v>
      </c>
      <c r="F555" s="14" t="s">
        <v>27</v>
      </c>
      <c r="G555" s="305">
        <f>'SEPT-18'!I550</f>
        <v>0</v>
      </c>
      <c r="H555" s="51"/>
      <c r="I555" s="17">
        <f t="shared" si="11"/>
        <v>0</v>
      </c>
      <c r="J555" s="56"/>
      <c r="K555" s="137"/>
    </row>
    <row r="556" spans="1:11" ht="44.25">
      <c r="A556" s="11">
        <v>54304</v>
      </c>
      <c r="B556" s="54" t="s">
        <v>661</v>
      </c>
      <c r="C556" s="13"/>
      <c r="D556" s="14" t="s">
        <v>18</v>
      </c>
      <c r="E556" s="14" t="s">
        <v>28</v>
      </c>
      <c r="F556" s="14" t="s">
        <v>27</v>
      </c>
      <c r="G556" s="305">
        <f>'SEPT-18'!I551</f>
        <v>0</v>
      </c>
      <c r="H556" s="51"/>
      <c r="I556" s="17">
        <f t="shared" si="11"/>
        <v>0</v>
      </c>
      <c r="J556" s="56"/>
      <c r="K556" s="137"/>
    </row>
    <row r="557" spans="1:11" ht="44.25">
      <c r="A557" s="11">
        <v>54313</v>
      </c>
      <c r="B557" s="54" t="s">
        <v>662</v>
      </c>
      <c r="C557" s="13"/>
      <c r="D557" s="14" t="s">
        <v>18</v>
      </c>
      <c r="E557" s="14" t="s">
        <v>28</v>
      </c>
      <c r="F557" s="14" t="s">
        <v>27</v>
      </c>
      <c r="G557" s="305">
        <f>'SEPT-18'!I552</f>
        <v>0</v>
      </c>
      <c r="H557" s="51"/>
      <c r="I557" s="17">
        <f t="shared" si="11"/>
        <v>0</v>
      </c>
      <c r="J557" s="56"/>
      <c r="K557" s="137"/>
    </row>
    <row r="558" spans="1:11" ht="44.25">
      <c r="A558" s="11">
        <v>54399</v>
      </c>
      <c r="B558" s="54" t="s">
        <v>663</v>
      </c>
      <c r="C558" s="13"/>
      <c r="D558" s="14" t="s">
        <v>18</v>
      </c>
      <c r="E558" s="14" t="s">
        <v>28</v>
      </c>
      <c r="F558" s="14" t="s">
        <v>27</v>
      </c>
      <c r="G558" s="305">
        <f>'SEPT-18'!I553</f>
        <v>0</v>
      </c>
      <c r="H558" s="51"/>
      <c r="I558" s="17">
        <f t="shared" si="11"/>
        <v>0</v>
      </c>
      <c r="J558" s="56"/>
      <c r="K558" s="137"/>
    </row>
    <row r="559" spans="1:11" ht="29.25">
      <c r="A559" s="11">
        <v>55603</v>
      </c>
      <c r="B559" s="54" t="s">
        <v>664</v>
      </c>
      <c r="C559" s="13"/>
      <c r="D559" s="14" t="s">
        <v>18</v>
      </c>
      <c r="E559" s="14" t="s">
        <v>28</v>
      </c>
      <c r="F559" s="14" t="s">
        <v>27</v>
      </c>
      <c r="G559" s="305">
        <f>'SEPT-18'!I554</f>
        <v>0</v>
      </c>
      <c r="H559" s="51"/>
      <c r="I559" s="17">
        <f t="shared" si="11"/>
        <v>0</v>
      </c>
      <c r="J559" s="56"/>
      <c r="K559" s="137"/>
    </row>
    <row r="560" spans="1:11" ht="90">
      <c r="A560" s="141" t="s">
        <v>348</v>
      </c>
      <c r="B560" s="53" t="s">
        <v>665</v>
      </c>
      <c r="C560" s="13"/>
      <c r="D560" s="14"/>
      <c r="E560" s="14"/>
      <c r="F560" s="14"/>
      <c r="G560" s="305">
        <f>'SEPT-18'!I555</f>
        <v>0</v>
      </c>
      <c r="H560" s="51"/>
      <c r="I560" s="17"/>
      <c r="J560" s="56"/>
      <c r="K560" s="56"/>
    </row>
    <row r="561" spans="1:11" ht="29.25">
      <c r="A561" s="11">
        <v>51202</v>
      </c>
      <c r="B561" s="54" t="s">
        <v>666</v>
      </c>
      <c r="C561" s="13"/>
      <c r="D561" s="14" t="s">
        <v>18</v>
      </c>
      <c r="E561" s="14" t="s">
        <v>28</v>
      </c>
      <c r="F561" s="14" t="s">
        <v>27</v>
      </c>
      <c r="G561" s="305">
        <f>'SEPT-18'!I556</f>
        <v>0</v>
      </c>
      <c r="H561" s="51"/>
      <c r="I561" s="17">
        <f t="shared" si="11"/>
        <v>0</v>
      </c>
      <c r="J561" s="56"/>
      <c r="K561" s="300"/>
    </row>
    <row r="562" spans="1:11" ht="29.25">
      <c r="A562" s="11">
        <v>54110</v>
      </c>
      <c r="B562" s="54" t="s">
        <v>667</v>
      </c>
      <c r="C562" s="13"/>
      <c r="D562" s="14" t="s">
        <v>18</v>
      </c>
      <c r="E562" s="14" t="s">
        <v>28</v>
      </c>
      <c r="F562" s="14" t="s">
        <v>27</v>
      </c>
      <c r="G562" s="305">
        <f>'SEPT-18'!I557</f>
        <v>0</v>
      </c>
      <c r="H562" s="51"/>
      <c r="I562" s="17">
        <f t="shared" si="11"/>
        <v>0</v>
      </c>
      <c r="J562" s="56"/>
      <c r="K562" s="300"/>
    </row>
    <row r="563" spans="1:11" ht="44.25">
      <c r="A563" s="11">
        <v>54111</v>
      </c>
      <c r="B563" s="54" t="s">
        <v>668</v>
      </c>
      <c r="C563" s="13"/>
      <c r="D563" s="14" t="s">
        <v>18</v>
      </c>
      <c r="E563" s="14" t="s">
        <v>28</v>
      </c>
      <c r="F563" s="14" t="s">
        <v>27</v>
      </c>
      <c r="G563" s="305">
        <f>'SEPT-18'!I558</f>
        <v>0</v>
      </c>
      <c r="H563" s="51"/>
      <c r="I563" s="17">
        <f t="shared" si="11"/>
        <v>0</v>
      </c>
      <c r="J563" s="56"/>
      <c r="K563" s="300"/>
    </row>
    <row r="564" spans="1:11" ht="44.25">
      <c r="A564" s="11">
        <v>54112</v>
      </c>
      <c r="B564" s="54" t="s">
        <v>669</v>
      </c>
      <c r="C564" s="13"/>
      <c r="D564" s="14" t="s">
        <v>18</v>
      </c>
      <c r="E564" s="14" t="s">
        <v>28</v>
      </c>
      <c r="F564" s="14" t="s">
        <v>27</v>
      </c>
      <c r="G564" s="305">
        <f>'SEPT-18'!I559</f>
        <v>0</v>
      </c>
      <c r="H564" s="51"/>
      <c r="I564" s="17">
        <f t="shared" si="11"/>
        <v>0</v>
      </c>
      <c r="J564" s="56"/>
      <c r="K564" s="300"/>
    </row>
    <row r="565" spans="1:11" ht="44.25">
      <c r="A565" s="11">
        <v>54313</v>
      </c>
      <c r="B565" s="54" t="s">
        <v>670</v>
      </c>
      <c r="C565" s="13"/>
      <c r="D565" s="14" t="s">
        <v>18</v>
      </c>
      <c r="E565" s="14" t="s">
        <v>28</v>
      </c>
      <c r="F565" s="14" t="s">
        <v>27</v>
      </c>
      <c r="G565" s="305">
        <f>'SEPT-18'!I560</f>
        <v>0</v>
      </c>
      <c r="H565" s="51"/>
      <c r="I565" s="17">
        <f t="shared" si="11"/>
        <v>0</v>
      </c>
      <c r="J565" s="56"/>
      <c r="K565" s="300"/>
    </row>
    <row r="566" spans="1:11" ht="44.25">
      <c r="A566" s="11">
        <v>54399</v>
      </c>
      <c r="B566" s="54" t="s">
        <v>671</v>
      </c>
      <c r="C566" s="13"/>
      <c r="D566" s="14" t="s">
        <v>18</v>
      </c>
      <c r="E566" s="14" t="s">
        <v>28</v>
      </c>
      <c r="F566" s="14" t="s">
        <v>27</v>
      </c>
      <c r="G566" s="305">
        <f>'SEPT-18'!I561</f>
        <v>0</v>
      </c>
      <c r="H566" s="51"/>
      <c r="I566" s="17">
        <f t="shared" si="11"/>
        <v>0</v>
      </c>
      <c r="J566" s="56"/>
      <c r="K566" s="300"/>
    </row>
    <row r="567" spans="1:11" ht="29.25">
      <c r="A567" s="11">
        <v>55603</v>
      </c>
      <c r="B567" s="54" t="s">
        <v>672</v>
      </c>
      <c r="C567" s="13"/>
      <c r="D567" s="14" t="s">
        <v>18</v>
      </c>
      <c r="E567" s="14" t="s">
        <v>28</v>
      </c>
      <c r="F567" s="14" t="s">
        <v>27</v>
      </c>
      <c r="G567" s="305">
        <f>'SEPT-18'!I562</f>
        <v>0</v>
      </c>
      <c r="H567" s="51"/>
      <c r="I567" s="17">
        <f t="shared" si="11"/>
        <v>0</v>
      </c>
      <c r="J567" s="56"/>
      <c r="K567" s="300"/>
    </row>
    <row r="568" spans="1:11" ht="119.25" customHeight="1">
      <c r="A568" s="141" t="s">
        <v>358</v>
      </c>
      <c r="B568" s="53" t="s">
        <v>673</v>
      </c>
      <c r="C568" s="13"/>
      <c r="D568" s="14"/>
      <c r="E568" s="14"/>
      <c r="F568" s="14"/>
      <c r="G568" s="305">
        <f>'SEPT-18'!I563</f>
        <v>0</v>
      </c>
      <c r="H568" s="51"/>
      <c r="I568" s="17"/>
      <c r="J568" s="56"/>
      <c r="K568" s="56"/>
    </row>
    <row r="569" spans="1:11" ht="29.25">
      <c r="A569" s="11">
        <v>51202</v>
      </c>
      <c r="B569" s="54" t="s">
        <v>674</v>
      </c>
      <c r="C569" s="13"/>
      <c r="D569" s="14" t="s">
        <v>18</v>
      </c>
      <c r="E569" s="14" t="s">
        <v>28</v>
      </c>
      <c r="F569" s="14" t="s">
        <v>27</v>
      </c>
      <c r="G569" s="305">
        <f>'SEPT-18'!I564</f>
        <v>0</v>
      </c>
      <c r="H569" s="51"/>
      <c r="I569" s="17">
        <f t="shared" si="11"/>
        <v>0</v>
      </c>
      <c r="J569" s="56"/>
      <c r="K569" s="300"/>
    </row>
    <row r="570" spans="1:11" ht="29.25">
      <c r="A570" s="11">
        <v>54110</v>
      </c>
      <c r="B570" s="54" t="s">
        <v>675</v>
      </c>
      <c r="C570" s="13"/>
      <c r="D570" s="14" t="s">
        <v>18</v>
      </c>
      <c r="E570" s="14" t="s">
        <v>28</v>
      </c>
      <c r="F570" s="14" t="s">
        <v>27</v>
      </c>
      <c r="G570" s="305">
        <f>'SEPT-18'!I565</f>
        <v>0</v>
      </c>
      <c r="H570" s="51"/>
      <c r="I570" s="17">
        <f t="shared" si="11"/>
        <v>0</v>
      </c>
      <c r="J570" s="56"/>
      <c r="K570" s="300"/>
    </row>
    <row r="571" spans="1:11" ht="29.25">
      <c r="A571" s="11">
        <v>54111</v>
      </c>
      <c r="B571" s="54" t="s">
        <v>677</v>
      </c>
      <c r="C571" s="13"/>
      <c r="D571" s="14" t="s">
        <v>18</v>
      </c>
      <c r="E571" s="14" t="s">
        <v>28</v>
      </c>
      <c r="F571" s="14" t="s">
        <v>27</v>
      </c>
      <c r="G571" s="305">
        <f>'SEPT-18'!I566</f>
        <v>0</v>
      </c>
      <c r="H571" s="51"/>
      <c r="I571" s="17">
        <f t="shared" si="11"/>
        <v>0</v>
      </c>
      <c r="J571" s="56"/>
      <c r="K571" s="300"/>
    </row>
    <row r="572" spans="1:11" ht="29.25">
      <c r="A572" s="11">
        <v>54112</v>
      </c>
      <c r="B572" s="54" t="s">
        <v>676</v>
      </c>
      <c r="C572" s="13"/>
      <c r="D572" s="14" t="s">
        <v>18</v>
      </c>
      <c r="E572" s="14" t="s">
        <v>28</v>
      </c>
      <c r="F572" s="14" t="s">
        <v>27</v>
      </c>
      <c r="G572" s="305">
        <f>'SEPT-18'!I567</f>
        <v>0</v>
      </c>
      <c r="H572" s="51"/>
      <c r="I572" s="17">
        <f t="shared" si="11"/>
        <v>0</v>
      </c>
      <c r="J572" s="56"/>
      <c r="K572" s="300"/>
    </row>
    <row r="573" spans="1:11" ht="29.25">
      <c r="A573" s="11">
        <v>54118</v>
      </c>
      <c r="B573" s="54" t="s">
        <v>678</v>
      </c>
      <c r="C573" s="13"/>
      <c r="D573" s="14" t="s">
        <v>18</v>
      </c>
      <c r="E573" s="14" t="s">
        <v>28</v>
      </c>
      <c r="F573" s="14" t="s">
        <v>27</v>
      </c>
      <c r="G573" s="305">
        <f>'SEPT-18'!I568</f>
        <v>0</v>
      </c>
      <c r="H573" s="51"/>
      <c r="I573" s="17">
        <f t="shared" si="11"/>
        <v>0</v>
      </c>
      <c r="J573" s="56"/>
      <c r="K573" s="300"/>
    </row>
    <row r="574" spans="1:11" ht="29.25">
      <c r="A574" s="11">
        <v>54313</v>
      </c>
      <c r="B574" s="54" t="s">
        <v>679</v>
      </c>
      <c r="C574" s="13"/>
      <c r="D574" s="14" t="s">
        <v>18</v>
      </c>
      <c r="E574" s="14" t="s">
        <v>28</v>
      </c>
      <c r="F574" s="14" t="s">
        <v>27</v>
      </c>
      <c r="G574" s="305">
        <f>'SEPT-18'!I569</f>
        <v>0</v>
      </c>
      <c r="H574" s="51"/>
      <c r="I574" s="17">
        <f t="shared" si="11"/>
        <v>0</v>
      </c>
      <c r="J574" s="56"/>
      <c r="K574" s="300"/>
    </row>
    <row r="575" spans="1:11" ht="36.75" customHeight="1">
      <c r="A575" s="11">
        <v>54399</v>
      </c>
      <c r="B575" s="54" t="s">
        <v>680</v>
      </c>
      <c r="C575" s="13"/>
      <c r="D575" s="14" t="s">
        <v>18</v>
      </c>
      <c r="E575" s="14" t="s">
        <v>28</v>
      </c>
      <c r="F575" s="14" t="s">
        <v>27</v>
      </c>
      <c r="G575" s="305">
        <f>'SEPT-18'!I570</f>
        <v>0</v>
      </c>
      <c r="H575" s="51"/>
      <c r="I575" s="17">
        <f t="shared" si="11"/>
        <v>0</v>
      </c>
      <c r="J575" s="56"/>
      <c r="K575" s="300"/>
    </row>
    <row r="576" spans="1:11" ht="29.25">
      <c r="A576" s="11">
        <v>55603</v>
      </c>
      <c r="B576" s="54" t="s">
        <v>681</v>
      </c>
      <c r="C576" s="13"/>
      <c r="D576" s="14" t="s">
        <v>18</v>
      </c>
      <c r="E576" s="14" t="s">
        <v>28</v>
      </c>
      <c r="F576" s="14" t="s">
        <v>27</v>
      </c>
      <c r="G576" s="305">
        <f>'SEPT-18'!I571</f>
        <v>0</v>
      </c>
      <c r="H576" s="51"/>
      <c r="I576" s="17">
        <f t="shared" si="11"/>
        <v>0</v>
      </c>
      <c r="J576" s="56"/>
      <c r="K576" s="300"/>
    </row>
    <row r="577" spans="1:11" ht="74.25">
      <c r="A577" s="141" t="s">
        <v>374</v>
      </c>
      <c r="B577" s="53" t="s">
        <v>690</v>
      </c>
      <c r="C577" s="13"/>
      <c r="D577" s="14"/>
      <c r="E577" s="14"/>
      <c r="F577" s="14"/>
      <c r="G577" s="305">
        <f>'SEPT-18'!I572</f>
        <v>0</v>
      </c>
      <c r="H577" s="51"/>
      <c r="I577" s="17"/>
      <c r="J577" s="56"/>
      <c r="K577" s="56"/>
    </row>
    <row r="578" spans="1:11">
      <c r="A578" s="11">
        <v>51202</v>
      </c>
      <c r="B578" s="54" t="s">
        <v>682</v>
      </c>
      <c r="C578" s="13"/>
      <c r="D578" s="14" t="s">
        <v>18</v>
      </c>
      <c r="E578" s="14" t="s">
        <v>28</v>
      </c>
      <c r="F578" s="14" t="s">
        <v>27</v>
      </c>
      <c r="G578" s="305">
        <f>'SEPT-18'!I573</f>
        <v>7000</v>
      </c>
      <c r="H578" s="51"/>
      <c r="I578" s="17">
        <f t="shared" si="11"/>
        <v>7000</v>
      </c>
      <c r="J578" s="142"/>
      <c r="K578" s="300"/>
    </row>
    <row r="579" spans="1:11" ht="29.25">
      <c r="A579" s="11">
        <v>54110</v>
      </c>
      <c r="B579" s="54" t="s">
        <v>683</v>
      </c>
      <c r="C579" s="13"/>
      <c r="D579" s="14" t="s">
        <v>18</v>
      </c>
      <c r="E579" s="14" t="s">
        <v>28</v>
      </c>
      <c r="F579" s="14" t="s">
        <v>27</v>
      </c>
      <c r="G579" s="305">
        <f>'SEPT-18'!I574</f>
        <v>300</v>
      </c>
      <c r="H579" s="51"/>
      <c r="I579" s="17">
        <f t="shared" si="11"/>
        <v>300</v>
      </c>
      <c r="J579" s="142"/>
      <c r="K579" s="300"/>
    </row>
    <row r="580" spans="1:11" ht="30">
      <c r="A580" s="11">
        <v>54111</v>
      </c>
      <c r="B580" s="53" t="s">
        <v>689</v>
      </c>
      <c r="C580" s="13"/>
      <c r="D580" s="14" t="s">
        <v>18</v>
      </c>
      <c r="E580" s="14" t="s">
        <v>28</v>
      </c>
      <c r="F580" s="14" t="s">
        <v>27</v>
      </c>
      <c r="G580" s="305">
        <f>'SEPT-18'!I575</f>
        <v>8000</v>
      </c>
      <c r="H580" s="51"/>
      <c r="I580" s="17">
        <f t="shared" si="11"/>
        <v>8000</v>
      </c>
      <c r="J580" s="142"/>
      <c r="K580" s="300"/>
    </row>
    <row r="581" spans="1:11" ht="29.25">
      <c r="A581" s="11">
        <v>54112</v>
      </c>
      <c r="B581" s="53" t="s">
        <v>684</v>
      </c>
      <c r="C581" s="13"/>
      <c r="D581" s="14" t="s">
        <v>18</v>
      </c>
      <c r="E581" s="14" t="s">
        <v>28</v>
      </c>
      <c r="F581" s="14" t="s">
        <v>27</v>
      </c>
      <c r="G581" s="305">
        <f>'SEPT-18'!I576</f>
        <v>6000</v>
      </c>
      <c r="H581" s="51"/>
      <c r="I581" s="17">
        <f t="shared" si="11"/>
        <v>6000</v>
      </c>
      <c r="J581" s="142"/>
      <c r="K581" s="300"/>
    </row>
    <row r="582" spans="1:11" ht="29.25">
      <c r="A582" s="11">
        <v>54118</v>
      </c>
      <c r="B582" s="53" t="s">
        <v>685</v>
      </c>
      <c r="C582" s="13"/>
      <c r="D582" s="14" t="s">
        <v>18</v>
      </c>
      <c r="E582" s="14" t="s">
        <v>28</v>
      </c>
      <c r="F582" s="14" t="s">
        <v>27</v>
      </c>
      <c r="G582" s="305">
        <f>'SEPT-18'!I577</f>
        <v>3000</v>
      </c>
      <c r="H582" s="51"/>
      <c r="I582" s="17">
        <f t="shared" si="11"/>
        <v>3000</v>
      </c>
      <c r="J582" s="142"/>
      <c r="K582" s="300"/>
    </row>
    <row r="583" spans="1:11" ht="29.25">
      <c r="A583" s="11">
        <v>54313</v>
      </c>
      <c r="B583" s="53" t="s">
        <v>686</v>
      </c>
      <c r="C583" s="13"/>
      <c r="D583" s="14" t="s">
        <v>18</v>
      </c>
      <c r="E583" s="14" t="s">
        <v>28</v>
      </c>
      <c r="F583" s="14" t="s">
        <v>27</v>
      </c>
      <c r="G583" s="305">
        <f>'SEPT-18'!I578</f>
        <v>200</v>
      </c>
      <c r="H583" s="51"/>
      <c r="I583" s="17">
        <f t="shared" si="11"/>
        <v>200</v>
      </c>
      <c r="J583" s="142"/>
      <c r="K583" s="300"/>
    </row>
    <row r="584" spans="1:11" ht="29.25">
      <c r="A584" s="11">
        <v>54399</v>
      </c>
      <c r="B584" s="54" t="s">
        <v>687</v>
      </c>
      <c r="C584" s="13"/>
      <c r="D584" s="14" t="s">
        <v>18</v>
      </c>
      <c r="E584" s="14" t="s">
        <v>28</v>
      </c>
      <c r="F584" s="14" t="s">
        <v>27</v>
      </c>
      <c r="G584" s="305">
        <f>'SEPT-18'!I579</f>
        <v>490</v>
      </c>
      <c r="H584" s="51"/>
      <c r="I584" s="17">
        <f t="shared" si="11"/>
        <v>490</v>
      </c>
      <c r="J584" s="142"/>
      <c r="K584" s="300"/>
    </row>
    <row r="585" spans="1:11" ht="29.25">
      <c r="A585" s="11">
        <v>55603</v>
      </c>
      <c r="B585" s="53" t="s">
        <v>688</v>
      </c>
      <c r="C585" s="13"/>
      <c r="D585" s="14" t="s">
        <v>18</v>
      </c>
      <c r="E585" s="14" t="s">
        <v>28</v>
      </c>
      <c r="F585" s="14" t="s">
        <v>27</v>
      </c>
      <c r="G585" s="305">
        <f>'SEPT-18'!I580</f>
        <v>10</v>
      </c>
      <c r="H585" s="51"/>
      <c r="I585" s="17">
        <f t="shared" si="11"/>
        <v>10</v>
      </c>
      <c r="J585" s="142"/>
      <c r="K585" s="300"/>
    </row>
    <row r="586" spans="1:11" ht="60">
      <c r="A586" s="141" t="s">
        <v>388</v>
      </c>
      <c r="B586" s="53" t="s">
        <v>699</v>
      </c>
      <c r="C586" s="13"/>
      <c r="D586" s="14"/>
      <c r="E586" s="14"/>
      <c r="F586" s="14"/>
      <c r="G586" s="305">
        <f>'SEPT-18'!I581</f>
        <v>0</v>
      </c>
      <c r="H586" s="51"/>
      <c r="I586" s="17"/>
      <c r="J586" s="56"/>
      <c r="K586" s="56"/>
    </row>
    <row r="587" spans="1:11" ht="29.25">
      <c r="A587" s="11">
        <v>51202</v>
      </c>
      <c r="B587" s="54" t="s">
        <v>691</v>
      </c>
      <c r="C587" s="13"/>
      <c r="D587" s="14" t="s">
        <v>18</v>
      </c>
      <c r="E587" s="14" t="s">
        <v>28</v>
      </c>
      <c r="F587" s="14" t="s">
        <v>27</v>
      </c>
      <c r="G587" s="305">
        <f>'SEPT-18'!I582</f>
        <v>7000</v>
      </c>
      <c r="H587" s="51"/>
      <c r="I587" s="17">
        <f t="shared" si="11"/>
        <v>7000</v>
      </c>
      <c r="J587" s="142"/>
      <c r="K587" s="300"/>
    </row>
    <row r="588" spans="1:11" ht="29.25">
      <c r="A588" s="11">
        <v>54110</v>
      </c>
      <c r="B588" s="54" t="s">
        <v>692</v>
      </c>
      <c r="C588" s="13"/>
      <c r="D588" s="14" t="s">
        <v>18</v>
      </c>
      <c r="E588" s="14" t="s">
        <v>28</v>
      </c>
      <c r="F588" s="14" t="s">
        <v>27</v>
      </c>
      <c r="G588" s="305">
        <f>'SEPT-18'!I583</f>
        <v>300</v>
      </c>
      <c r="H588" s="51"/>
      <c r="I588" s="17">
        <f t="shared" si="11"/>
        <v>300</v>
      </c>
      <c r="J588" s="142"/>
      <c r="K588" s="300"/>
    </row>
    <row r="589" spans="1:11" ht="44.25">
      <c r="A589" s="11">
        <v>54111</v>
      </c>
      <c r="B589" s="53" t="s">
        <v>693</v>
      </c>
      <c r="C589" s="13"/>
      <c r="D589" s="14" t="s">
        <v>18</v>
      </c>
      <c r="E589" s="14" t="s">
        <v>28</v>
      </c>
      <c r="F589" s="14" t="s">
        <v>27</v>
      </c>
      <c r="G589" s="305">
        <f>'SEPT-18'!I584</f>
        <v>8000</v>
      </c>
      <c r="H589" s="51"/>
      <c r="I589" s="17">
        <f t="shared" ref="I589:I599" si="12">G589-H589+J589-K589</f>
        <v>8000</v>
      </c>
      <c r="J589" s="142"/>
      <c r="K589" s="300"/>
    </row>
    <row r="590" spans="1:11" ht="29.25">
      <c r="A590" s="11">
        <v>54112</v>
      </c>
      <c r="B590" s="54" t="s">
        <v>694</v>
      </c>
      <c r="C590" s="13"/>
      <c r="D590" s="14" t="s">
        <v>18</v>
      </c>
      <c r="E590" s="14" t="s">
        <v>28</v>
      </c>
      <c r="F590" s="14" t="s">
        <v>27</v>
      </c>
      <c r="G590" s="305">
        <f>'SEPT-18'!I585</f>
        <v>7000</v>
      </c>
      <c r="H590" s="51"/>
      <c r="I590" s="17">
        <f t="shared" si="12"/>
        <v>7000</v>
      </c>
      <c r="J590" s="142"/>
      <c r="K590" s="300"/>
    </row>
    <row r="591" spans="1:11" ht="29.25">
      <c r="A591" s="11">
        <v>54118</v>
      </c>
      <c r="B591" s="54" t="s">
        <v>695</v>
      </c>
      <c r="C591" s="13"/>
      <c r="D591" s="14" t="s">
        <v>18</v>
      </c>
      <c r="E591" s="14" t="s">
        <v>28</v>
      </c>
      <c r="F591" s="14" t="s">
        <v>27</v>
      </c>
      <c r="G591" s="305">
        <f>'SEPT-18'!I586</f>
        <v>2000</v>
      </c>
      <c r="H591" s="51"/>
      <c r="I591" s="17">
        <f t="shared" si="12"/>
        <v>2000</v>
      </c>
      <c r="J591" s="142"/>
      <c r="K591" s="300"/>
    </row>
    <row r="592" spans="1:11" ht="44.25">
      <c r="A592" s="11">
        <v>54313</v>
      </c>
      <c r="B592" s="53" t="s">
        <v>696</v>
      </c>
      <c r="C592" s="13"/>
      <c r="D592" s="14" t="s">
        <v>18</v>
      </c>
      <c r="E592" s="14" t="s">
        <v>28</v>
      </c>
      <c r="F592" s="14" t="s">
        <v>27</v>
      </c>
      <c r="G592" s="305">
        <f>'SEPT-18'!I587</f>
        <v>300</v>
      </c>
      <c r="H592" s="51"/>
      <c r="I592" s="17">
        <f t="shared" si="12"/>
        <v>300</v>
      </c>
      <c r="J592" s="142"/>
      <c r="K592" s="300"/>
    </row>
    <row r="593" spans="1:11" ht="29.25">
      <c r="A593" s="11">
        <v>54399</v>
      </c>
      <c r="B593" s="54" t="s">
        <v>697</v>
      </c>
      <c r="C593" s="13"/>
      <c r="D593" s="14" t="s">
        <v>18</v>
      </c>
      <c r="E593" s="14" t="s">
        <v>28</v>
      </c>
      <c r="F593" s="14" t="s">
        <v>27</v>
      </c>
      <c r="G593" s="305">
        <f>'SEPT-18'!I588</f>
        <v>390</v>
      </c>
      <c r="H593" s="51"/>
      <c r="I593" s="17">
        <f t="shared" si="12"/>
        <v>390</v>
      </c>
      <c r="J593" s="142"/>
      <c r="K593" s="300"/>
    </row>
    <row r="594" spans="1:11" ht="29.25">
      <c r="A594" s="11">
        <v>55603</v>
      </c>
      <c r="B594" s="54" t="s">
        <v>698</v>
      </c>
      <c r="C594" s="13"/>
      <c r="D594" s="14" t="s">
        <v>18</v>
      </c>
      <c r="E594" s="14" t="s">
        <v>28</v>
      </c>
      <c r="F594" s="14" t="s">
        <v>27</v>
      </c>
      <c r="G594" s="305">
        <f>'SEPT-18'!I589</f>
        <v>10</v>
      </c>
      <c r="H594" s="51"/>
      <c r="I594" s="17">
        <f t="shared" si="12"/>
        <v>10</v>
      </c>
      <c r="J594" s="142"/>
      <c r="K594" s="300"/>
    </row>
    <row r="595" spans="1:11" ht="60">
      <c r="A595" s="141" t="s">
        <v>392</v>
      </c>
      <c r="B595" s="53" t="s">
        <v>700</v>
      </c>
      <c r="C595" s="13"/>
      <c r="D595" s="14"/>
      <c r="E595" s="14"/>
      <c r="F595" s="14"/>
      <c r="G595" s="305">
        <f>'SEPT-18'!I590</f>
        <v>0</v>
      </c>
      <c r="H595" s="51"/>
      <c r="I595" s="17"/>
      <c r="J595" s="56"/>
      <c r="K595" s="56"/>
    </row>
    <row r="596" spans="1:11" ht="29.25">
      <c r="A596" s="11">
        <v>51202</v>
      </c>
      <c r="B596" s="54" t="s">
        <v>701</v>
      </c>
      <c r="C596" s="13"/>
      <c r="D596" s="14" t="s">
        <v>18</v>
      </c>
      <c r="E596" s="14" t="s">
        <v>28</v>
      </c>
      <c r="F596" s="14" t="s">
        <v>27</v>
      </c>
      <c r="G596" s="305">
        <f>'SEPT-18'!I591</f>
        <v>0</v>
      </c>
      <c r="H596" s="51"/>
      <c r="I596" s="17">
        <f t="shared" si="12"/>
        <v>0</v>
      </c>
      <c r="J596" s="56"/>
      <c r="K596" s="332"/>
    </row>
    <row r="597" spans="1:11" ht="29.25">
      <c r="A597" s="11">
        <v>54110</v>
      </c>
      <c r="B597" s="53" t="s">
        <v>702</v>
      </c>
      <c r="C597" s="13"/>
      <c r="D597" s="14" t="s">
        <v>18</v>
      </c>
      <c r="E597" s="14" t="s">
        <v>28</v>
      </c>
      <c r="F597" s="14" t="s">
        <v>27</v>
      </c>
      <c r="G597" s="305">
        <f>'SEPT-18'!I592</f>
        <v>0</v>
      </c>
      <c r="H597" s="51"/>
      <c r="I597" s="17">
        <f t="shared" si="12"/>
        <v>0</v>
      </c>
      <c r="J597" s="56"/>
      <c r="K597" s="332"/>
    </row>
    <row r="598" spans="1:11" ht="44.25">
      <c r="A598" s="11">
        <v>54111</v>
      </c>
      <c r="B598" s="53" t="s">
        <v>703</v>
      </c>
      <c r="C598" s="13"/>
      <c r="D598" s="14" t="s">
        <v>18</v>
      </c>
      <c r="E598" s="14" t="s">
        <v>28</v>
      </c>
      <c r="F598" s="14" t="s">
        <v>27</v>
      </c>
      <c r="G598" s="305">
        <f>'SEPT-18'!I593</f>
        <v>0</v>
      </c>
      <c r="H598" s="51"/>
      <c r="I598" s="17">
        <f t="shared" si="12"/>
        <v>0</v>
      </c>
      <c r="J598" s="56"/>
      <c r="K598" s="332"/>
    </row>
    <row r="599" spans="1:11" ht="44.25">
      <c r="A599" s="11">
        <v>54313</v>
      </c>
      <c r="B599" s="53" t="s">
        <v>704</v>
      </c>
      <c r="C599" s="13"/>
      <c r="D599" s="14" t="s">
        <v>18</v>
      </c>
      <c r="E599" s="14" t="s">
        <v>28</v>
      </c>
      <c r="F599" s="14" t="s">
        <v>27</v>
      </c>
      <c r="G599" s="305">
        <f>'SEPT-18'!I594</f>
        <v>0</v>
      </c>
      <c r="H599" s="51"/>
      <c r="I599" s="17">
        <f t="shared" si="12"/>
        <v>0</v>
      </c>
      <c r="J599" s="56"/>
      <c r="K599" s="332"/>
    </row>
    <row r="600" spans="1:11" ht="29.25">
      <c r="A600" s="11">
        <v>55603</v>
      </c>
      <c r="B600" s="53" t="s">
        <v>705</v>
      </c>
      <c r="C600" s="13"/>
      <c r="D600" s="14" t="s">
        <v>18</v>
      </c>
      <c r="E600" s="14" t="s">
        <v>28</v>
      </c>
      <c r="F600" s="14" t="s">
        <v>27</v>
      </c>
      <c r="G600" s="305">
        <f>'SEPT-18'!I595</f>
        <v>0</v>
      </c>
      <c r="H600" s="51"/>
      <c r="I600" s="17">
        <f>G600-H600+J600-K600</f>
        <v>0</v>
      </c>
      <c r="J600" s="56"/>
      <c r="K600" s="332"/>
    </row>
    <row r="601" spans="1:11" ht="105">
      <c r="A601" s="141" t="s">
        <v>401</v>
      </c>
      <c r="B601" s="53" t="s">
        <v>706</v>
      </c>
      <c r="C601" s="13"/>
      <c r="D601" s="14"/>
      <c r="E601" s="14"/>
      <c r="F601" s="14"/>
      <c r="G601" s="305">
        <f>'SEPT-18'!I596</f>
        <v>0</v>
      </c>
      <c r="H601" s="51"/>
      <c r="I601" s="17"/>
      <c r="J601" s="56"/>
      <c r="K601" s="56"/>
    </row>
    <row r="602" spans="1:11" ht="29.25">
      <c r="A602" s="11">
        <v>51202</v>
      </c>
      <c r="B602" s="54" t="s">
        <v>707</v>
      </c>
      <c r="C602" s="13"/>
      <c r="D602" s="14" t="s">
        <v>18</v>
      </c>
      <c r="E602" s="14" t="s">
        <v>28</v>
      </c>
      <c r="F602" s="14" t="s">
        <v>27</v>
      </c>
      <c r="G602" s="305">
        <f>'SEPT-18'!I597</f>
        <v>6000</v>
      </c>
      <c r="H602" s="51"/>
      <c r="I602" s="17">
        <f>G602-H602+J602-K602</f>
        <v>6000</v>
      </c>
      <c r="J602" s="142"/>
      <c r="K602" s="300"/>
    </row>
    <row r="603" spans="1:11" ht="43.5">
      <c r="A603" s="11">
        <v>54110</v>
      </c>
      <c r="B603" s="54" t="s">
        <v>708</v>
      </c>
      <c r="C603" s="13"/>
      <c r="D603" s="14" t="s">
        <v>18</v>
      </c>
      <c r="E603" s="14" t="s">
        <v>28</v>
      </c>
      <c r="F603" s="14" t="s">
        <v>27</v>
      </c>
      <c r="G603" s="305">
        <f>'SEPT-18'!I598</f>
        <v>300</v>
      </c>
      <c r="H603" s="51"/>
      <c r="I603" s="17">
        <f t="shared" ref="I603:I643" si="13">G603-H603+J603-K603</f>
        <v>300</v>
      </c>
      <c r="J603" s="142"/>
      <c r="K603" s="300"/>
    </row>
    <row r="604" spans="1:11" ht="44.25">
      <c r="A604" s="11">
        <v>54111</v>
      </c>
      <c r="B604" s="54" t="s">
        <v>709</v>
      </c>
      <c r="C604" s="13"/>
      <c r="D604" s="14" t="s">
        <v>18</v>
      </c>
      <c r="E604" s="14" t="s">
        <v>28</v>
      </c>
      <c r="F604" s="14" t="s">
        <v>27</v>
      </c>
      <c r="G604" s="305">
        <f>'SEPT-18'!I599</f>
        <v>8000</v>
      </c>
      <c r="H604" s="51"/>
      <c r="I604" s="17">
        <f t="shared" si="13"/>
        <v>8000</v>
      </c>
      <c r="J604" s="142"/>
      <c r="K604" s="300"/>
    </row>
    <row r="605" spans="1:11" ht="43.5">
      <c r="A605" s="11">
        <v>54118</v>
      </c>
      <c r="B605" s="54" t="s">
        <v>710</v>
      </c>
      <c r="C605" s="13"/>
      <c r="D605" s="14" t="s">
        <v>18</v>
      </c>
      <c r="E605" s="14" t="s">
        <v>28</v>
      </c>
      <c r="F605" s="14" t="s">
        <v>27</v>
      </c>
      <c r="G605" s="305">
        <f>'SEPT-18'!I600</f>
        <v>5000</v>
      </c>
      <c r="H605" s="51"/>
      <c r="I605" s="17">
        <f t="shared" si="13"/>
        <v>5000</v>
      </c>
      <c r="J605" s="142"/>
      <c r="K605" s="300"/>
    </row>
    <row r="606" spans="1:11" ht="43.5">
      <c r="A606" s="11">
        <v>54313</v>
      </c>
      <c r="B606" s="54" t="s">
        <v>711</v>
      </c>
      <c r="C606" s="13"/>
      <c r="D606" s="14" t="s">
        <v>18</v>
      </c>
      <c r="E606" s="14" t="s">
        <v>28</v>
      </c>
      <c r="F606" s="14" t="s">
        <v>27</v>
      </c>
      <c r="G606" s="305">
        <f>'SEPT-18'!I601</f>
        <v>300</v>
      </c>
      <c r="H606" s="51"/>
      <c r="I606" s="17">
        <f t="shared" si="13"/>
        <v>300</v>
      </c>
      <c r="J606" s="142"/>
      <c r="K606" s="300"/>
    </row>
    <row r="607" spans="1:11" ht="44.25">
      <c r="A607" s="11">
        <v>54399</v>
      </c>
      <c r="B607" s="54" t="s">
        <v>712</v>
      </c>
      <c r="C607" s="13"/>
      <c r="D607" s="14" t="s">
        <v>18</v>
      </c>
      <c r="E607" s="14" t="s">
        <v>28</v>
      </c>
      <c r="F607" s="14" t="s">
        <v>27</v>
      </c>
      <c r="G607" s="305">
        <f>'SEPT-18'!I602</f>
        <v>390</v>
      </c>
      <c r="H607" s="51"/>
      <c r="I607" s="17">
        <f t="shared" si="13"/>
        <v>390</v>
      </c>
      <c r="J607" s="142"/>
      <c r="K607" s="300"/>
    </row>
    <row r="608" spans="1:11" ht="43.5">
      <c r="A608" s="11">
        <v>55603</v>
      </c>
      <c r="B608" s="53" t="s">
        <v>713</v>
      </c>
      <c r="C608" s="13"/>
      <c r="D608" s="14" t="s">
        <v>18</v>
      </c>
      <c r="E608" s="14" t="s">
        <v>28</v>
      </c>
      <c r="F608" s="14" t="s">
        <v>27</v>
      </c>
      <c r="G608" s="305">
        <f>'SEPT-18'!I603</f>
        <v>10</v>
      </c>
      <c r="H608" s="51"/>
      <c r="I608" s="17">
        <f t="shared" si="13"/>
        <v>10</v>
      </c>
      <c r="J608" s="142"/>
      <c r="K608" s="300"/>
    </row>
    <row r="609" spans="1:11" ht="59.25">
      <c r="A609" s="141" t="s">
        <v>408</v>
      </c>
      <c r="B609" s="53" t="s">
        <v>714</v>
      </c>
      <c r="C609" s="13"/>
      <c r="D609" s="14"/>
      <c r="E609" s="14"/>
      <c r="F609" s="14"/>
      <c r="G609" s="305">
        <f>'SEPT-18'!I604</f>
        <v>0</v>
      </c>
      <c r="H609" s="51"/>
      <c r="I609" s="17"/>
      <c r="J609" s="56"/>
      <c r="K609" s="56"/>
    </row>
    <row r="610" spans="1:11" ht="29.25">
      <c r="A610" s="11">
        <v>51202</v>
      </c>
      <c r="B610" s="54" t="s">
        <v>715</v>
      </c>
      <c r="C610" s="13"/>
      <c r="D610" s="14" t="s">
        <v>18</v>
      </c>
      <c r="E610" s="14" t="s">
        <v>28</v>
      </c>
      <c r="F610" s="14" t="s">
        <v>27</v>
      </c>
      <c r="G610" s="305">
        <f>'SEPT-18'!I605</f>
        <v>6000</v>
      </c>
      <c r="H610" s="51"/>
      <c r="I610" s="17">
        <f t="shared" si="13"/>
        <v>6000</v>
      </c>
      <c r="J610" s="142"/>
      <c r="K610" s="142"/>
    </row>
    <row r="611" spans="1:11" ht="29.25">
      <c r="A611" s="11">
        <v>54110</v>
      </c>
      <c r="B611" s="54" t="s">
        <v>716</v>
      </c>
      <c r="C611" s="13"/>
      <c r="D611" s="14" t="s">
        <v>18</v>
      </c>
      <c r="E611" s="14" t="s">
        <v>28</v>
      </c>
      <c r="F611" s="14" t="s">
        <v>27</v>
      </c>
      <c r="G611" s="305">
        <f>'SEPT-18'!I606</f>
        <v>300</v>
      </c>
      <c r="H611" s="51"/>
      <c r="I611" s="17">
        <f t="shared" si="13"/>
        <v>300</v>
      </c>
      <c r="J611" s="142"/>
      <c r="K611" s="142"/>
    </row>
    <row r="612" spans="1:11" ht="44.25">
      <c r="A612" s="11">
        <v>54111</v>
      </c>
      <c r="B612" s="54" t="s">
        <v>717</v>
      </c>
      <c r="C612" s="13"/>
      <c r="D612" s="14" t="s">
        <v>18</v>
      </c>
      <c r="E612" s="14" t="s">
        <v>28</v>
      </c>
      <c r="F612" s="14" t="s">
        <v>27</v>
      </c>
      <c r="G612" s="305">
        <f>'SEPT-18'!I607</f>
        <v>8000</v>
      </c>
      <c r="H612" s="51"/>
      <c r="I612" s="17">
        <f t="shared" si="13"/>
        <v>8000</v>
      </c>
      <c r="J612" s="142"/>
      <c r="K612" s="142"/>
    </row>
    <row r="613" spans="1:11" ht="43.5">
      <c r="A613" s="11">
        <v>54112</v>
      </c>
      <c r="B613" s="53" t="s">
        <v>718</v>
      </c>
      <c r="C613" s="13"/>
      <c r="D613" s="14" t="s">
        <v>18</v>
      </c>
      <c r="E613" s="14" t="s">
        <v>28</v>
      </c>
      <c r="F613" s="14" t="s">
        <v>27</v>
      </c>
      <c r="G613" s="305">
        <f>'SEPT-18'!I608</f>
        <v>4500</v>
      </c>
      <c r="H613" s="51"/>
      <c r="I613" s="17">
        <f t="shared" si="13"/>
        <v>4500</v>
      </c>
      <c r="J613" s="142"/>
      <c r="K613" s="142"/>
    </row>
    <row r="614" spans="1:11" ht="29.25">
      <c r="A614" s="11">
        <v>54118</v>
      </c>
      <c r="B614" s="54" t="s">
        <v>719</v>
      </c>
      <c r="C614" s="13"/>
      <c r="D614" s="14" t="s">
        <v>18</v>
      </c>
      <c r="E614" s="14" t="s">
        <v>28</v>
      </c>
      <c r="F614" s="14" t="s">
        <v>27</v>
      </c>
      <c r="G614" s="305">
        <f>'SEPT-18'!I609</f>
        <v>300</v>
      </c>
      <c r="H614" s="51"/>
      <c r="I614" s="17">
        <f t="shared" si="13"/>
        <v>300</v>
      </c>
      <c r="J614" s="142"/>
      <c r="K614" s="142"/>
    </row>
    <row r="615" spans="1:11" ht="44.25">
      <c r="A615" s="11">
        <v>54313</v>
      </c>
      <c r="B615" s="54" t="s">
        <v>720</v>
      </c>
      <c r="C615" s="13"/>
      <c r="D615" s="14" t="s">
        <v>18</v>
      </c>
      <c r="E615" s="14" t="s">
        <v>28</v>
      </c>
      <c r="F615" s="14" t="s">
        <v>27</v>
      </c>
      <c r="G615" s="305">
        <f>'SEPT-18'!I610</f>
        <v>390</v>
      </c>
      <c r="H615" s="51"/>
      <c r="I615" s="17">
        <f t="shared" si="13"/>
        <v>390</v>
      </c>
      <c r="J615" s="142"/>
      <c r="K615" s="142"/>
    </row>
    <row r="616" spans="1:11" ht="44.25">
      <c r="A616" s="11">
        <v>54399</v>
      </c>
      <c r="B616" s="53" t="s">
        <v>721</v>
      </c>
      <c r="C616" s="13"/>
      <c r="D616" s="14" t="s">
        <v>18</v>
      </c>
      <c r="E616" s="14" t="s">
        <v>28</v>
      </c>
      <c r="F616" s="14" t="s">
        <v>27</v>
      </c>
      <c r="G616" s="305">
        <f>'SEPT-18'!I611</f>
        <v>500</v>
      </c>
      <c r="H616" s="51"/>
      <c r="I616" s="17">
        <f t="shared" si="13"/>
        <v>500</v>
      </c>
      <c r="J616" s="142"/>
      <c r="K616" s="142"/>
    </row>
    <row r="617" spans="1:11" ht="29.25">
      <c r="A617" s="11">
        <v>55603</v>
      </c>
      <c r="B617" s="53" t="s">
        <v>722</v>
      </c>
      <c r="C617" s="13"/>
      <c r="D617" s="14" t="s">
        <v>18</v>
      </c>
      <c r="E617" s="14" t="s">
        <v>28</v>
      </c>
      <c r="F617" s="14" t="s">
        <v>27</v>
      </c>
      <c r="G617" s="305">
        <f>'SEPT-18'!I612</f>
        <v>10</v>
      </c>
      <c r="H617" s="51"/>
      <c r="I617" s="17">
        <f t="shared" si="13"/>
        <v>10</v>
      </c>
      <c r="J617" s="142"/>
      <c r="K617" s="142"/>
    </row>
    <row r="618" spans="1:11" ht="89.25">
      <c r="A618" s="141" t="s">
        <v>418</v>
      </c>
      <c r="B618" s="53" t="s">
        <v>723</v>
      </c>
      <c r="C618" s="13"/>
      <c r="D618" s="14"/>
      <c r="E618" s="14"/>
      <c r="F618" s="14"/>
      <c r="G618" s="305">
        <f>'SEPT-18'!I613</f>
        <v>0</v>
      </c>
      <c r="H618" s="51"/>
      <c r="I618" s="17"/>
      <c r="J618" s="56"/>
      <c r="K618" s="56"/>
    </row>
    <row r="619" spans="1:11" ht="29.25">
      <c r="A619" s="11">
        <v>51202</v>
      </c>
      <c r="B619" s="53" t="s">
        <v>724</v>
      </c>
      <c r="C619" s="13"/>
      <c r="D619" s="14" t="s">
        <v>18</v>
      </c>
      <c r="E619" s="14" t="s">
        <v>28</v>
      </c>
      <c r="F619" s="14" t="s">
        <v>27</v>
      </c>
      <c r="G619" s="305">
        <f>'SEPT-18'!I614</f>
        <v>0</v>
      </c>
      <c r="H619" s="51"/>
      <c r="I619" s="17">
        <f t="shared" si="13"/>
        <v>0</v>
      </c>
      <c r="J619" s="56"/>
      <c r="K619" s="337"/>
    </row>
    <row r="620" spans="1:11" ht="29.25">
      <c r="A620" s="11">
        <v>54110</v>
      </c>
      <c r="B620" s="53" t="s">
        <v>725</v>
      </c>
      <c r="C620" s="13"/>
      <c r="D620" s="14" t="s">
        <v>18</v>
      </c>
      <c r="E620" s="14" t="s">
        <v>28</v>
      </c>
      <c r="F620" s="14" t="s">
        <v>27</v>
      </c>
      <c r="G620" s="305">
        <f>'SEPT-18'!I615</f>
        <v>0</v>
      </c>
      <c r="H620" s="51"/>
      <c r="I620" s="17">
        <f t="shared" si="13"/>
        <v>0</v>
      </c>
      <c r="J620" s="56"/>
      <c r="K620" s="337"/>
    </row>
    <row r="621" spans="1:11" ht="29.25">
      <c r="A621" s="11">
        <v>54111</v>
      </c>
      <c r="B621" s="53" t="s">
        <v>726</v>
      </c>
      <c r="C621" s="13"/>
      <c r="D621" s="14" t="s">
        <v>18</v>
      </c>
      <c r="E621" s="14" t="s">
        <v>28</v>
      </c>
      <c r="F621" s="14" t="s">
        <v>27</v>
      </c>
      <c r="G621" s="305">
        <f>'SEPT-18'!I616</f>
        <v>0</v>
      </c>
      <c r="H621" s="51"/>
      <c r="I621" s="17">
        <f t="shared" si="13"/>
        <v>0</v>
      </c>
      <c r="J621" s="56"/>
      <c r="K621" s="337"/>
    </row>
    <row r="622" spans="1:11" ht="29.25">
      <c r="A622" s="11">
        <v>54118</v>
      </c>
      <c r="B622" s="53" t="s">
        <v>727</v>
      </c>
      <c r="C622" s="13"/>
      <c r="D622" s="14" t="s">
        <v>18</v>
      </c>
      <c r="E622" s="14" t="s">
        <v>28</v>
      </c>
      <c r="F622" s="14" t="s">
        <v>27</v>
      </c>
      <c r="G622" s="305">
        <f>'SEPT-18'!I617</f>
        <v>0</v>
      </c>
      <c r="H622" s="51"/>
      <c r="I622" s="17">
        <f t="shared" si="13"/>
        <v>0</v>
      </c>
      <c r="J622" s="56"/>
      <c r="K622" s="337"/>
    </row>
    <row r="623" spans="1:11" ht="29.25">
      <c r="A623" s="11">
        <v>54313</v>
      </c>
      <c r="B623" s="53" t="s">
        <v>728</v>
      </c>
      <c r="C623" s="13"/>
      <c r="D623" s="14" t="s">
        <v>18</v>
      </c>
      <c r="E623" s="14" t="s">
        <v>28</v>
      </c>
      <c r="F623" s="14" t="s">
        <v>27</v>
      </c>
      <c r="G623" s="305">
        <f>'SEPT-18'!I618</f>
        <v>0</v>
      </c>
      <c r="H623" s="51"/>
      <c r="I623" s="17">
        <f t="shared" si="13"/>
        <v>0</v>
      </c>
      <c r="J623" s="56"/>
      <c r="K623" s="337"/>
    </row>
    <row r="624" spans="1:11" ht="30">
      <c r="A624" s="11">
        <v>54399</v>
      </c>
      <c r="B624" s="53" t="s">
        <v>729</v>
      </c>
      <c r="C624" s="13"/>
      <c r="D624" s="14" t="s">
        <v>18</v>
      </c>
      <c r="E624" s="14" t="s">
        <v>28</v>
      </c>
      <c r="F624" s="14" t="s">
        <v>27</v>
      </c>
      <c r="G624" s="305">
        <f>'SEPT-18'!I619</f>
        <v>0</v>
      </c>
      <c r="H624" s="51"/>
      <c r="I624" s="17">
        <f t="shared" si="13"/>
        <v>0</v>
      </c>
      <c r="J624" s="56"/>
      <c r="K624" s="337"/>
    </row>
    <row r="625" spans="1:11" ht="29.25">
      <c r="A625" s="11">
        <v>55603</v>
      </c>
      <c r="B625" s="53" t="s">
        <v>730</v>
      </c>
      <c r="C625" s="13"/>
      <c r="D625" s="14" t="s">
        <v>18</v>
      </c>
      <c r="E625" s="14" t="s">
        <v>28</v>
      </c>
      <c r="F625" s="14" t="s">
        <v>27</v>
      </c>
      <c r="G625" s="305">
        <f>'SEPT-18'!I620</f>
        <v>0</v>
      </c>
      <c r="H625" s="51"/>
      <c r="I625" s="17">
        <f t="shared" si="13"/>
        <v>0</v>
      </c>
      <c r="J625" s="56"/>
      <c r="K625" s="337"/>
    </row>
    <row r="626" spans="1:11" ht="90">
      <c r="A626" s="141" t="s">
        <v>429</v>
      </c>
      <c r="B626" s="53" t="s">
        <v>1176</v>
      </c>
      <c r="C626" s="13"/>
      <c r="D626" s="14"/>
      <c r="E626" s="14"/>
      <c r="F626" s="14"/>
      <c r="G626" s="305">
        <f>'SEPT-18'!I621</f>
        <v>0</v>
      </c>
      <c r="H626" s="51"/>
      <c r="I626" s="17"/>
      <c r="J626" s="56"/>
      <c r="K626" s="56"/>
    </row>
    <row r="627" spans="1:11">
      <c r="A627" s="11">
        <v>51202</v>
      </c>
      <c r="B627" s="53" t="s">
        <v>732</v>
      </c>
      <c r="C627" s="13"/>
      <c r="D627" s="14" t="s">
        <v>18</v>
      </c>
      <c r="E627" s="14" t="s">
        <v>28</v>
      </c>
      <c r="F627" s="14" t="s">
        <v>27</v>
      </c>
      <c r="G627" s="305">
        <f>'SEPT-18'!I622</f>
        <v>12190</v>
      </c>
      <c r="H627" s="51"/>
      <c r="I627" s="17">
        <f t="shared" si="13"/>
        <v>12190</v>
      </c>
      <c r="J627" s="56"/>
      <c r="K627" s="56"/>
    </row>
    <row r="628" spans="1:11" ht="29.25">
      <c r="A628" s="11">
        <v>54110</v>
      </c>
      <c r="B628" s="53" t="s">
        <v>733</v>
      </c>
      <c r="C628" s="13"/>
      <c r="D628" s="14" t="s">
        <v>18</v>
      </c>
      <c r="E628" s="14" t="s">
        <v>28</v>
      </c>
      <c r="F628" s="14" t="s">
        <v>27</v>
      </c>
      <c r="G628" s="305">
        <f>'SEPT-18'!I623</f>
        <v>300</v>
      </c>
      <c r="H628" s="51"/>
      <c r="I628" s="17">
        <f t="shared" si="13"/>
        <v>300</v>
      </c>
      <c r="J628" s="56"/>
      <c r="K628" s="56"/>
    </row>
    <row r="629" spans="1:11" ht="29.25">
      <c r="A629" s="11">
        <v>54111</v>
      </c>
      <c r="B629" s="53" t="s">
        <v>734</v>
      </c>
      <c r="C629" s="13"/>
      <c r="D629" s="14" t="s">
        <v>18</v>
      </c>
      <c r="E629" s="14" t="s">
        <v>28</v>
      </c>
      <c r="F629" s="14" t="s">
        <v>27</v>
      </c>
      <c r="G629" s="305">
        <f>'SEPT-18'!I624</f>
        <v>15000</v>
      </c>
      <c r="H629" s="51"/>
      <c r="I629" s="17">
        <f t="shared" si="13"/>
        <v>15000</v>
      </c>
      <c r="J629" s="56"/>
      <c r="K629" s="56"/>
    </row>
    <row r="630" spans="1:11" ht="29.25">
      <c r="A630" s="11">
        <v>54112</v>
      </c>
      <c r="B630" s="53" t="s">
        <v>735</v>
      </c>
      <c r="C630" s="13"/>
      <c r="D630" s="14" t="s">
        <v>18</v>
      </c>
      <c r="E630" s="14" t="s">
        <v>28</v>
      </c>
      <c r="F630" s="14" t="s">
        <v>27</v>
      </c>
      <c r="G630" s="305">
        <f>'SEPT-18'!I625</f>
        <v>8000</v>
      </c>
      <c r="H630" s="51"/>
      <c r="I630" s="17">
        <f t="shared" si="13"/>
        <v>8000</v>
      </c>
      <c r="J630" s="56"/>
      <c r="K630" s="56"/>
    </row>
    <row r="631" spans="1:11" ht="29.25">
      <c r="A631" s="11">
        <v>54118</v>
      </c>
      <c r="B631" s="53" t="s">
        <v>736</v>
      </c>
      <c r="C631" s="13"/>
      <c r="D631" s="14" t="s">
        <v>18</v>
      </c>
      <c r="E631" s="14" t="s">
        <v>28</v>
      </c>
      <c r="F631" s="14" t="s">
        <v>27</v>
      </c>
      <c r="G631" s="305">
        <f>'SEPT-18'!I626</f>
        <v>7000</v>
      </c>
      <c r="H631" s="51"/>
      <c r="I631" s="17">
        <f t="shared" si="13"/>
        <v>7000</v>
      </c>
      <c r="J631" s="56"/>
      <c r="K631" s="56"/>
    </row>
    <row r="632" spans="1:11" ht="29.25">
      <c r="A632" s="11">
        <v>54304</v>
      </c>
      <c r="B632" s="53" t="s">
        <v>737</v>
      </c>
      <c r="C632" s="13"/>
      <c r="D632" s="14" t="s">
        <v>18</v>
      </c>
      <c r="E632" s="14" t="s">
        <v>28</v>
      </c>
      <c r="F632" s="14" t="s">
        <v>27</v>
      </c>
      <c r="G632" s="305">
        <f>'SEPT-18'!I627</f>
        <v>2000</v>
      </c>
      <c r="H632" s="51"/>
      <c r="I632" s="17">
        <f t="shared" si="13"/>
        <v>2000</v>
      </c>
      <c r="J632" s="56"/>
      <c r="K632" s="56"/>
    </row>
    <row r="633" spans="1:11" ht="30">
      <c r="A633" s="11">
        <v>54313</v>
      </c>
      <c r="B633" s="53" t="s">
        <v>738</v>
      </c>
      <c r="C633" s="13"/>
      <c r="D633" s="14" t="s">
        <v>18</v>
      </c>
      <c r="E633" s="14" t="s">
        <v>28</v>
      </c>
      <c r="F633" s="14" t="s">
        <v>27</v>
      </c>
      <c r="G633" s="305">
        <f>'SEPT-18'!I628</f>
        <v>300</v>
      </c>
      <c r="H633" s="51"/>
      <c r="I633" s="17">
        <f t="shared" si="13"/>
        <v>300</v>
      </c>
      <c r="J633" s="56"/>
      <c r="K633" s="56"/>
    </row>
    <row r="634" spans="1:11" ht="29.25">
      <c r="A634" s="11">
        <v>54399</v>
      </c>
      <c r="B634" s="53" t="s">
        <v>739</v>
      </c>
      <c r="C634" s="13"/>
      <c r="D634" s="14" t="s">
        <v>18</v>
      </c>
      <c r="E634" s="14" t="s">
        <v>28</v>
      </c>
      <c r="F634" s="14" t="s">
        <v>27</v>
      </c>
      <c r="G634" s="305">
        <f>'SEPT-18'!I629</f>
        <v>200</v>
      </c>
      <c r="H634" s="51"/>
      <c r="I634" s="17">
        <f t="shared" si="13"/>
        <v>200</v>
      </c>
      <c r="J634" s="56"/>
      <c r="K634" s="56"/>
    </row>
    <row r="635" spans="1:11" ht="29.25">
      <c r="A635" s="11">
        <v>55603</v>
      </c>
      <c r="B635" s="53" t="s">
        <v>740</v>
      </c>
      <c r="C635" s="13"/>
      <c r="D635" s="14" t="s">
        <v>18</v>
      </c>
      <c r="E635" s="14" t="s">
        <v>28</v>
      </c>
      <c r="F635" s="14" t="s">
        <v>27</v>
      </c>
      <c r="G635" s="305">
        <f>'SEPT-18'!I630</f>
        <v>10</v>
      </c>
      <c r="H635" s="51"/>
      <c r="I635" s="17">
        <f t="shared" si="13"/>
        <v>10</v>
      </c>
      <c r="J635" s="56"/>
      <c r="K635" s="56"/>
    </row>
    <row r="636" spans="1:11" ht="75">
      <c r="A636" s="144" t="s">
        <v>437</v>
      </c>
      <c r="B636" s="53" t="s">
        <v>742</v>
      </c>
      <c r="C636" s="13"/>
      <c r="D636" s="14"/>
      <c r="E636" s="14"/>
      <c r="F636" s="14"/>
      <c r="G636" s="305">
        <f>'SEPT-18'!I631</f>
        <v>0</v>
      </c>
      <c r="H636" s="51"/>
      <c r="I636" s="17"/>
      <c r="J636" s="56"/>
      <c r="K636" s="56"/>
    </row>
    <row r="637" spans="1:11" ht="29.25">
      <c r="A637" s="11">
        <v>51202</v>
      </c>
      <c r="B637" s="53" t="s">
        <v>743</v>
      </c>
      <c r="C637" s="13"/>
      <c r="D637" s="14" t="s">
        <v>18</v>
      </c>
      <c r="E637" s="14" t="s">
        <v>28</v>
      </c>
      <c r="F637" s="14" t="s">
        <v>27</v>
      </c>
      <c r="G637" s="305">
        <f>'SEPT-18'!I632</f>
        <v>0</v>
      </c>
      <c r="H637" s="51"/>
      <c r="I637" s="17">
        <f t="shared" si="13"/>
        <v>0</v>
      </c>
      <c r="J637" s="56"/>
      <c r="K637" s="337"/>
    </row>
    <row r="638" spans="1:11" ht="29.25">
      <c r="A638" s="11">
        <v>54110</v>
      </c>
      <c r="B638" s="53" t="s">
        <v>744</v>
      </c>
      <c r="C638" s="13"/>
      <c r="D638" s="14" t="s">
        <v>18</v>
      </c>
      <c r="E638" s="14" t="s">
        <v>28</v>
      </c>
      <c r="F638" s="14" t="s">
        <v>27</v>
      </c>
      <c r="G638" s="305">
        <f>'SEPT-18'!I633</f>
        <v>0</v>
      </c>
      <c r="H638" s="51"/>
      <c r="I638" s="17">
        <f t="shared" si="13"/>
        <v>0</v>
      </c>
      <c r="J638" s="56"/>
      <c r="K638" s="337"/>
    </row>
    <row r="639" spans="1:11" ht="43.5">
      <c r="A639" s="11">
        <v>54111</v>
      </c>
      <c r="B639" s="53" t="s">
        <v>745</v>
      </c>
      <c r="C639" s="13"/>
      <c r="D639" s="14" t="s">
        <v>18</v>
      </c>
      <c r="E639" s="14" t="s">
        <v>28</v>
      </c>
      <c r="F639" s="14" t="s">
        <v>27</v>
      </c>
      <c r="G639" s="305">
        <f>'SEPT-18'!I634</f>
        <v>0</v>
      </c>
      <c r="H639" s="51"/>
      <c r="I639" s="17">
        <f t="shared" si="13"/>
        <v>0</v>
      </c>
      <c r="J639" s="56"/>
      <c r="K639" s="337"/>
    </row>
    <row r="640" spans="1:11" ht="43.5">
      <c r="A640" s="11">
        <v>54118</v>
      </c>
      <c r="B640" s="53" t="s">
        <v>746</v>
      </c>
      <c r="C640" s="13"/>
      <c r="D640" s="14" t="s">
        <v>18</v>
      </c>
      <c r="E640" s="14" t="s">
        <v>28</v>
      </c>
      <c r="F640" s="14" t="s">
        <v>27</v>
      </c>
      <c r="G640" s="305">
        <f>'SEPT-18'!I635</f>
        <v>0</v>
      </c>
      <c r="H640" s="51"/>
      <c r="I640" s="17">
        <f t="shared" si="13"/>
        <v>0</v>
      </c>
      <c r="J640" s="56"/>
      <c r="K640" s="300"/>
    </row>
    <row r="641" spans="1:11" ht="43.5">
      <c r="A641" s="11">
        <v>54313</v>
      </c>
      <c r="B641" s="53" t="s">
        <v>747</v>
      </c>
      <c r="C641" s="13"/>
      <c r="D641" s="14" t="s">
        <v>18</v>
      </c>
      <c r="E641" s="14" t="s">
        <v>28</v>
      </c>
      <c r="F641" s="14" t="s">
        <v>27</v>
      </c>
      <c r="G641" s="305">
        <f>'SEPT-18'!I636</f>
        <v>0</v>
      </c>
      <c r="H641" s="51"/>
      <c r="I641" s="17">
        <f t="shared" si="13"/>
        <v>0</v>
      </c>
      <c r="J641" s="56"/>
      <c r="K641" s="337"/>
    </row>
    <row r="642" spans="1:11" ht="44.25">
      <c r="A642" s="11">
        <v>54399</v>
      </c>
      <c r="B642" s="53" t="s">
        <v>748</v>
      </c>
      <c r="C642" s="13"/>
      <c r="D642" s="14" t="s">
        <v>18</v>
      </c>
      <c r="E642" s="14" t="s">
        <v>28</v>
      </c>
      <c r="F642" s="14" t="s">
        <v>27</v>
      </c>
      <c r="G642" s="305">
        <f>'SEPT-18'!I637</f>
        <v>0</v>
      </c>
      <c r="H642" s="51"/>
      <c r="I642" s="17">
        <f t="shared" si="13"/>
        <v>0</v>
      </c>
      <c r="J642" s="56"/>
      <c r="K642" s="337"/>
    </row>
    <row r="643" spans="1:11" ht="29.25">
      <c r="A643" s="11">
        <v>55603</v>
      </c>
      <c r="B643" s="53" t="s">
        <v>749</v>
      </c>
      <c r="C643" s="13"/>
      <c r="D643" s="14" t="s">
        <v>18</v>
      </c>
      <c r="E643" s="14" t="s">
        <v>28</v>
      </c>
      <c r="F643" s="14" t="s">
        <v>27</v>
      </c>
      <c r="G643" s="305">
        <f>'SEPT-18'!I638</f>
        <v>0</v>
      </c>
      <c r="H643" s="51"/>
      <c r="I643" s="17">
        <f t="shared" si="13"/>
        <v>0</v>
      </c>
      <c r="J643" s="56"/>
      <c r="K643" s="142"/>
    </row>
    <row r="644" spans="1:11">
      <c r="A644" s="11"/>
      <c r="B644" s="54"/>
      <c r="C644" s="13"/>
      <c r="D644" s="14"/>
      <c r="E644" s="14"/>
      <c r="F644" s="14"/>
      <c r="G644" s="305">
        <f>'SEPT-18'!I639</f>
        <v>0</v>
      </c>
      <c r="H644" s="51"/>
      <c r="I644" s="17"/>
      <c r="J644" s="56"/>
      <c r="K644" s="56"/>
    </row>
    <row r="645" spans="1:11" ht="60">
      <c r="A645" s="141" t="s">
        <v>443</v>
      </c>
      <c r="B645" s="53" t="s">
        <v>750</v>
      </c>
      <c r="C645" s="13"/>
      <c r="D645" s="14"/>
      <c r="E645" s="14"/>
      <c r="F645" s="14"/>
      <c r="G645" s="305">
        <f>'SEPT-18'!I640</f>
        <v>0</v>
      </c>
      <c r="H645" s="51"/>
      <c r="I645" s="17"/>
      <c r="J645" s="56"/>
      <c r="K645" s="56"/>
    </row>
    <row r="646" spans="1:11" ht="29.25">
      <c r="A646" s="11">
        <v>51202</v>
      </c>
      <c r="B646" s="53" t="s">
        <v>741</v>
      </c>
      <c r="C646" s="13"/>
      <c r="D646" s="14" t="s">
        <v>18</v>
      </c>
      <c r="E646" s="14" t="s">
        <v>28</v>
      </c>
      <c r="F646" s="14" t="s">
        <v>27</v>
      </c>
      <c r="G646" s="305">
        <f>'SEPT-18'!I641</f>
        <v>3000</v>
      </c>
      <c r="H646" s="51"/>
      <c r="I646" s="17">
        <f t="shared" ref="I646:I712" si="14">G646-H646+J646-K646</f>
        <v>3000</v>
      </c>
      <c r="J646" s="56"/>
      <c r="K646" s="56"/>
    </row>
    <row r="647" spans="1:11" ht="29.25">
      <c r="A647" s="11">
        <v>54110</v>
      </c>
      <c r="B647" s="53" t="s">
        <v>751</v>
      </c>
      <c r="C647" s="13"/>
      <c r="D647" s="14" t="s">
        <v>18</v>
      </c>
      <c r="E647" s="14" t="s">
        <v>28</v>
      </c>
      <c r="F647" s="14" t="s">
        <v>27</v>
      </c>
      <c r="G647" s="305">
        <f>'SEPT-18'!I642</f>
        <v>100</v>
      </c>
      <c r="H647" s="51"/>
      <c r="I647" s="17">
        <f t="shared" si="14"/>
        <v>100</v>
      </c>
      <c r="J647" s="56"/>
      <c r="K647" s="56"/>
    </row>
    <row r="648" spans="1:11" ht="43.5">
      <c r="A648" s="11">
        <v>54111</v>
      </c>
      <c r="B648" s="53" t="s">
        <v>752</v>
      </c>
      <c r="C648" s="13"/>
      <c r="D648" s="14" t="s">
        <v>18</v>
      </c>
      <c r="E648" s="14" t="s">
        <v>28</v>
      </c>
      <c r="F648" s="14" t="s">
        <v>27</v>
      </c>
      <c r="G648" s="305">
        <f>'SEPT-18'!I643</f>
        <v>2000</v>
      </c>
      <c r="H648" s="51"/>
      <c r="I648" s="17">
        <f t="shared" si="14"/>
        <v>2000</v>
      </c>
      <c r="J648" s="56"/>
      <c r="K648" s="56"/>
    </row>
    <row r="649" spans="1:11" ht="29.25">
      <c r="A649" s="11">
        <v>54118</v>
      </c>
      <c r="B649" s="53" t="s">
        <v>753</v>
      </c>
      <c r="C649" s="13"/>
      <c r="D649" s="14" t="s">
        <v>18</v>
      </c>
      <c r="E649" s="14" t="s">
        <v>28</v>
      </c>
      <c r="F649" s="14" t="s">
        <v>27</v>
      </c>
      <c r="G649" s="305">
        <f>'SEPT-18'!I644</f>
        <v>290</v>
      </c>
      <c r="H649" s="51"/>
      <c r="I649" s="17">
        <f t="shared" si="14"/>
        <v>290</v>
      </c>
      <c r="J649" s="56"/>
      <c r="K649" s="56"/>
    </row>
    <row r="650" spans="1:11" ht="29.25">
      <c r="A650" s="11">
        <v>54304</v>
      </c>
      <c r="B650" s="53" t="s">
        <v>754</v>
      </c>
      <c r="C650" s="13"/>
      <c r="D650" s="14" t="s">
        <v>18</v>
      </c>
      <c r="E650" s="14" t="s">
        <v>28</v>
      </c>
      <c r="F650" s="14" t="s">
        <v>27</v>
      </c>
      <c r="G650" s="305">
        <f>'SEPT-18'!I645</f>
        <v>100</v>
      </c>
      <c r="H650" s="51"/>
      <c r="I650" s="17">
        <f t="shared" si="14"/>
        <v>100</v>
      </c>
      <c r="J650" s="56"/>
      <c r="K650" s="56"/>
    </row>
    <row r="651" spans="1:11" ht="29.25">
      <c r="A651" s="11">
        <v>54313</v>
      </c>
      <c r="B651" s="53" t="s">
        <v>755</v>
      </c>
      <c r="C651" s="13"/>
      <c r="D651" s="14" t="s">
        <v>18</v>
      </c>
      <c r="E651" s="14" t="s">
        <v>28</v>
      </c>
      <c r="F651" s="14" t="s">
        <v>27</v>
      </c>
      <c r="G651" s="305">
        <f>'SEPT-18'!I646</f>
        <v>300</v>
      </c>
      <c r="H651" s="17"/>
      <c r="I651" s="17">
        <f t="shared" si="14"/>
        <v>300</v>
      </c>
      <c r="J651" s="56"/>
      <c r="K651" s="56"/>
    </row>
    <row r="652" spans="1:11" ht="43.5">
      <c r="A652" s="11">
        <v>54399</v>
      </c>
      <c r="B652" s="53" t="s">
        <v>756</v>
      </c>
      <c r="C652" s="13"/>
      <c r="D652" s="14" t="s">
        <v>18</v>
      </c>
      <c r="E652" s="14" t="s">
        <v>28</v>
      </c>
      <c r="F652" s="14" t="s">
        <v>27</v>
      </c>
      <c r="G652" s="305">
        <f>'SEPT-18'!I647</f>
        <v>200</v>
      </c>
      <c r="H652" s="51"/>
      <c r="I652" s="17">
        <f t="shared" si="14"/>
        <v>200</v>
      </c>
      <c r="J652" s="56"/>
      <c r="K652" s="56"/>
    </row>
    <row r="653" spans="1:11" ht="29.25">
      <c r="A653" s="11">
        <v>55603</v>
      </c>
      <c r="B653" s="53" t="s">
        <v>757</v>
      </c>
      <c r="C653" s="13"/>
      <c r="D653" s="14" t="s">
        <v>18</v>
      </c>
      <c r="E653" s="14" t="s">
        <v>28</v>
      </c>
      <c r="F653" s="14" t="s">
        <v>27</v>
      </c>
      <c r="G653" s="305">
        <f>'SEPT-18'!I648</f>
        <v>10</v>
      </c>
      <c r="H653" s="51"/>
      <c r="I653" s="17">
        <f t="shared" si="14"/>
        <v>10</v>
      </c>
      <c r="J653" s="56"/>
      <c r="K653" s="56"/>
    </row>
    <row r="654" spans="1:11" ht="60">
      <c r="A654" s="141" t="s">
        <v>451</v>
      </c>
      <c r="B654" s="53" t="s">
        <v>758</v>
      </c>
      <c r="C654" s="13"/>
      <c r="D654" s="14"/>
      <c r="E654" s="14"/>
      <c r="F654" s="14"/>
      <c r="G654" s="305">
        <f>'SEPT-18'!I649</f>
        <v>0</v>
      </c>
      <c r="H654" s="51"/>
      <c r="I654" s="17"/>
      <c r="J654" s="56"/>
      <c r="K654" s="56"/>
    </row>
    <row r="655" spans="1:11" ht="29.25">
      <c r="A655" s="11">
        <v>51202</v>
      </c>
      <c r="B655" s="54" t="s">
        <v>759</v>
      </c>
      <c r="C655" s="13"/>
      <c r="D655" s="14" t="s">
        <v>18</v>
      </c>
      <c r="E655" s="14" t="s">
        <v>28</v>
      </c>
      <c r="F655" s="14" t="s">
        <v>27</v>
      </c>
      <c r="G655" s="305">
        <f>'SEPT-18'!I650</f>
        <v>0</v>
      </c>
      <c r="H655" s="51"/>
      <c r="I655" s="17">
        <f t="shared" si="14"/>
        <v>0</v>
      </c>
      <c r="J655" s="56"/>
      <c r="K655" s="142"/>
    </row>
    <row r="656" spans="1:11" ht="29.25">
      <c r="A656" s="11">
        <v>54110</v>
      </c>
      <c r="B656" s="54" t="s">
        <v>760</v>
      </c>
      <c r="C656" s="13"/>
      <c r="D656" s="14" t="s">
        <v>18</v>
      </c>
      <c r="E656" s="14" t="s">
        <v>28</v>
      </c>
      <c r="F656" s="14" t="s">
        <v>27</v>
      </c>
      <c r="G656" s="305">
        <f>'SEPT-18'!I651</f>
        <v>0</v>
      </c>
      <c r="H656" s="51"/>
      <c r="I656" s="17">
        <f t="shared" si="14"/>
        <v>0</v>
      </c>
      <c r="J656" s="56"/>
      <c r="K656" s="142"/>
    </row>
    <row r="657" spans="1:11" ht="41.25" customHeight="1">
      <c r="A657" s="11">
        <v>54111</v>
      </c>
      <c r="B657" s="54" t="s">
        <v>761</v>
      </c>
      <c r="C657" s="13"/>
      <c r="D657" s="14" t="s">
        <v>18</v>
      </c>
      <c r="E657" s="14" t="s">
        <v>28</v>
      </c>
      <c r="F657" s="14" t="s">
        <v>27</v>
      </c>
      <c r="G657" s="305">
        <f>'SEPT-18'!I652</f>
        <v>0</v>
      </c>
      <c r="H657" s="51"/>
      <c r="I657" s="17">
        <f t="shared" si="14"/>
        <v>0</v>
      </c>
      <c r="J657" s="56"/>
      <c r="K657" s="142"/>
    </row>
    <row r="658" spans="1:11" ht="30" customHeight="1">
      <c r="A658" s="11">
        <v>54118</v>
      </c>
      <c r="B658" s="54" t="s">
        <v>762</v>
      </c>
      <c r="C658" s="13"/>
      <c r="D658" s="14" t="s">
        <v>18</v>
      </c>
      <c r="E658" s="14" t="s">
        <v>28</v>
      </c>
      <c r="F658" s="14" t="s">
        <v>27</v>
      </c>
      <c r="G658" s="305">
        <f>'SEPT-18'!I653</f>
        <v>0</v>
      </c>
      <c r="H658" s="51"/>
      <c r="I658" s="17">
        <f t="shared" si="14"/>
        <v>0</v>
      </c>
      <c r="J658" s="56"/>
      <c r="K658" s="142"/>
    </row>
    <row r="659" spans="1:11" ht="29.25">
      <c r="A659" s="11">
        <v>54313</v>
      </c>
      <c r="B659" s="54" t="s">
        <v>763</v>
      </c>
      <c r="C659" s="13"/>
      <c r="D659" s="14" t="s">
        <v>18</v>
      </c>
      <c r="E659" s="14" t="s">
        <v>28</v>
      </c>
      <c r="F659" s="14" t="s">
        <v>27</v>
      </c>
      <c r="G659" s="305">
        <f>'SEPT-18'!I654</f>
        <v>0</v>
      </c>
      <c r="H659" s="51"/>
      <c r="I659" s="17">
        <f t="shared" si="14"/>
        <v>0</v>
      </c>
      <c r="J659" s="56"/>
      <c r="K659" s="142"/>
    </row>
    <row r="660" spans="1:11" ht="44.25">
      <c r="A660" s="11">
        <v>54399</v>
      </c>
      <c r="B660" s="54" t="s">
        <v>764</v>
      </c>
      <c r="C660" s="13"/>
      <c r="D660" s="14" t="s">
        <v>18</v>
      </c>
      <c r="E660" s="14" t="s">
        <v>28</v>
      </c>
      <c r="F660" s="14" t="s">
        <v>27</v>
      </c>
      <c r="G660" s="305">
        <f>'SEPT-18'!I655</f>
        <v>0</v>
      </c>
      <c r="H660" s="51"/>
      <c r="I660" s="17">
        <f t="shared" si="14"/>
        <v>0</v>
      </c>
      <c r="J660" s="56"/>
      <c r="K660" s="142"/>
    </row>
    <row r="661" spans="1:11" ht="29.25">
      <c r="A661" s="11">
        <v>55603</v>
      </c>
      <c r="B661" s="54" t="s">
        <v>765</v>
      </c>
      <c r="C661" s="13"/>
      <c r="D661" s="14" t="s">
        <v>18</v>
      </c>
      <c r="E661" s="14" t="s">
        <v>28</v>
      </c>
      <c r="F661" s="14" t="s">
        <v>27</v>
      </c>
      <c r="G661" s="305">
        <f>'SEPT-18'!I656</f>
        <v>0</v>
      </c>
      <c r="H661" s="51"/>
      <c r="I661" s="17">
        <f t="shared" si="14"/>
        <v>0</v>
      </c>
      <c r="J661" s="56"/>
      <c r="K661" s="142"/>
    </row>
    <row r="662" spans="1:11" ht="78.75" customHeight="1">
      <c r="A662" s="141" t="s">
        <v>459</v>
      </c>
      <c r="B662" s="53" t="s">
        <v>766</v>
      </c>
      <c r="C662" s="13"/>
      <c r="D662" s="14"/>
      <c r="E662" s="14"/>
      <c r="F662" s="14"/>
      <c r="G662" s="305">
        <f>'SEPT-18'!I657</f>
        <v>0</v>
      </c>
      <c r="H662" s="51"/>
      <c r="I662" s="17"/>
      <c r="J662" s="56"/>
      <c r="K662" s="56"/>
    </row>
    <row r="663" spans="1:11" ht="29.25">
      <c r="A663" s="11">
        <v>51202</v>
      </c>
      <c r="B663" s="54" t="s">
        <v>767</v>
      </c>
      <c r="C663" s="13"/>
      <c r="D663" s="14" t="s">
        <v>18</v>
      </c>
      <c r="E663" s="14" t="s">
        <v>28</v>
      </c>
      <c r="F663" s="14" t="s">
        <v>27</v>
      </c>
      <c r="G663" s="305">
        <f>'SEPT-18'!I658</f>
        <v>0</v>
      </c>
      <c r="H663" s="51"/>
      <c r="I663" s="17">
        <f t="shared" si="14"/>
        <v>0</v>
      </c>
      <c r="J663" s="56"/>
      <c r="K663" s="137"/>
    </row>
    <row r="664" spans="1:11" ht="29.25">
      <c r="A664" s="11">
        <v>54110</v>
      </c>
      <c r="B664" s="54" t="s">
        <v>768</v>
      </c>
      <c r="C664" s="13"/>
      <c r="D664" s="14" t="s">
        <v>18</v>
      </c>
      <c r="E664" s="14" t="s">
        <v>28</v>
      </c>
      <c r="F664" s="14" t="s">
        <v>27</v>
      </c>
      <c r="G664" s="305">
        <f>'SEPT-18'!I659</f>
        <v>0</v>
      </c>
      <c r="H664" s="51"/>
      <c r="I664" s="17">
        <f t="shared" si="14"/>
        <v>0</v>
      </c>
      <c r="J664" s="56"/>
      <c r="K664" s="137"/>
    </row>
    <row r="665" spans="1:11" ht="43.5">
      <c r="A665" s="11">
        <v>54111</v>
      </c>
      <c r="B665" s="54" t="s">
        <v>769</v>
      </c>
      <c r="C665" s="13"/>
      <c r="D665" s="14" t="s">
        <v>18</v>
      </c>
      <c r="E665" s="14" t="s">
        <v>28</v>
      </c>
      <c r="F665" s="14" t="s">
        <v>27</v>
      </c>
      <c r="G665" s="305">
        <f>'SEPT-18'!I660</f>
        <v>0</v>
      </c>
      <c r="H665" s="51"/>
      <c r="I665" s="17">
        <f t="shared" si="14"/>
        <v>0</v>
      </c>
      <c r="J665" s="56"/>
      <c r="K665" s="137"/>
    </row>
    <row r="666" spans="1:11" ht="43.5">
      <c r="A666" s="11">
        <v>54118</v>
      </c>
      <c r="B666" s="54" t="s">
        <v>770</v>
      </c>
      <c r="C666" s="13"/>
      <c r="D666" s="14" t="s">
        <v>18</v>
      </c>
      <c r="E666" s="14" t="s">
        <v>28</v>
      </c>
      <c r="F666" s="14" t="s">
        <v>27</v>
      </c>
      <c r="G666" s="305">
        <f>'SEPT-18'!I661</f>
        <v>0</v>
      </c>
      <c r="H666" s="51"/>
      <c r="I666" s="17">
        <f t="shared" si="14"/>
        <v>0</v>
      </c>
      <c r="J666" s="56"/>
      <c r="K666" s="137"/>
    </row>
    <row r="667" spans="1:11" ht="44.25">
      <c r="A667" s="11">
        <v>54313</v>
      </c>
      <c r="B667" s="54" t="s">
        <v>771</v>
      </c>
      <c r="C667" s="13"/>
      <c r="D667" s="14" t="s">
        <v>18</v>
      </c>
      <c r="E667" s="14" t="s">
        <v>28</v>
      </c>
      <c r="F667" s="14" t="s">
        <v>27</v>
      </c>
      <c r="G667" s="305">
        <f>'SEPT-18'!I662</f>
        <v>0</v>
      </c>
      <c r="H667" s="51"/>
      <c r="I667" s="17">
        <f t="shared" si="14"/>
        <v>0</v>
      </c>
      <c r="J667" s="56"/>
      <c r="K667" s="137"/>
    </row>
    <row r="668" spans="1:11" ht="43.5">
      <c r="A668" s="11">
        <v>54399</v>
      </c>
      <c r="B668" s="54" t="s">
        <v>772</v>
      </c>
      <c r="C668" s="13"/>
      <c r="D668" s="14" t="s">
        <v>18</v>
      </c>
      <c r="E668" s="14" t="s">
        <v>28</v>
      </c>
      <c r="F668" s="14" t="s">
        <v>27</v>
      </c>
      <c r="G668" s="305">
        <f>'SEPT-18'!I663</f>
        <v>0</v>
      </c>
      <c r="H668" s="51"/>
      <c r="I668" s="17">
        <f t="shared" si="14"/>
        <v>0</v>
      </c>
      <c r="J668" s="56"/>
      <c r="K668" s="137"/>
    </row>
    <row r="669" spans="1:11" ht="43.5">
      <c r="A669" s="11">
        <v>55603</v>
      </c>
      <c r="B669" s="54" t="s">
        <v>773</v>
      </c>
      <c r="C669" s="13"/>
      <c r="D669" s="14" t="s">
        <v>18</v>
      </c>
      <c r="E669" s="14" t="s">
        <v>28</v>
      </c>
      <c r="F669" s="14" t="s">
        <v>27</v>
      </c>
      <c r="G669" s="305">
        <f>'SEPT-18'!I664</f>
        <v>0</v>
      </c>
      <c r="H669" s="51"/>
      <c r="I669" s="17">
        <f t="shared" si="14"/>
        <v>0</v>
      </c>
      <c r="J669" s="56"/>
      <c r="K669" s="137"/>
    </row>
    <row r="670" spans="1:11" ht="74.25">
      <c r="A670" s="141" t="s">
        <v>461</v>
      </c>
      <c r="B670" s="53" t="s">
        <v>774</v>
      </c>
      <c r="C670" s="13"/>
      <c r="D670" s="14"/>
      <c r="E670" s="14"/>
      <c r="F670" s="14"/>
      <c r="G670" s="305">
        <f>'SEPT-18'!I665</f>
        <v>0</v>
      </c>
      <c r="H670" s="51"/>
      <c r="I670" s="17"/>
      <c r="J670" s="56"/>
      <c r="K670" s="56"/>
    </row>
    <row r="671" spans="1:11" ht="29.25">
      <c r="A671" s="11">
        <v>51202</v>
      </c>
      <c r="B671" s="54" t="s">
        <v>775</v>
      </c>
      <c r="C671" s="13"/>
      <c r="D671" s="14" t="s">
        <v>18</v>
      </c>
      <c r="E671" s="14" t="s">
        <v>28</v>
      </c>
      <c r="F671" s="14" t="s">
        <v>27</v>
      </c>
      <c r="G671" s="305">
        <f>'SEPT-18'!I666</f>
        <v>7000</v>
      </c>
      <c r="H671" s="51"/>
      <c r="I671" s="17">
        <f t="shared" si="14"/>
        <v>7000</v>
      </c>
      <c r="J671" s="56"/>
      <c r="K671" s="56"/>
    </row>
    <row r="672" spans="1:11" ht="29.25">
      <c r="A672" s="11">
        <v>54110</v>
      </c>
      <c r="B672" s="54" t="s">
        <v>776</v>
      </c>
      <c r="C672" s="13"/>
      <c r="D672" s="14" t="s">
        <v>18</v>
      </c>
      <c r="E672" s="14" t="s">
        <v>28</v>
      </c>
      <c r="F672" s="14" t="s">
        <v>27</v>
      </c>
      <c r="G672" s="305">
        <f>'SEPT-18'!I667</f>
        <v>200</v>
      </c>
      <c r="H672" s="51"/>
      <c r="I672" s="17">
        <f t="shared" si="14"/>
        <v>200</v>
      </c>
      <c r="J672" s="56"/>
      <c r="K672" s="56"/>
    </row>
    <row r="673" spans="1:11" ht="44.25">
      <c r="A673" s="11">
        <v>54111</v>
      </c>
      <c r="B673" s="54" t="s">
        <v>777</v>
      </c>
      <c r="C673" s="13"/>
      <c r="D673" s="14" t="s">
        <v>18</v>
      </c>
      <c r="E673" s="14" t="s">
        <v>28</v>
      </c>
      <c r="F673" s="14" t="s">
        <v>27</v>
      </c>
      <c r="G673" s="305">
        <f>'SEPT-18'!I668</f>
        <v>9290</v>
      </c>
      <c r="H673" s="51"/>
      <c r="I673" s="17">
        <f t="shared" si="14"/>
        <v>9290</v>
      </c>
      <c r="J673" s="56"/>
      <c r="K673" s="56"/>
    </row>
    <row r="674" spans="1:11" ht="43.5">
      <c r="A674" s="11">
        <v>54118</v>
      </c>
      <c r="B674" s="54" t="s">
        <v>778</v>
      </c>
      <c r="C674" s="13"/>
      <c r="D674" s="14" t="s">
        <v>18</v>
      </c>
      <c r="E674" s="14" t="s">
        <v>28</v>
      </c>
      <c r="F674" s="14" t="s">
        <v>27</v>
      </c>
      <c r="G674" s="305">
        <f>'SEPT-18'!I669</f>
        <v>3000</v>
      </c>
      <c r="H674" s="51"/>
      <c r="I674" s="17">
        <f t="shared" si="14"/>
        <v>3000</v>
      </c>
      <c r="J674" s="56"/>
      <c r="K674" s="56"/>
    </row>
    <row r="675" spans="1:11" ht="43.5">
      <c r="A675" s="11">
        <v>54313</v>
      </c>
      <c r="B675" s="54" t="s">
        <v>779</v>
      </c>
      <c r="C675" s="13"/>
      <c r="D675" s="14" t="s">
        <v>18</v>
      </c>
      <c r="E675" s="14" t="s">
        <v>28</v>
      </c>
      <c r="F675" s="14" t="s">
        <v>27</v>
      </c>
      <c r="G675" s="305">
        <f>'SEPT-18'!I670</f>
        <v>300</v>
      </c>
      <c r="H675" s="51"/>
      <c r="I675" s="17">
        <f t="shared" si="14"/>
        <v>300</v>
      </c>
      <c r="J675" s="56"/>
      <c r="K675" s="56"/>
    </row>
    <row r="676" spans="1:11" ht="43.5">
      <c r="A676" s="11">
        <v>54399</v>
      </c>
      <c r="B676" s="54" t="s">
        <v>780</v>
      </c>
      <c r="C676" s="13"/>
      <c r="D676" s="14" t="s">
        <v>18</v>
      </c>
      <c r="E676" s="14" t="s">
        <v>28</v>
      </c>
      <c r="F676" s="14" t="s">
        <v>27</v>
      </c>
      <c r="G676" s="305">
        <f>'SEPT-18'!I671</f>
        <v>200</v>
      </c>
      <c r="H676" s="51"/>
      <c r="I676" s="17">
        <f t="shared" si="14"/>
        <v>200</v>
      </c>
      <c r="J676" s="56"/>
      <c r="K676" s="56"/>
    </row>
    <row r="677" spans="1:11" ht="43.5">
      <c r="A677" s="11">
        <v>55603</v>
      </c>
      <c r="B677" s="54" t="s">
        <v>781</v>
      </c>
      <c r="C677" s="13"/>
      <c r="D677" s="14" t="s">
        <v>18</v>
      </c>
      <c r="E677" s="14" t="s">
        <v>28</v>
      </c>
      <c r="F677" s="14" t="s">
        <v>27</v>
      </c>
      <c r="G677" s="305">
        <f>'SEPT-18'!I672</f>
        <v>10</v>
      </c>
      <c r="H677" s="51"/>
      <c r="I677" s="17">
        <f t="shared" si="14"/>
        <v>10</v>
      </c>
      <c r="J677" s="56"/>
      <c r="K677" s="56"/>
    </row>
    <row r="678" spans="1:11" ht="89.25">
      <c r="A678" s="141" t="s">
        <v>468</v>
      </c>
      <c r="B678" s="53" t="s">
        <v>782</v>
      </c>
      <c r="C678" s="13"/>
      <c r="D678" s="14"/>
      <c r="E678" s="14"/>
      <c r="F678" s="14"/>
      <c r="G678" s="305">
        <f>'SEPT-18'!I673</f>
        <v>0</v>
      </c>
      <c r="H678" s="51"/>
      <c r="I678" s="17"/>
      <c r="J678" s="56"/>
      <c r="K678" s="56"/>
    </row>
    <row r="679" spans="1:11" ht="29.25">
      <c r="A679" s="11">
        <v>51202</v>
      </c>
      <c r="B679" s="54" t="s">
        <v>783</v>
      </c>
      <c r="C679" s="13"/>
      <c r="D679" s="14" t="s">
        <v>18</v>
      </c>
      <c r="E679" s="14" t="s">
        <v>28</v>
      </c>
      <c r="F679" s="14" t="s">
        <v>27</v>
      </c>
      <c r="G679" s="305">
        <f>'SEPT-18'!I674</f>
        <v>7000</v>
      </c>
      <c r="H679" s="51"/>
      <c r="I679" s="17">
        <f t="shared" si="14"/>
        <v>7000</v>
      </c>
      <c r="J679" s="56"/>
      <c r="K679" s="56"/>
    </row>
    <row r="680" spans="1:11" ht="43.5">
      <c r="A680" s="11">
        <v>54110</v>
      </c>
      <c r="B680" s="54" t="s">
        <v>784</v>
      </c>
      <c r="C680" s="13"/>
      <c r="D680" s="14" t="s">
        <v>18</v>
      </c>
      <c r="E680" s="14" t="s">
        <v>28</v>
      </c>
      <c r="F680" s="14" t="s">
        <v>27</v>
      </c>
      <c r="G680" s="305">
        <f>'SEPT-18'!I675</f>
        <v>200</v>
      </c>
      <c r="H680" s="51"/>
      <c r="I680" s="17">
        <f t="shared" si="14"/>
        <v>200</v>
      </c>
      <c r="J680" s="56"/>
      <c r="K680" s="56"/>
    </row>
    <row r="681" spans="1:11" ht="44.25">
      <c r="A681" s="11">
        <v>54111</v>
      </c>
      <c r="B681" s="53" t="s">
        <v>785</v>
      </c>
      <c r="C681" s="13"/>
      <c r="D681" s="14" t="s">
        <v>18</v>
      </c>
      <c r="E681" s="14" t="s">
        <v>28</v>
      </c>
      <c r="F681" s="14" t="s">
        <v>27</v>
      </c>
      <c r="G681" s="305">
        <f>'SEPT-18'!I676</f>
        <v>9290</v>
      </c>
      <c r="H681" s="51"/>
      <c r="I681" s="17">
        <f t="shared" si="14"/>
        <v>9290</v>
      </c>
      <c r="J681" s="56"/>
      <c r="K681" s="56"/>
    </row>
    <row r="682" spans="1:11" ht="43.5">
      <c r="A682" s="11">
        <v>54118</v>
      </c>
      <c r="B682" s="54" t="s">
        <v>786</v>
      </c>
      <c r="C682" s="13"/>
      <c r="D682" s="14" t="s">
        <v>18</v>
      </c>
      <c r="E682" s="14" t="s">
        <v>28</v>
      </c>
      <c r="F682" s="14" t="s">
        <v>27</v>
      </c>
      <c r="G682" s="305">
        <f>'SEPT-18'!I677</f>
        <v>3000</v>
      </c>
      <c r="H682" s="51"/>
      <c r="I682" s="17">
        <f t="shared" si="14"/>
        <v>3000</v>
      </c>
      <c r="J682" s="56"/>
      <c r="K682" s="56"/>
    </row>
    <row r="683" spans="1:11" ht="44.25">
      <c r="A683" s="11">
        <v>54313</v>
      </c>
      <c r="B683" s="54" t="s">
        <v>787</v>
      </c>
      <c r="C683" s="13"/>
      <c r="D683" s="14" t="s">
        <v>18</v>
      </c>
      <c r="E683" s="14" t="s">
        <v>28</v>
      </c>
      <c r="F683" s="14" t="s">
        <v>27</v>
      </c>
      <c r="G683" s="305">
        <f>'SEPT-18'!I678</f>
        <v>300</v>
      </c>
      <c r="H683" s="51"/>
      <c r="I683" s="17">
        <f t="shared" si="14"/>
        <v>300</v>
      </c>
      <c r="J683" s="56"/>
      <c r="K683" s="56"/>
    </row>
    <row r="684" spans="1:11" ht="44.25">
      <c r="A684" s="11">
        <v>54399</v>
      </c>
      <c r="B684" s="54" t="s">
        <v>788</v>
      </c>
      <c r="C684" s="13"/>
      <c r="D684" s="14" t="s">
        <v>18</v>
      </c>
      <c r="E684" s="14" t="s">
        <v>28</v>
      </c>
      <c r="F684" s="14" t="s">
        <v>27</v>
      </c>
      <c r="G684" s="305">
        <f>'SEPT-18'!I679</f>
        <v>200</v>
      </c>
      <c r="H684" s="51"/>
      <c r="I684" s="17">
        <f t="shared" si="14"/>
        <v>200</v>
      </c>
      <c r="J684" s="56"/>
      <c r="K684" s="56"/>
    </row>
    <row r="685" spans="1:11" ht="40.5" customHeight="1">
      <c r="A685" s="11">
        <v>55603</v>
      </c>
      <c r="B685" s="54" t="s">
        <v>789</v>
      </c>
      <c r="C685" s="13"/>
      <c r="D685" s="14" t="s">
        <v>18</v>
      </c>
      <c r="E685" s="14" t="s">
        <v>28</v>
      </c>
      <c r="F685" s="14" t="s">
        <v>27</v>
      </c>
      <c r="G685" s="305">
        <f>'SEPT-18'!I680</f>
        <v>10</v>
      </c>
      <c r="H685" s="51"/>
      <c r="I685" s="17">
        <f t="shared" si="14"/>
        <v>10</v>
      </c>
      <c r="J685" s="56"/>
      <c r="K685" s="56"/>
    </row>
    <row r="686" spans="1:11" ht="60">
      <c r="A686" s="144" t="s">
        <v>477</v>
      </c>
      <c r="B686" s="53" t="s">
        <v>791</v>
      </c>
      <c r="C686" s="13"/>
      <c r="D686" s="14"/>
      <c r="E686" s="14"/>
      <c r="F686" s="14"/>
      <c r="G686" s="305">
        <f>'SEPT-18'!I681</f>
        <v>0</v>
      </c>
      <c r="H686" s="51"/>
      <c r="I686" s="17"/>
      <c r="J686" s="56"/>
      <c r="K686" s="56"/>
    </row>
    <row r="687" spans="1:11" ht="30">
      <c r="A687" s="11">
        <v>51202</v>
      </c>
      <c r="B687" s="54" t="s">
        <v>792</v>
      </c>
      <c r="C687" s="13"/>
      <c r="D687" s="14" t="s">
        <v>18</v>
      </c>
      <c r="E687" s="14" t="s">
        <v>28</v>
      </c>
      <c r="F687" s="14" t="s">
        <v>27</v>
      </c>
      <c r="G687" s="305">
        <f>'SEPT-18'!I682</f>
        <v>9000</v>
      </c>
      <c r="H687" s="51"/>
      <c r="I687" s="17">
        <f t="shared" si="14"/>
        <v>9000</v>
      </c>
      <c r="J687" s="56"/>
      <c r="K687" s="56"/>
    </row>
    <row r="688" spans="1:11" ht="30">
      <c r="A688" s="11">
        <v>54110</v>
      </c>
      <c r="B688" s="54" t="s">
        <v>793</v>
      </c>
      <c r="C688" s="13"/>
      <c r="D688" s="14" t="s">
        <v>18</v>
      </c>
      <c r="E688" s="14" t="s">
        <v>28</v>
      </c>
      <c r="F688" s="14" t="s">
        <v>27</v>
      </c>
      <c r="G688" s="305">
        <f>'SEPT-18'!I683</f>
        <v>200</v>
      </c>
      <c r="H688" s="51"/>
      <c r="I688" s="17">
        <f t="shared" si="14"/>
        <v>200</v>
      </c>
      <c r="J688" s="56"/>
      <c r="K688" s="56"/>
    </row>
    <row r="689" spans="1:11" ht="30">
      <c r="A689" s="11">
        <v>54111</v>
      </c>
      <c r="B689" s="54" t="s">
        <v>794</v>
      </c>
      <c r="C689" s="13"/>
      <c r="D689" s="14" t="s">
        <v>18</v>
      </c>
      <c r="E689" s="14" t="s">
        <v>28</v>
      </c>
      <c r="F689" s="14" t="s">
        <v>27</v>
      </c>
      <c r="G689" s="305">
        <f>'SEPT-18'!I684</f>
        <v>11290</v>
      </c>
      <c r="H689" s="51"/>
      <c r="I689" s="17">
        <f t="shared" si="14"/>
        <v>11290</v>
      </c>
      <c r="J689" s="56"/>
      <c r="K689" s="56"/>
    </row>
    <row r="690" spans="1:11" ht="30">
      <c r="A690" s="11">
        <v>54118</v>
      </c>
      <c r="B690" s="54" t="s">
        <v>795</v>
      </c>
      <c r="C690" s="13"/>
      <c r="D690" s="14" t="s">
        <v>18</v>
      </c>
      <c r="E690" s="14" t="s">
        <v>28</v>
      </c>
      <c r="F690" s="14" t="s">
        <v>27</v>
      </c>
      <c r="G690" s="305">
        <f>'SEPT-18'!I685</f>
        <v>3000</v>
      </c>
      <c r="H690" s="51"/>
      <c r="I690" s="17">
        <f t="shared" si="14"/>
        <v>3000</v>
      </c>
      <c r="J690" s="56"/>
      <c r="K690" s="56"/>
    </row>
    <row r="691" spans="1:11" ht="45">
      <c r="A691" s="11">
        <v>54313</v>
      </c>
      <c r="B691" s="54" t="s">
        <v>796</v>
      </c>
      <c r="C691" s="13"/>
      <c r="D691" s="14" t="s">
        <v>18</v>
      </c>
      <c r="E691" s="14" t="s">
        <v>28</v>
      </c>
      <c r="F691" s="14" t="s">
        <v>27</v>
      </c>
      <c r="G691" s="305">
        <f>'SEPT-18'!I686</f>
        <v>300</v>
      </c>
      <c r="H691" s="51"/>
      <c r="I691" s="17">
        <f t="shared" si="14"/>
        <v>300</v>
      </c>
      <c r="J691" s="56"/>
      <c r="K691" s="56"/>
    </row>
    <row r="692" spans="1:11" ht="30">
      <c r="A692" s="11">
        <v>54399</v>
      </c>
      <c r="B692" s="54" t="s">
        <v>797</v>
      </c>
      <c r="C692" s="13"/>
      <c r="D692" s="14" t="s">
        <v>18</v>
      </c>
      <c r="E692" s="14" t="s">
        <v>28</v>
      </c>
      <c r="F692" s="14" t="s">
        <v>27</v>
      </c>
      <c r="G692" s="305">
        <f>'SEPT-18'!I687</f>
        <v>1200</v>
      </c>
      <c r="H692" s="51"/>
      <c r="I692" s="17">
        <f t="shared" si="14"/>
        <v>1200</v>
      </c>
      <c r="J692" s="56"/>
      <c r="K692" s="56"/>
    </row>
    <row r="693" spans="1:11" ht="30">
      <c r="A693" s="11">
        <v>55603</v>
      </c>
      <c r="B693" s="54" t="s">
        <v>798</v>
      </c>
      <c r="C693" s="13"/>
      <c r="D693" s="14" t="s">
        <v>18</v>
      </c>
      <c r="E693" s="14" t="s">
        <v>28</v>
      </c>
      <c r="F693" s="14" t="s">
        <v>27</v>
      </c>
      <c r="G693" s="305">
        <f>'SEPT-18'!I688</f>
        <v>10</v>
      </c>
      <c r="H693" s="51"/>
      <c r="I693" s="17">
        <f t="shared" si="14"/>
        <v>10</v>
      </c>
      <c r="J693" s="56"/>
      <c r="K693" s="56"/>
    </row>
    <row r="694" spans="1:11" ht="60">
      <c r="A694" s="141" t="s">
        <v>486</v>
      </c>
      <c r="B694" s="53" t="s">
        <v>790</v>
      </c>
      <c r="C694" s="13"/>
      <c r="D694" s="14"/>
      <c r="E694" s="14"/>
      <c r="F694" s="14"/>
      <c r="G694" s="305">
        <f>'SEPT-18'!I689</f>
        <v>0</v>
      </c>
      <c r="H694" s="51"/>
      <c r="I694" s="17"/>
      <c r="J694" s="56"/>
      <c r="K694" s="56"/>
    </row>
    <row r="695" spans="1:11" ht="29.25">
      <c r="A695" s="11">
        <v>51202</v>
      </c>
      <c r="B695" s="54" t="s">
        <v>799</v>
      </c>
      <c r="C695" s="13"/>
      <c r="D695" s="14" t="s">
        <v>18</v>
      </c>
      <c r="E695" s="14" t="s">
        <v>28</v>
      </c>
      <c r="F695" s="14" t="s">
        <v>27</v>
      </c>
      <c r="G695" s="305">
        <f>'SEPT-18'!I690</f>
        <v>9000</v>
      </c>
      <c r="H695" s="51"/>
      <c r="I695" s="17">
        <f t="shared" si="14"/>
        <v>9000</v>
      </c>
      <c r="J695" s="56"/>
      <c r="K695" s="56"/>
    </row>
    <row r="696" spans="1:11" ht="29.25">
      <c r="A696" s="11">
        <v>54110</v>
      </c>
      <c r="B696" s="54" t="s">
        <v>800</v>
      </c>
      <c r="C696" s="13"/>
      <c r="D696" s="14" t="s">
        <v>18</v>
      </c>
      <c r="E696" s="14" t="s">
        <v>28</v>
      </c>
      <c r="F696" s="14" t="s">
        <v>27</v>
      </c>
      <c r="G696" s="305">
        <f>'SEPT-18'!I691</f>
        <v>200</v>
      </c>
      <c r="H696" s="51"/>
      <c r="I696" s="17">
        <f t="shared" si="14"/>
        <v>200</v>
      </c>
      <c r="J696" s="56"/>
      <c r="K696" s="56"/>
    </row>
    <row r="697" spans="1:11" ht="44.25">
      <c r="A697" s="11">
        <v>54111</v>
      </c>
      <c r="B697" s="54" t="s">
        <v>801</v>
      </c>
      <c r="C697" s="13"/>
      <c r="D697" s="14" t="s">
        <v>18</v>
      </c>
      <c r="E697" s="14" t="s">
        <v>28</v>
      </c>
      <c r="F697" s="14" t="s">
        <v>27</v>
      </c>
      <c r="G697" s="305">
        <f>'SEPT-18'!I692</f>
        <v>12290</v>
      </c>
      <c r="H697" s="51"/>
      <c r="I697" s="17">
        <f t="shared" si="14"/>
        <v>12290</v>
      </c>
      <c r="J697" s="56"/>
      <c r="K697" s="56"/>
    </row>
    <row r="698" spans="1:11" ht="29.25">
      <c r="A698" s="11">
        <v>54118</v>
      </c>
      <c r="B698" s="54" t="s">
        <v>802</v>
      </c>
      <c r="C698" s="13"/>
      <c r="D698" s="14" t="s">
        <v>18</v>
      </c>
      <c r="E698" s="14" t="s">
        <v>28</v>
      </c>
      <c r="F698" s="14" t="s">
        <v>27</v>
      </c>
      <c r="G698" s="305">
        <f>'SEPT-18'!I693</f>
        <v>3000</v>
      </c>
      <c r="H698" s="51"/>
      <c r="I698" s="17">
        <f t="shared" si="14"/>
        <v>3000</v>
      </c>
      <c r="J698" s="56"/>
      <c r="K698" s="56"/>
    </row>
    <row r="699" spans="1:11" ht="43.5">
      <c r="A699" s="11">
        <v>54313</v>
      </c>
      <c r="B699" s="54" t="s">
        <v>803</v>
      </c>
      <c r="C699" s="13"/>
      <c r="D699" s="14" t="s">
        <v>18</v>
      </c>
      <c r="E699" s="14" t="s">
        <v>28</v>
      </c>
      <c r="F699" s="14" t="s">
        <v>27</v>
      </c>
      <c r="G699" s="305">
        <f>'SEPT-18'!I694</f>
        <v>300</v>
      </c>
      <c r="H699" s="51"/>
      <c r="I699" s="17">
        <f t="shared" si="14"/>
        <v>300</v>
      </c>
      <c r="J699" s="56"/>
      <c r="K699" s="56"/>
    </row>
    <row r="700" spans="1:11" ht="43.5">
      <c r="A700" s="11">
        <v>54399</v>
      </c>
      <c r="B700" s="54" t="s">
        <v>804</v>
      </c>
      <c r="C700" s="13"/>
      <c r="D700" s="14" t="s">
        <v>18</v>
      </c>
      <c r="E700" s="14" t="s">
        <v>28</v>
      </c>
      <c r="F700" s="14" t="s">
        <v>27</v>
      </c>
      <c r="G700" s="305">
        <f>'SEPT-18'!I695</f>
        <v>200</v>
      </c>
      <c r="H700" s="51"/>
      <c r="I700" s="17">
        <f t="shared" si="14"/>
        <v>200</v>
      </c>
      <c r="J700" s="56"/>
      <c r="K700" s="56"/>
    </row>
    <row r="701" spans="1:11" ht="33.75" customHeight="1">
      <c r="A701" s="11">
        <v>55603</v>
      </c>
      <c r="B701" s="54" t="s">
        <v>805</v>
      </c>
      <c r="C701" s="13"/>
      <c r="D701" s="14" t="s">
        <v>18</v>
      </c>
      <c r="E701" s="14" t="s">
        <v>28</v>
      </c>
      <c r="F701" s="14" t="s">
        <v>27</v>
      </c>
      <c r="G701" s="305">
        <f>'SEPT-18'!I696</f>
        <v>10</v>
      </c>
      <c r="H701" s="51"/>
      <c r="I701" s="17">
        <f t="shared" si="14"/>
        <v>10</v>
      </c>
      <c r="J701" s="56"/>
      <c r="K701" s="56"/>
    </row>
    <row r="702" spans="1:11" ht="75">
      <c r="A702" s="141" t="s">
        <v>504</v>
      </c>
      <c r="B702" s="53" t="s">
        <v>806</v>
      </c>
      <c r="C702" s="13"/>
      <c r="D702" s="14"/>
      <c r="E702" s="14"/>
      <c r="F702" s="14"/>
      <c r="G702" s="305">
        <f>'SEPT-18'!I697</f>
        <v>0</v>
      </c>
      <c r="H702" s="51"/>
      <c r="I702" s="17"/>
      <c r="J702" s="56"/>
      <c r="K702" s="56"/>
    </row>
    <row r="703" spans="1:11" ht="29.25">
      <c r="A703" s="11">
        <v>51202</v>
      </c>
      <c r="B703" s="54" t="s">
        <v>807</v>
      </c>
      <c r="C703" s="13"/>
      <c r="D703" s="14" t="s">
        <v>18</v>
      </c>
      <c r="E703" s="14" t="s">
        <v>28</v>
      </c>
      <c r="F703" s="14" t="s">
        <v>27</v>
      </c>
      <c r="G703" s="305">
        <f>'SEPT-18'!I698</f>
        <v>7000</v>
      </c>
      <c r="H703" s="51"/>
      <c r="I703" s="17">
        <f t="shared" si="14"/>
        <v>7000</v>
      </c>
      <c r="J703" s="56"/>
      <c r="K703" s="56"/>
    </row>
    <row r="704" spans="1:11" ht="29.25">
      <c r="A704" s="11">
        <v>54110</v>
      </c>
      <c r="B704" s="54" t="s">
        <v>808</v>
      </c>
      <c r="C704" s="13"/>
      <c r="D704" s="14" t="s">
        <v>18</v>
      </c>
      <c r="E704" s="14" t="s">
        <v>28</v>
      </c>
      <c r="F704" s="14" t="s">
        <v>27</v>
      </c>
      <c r="G704" s="305">
        <f>'SEPT-18'!I699</f>
        <v>200</v>
      </c>
      <c r="H704" s="51"/>
      <c r="I704" s="17">
        <f t="shared" si="14"/>
        <v>200</v>
      </c>
      <c r="J704" s="56"/>
      <c r="K704" s="56"/>
    </row>
    <row r="705" spans="1:11" ht="29.25">
      <c r="A705" s="11">
        <v>54111</v>
      </c>
      <c r="B705" s="54" t="s">
        <v>809</v>
      </c>
      <c r="C705" s="13"/>
      <c r="D705" s="14" t="s">
        <v>18</v>
      </c>
      <c r="E705" s="14" t="s">
        <v>28</v>
      </c>
      <c r="F705" s="14" t="s">
        <v>27</v>
      </c>
      <c r="G705" s="305">
        <f>'SEPT-18'!I700</f>
        <v>10290</v>
      </c>
      <c r="H705" s="51"/>
      <c r="I705" s="17">
        <f t="shared" si="14"/>
        <v>10290</v>
      </c>
      <c r="J705" s="56"/>
      <c r="K705" s="56"/>
    </row>
    <row r="706" spans="1:11" ht="29.25">
      <c r="A706" s="11">
        <v>54118</v>
      </c>
      <c r="B706" s="54" t="s">
        <v>810</v>
      </c>
      <c r="C706" s="13"/>
      <c r="D706" s="14" t="s">
        <v>18</v>
      </c>
      <c r="E706" s="14" t="s">
        <v>28</v>
      </c>
      <c r="F706" s="14" t="s">
        <v>27</v>
      </c>
      <c r="G706" s="305">
        <f>'SEPT-18'!I701</f>
        <v>1500</v>
      </c>
      <c r="H706" s="51"/>
      <c r="I706" s="17">
        <f t="shared" si="14"/>
        <v>1500</v>
      </c>
      <c r="J706" s="56"/>
      <c r="K706" s="56"/>
    </row>
    <row r="707" spans="1:11" ht="44.25">
      <c r="A707" s="11">
        <v>54313</v>
      </c>
      <c r="B707" s="54" t="s">
        <v>811</v>
      </c>
      <c r="C707" s="13"/>
      <c r="D707" s="14" t="s">
        <v>18</v>
      </c>
      <c r="E707" s="14" t="s">
        <v>28</v>
      </c>
      <c r="F707" s="14" t="s">
        <v>27</v>
      </c>
      <c r="G707" s="305">
        <f>'SEPT-18'!I702</f>
        <v>300</v>
      </c>
      <c r="H707" s="51"/>
      <c r="I707" s="17">
        <f t="shared" si="14"/>
        <v>300</v>
      </c>
      <c r="J707" s="56"/>
      <c r="K707" s="56"/>
    </row>
    <row r="708" spans="1:11" ht="29.25">
      <c r="A708" s="11">
        <v>54399</v>
      </c>
      <c r="B708" s="54" t="s">
        <v>812</v>
      </c>
      <c r="C708" s="13"/>
      <c r="D708" s="14" t="s">
        <v>18</v>
      </c>
      <c r="E708" s="14" t="s">
        <v>28</v>
      </c>
      <c r="F708" s="14" t="s">
        <v>27</v>
      </c>
      <c r="G708" s="305">
        <f>'SEPT-18'!I703</f>
        <v>700</v>
      </c>
      <c r="H708" s="51"/>
      <c r="I708" s="17">
        <f t="shared" si="14"/>
        <v>700</v>
      </c>
      <c r="J708" s="56"/>
      <c r="K708" s="56"/>
    </row>
    <row r="709" spans="1:11" ht="29.25">
      <c r="A709" s="11">
        <v>55603</v>
      </c>
      <c r="B709" s="54" t="s">
        <v>813</v>
      </c>
      <c r="C709" s="13"/>
      <c r="D709" s="14" t="s">
        <v>18</v>
      </c>
      <c r="E709" s="14" t="s">
        <v>28</v>
      </c>
      <c r="F709" s="14" t="s">
        <v>27</v>
      </c>
      <c r="G709" s="305">
        <f>'SEPT-18'!I704</f>
        <v>10</v>
      </c>
      <c r="H709" s="51"/>
      <c r="I709" s="17">
        <f t="shared" si="14"/>
        <v>10</v>
      </c>
      <c r="J709" s="56"/>
      <c r="K709" s="56"/>
    </row>
    <row r="710" spans="1:11" ht="88.5">
      <c r="A710" s="141" t="s">
        <v>505</v>
      </c>
      <c r="B710" s="53" t="s">
        <v>821</v>
      </c>
      <c r="C710" s="13"/>
      <c r="D710" s="14"/>
      <c r="E710" s="14"/>
      <c r="F710" s="14"/>
      <c r="G710" s="305">
        <f>'SEPT-18'!I705</f>
        <v>0</v>
      </c>
      <c r="H710" s="51"/>
      <c r="I710" s="17"/>
      <c r="J710" s="56"/>
      <c r="K710" s="56"/>
    </row>
    <row r="711" spans="1:11" ht="29.25">
      <c r="A711" s="11">
        <v>51202</v>
      </c>
      <c r="B711" s="54" t="s">
        <v>814</v>
      </c>
      <c r="C711" s="13"/>
      <c r="D711" s="14" t="s">
        <v>18</v>
      </c>
      <c r="E711" s="14" t="s">
        <v>28</v>
      </c>
      <c r="F711" s="14" t="s">
        <v>27</v>
      </c>
      <c r="G711" s="305">
        <f>'SEPT-18'!I706</f>
        <v>9000</v>
      </c>
      <c r="H711" s="51"/>
      <c r="I711" s="17">
        <f t="shared" si="14"/>
        <v>9000</v>
      </c>
      <c r="J711" s="56"/>
      <c r="K711" s="56"/>
    </row>
    <row r="712" spans="1:11" ht="29.25">
      <c r="A712" s="11">
        <v>54110</v>
      </c>
      <c r="B712" s="54" t="s">
        <v>815</v>
      </c>
      <c r="C712" s="13"/>
      <c r="D712" s="14" t="s">
        <v>18</v>
      </c>
      <c r="E712" s="14" t="s">
        <v>28</v>
      </c>
      <c r="F712" s="14" t="s">
        <v>27</v>
      </c>
      <c r="G712" s="305">
        <f>'SEPT-18'!I707</f>
        <v>200</v>
      </c>
      <c r="H712" s="51"/>
      <c r="I712" s="17">
        <f t="shared" si="14"/>
        <v>200</v>
      </c>
      <c r="J712" s="56"/>
      <c r="K712" s="56"/>
    </row>
    <row r="713" spans="1:11" ht="44.25">
      <c r="A713" s="11">
        <v>54111</v>
      </c>
      <c r="B713" s="53" t="s">
        <v>816</v>
      </c>
      <c r="C713" s="13"/>
      <c r="D713" s="14" t="s">
        <v>18</v>
      </c>
      <c r="E713" s="14" t="s">
        <v>28</v>
      </c>
      <c r="F713" s="14" t="s">
        <v>27</v>
      </c>
      <c r="G713" s="305">
        <f>'SEPT-18'!I708</f>
        <v>12290</v>
      </c>
      <c r="H713" s="51"/>
      <c r="I713" s="17">
        <f t="shared" ref="I713:I776" si="15">G713-H713+J713-K713</f>
        <v>12290</v>
      </c>
      <c r="J713" s="56"/>
      <c r="K713" s="56"/>
    </row>
    <row r="714" spans="1:11" ht="29.25">
      <c r="A714" s="11">
        <v>54118</v>
      </c>
      <c r="B714" s="54" t="s">
        <v>817</v>
      </c>
      <c r="C714" s="13"/>
      <c r="D714" s="14" t="s">
        <v>18</v>
      </c>
      <c r="E714" s="14" t="s">
        <v>28</v>
      </c>
      <c r="F714" s="14" t="s">
        <v>27</v>
      </c>
      <c r="G714" s="305">
        <f>'SEPT-18'!I709</f>
        <v>3000</v>
      </c>
      <c r="H714" s="51"/>
      <c r="I714" s="17">
        <f t="shared" si="15"/>
        <v>3000</v>
      </c>
      <c r="J714" s="56"/>
      <c r="K714" s="56"/>
    </row>
    <row r="715" spans="1:11" ht="44.25">
      <c r="A715" s="11">
        <v>54313</v>
      </c>
      <c r="B715" s="54" t="s">
        <v>818</v>
      </c>
      <c r="C715" s="13"/>
      <c r="D715" s="14" t="s">
        <v>18</v>
      </c>
      <c r="E715" s="14" t="s">
        <v>28</v>
      </c>
      <c r="F715" s="14" t="s">
        <v>27</v>
      </c>
      <c r="G715" s="305">
        <f>'SEPT-18'!I710</f>
        <v>300</v>
      </c>
      <c r="H715" s="51"/>
      <c r="I715" s="17">
        <f t="shared" si="15"/>
        <v>300</v>
      </c>
      <c r="J715" s="56"/>
      <c r="K715" s="56"/>
    </row>
    <row r="716" spans="1:11" ht="43.5">
      <c r="A716" s="11">
        <v>54399</v>
      </c>
      <c r="B716" s="54" t="s">
        <v>819</v>
      </c>
      <c r="C716" s="13"/>
      <c r="D716" s="14" t="s">
        <v>18</v>
      </c>
      <c r="E716" s="14" t="s">
        <v>28</v>
      </c>
      <c r="F716" s="14" t="s">
        <v>27</v>
      </c>
      <c r="G716" s="305">
        <f>'SEPT-18'!I711</f>
        <v>200</v>
      </c>
      <c r="H716" s="51"/>
      <c r="I716" s="17">
        <f t="shared" si="15"/>
        <v>200</v>
      </c>
      <c r="J716" s="56"/>
      <c r="K716" s="56"/>
    </row>
    <row r="717" spans="1:11" ht="29.25">
      <c r="A717" s="11">
        <v>55603</v>
      </c>
      <c r="B717" s="54" t="s">
        <v>820</v>
      </c>
      <c r="C717" s="13"/>
      <c r="D717" s="14" t="s">
        <v>18</v>
      </c>
      <c r="E717" s="14" t="s">
        <v>28</v>
      </c>
      <c r="F717" s="14" t="s">
        <v>27</v>
      </c>
      <c r="G717" s="305">
        <f>'SEPT-18'!I712</f>
        <v>10</v>
      </c>
      <c r="H717" s="51"/>
      <c r="I717" s="17">
        <f t="shared" si="15"/>
        <v>10</v>
      </c>
      <c r="J717" s="56"/>
      <c r="K717" s="56"/>
    </row>
    <row r="718" spans="1:11" ht="75">
      <c r="A718" s="141" t="s">
        <v>511</v>
      </c>
      <c r="B718" s="53" t="s">
        <v>824</v>
      </c>
      <c r="C718" s="13"/>
      <c r="D718" s="14"/>
      <c r="E718" s="14"/>
      <c r="F718" s="14"/>
      <c r="G718" s="305">
        <f>'SEPT-18'!I713</f>
        <v>0</v>
      </c>
      <c r="H718" s="51"/>
      <c r="I718" s="17"/>
      <c r="J718" s="56"/>
      <c r="K718" s="56"/>
    </row>
    <row r="719" spans="1:11" ht="29.25">
      <c r="A719" s="11">
        <v>51202</v>
      </c>
      <c r="B719" s="54" t="s">
        <v>823</v>
      </c>
      <c r="C719" s="13"/>
      <c r="D719" s="14" t="s">
        <v>18</v>
      </c>
      <c r="E719" s="14" t="s">
        <v>28</v>
      </c>
      <c r="F719" s="14" t="s">
        <v>27</v>
      </c>
      <c r="G719" s="305">
        <f>'SEPT-18'!I714</f>
        <v>3000</v>
      </c>
      <c r="H719" s="51"/>
      <c r="I719" s="17">
        <f t="shared" si="15"/>
        <v>3000</v>
      </c>
      <c r="J719" s="56"/>
      <c r="K719" s="56"/>
    </row>
    <row r="720" spans="1:11" ht="29.25">
      <c r="A720" s="11">
        <v>54110</v>
      </c>
      <c r="B720" s="54" t="s">
        <v>825</v>
      </c>
      <c r="C720" s="13"/>
      <c r="D720" s="14" t="s">
        <v>18</v>
      </c>
      <c r="E720" s="14" t="s">
        <v>28</v>
      </c>
      <c r="F720" s="14" t="s">
        <v>27</v>
      </c>
      <c r="G720" s="305">
        <f>'SEPT-18'!I715</f>
        <v>200</v>
      </c>
      <c r="H720" s="51"/>
      <c r="I720" s="17">
        <f t="shared" si="15"/>
        <v>200</v>
      </c>
      <c r="J720" s="56"/>
      <c r="K720" s="56"/>
    </row>
    <row r="721" spans="1:11" ht="44.25">
      <c r="A721" s="11">
        <v>54111</v>
      </c>
      <c r="B721" s="54" t="s">
        <v>826</v>
      </c>
      <c r="C721" s="13"/>
      <c r="D721" s="14" t="s">
        <v>18</v>
      </c>
      <c r="E721" s="14" t="s">
        <v>28</v>
      </c>
      <c r="F721" s="14" t="s">
        <v>27</v>
      </c>
      <c r="G721" s="305">
        <f>'SEPT-18'!I716</f>
        <v>4990</v>
      </c>
      <c r="H721" s="51"/>
      <c r="I721" s="17">
        <f t="shared" si="15"/>
        <v>4990</v>
      </c>
      <c r="J721" s="56"/>
      <c r="K721" s="56"/>
    </row>
    <row r="722" spans="1:11" ht="29.25">
      <c r="A722" s="11">
        <v>54118</v>
      </c>
      <c r="B722" s="54" t="s">
        <v>827</v>
      </c>
      <c r="C722" s="13"/>
      <c r="D722" s="14" t="s">
        <v>18</v>
      </c>
      <c r="E722" s="14" t="s">
        <v>28</v>
      </c>
      <c r="F722" s="14" t="s">
        <v>27</v>
      </c>
      <c r="G722" s="305">
        <f>'SEPT-18'!I717</f>
        <v>800</v>
      </c>
      <c r="H722" s="51"/>
      <c r="I722" s="17">
        <f t="shared" si="15"/>
        <v>800</v>
      </c>
      <c r="J722" s="56"/>
      <c r="K722" s="56"/>
    </row>
    <row r="723" spans="1:11" ht="44.25">
      <c r="A723" s="11">
        <v>54313</v>
      </c>
      <c r="B723" s="54" t="s">
        <v>828</v>
      </c>
      <c r="C723" s="13"/>
      <c r="D723" s="14" t="s">
        <v>18</v>
      </c>
      <c r="E723" s="14" t="s">
        <v>28</v>
      </c>
      <c r="F723" s="14" t="s">
        <v>27</v>
      </c>
      <c r="G723" s="305">
        <f>'SEPT-18'!I718</f>
        <v>300</v>
      </c>
      <c r="H723" s="51"/>
      <c r="I723" s="17">
        <f t="shared" si="15"/>
        <v>300</v>
      </c>
      <c r="J723" s="56"/>
      <c r="K723" s="56"/>
    </row>
    <row r="724" spans="1:11" ht="44.25">
      <c r="A724" s="11">
        <v>54399</v>
      </c>
      <c r="B724" s="54" t="s">
        <v>829</v>
      </c>
      <c r="C724" s="13"/>
      <c r="D724" s="14" t="s">
        <v>18</v>
      </c>
      <c r="E724" s="14" t="s">
        <v>28</v>
      </c>
      <c r="F724" s="14" t="s">
        <v>27</v>
      </c>
      <c r="G724" s="305">
        <f>'SEPT-18'!I719</f>
        <v>700</v>
      </c>
      <c r="H724" s="51"/>
      <c r="I724" s="17">
        <f t="shared" si="15"/>
        <v>700</v>
      </c>
      <c r="J724" s="56"/>
      <c r="K724" s="56"/>
    </row>
    <row r="725" spans="1:11" ht="29.25">
      <c r="A725" s="11">
        <v>55603</v>
      </c>
      <c r="B725" s="54" t="s">
        <v>830</v>
      </c>
      <c r="C725" s="13"/>
      <c r="D725" s="14" t="s">
        <v>18</v>
      </c>
      <c r="E725" s="14" t="s">
        <v>28</v>
      </c>
      <c r="F725" s="14" t="s">
        <v>27</v>
      </c>
      <c r="G725" s="305">
        <f>'SEPT-18'!I720</f>
        <v>10</v>
      </c>
      <c r="H725" s="51"/>
      <c r="I725" s="17">
        <f t="shared" si="15"/>
        <v>10</v>
      </c>
      <c r="J725" s="56"/>
      <c r="K725" s="56"/>
    </row>
    <row r="726" spans="1:11" ht="74.25">
      <c r="A726" s="141" t="s">
        <v>517</v>
      </c>
      <c r="B726" s="53" t="s">
        <v>822</v>
      </c>
      <c r="C726" s="13"/>
      <c r="D726" s="14"/>
      <c r="E726" s="14"/>
      <c r="F726" s="14"/>
      <c r="G726" s="305">
        <f>'SEPT-18'!I721</f>
        <v>0</v>
      </c>
      <c r="H726" s="51"/>
      <c r="I726" s="17"/>
      <c r="J726" s="56"/>
      <c r="K726" s="56"/>
    </row>
    <row r="727" spans="1:11" ht="29.25">
      <c r="A727" s="11">
        <v>51202</v>
      </c>
      <c r="B727" s="54" t="s">
        <v>831</v>
      </c>
      <c r="C727" s="13"/>
      <c r="D727" s="14" t="s">
        <v>18</v>
      </c>
      <c r="E727" s="14" t="s">
        <v>28</v>
      </c>
      <c r="F727" s="14" t="s">
        <v>27</v>
      </c>
      <c r="G727" s="305">
        <f>'SEPT-18'!I722</f>
        <v>9000</v>
      </c>
      <c r="H727" s="51"/>
      <c r="I727" s="17">
        <f t="shared" si="15"/>
        <v>9000</v>
      </c>
      <c r="J727" s="56"/>
      <c r="K727" s="56"/>
    </row>
    <row r="728" spans="1:11" ht="29.25">
      <c r="A728" s="11">
        <v>54110</v>
      </c>
      <c r="B728" s="54" t="s">
        <v>832</v>
      </c>
      <c r="C728" s="13"/>
      <c r="D728" s="14" t="s">
        <v>18</v>
      </c>
      <c r="E728" s="14" t="s">
        <v>28</v>
      </c>
      <c r="F728" s="14" t="s">
        <v>27</v>
      </c>
      <c r="G728" s="305">
        <f>'SEPT-18'!I723</f>
        <v>200</v>
      </c>
      <c r="H728" s="51"/>
      <c r="I728" s="17">
        <f t="shared" si="15"/>
        <v>200</v>
      </c>
      <c r="J728" s="56"/>
      <c r="K728" s="56"/>
    </row>
    <row r="729" spans="1:11" ht="29.25">
      <c r="A729" s="11">
        <v>54111</v>
      </c>
      <c r="B729" s="54" t="s">
        <v>833</v>
      </c>
      <c r="C729" s="13"/>
      <c r="D729" s="14" t="s">
        <v>18</v>
      </c>
      <c r="E729" s="14" t="s">
        <v>28</v>
      </c>
      <c r="F729" s="14" t="s">
        <v>27</v>
      </c>
      <c r="G729" s="305">
        <f>'SEPT-18'!I724</f>
        <v>12290</v>
      </c>
      <c r="H729" s="51"/>
      <c r="I729" s="17">
        <f t="shared" si="15"/>
        <v>12290</v>
      </c>
      <c r="J729" s="56"/>
      <c r="K729" s="56"/>
    </row>
    <row r="730" spans="1:11" ht="29.25">
      <c r="A730" s="11">
        <v>54118</v>
      </c>
      <c r="B730" s="54" t="s">
        <v>834</v>
      </c>
      <c r="C730" s="13"/>
      <c r="D730" s="14" t="s">
        <v>18</v>
      </c>
      <c r="E730" s="14" t="s">
        <v>28</v>
      </c>
      <c r="F730" s="14" t="s">
        <v>27</v>
      </c>
      <c r="G730" s="305">
        <f>'SEPT-18'!I725</f>
        <v>3000</v>
      </c>
      <c r="H730" s="51"/>
      <c r="I730" s="17">
        <f t="shared" si="15"/>
        <v>3000</v>
      </c>
      <c r="J730" s="56"/>
      <c r="K730" s="56"/>
    </row>
    <row r="731" spans="1:11" ht="29.25">
      <c r="A731" s="11">
        <v>54313</v>
      </c>
      <c r="B731" s="54" t="s">
        <v>835</v>
      </c>
      <c r="C731" s="13"/>
      <c r="D731" s="14" t="s">
        <v>18</v>
      </c>
      <c r="E731" s="14" t="s">
        <v>28</v>
      </c>
      <c r="F731" s="14" t="s">
        <v>27</v>
      </c>
      <c r="G731" s="305">
        <f>'SEPT-18'!I726</f>
        <v>300</v>
      </c>
      <c r="H731" s="51"/>
      <c r="I731" s="17">
        <f t="shared" si="15"/>
        <v>300</v>
      </c>
      <c r="J731" s="56"/>
      <c r="K731" s="56"/>
    </row>
    <row r="732" spans="1:11" ht="29.25">
      <c r="A732" s="11">
        <v>54399</v>
      </c>
      <c r="B732" s="54" t="s">
        <v>836</v>
      </c>
      <c r="C732" s="13"/>
      <c r="D732" s="14" t="s">
        <v>18</v>
      </c>
      <c r="E732" s="14" t="s">
        <v>28</v>
      </c>
      <c r="F732" s="14" t="s">
        <v>27</v>
      </c>
      <c r="G732" s="305">
        <f>'SEPT-18'!I727</f>
        <v>200</v>
      </c>
      <c r="H732" s="51"/>
      <c r="I732" s="17">
        <f t="shared" si="15"/>
        <v>200</v>
      </c>
      <c r="J732" s="56"/>
      <c r="K732" s="56"/>
    </row>
    <row r="733" spans="1:11" ht="29.25">
      <c r="A733" s="11">
        <v>55603</v>
      </c>
      <c r="B733" s="53" t="s">
        <v>837</v>
      </c>
      <c r="C733" s="13"/>
      <c r="D733" s="14" t="s">
        <v>18</v>
      </c>
      <c r="E733" s="14" t="s">
        <v>28</v>
      </c>
      <c r="F733" s="14" t="s">
        <v>27</v>
      </c>
      <c r="G733" s="305">
        <f>'SEPT-18'!I728</f>
        <v>10</v>
      </c>
      <c r="H733" s="51"/>
      <c r="I733" s="17">
        <f t="shared" si="15"/>
        <v>10</v>
      </c>
      <c r="J733" s="56"/>
      <c r="K733" s="56"/>
    </row>
    <row r="734" spans="1:11" ht="75">
      <c r="A734" s="141" t="s">
        <v>838</v>
      </c>
      <c r="B734" s="53" t="s">
        <v>840</v>
      </c>
      <c r="C734" s="13"/>
      <c r="D734" s="14"/>
      <c r="E734" s="14"/>
      <c r="F734" s="14"/>
      <c r="G734" s="305">
        <f>'SEPT-18'!I729</f>
        <v>0</v>
      </c>
      <c r="H734" s="51"/>
      <c r="I734" s="17"/>
      <c r="J734" s="56"/>
      <c r="K734" s="56"/>
    </row>
    <row r="735" spans="1:11" ht="29.25">
      <c r="A735" s="11">
        <v>51202</v>
      </c>
      <c r="B735" s="54" t="s">
        <v>842</v>
      </c>
      <c r="C735" s="13"/>
      <c r="D735" s="14" t="s">
        <v>18</v>
      </c>
      <c r="E735" s="14" t="s">
        <v>28</v>
      </c>
      <c r="F735" s="14" t="s">
        <v>27</v>
      </c>
      <c r="G735" s="305">
        <f>'SEPT-18'!I730</f>
        <v>9000</v>
      </c>
      <c r="H735" s="51"/>
      <c r="I735" s="17">
        <f t="shared" si="15"/>
        <v>9000</v>
      </c>
      <c r="J735" s="56"/>
      <c r="K735" s="56"/>
    </row>
    <row r="736" spans="1:11" ht="43.5">
      <c r="A736" s="11">
        <v>54110</v>
      </c>
      <c r="B736" s="53" t="s">
        <v>844</v>
      </c>
      <c r="C736" s="13"/>
      <c r="D736" s="14" t="s">
        <v>18</v>
      </c>
      <c r="E736" s="14" t="s">
        <v>28</v>
      </c>
      <c r="F736" s="14" t="s">
        <v>27</v>
      </c>
      <c r="G736" s="305">
        <f>'SEPT-18'!I731</f>
        <v>200</v>
      </c>
      <c r="H736" s="51"/>
      <c r="I736" s="17">
        <f t="shared" si="15"/>
        <v>200</v>
      </c>
      <c r="J736" s="56"/>
      <c r="K736" s="56"/>
    </row>
    <row r="737" spans="1:11" ht="44.25">
      <c r="A737" s="11">
        <v>54111</v>
      </c>
      <c r="B737" s="53" t="s">
        <v>845</v>
      </c>
      <c r="C737" s="13"/>
      <c r="D737" s="14" t="s">
        <v>18</v>
      </c>
      <c r="E737" s="14" t="s">
        <v>28</v>
      </c>
      <c r="F737" s="14" t="s">
        <v>27</v>
      </c>
      <c r="G737" s="305">
        <f>'SEPT-18'!I732</f>
        <v>12290</v>
      </c>
      <c r="H737" s="51"/>
      <c r="I737" s="17">
        <f t="shared" si="15"/>
        <v>12290</v>
      </c>
      <c r="J737" s="56"/>
      <c r="K737" s="56"/>
    </row>
    <row r="738" spans="1:11" ht="43.5">
      <c r="A738" s="11">
        <v>54118</v>
      </c>
      <c r="B738" s="53" t="s">
        <v>846</v>
      </c>
      <c r="C738" s="13"/>
      <c r="D738" s="14" t="s">
        <v>18</v>
      </c>
      <c r="E738" s="14" t="s">
        <v>28</v>
      </c>
      <c r="F738" s="14" t="s">
        <v>27</v>
      </c>
      <c r="G738" s="305">
        <f>'SEPT-18'!I733</f>
        <v>3000</v>
      </c>
      <c r="H738" s="51"/>
      <c r="I738" s="17">
        <f t="shared" si="15"/>
        <v>3000</v>
      </c>
      <c r="J738" s="56"/>
      <c r="K738" s="56"/>
    </row>
    <row r="739" spans="1:11" ht="44.25">
      <c r="A739" s="11">
        <v>54313</v>
      </c>
      <c r="B739" s="53" t="s">
        <v>847</v>
      </c>
      <c r="C739" s="13"/>
      <c r="D739" s="14" t="s">
        <v>18</v>
      </c>
      <c r="E739" s="14" t="s">
        <v>28</v>
      </c>
      <c r="F739" s="14" t="s">
        <v>27</v>
      </c>
      <c r="G739" s="305">
        <f>'SEPT-18'!I734</f>
        <v>300</v>
      </c>
      <c r="H739" s="51"/>
      <c r="I739" s="17">
        <f t="shared" si="15"/>
        <v>300</v>
      </c>
      <c r="J739" s="56"/>
      <c r="K739" s="56"/>
    </row>
    <row r="740" spans="1:11" ht="44.25">
      <c r="A740" s="11">
        <v>54399</v>
      </c>
      <c r="B740" s="53" t="s">
        <v>848</v>
      </c>
      <c r="C740" s="13"/>
      <c r="D740" s="14" t="s">
        <v>18</v>
      </c>
      <c r="E740" s="14" t="s">
        <v>28</v>
      </c>
      <c r="F740" s="14" t="s">
        <v>27</v>
      </c>
      <c r="G740" s="305">
        <f>'SEPT-18'!I735</f>
        <v>200</v>
      </c>
      <c r="H740" s="51"/>
      <c r="I740" s="17">
        <f t="shared" si="15"/>
        <v>200</v>
      </c>
      <c r="J740" s="56"/>
      <c r="K740" s="56"/>
    </row>
    <row r="741" spans="1:11" ht="43.5">
      <c r="A741" s="11">
        <v>55603</v>
      </c>
      <c r="B741" s="53" t="s">
        <v>849</v>
      </c>
      <c r="C741" s="13"/>
      <c r="D741" s="14" t="s">
        <v>18</v>
      </c>
      <c r="E741" s="14" t="s">
        <v>28</v>
      </c>
      <c r="F741" s="14" t="s">
        <v>27</v>
      </c>
      <c r="G741" s="305">
        <f>'SEPT-18'!I736</f>
        <v>10</v>
      </c>
      <c r="H741" s="51"/>
      <c r="I741" s="17">
        <f t="shared" si="15"/>
        <v>10</v>
      </c>
      <c r="J741" s="56"/>
      <c r="K741" s="56"/>
    </row>
    <row r="742" spans="1:11" ht="60">
      <c r="A742" s="141" t="s">
        <v>839</v>
      </c>
      <c r="B742" s="53" t="s">
        <v>841</v>
      </c>
      <c r="C742" s="13"/>
      <c r="D742" s="14"/>
      <c r="E742" s="14"/>
      <c r="F742" s="14"/>
      <c r="G742" s="305">
        <f>'SEPT-18'!I737</f>
        <v>0</v>
      </c>
      <c r="H742" s="51"/>
      <c r="I742" s="17"/>
      <c r="J742" s="56"/>
      <c r="K742" s="56"/>
    </row>
    <row r="743" spans="1:11" ht="29.25">
      <c r="A743" s="11">
        <v>51202</v>
      </c>
      <c r="B743" s="54" t="s">
        <v>843</v>
      </c>
      <c r="C743" s="13"/>
      <c r="D743" s="14" t="s">
        <v>18</v>
      </c>
      <c r="E743" s="14" t="s">
        <v>28</v>
      </c>
      <c r="F743" s="14" t="s">
        <v>27</v>
      </c>
      <c r="G743" s="305">
        <f>'SEPT-18'!I738</f>
        <v>9000</v>
      </c>
      <c r="H743" s="51"/>
      <c r="I743" s="17">
        <f t="shared" si="15"/>
        <v>9000</v>
      </c>
      <c r="J743" s="56"/>
      <c r="K743" s="56"/>
    </row>
    <row r="744" spans="1:11" ht="29.25">
      <c r="A744" s="11">
        <v>54110</v>
      </c>
      <c r="B744" s="53" t="s">
        <v>850</v>
      </c>
      <c r="C744" s="13"/>
      <c r="D744" s="14" t="s">
        <v>18</v>
      </c>
      <c r="E744" s="14" t="s">
        <v>28</v>
      </c>
      <c r="F744" s="14" t="s">
        <v>27</v>
      </c>
      <c r="G744" s="305">
        <f>'SEPT-18'!I739</f>
        <v>200</v>
      </c>
      <c r="H744" s="51"/>
      <c r="I744" s="17">
        <f t="shared" si="15"/>
        <v>200</v>
      </c>
      <c r="J744" s="56"/>
      <c r="K744" s="56"/>
    </row>
    <row r="745" spans="1:11" ht="29.25">
      <c r="A745" s="11">
        <v>54111</v>
      </c>
      <c r="B745" s="54" t="s">
        <v>851</v>
      </c>
      <c r="C745" s="13"/>
      <c r="D745" s="14" t="s">
        <v>18</v>
      </c>
      <c r="E745" s="14" t="s">
        <v>28</v>
      </c>
      <c r="F745" s="14" t="s">
        <v>27</v>
      </c>
      <c r="G745" s="305">
        <f>'SEPT-18'!I740</f>
        <v>12290</v>
      </c>
      <c r="H745" s="51"/>
      <c r="I745" s="17">
        <f t="shared" si="15"/>
        <v>12290</v>
      </c>
      <c r="J745" s="56"/>
      <c r="K745" s="56"/>
    </row>
    <row r="746" spans="1:11" ht="29.25">
      <c r="A746" s="11">
        <v>54118</v>
      </c>
      <c r="B746" s="53" t="s">
        <v>852</v>
      </c>
      <c r="C746" s="13"/>
      <c r="D746" s="14" t="s">
        <v>18</v>
      </c>
      <c r="E746" s="14" t="s">
        <v>28</v>
      </c>
      <c r="F746" s="14" t="s">
        <v>27</v>
      </c>
      <c r="G746" s="305">
        <f>'SEPT-18'!I741</f>
        <v>3000</v>
      </c>
      <c r="H746" s="51"/>
      <c r="I746" s="17">
        <f t="shared" si="15"/>
        <v>3000</v>
      </c>
      <c r="J746" s="56"/>
      <c r="K746" s="56"/>
    </row>
    <row r="747" spans="1:11" ht="29.25">
      <c r="A747" s="11">
        <v>54313</v>
      </c>
      <c r="B747" s="54" t="s">
        <v>853</v>
      </c>
      <c r="C747" s="13"/>
      <c r="D747" s="14" t="s">
        <v>18</v>
      </c>
      <c r="E747" s="14" t="s">
        <v>28</v>
      </c>
      <c r="F747" s="14" t="s">
        <v>27</v>
      </c>
      <c r="G747" s="305">
        <f>'SEPT-18'!I742</f>
        <v>300</v>
      </c>
      <c r="H747" s="51"/>
      <c r="I747" s="17">
        <f t="shared" si="15"/>
        <v>300</v>
      </c>
      <c r="J747" s="56"/>
      <c r="K747" s="56"/>
    </row>
    <row r="748" spans="1:11" ht="37.5" customHeight="1">
      <c r="A748" s="11">
        <v>54399</v>
      </c>
      <c r="B748" s="54" t="s">
        <v>854</v>
      </c>
      <c r="C748" s="13"/>
      <c r="D748" s="14" t="s">
        <v>18</v>
      </c>
      <c r="E748" s="14" t="s">
        <v>28</v>
      </c>
      <c r="F748" s="14" t="s">
        <v>27</v>
      </c>
      <c r="G748" s="305">
        <f>'SEPT-18'!I743</f>
        <v>200</v>
      </c>
      <c r="H748" s="51"/>
      <c r="I748" s="17">
        <f t="shared" si="15"/>
        <v>200</v>
      </c>
      <c r="J748" s="56"/>
      <c r="K748" s="56"/>
    </row>
    <row r="749" spans="1:11" ht="29.25">
      <c r="A749" s="11">
        <v>55603</v>
      </c>
      <c r="B749" s="54" t="s">
        <v>855</v>
      </c>
      <c r="C749" s="13"/>
      <c r="D749" s="14" t="s">
        <v>18</v>
      </c>
      <c r="E749" s="14" t="s">
        <v>28</v>
      </c>
      <c r="F749" s="14" t="s">
        <v>27</v>
      </c>
      <c r="G749" s="305">
        <f>'SEPT-18'!I744</f>
        <v>10</v>
      </c>
      <c r="H749" s="51"/>
      <c r="I749" s="17">
        <f t="shared" si="15"/>
        <v>10</v>
      </c>
      <c r="J749" s="56"/>
      <c r="K749" s="56"/>
    </row>
    <row r="750" spans="1:11" ht="60">
      <c r="A750" s="141" t="s">
        <v>872</v>
      </c>
      <c r="B750" s="53" t="s">
        <v>856</v>
      </c>
      <c r="C750" s="13"/>
      <c r="D750" s="14"/>
      <c r="E750" s="14"/>
      <c r="F750" s="14"/>
      <c r="G750" s="305">
        <f>'SEPT-18'!I745</f>
        <v>0</v>
      </c>
      <c r="H750" s="51"/>
      <c r="I750" s="17"/>
      <c r="J750" s="56"/>
      <c r="K750" s="56"/>
    </row>
    <row r="751" spans="1:11" ht="29.25">
      <c r="A751" s="11">
        <v>51202</v>
      </c>
      <c r="B751" s="54" t="s">
        <v>857</v>
      </c>
      <c r="C751" s="13"/>
      <c r="D751" s="14" t="s">
        <v>18</v>
      </c>
      <c r="E751" s="14" t="s">
        <v>28</v>
      </c>
      <c r="F751" s="14" t="s">
        <v>27</v>
      </c>
      <c r="G751" s="305">
        <f>'SEPT-18'!I746</f>
        <v>0</v>
      </c>
      <c r="H751" s="51"/>
      <c r="I751" s="17">
        <f t="shared" si="15"/>
        <v>0</v>
      </c>
      <c r="J751" s="56"/>
      <c r="K751" s="435"/>
    </row>
    <row r="752" spans="1:11" ht="29.25">
      <c r="A752" s="11">
        <v>54110</v>
      </c>
      <c r="B752" s="53" t="s">
        <v>858</v>
      </c>
      <c r="C752" s="13"/>
      <c r="D752" s="14" t="s">
        <v>18</v>
      </c>
      <c r="E752" s="14" t="s">
        <v>28</v>
      </c>
      <c r="F752" s="14" t="s">
        <v>27</v>
      </c>
      <c r="G752" s="305">
        <f>'SEPT-18'!I747</f>
        <v>0</v>
      </c>
      <c r="H752" s="51"/>
      <c r="I752" s="17">
        <f t="shared" si="15"/>
        <v>0</v>
      </c>
      <c r="J752" s="56"/>
      <c r="K752" s="435"/>
    </row>
    <row r="753" spans="1:11" ht="44.25">
      <c r="A753" s="11">
        <v>54111</v>
      </c>
      <c r="B753" s="53" t="s">
        <v>859</v>
      </c>
      <c r="C753" s="13"/>
      <c r="D753" s="14" t="s">
        <v>18</v>
      </c>
      <c r="E753" s="14" t="s">
        <v>28</v>
      </c>
      <c r="F753" s="14" t="s">
        <v>27</v>
      </c>
      <c r="G753" s="305">
        <f>'SEPT-18'!I748</f>
        <v>0</v>
      </c>
      <c r="H753" s="51"/>
      <c r="I753" s="17">
        <f t="shared" si="15"/>
        <v>0</v>
      </c>
      <c r="J753" s="56"/>
      <c r="K753" s="435"/>
    </row>
    <row r="754" spans="1:11" ht="29.25">
      <c r="A754" s="11">
        <v>54118</v>
      </c>
      <c r="B754" s="53" t="s">
        <v>860</v>
      </c>
      <c r="C754" s="13"/>
      <c r="D754" s="14" t="s">
        <v>18</v>
      </c>
      <c r="E754" s="14" t="s">
        <v>28</v>
      </c>
      <c r="F754" s="14" t="s">
        <v>27</v>
      </c>
      <c r="G754" s="305">
        <f>'SEPT-18'!I749</f>
        <v>0</v>
      </c>
      <c r="H754" s="51"/>
      <c r="I754" s="17">
        <f t="shared" si="15"/>
        <v>0</v>
      </c>
      <c r="J754" s="56"/>
      <c r="K754" s="435"/>
    </row>
    <row r="755" spans="1:11" ht="44.25">
      <c r="A755" s="11">
        <v>54313</v>
      </c>
      <c r="B755" s="53" t="s">
        <v>861</v>
      </c>
      <c r="C755" s="13"/>
      <c r="D755" s="14" t="s">
        <v>18</v>
      </c>
      <c r="E755" s="14" t="s">
        <v>28</v>
      </c>
      <c r="F755" s="14" t="s">
        <v>27</v>
      </c>
      <c r="G755" s="305">
        <f>'SEPT-18'!I750</f>
        <v>0</v>
      </c>
      <c r="H755" s="51"/>
      <c r="I755" s="17">
        <f t="shared" si="15"/>
        <v>0</v>
      </c>
      <c r="J755" s="56"/>
      <c r="K755" s="435"/>
    </row>
    <row r="756" spans="1:11" ht="44.25">
      <c r="A756" s="11">
        <v>54399</v>
      </c>
      <c r="B756" s="53" t="s">
        <v>862</v>
      </c>
      <c r="C756" s="13"/>
      <c r="D756" s="14" t="s">
        <v>18</v>
      </c>
      <c r="E756" s="14" t="s">
        <v>28</v>
      </c>
      <c r="F756" s="14" t="s">
        <v>27</v>
      </c>
      <c r="G756" s="305">
        <f>'SEPT-18'!I751</f>
        <v>0</v>
      </c>
      <c r="H756" s="51"/>
      <c r="I756" s="17">
        <f t="shared" si="15"/>
        <v>0</v>
      </c>
      <c r="J756" s="56"/>
      <c r="K756" s="435"/>
    </row>
    <row r="757" spans="1:11" ht="29.25">
      <c r="A757" s="11">
        <v>55603</v>
      </c>
      <c r="B757" s="53" t="s">
        <v>863</v>
      </c>
      <c r="C757" s="13"/>
      <c r="D757" s="14" t="s">
        <v>18</v>
      </c>
      <c r="E757" s="14" t="s">
        <v>28</v>
      </c>
      <c r="F757" s="14" t="s">
        <v>27</v>
      </c>
      <c r="G757" s="305">
        <f>'SEPT-18'!I752</f>
        <v>0</v>
      </c>
      <c r="H757" s="51"/>
      <c r="I757" s="17">
        <f t="shared" si="15"/>
        <v>0</v>
      </c>
      <c r="J757" s="56"/>
      <c r="K757" s="435"/>
    </row>
    <row r="758" spans="1:11" ht="56.25" customHeight="1">
      <c r="A758" s="141" t="s">
        <v>873</v>
      </c>
      <c r="B758" s="53" t="s">
        <v>864</v>
      </c>
      <c r="C758" s="13"/>
      <c r="D758" s="14"/>
      <c r="E758" s="14"/>
      <c r="F758" s="14"/>
      <c r="G758" s="305">
        <f>'SEPT-18'!I753</f>
        <v>0</v>
      </c>
      <c r="H758" s="51"/>
      <c r="I758" s="17"/>
      <c r="J758" s="56"/>
      <c r="K758" s="436"/>
    </row>
    <row r="759" spans="1:11" ht="29.25">
      <c r="A759" s="11">
        <v>51202</v>
      </c>
      <c r="B759" s="53" t="s">
        <v>865</v>
      </c>
      <c r="C759" s="13"/>
      <c r="D759" s="14" t="s">
        <v>18</v>
      </c>
      <c r="E759" s="14" t="s">
        <v>28</v>
      </c>
      <c r="F759" s="14" t="s">
        <v>27</v>
      </c>
      <c r="G759" s="305">
        <f>'SEPT-18'!I754</f>
        <v>0</v>
      </c>
      <c r="H759" s="51"/>
      <c r="I759" s="17">
        <f t="shared" si="15"/>
        <v>0</v>
      </c>
      <c r="J759" s="56"/>
      <c r="K759" s="437"/>
    </row>
    <row r="760" spans="1:11" ht="29.25">
      <c r="A760" s="11">
        <v>54110</v>
      </c>
      <c r="B760" s="53" t="s">
        <v>866</v>
      </c>
      <c r="C760" s="13"/>
      <c r="D760" s="14" t="s">
        <v>18</v>
      </c>
      <c r="E760" s="14" t="s">
        <v>28</v>
      </c>
      <c r="F760" s="14" t="s">
        <v>27</v>
      </c>
      <c r="G760" s="305">
        <f>'SEPT-18'!I755</f>
        <v>0</v>
      </c>
      <c r="H760" s="51"/>
      <c r="I760" s="17">
        <f t="shared" si="15"/>
        <v>0</v>
      </c>
      <c r="J760" s="56"/>
      <c r="K760" s="437"/>
    </row>
    <row r="761" spans="1:11" ht="30">
      <c r="A761" s="11">
        <v>54111</v>
      </c>
      <c r="B761" s="53" t="s">
        <v>867</v>
      </c>
      <c r="C761" s="13"/>
      <c r="D761" s="14" t="s">
        <v>18</v>
      </c>
      <c r="E761" s="14" t="s">
        <v>28</v>
      </c>
      <c r="F761" s="14" t="s">
        <v>27</v>
      </c>
      <c r="G761" s="305">
        <f>'SEPT-18'!I756</f>
        <v>0</v>
      </c>
      <c r="H761" s="51"/>
      <c r="I761" s="17">
        <f t="shared" si="15"/>
        <v>0</v>
      </c>
      <c r="J761" s="56"/>
      <c r="K761" s="437"/>
    </row>
    <row r="762" spans="1:11" ht="29.25">
      <c r="A762" s="11">
        <v>54118</v>
      </c>
      <c r="B762" s="53" t="s">
        <v>868</v>
      </c>
      <c r="C762" s="13"/>
      <c r="D762" s="14" t="s">
        <v>18</v>
      </c>
      <c r="E762" s="14" t="s">
        <v>28</v>
      </c>
      <c r="F762" s="14" t="s">
        <v>27</v>
      </c>
      <c r="G762" s="305">
        <f>'SEPT-18'!I757</f>
        <v>0</v>
      </c>
      <c r="H762" s="51"/>
      <c r="I762" s="17">
        <f t="shared" si="15"/>
        <v>0</v>
      </c>
      <c r="J762" s="56"/>
      <c r="K762" s="437"/>
    </row>
    <row r="763" spans="1:11" ht="44.25">
      <c r="A763" s="11">
        <v>54313</v>
      </c>
      <c r="B763" s="53" t="s">
        <v>869</v>
      </c>
      <c r="C763" s="13"/>
      <c r="D763" s="14" t="s">
        <v>18</v>
      </c>
      <c r="E763" s="14" t="s">
        <v>28</v>
      </c>
      <c r="F763" s="14" t="s">
        <v>27</v>
      </c>
      <c r="G763" s="305">
        <f>'SEPT-18'!I758</f>
        <v>0</v>
      </c>
      <c r="H763" s="51"/>
      <c r="I763" s="17">
        <f t="shared" si="15"/>
        <v>0</v>
      </c>
      <c r="J763" s="56"/>
      <c r="K763" s="437"/>
    </row>
    <row r="764" spans="1:11" ht="30">
      <c r="A764" s="11">
        <v>54399</v>
      </c>
      <c r="B764" s="53" t="s">
        <v>870</v>
      </c>
      <c r="C764" s="13"/>
      <c r="D764" s="14" t="s">
        <v>18</v>
      </c>
      <c r="E764" s="14" t="s">
        <v>28</v>
      </c>
      <c r="F764" s="14" t="s">
        <v>27</v>
      </c>
      <c r="G764" s="305">
        <f>'SEPT-18'!I759</f>
        <v>0</v>
      </c>
      <c r="H764" s="51"/>
      <c r="I764" s="17">
        <f t="shared" si="15"/>
        <v>0</v>
      </c>
      <c r="J764" s="56"/>
      <c r="K764" s="437"/>
    </row>
    <row r="765" spans="1:11" ht="29.25">
      <c r="A765" s="11">
        <v>55603</v>
      </c>
      <c r="B765" s="53" t="s">
        <v>871</v>
      </c>
      <c r="C765" s="13"/>
      <c r="D765" s="14" t="s">
        <v>18</v>
      </c>
      <c r="E765" s="14" t="s">
        <v>28</v>
      </c>
      <c r="F765" s="14" t="s">
        <v>27</v>
      </c>
      <c r="G765" s="305">
        <f>'SEPT-18'!I760</f>
        <v>0</v>
      </c>
      <c r="H765" s="51"/>
      <c r="I765" s="17">
        <f t="shared" si="15"/>
        <v>0</v>
      </c>
      <c r="J765" s="56"/>
      <c r="K765" s="437"/>
    </row>
    <row r="766" spans="1:11" ht="60">
      <c r="A766" s="141" t="s">
        <v>532</v>
      </c>
      <c r="B766" s="53" t="s">
        <v>874</v>
      </c>
      <c r="C766" s="13"/>
      <c r="D766" s="14"/>
      <c r="E766" s="14"/>
      <c r="F766" s="14"/>
      <c r="G766" s="305">
        <f>'SEPT-18'!I761</f>
        <v>0</v>
      </c>
      <c r="H766" s="51"/>
      <c r="I766" s="17"/>
      <c r="J766" s="56"/>
      <c r="K766" s="436"/>
    </row>
    <row r="767" spans="1:11" ht="29.25">
      <c r="A767" s="11">
        <v>51202</v>
      </c>
      <c r="B767" s="53" t="s">
        <v>875</v>
      </c>
      <c r="C767" s="13"/>
      <c r="D767" s="14" t="s">
        <v>18</v>
      </c>
      <c r="E767" s="14" t="s">
        <v>28</v>
      </c>
      <c r="F767" s="14" t="s">
        <v>27</v>
      </c>
      <c r="G767" s="305">
        <f>'SEPT-18'!I762</f>
        <v>0</v>
      </c>
      <c r="H767" s="51"/>
      <c r="I767" s="17">
        <f t="shared" si="15"/>
        <v>0</v>
      </c>
      <c r="J767" s="56"/>
      <c r="K767" s="435"/>
    </row>
    <row r="768" spans="1:11" ht="29.25">
      <c r="A768" s="11">
        <v>54110</v>
      </c>
      <c r="B768" s="53" t="s">
        <v>876</v>
      </c>
      <c r="C768" s="13"/>
      <c r="D768" s="14" t="s">
        <v>18</v>
      </c>
      <c r="E768" s="14" t="s">
        <v>28</v>
      </c>
      <c r="F768" s="14" t="s">
        <v>27</v>
      </c>
      <c r="G768" s="305">
        <f>'SEPT-18'!I763</f>
        <v>0</v>
      </c>
      <c r="H768" s="51"/>
      <c r="I768" s="17">
        <f t="shared" si="15"/>
        <v>0</v>
      </c>
      <c r="J768" s="56"/>
      <c r="K768" s="435"/>
    </row>
    <row r="769" spans="1:11" ht="44.25">
      <c r="A769" s="11">
        <v>54111</v>
      </c>
      <c r="B769" s="53" t="s">
        <v>881</v>
      </c>
      <c r="C769" s="13"/>
      <c r="D769" s="14" t="s">
        <v>18</v>
      </c>
      <c r="E769" s="14" t="s">
        <v>28</v>
      </c>
      <c r="F769" s="14" t="s">
        <v>27</v>
      </c>
      <c r="G769" s="305">
        <f>'SEPT-18'!I764</f>
        <v>0</v>
      </c>
      <c r="H769" s="51"/>
      <c r="I769" s="17">
        <f t="shared" si="15"/>
        <v>0</v>
      </c>
      <c r="J769" s="56"/>
      <c r="K769" s="435"/>
    </row>
    <row r="770" spans="1:11" ht="29.25">
      <c r="A770" s="11">
        <v>54118</v>
      </c>
      <c r="B770" s="53" t="s">
        <v>877</v>
      </c>
      <c r="C770" s="13"/>
      <c r="D770" s="14" t="s">
        <v>18</v>
      </c>
      <c r="E770" s="14" t="s">
        <v>28</v>
      </c>
      <c r="F770" s="14" t="s">
        <v>27</v>
      </c>
      <c r="G770" s="305">
        <f>'SEPT-18'!I765</f>
        <v>0</v>
      </c>
      <c r="H770" s="51"/>
      <c r="I770" s="17">
        <f t="shared" si="15"/>
        <v>0</v>
      </c>
      <c r="J770" s="56"/>
      <c r="K770" s="435"/>
    </row>
    <row r="771" spans="1:11" ht="44.25">
      <c r="A771" s="11">
        <v>54313</v>
      </c>
      <c r="B771" s="53" t="s">
        <v>878</v>
      </c>
      <c r="C771" s="13"/>
      <c r="D771" s="14" t="s">
        <v>18</v>
      </c>
      <c r="E771" s="14" t="s">
        <v>28</v>
      </c>
      <c r="F771" s="14" t="s">
        <v>27</v>
      </c>
      <c r="G771" s="305">
        <f>'SEPT-18'!I766</f>
        <v>0</v>
      </c>
      <c r="H771" s="51"/>
      <c r="I771" s="17">
        <f t="shared" si="15"/>
        <v>0</v>
      </c>
      <c r="J771" s="56"/>
      <c r="K771" s="435"/>
    </row>
    <row r="772" spans="1:11" ht="43.5">
      <c r="A772" s="11">
        <v>54399</v>
      </c>
      <c r="B772" s="53" t="s">
        <v>879</v>
      </c>
      <c r="C772" s="13"/>
      <c r="D772" s="14" t="s">
        <v>18</v>
      </c>
      <c r="E772" s="14" t="s">
        <v>28</v>
      </c>
      <c r="F772" s="14" t="s">
        <v>27</v>
      </c>
      <c r="G772" s="305">
        <f>'SEPT-18'!I767</f>
        <v>0</v>
      </c>
      <c r="H772" s="51"/>
      <c r="I772" s="17">
        <f t="shared" si="15"/>
        <v>0</v>
      </c>
      <c r="J772" s="56"/>
      <c r="K772" s="435"/>
    </row>
    <row r="773" spans="1:11" ht="29.25">
      <c r="A773" s="11">
        <v>55603</v>
      </c>
      <c r="B773" s="53" t="s">
        <v>880</v>
      </c>
      <c r="C773" s="13"/>
      <c r="D773" s="14" t="s">
        <v>18</v>
      </c>
      <c r="E773" s="14" t="s">
        <v>28</v>
      </c>
      <c r="F773" s="14" t="s">
        <v>27</v>
      </c>
      <c r="G773" s="305">
        <f>'SEPT-18'!I768</f>
        <v>0</v>
      </c>
      <c r="H773" s="51"/>
      <c r="I773" s="17">
        <f t="shared" si="15"/>
        <v>0</v>
      </c>
      <c r="J773" s="56"/>
      <c r="K773" s="435"/>
    </row>
    <row r="774" spans="1:11" ht="66.75" customHeight="1">
      <c r="A774" s="144" t="s">
        <v>540</v>
      </c>
      <c r="B774" s="53" t="s">
        <v>882</v>
      </c>
      <c r="C774" s="13"/>
      <c r="D774" s="14"/>
      <c r="E774" s="14"/>
      <c r="F774" s="14"/>
      <c r="G774" s="305">
        <f>'SEPT-18'!I769</f>
        <v>0</v>
      </c>
      <c r="H774" s="51"/>
      <c r="I774" s="17"/>
      <c r="J774" s="56"/>
      <c r="K774" s="56"/>
    </row>
    <row r="775" spans="1:11" ht="43.5">
      <c r="A775" s="11">
        <v>51202</v>
      </c>
      <c r="B775" s="53" t="s">
        <v>883</v>
      </c>
      <c r="C775" s="13"/>
      <c r="D775" s="14" t="s">
        <v>18</v>
      </c>
      <c r="E775" s="14" t="s">
        <v>28</v>
      </c>
      <c r="F775" s="14" t="s">
        <v>27</v>
      </c>
      <c r="G775" s="305">
        <f>'SEPT-18'!I770</f>
        <v>7788.55</v>
      </c>
      <c r="H775" s="51"/>
      <c r="I775" s="17">
        <f t="shared" si="15"/>
        <v>5702.4</v>
      </c>
      <c r="J775" s="56"/>
      <c r="K775" s="421">
        <v>2086.15</v>
      </c>
    </row>
    <row r="776" spans="1:11" ht="43.5">
      <c r="A776" s="11">
        <v>54110</v>
      </c>
      <c r="B776" s="53" t="s">
        <v>968</v>
      </c>
      <c r="C776" s="13"/>
      <c r="D776" s="14" t="s">
        <v>18</v>
      </c>
      <c r="E776" s="14" t="s">
        <v>28</v>
      </c>
      <c r="F776" s="14" t="s">
        <v>27</v>
      </c>
      <c r="G776" s="305">
        <f>'SEPT-18'!I771</f>
        <v>500</v>
      </c>
      <c r="H776" s="51"/>
      <c r="I776" s="17">
        <f t="shared" si="15"/>
        <v>500</v>
      </c>
      <c r="J776" s="56"/>
      <c r="K776" s="56"/>
    </row>
    <row r="777" spans="1:11" ht="44.25">
      <c r="A777" s="11">
        <v>54111</v>
      </c>
      <c r="B777" s="53" t="s">
        <v>884</v>
      </c>
      <c r="C777" s="13"/>
      <c r="D777" s="14" t="s">
        <v>18</v>
      </c>
      <c r="E777" s="14" t="s">
        <v>28</v>
      </c>
      <c r="F777" s="14" t="s">
        <v>27</v>
      </c>
      <c r="G777" s="305">
        <f>'SEPT-18'!I772</f>
        <v>15000</v>
      </c>
      <c r="H777" s="51"/>
      <c r="I777" s="17">
        <f t="shared" ref="I777:I831" si="16">G777-H777+J777-K777</f>
        <v>15000</v>
      </c>
      <c r="J777" s="56"/>
      <c r="K777" s="56"/>
    </row>
    <row r="778" spans="1:11" ht="43.5">
      <c r="A778" s="11">
        <v>54118</v>
      </c>
      <c r="B778" s="53" t="s">
        <v>885</v>
      </c>
      <c r="C778" s="13"/>
      <c r="D778" s="14" t="s">
        <v>18</v>
      </c>
      <c r="E778" s="14" t="s">
        <v>28</v>
      </c>
      <c r="F778" s="14" t="s">
        <v>27</v>
      </c>
      <c r="G778" s="305">
        <f>'SEPT-18'!I773</f>
        <v>5000</v>
      </c>
      <c r="H778" s="51"/>
      <c r="I778" s="17">
        <f t="shared" si="16"/>
        <v>5000</v>
      </c>
      <c r="J778" s="56"/>
      <c r="K778" s="56"/>
    </row>
    <row r="779" spans="1:11" ht="43.5">
      <c r="A779" s="11">
        <v>54304</v>
      </c>
      <c r="B779" s="53" t="s">
        <v>889</v>
      </c>
      <c r="C779" s="13"/>
      <c r="D779" s="14" t="s">
        <v>18</v>
      </c>
      <c r="E779" s="14" t="s">
        <v>28</v>
      </c>
      <c r="F779" s="14" t="s">
        <v>27</v>
      </c>
      <c r="G779" s="305">
        <f>'SEPT-18'!I774</f>
        <v>2690</v>
      </c>
      <c r="H779" s="51"/>
      <c r="I779" s="17">
        <f t="shared" si="16"/>
        <v>2690</v>
      </c>
      <c r="J779" s="56"/>
      <c r="K779" s="56"/>
    </row>
    <row r="780" spans="1:11" ht="44.25">
      <c r="A780" s="11">
        <v>54313</v>
      </c>
      <c r="B780" s="53" t="s">
        <v>886</v>
      </c>
      <c r="C780" s="13"/>
      <c r="D780" s="14" t="s">
        <v>18</v>
      </c>
      <c r="E780" s="14" t="s">
        <v>28</v>
      </c>
      <c r="F780" s="14" t="s">
        <v>27</v>
      </c>
      <c r="G780" s="305">
        <f>'SEPT-18'!I775</f>
        <v>300</v>
      </c>
      <c r="H780" s="51"/>
      <c r="I780" s="17">
        <f t="shared" si="16"/>
        <v>300</v>
      </c>
      <c r="J780" s="56"/>
      <c r="K780" s="56"/>
    </row>
    <row r="781" spans="1:11" ht="44.25">
      <c r="A781" s="11">
        <v>54399</v>
      </c>
      <c r="B781" s="53" t="s">
        <v>887</v>
      </c>
      <c r="C781" s="13"/>
      <c r="D781" s="14" t="s">
        <v>18</v>
      </c>
      <c r="E781" s="14" t="s">
        <v>28</v>
      </c>
      <c r="F781" s="14" t="s">
        <v>27</v>
      </c>
      <c r="G781" s="305">
        <f>'SEPT-18'!I776</f>
        <v>1500</v>
      </c>
      <c r="H781" s="51"/>
      <c r="I781" s="17">
        <f t="shared" si="16"/>
        <v>1500</v>
      </c>
      <c r="J781" s="56"/>
      <c r="K781" s="392"/>
    </row>
    <row r="782" spans="1:11" ht="43.5">
      <c r="A782" s="11">
        <v>55603</v>
      </c>
      <c r="B782" s="53" t="s">
        <v>888</v>
      </c>
      <c r="C782" s="13"/>
      <c r="D782" s="14" t="s">
        <v>18</v>
      </c>
      <c r="E782" s="14" t="s">
        <v>28</v>
      </c>
      <c r="F782" s="14" t="s">
        <v>27</v>
      </c>
      <c r="G782" s="305">
        <f>'SEPT-18'!I777</f>
        <v>10</v>
      </c>
      <c r="H782" s="51"/>
      <c r="I782" s="17">
        <f t="shared" si="16"/>
        <v>10</v>
      </c>
      <c r="J782" s="56"/>
      <c r="K782" s="56"/>
    </row>
    <row r="783" spans="1:11">
      <c r="A783" s="11">
        <v>61601</v>
      </c>
      <c r="B783" s="53" t="s">
        <v>1221</v>
      </c>
      <c r="C783" s="13"/>
      <c r="D783" s="14"/>
      <c r="E783" s="14"/>
      <c r="F783" s="14"/>
      <c r="G783" s="305"/>
      <c r="H783" s="51"/>
      <c r="I783" s="17">
        <f t="shared" si="16"/>
        <v>0</v>
      </c>
      <c r="J783" s="56"/>
      <c r="K783" s="56"/>
    </row>
    <row r="784" spans="1:11" ht="74.25" customHeight="1">
      <c r="A784" s="11"/>
      <c r="B784" s="53"/>
      <c r="C784" s="13"/>
      <c r="D784" s="14"/>
      <c r="E784" s="14"/>
      <c r="F784" s="14"/>
      <c r="G784" s="305"/>
      <c r="H784" s="51"/>
      <c r="I784" s="17">
        <f t="shared" si="16"/>
        <v>0</v>
      </c>
      <c r="J784" s="430"/>
      <c r="K784" s="56"/>
    </row>
    <row r="785" spans="1:11" ht="63.75" customHeight="1">
      <c r="A785" s="141" t="s">
        <v>901</v>
      </c>
      <c r="B785" s="53" t="s">
        <v>890</v>
      </c>
      <c r="C785" s="344" t="s">
        <v>1108</v>
      </c>
      <c r="D785" s="14"/>
      <c r="E785" s="14"/>
      <c r="F785" s="14"/>
      <c r="G785" s="305">
        <f>'SEPT-18'!I778</f>
        <v>0</v>
      </c>
      <c r="H785" s="51"/>
      <c r="I785" s="17"/>
      <c r="J785" s="56"/>
      <c r="K785" s="56"/>
    </row>
    <row r="786" spans="1:11" ht="29.25">
      <c r="A786" s="11">
        <v>51202</v>
      </c>
      <c r="B786" s="53" t="s">
        <v>1014</v>
      </c>
      <c r="C786" s="13"/>
      <c r="D786" s="14" t="s">
        <v>18</v>
      </c>
      <c r="E786" s="14" t="s">
        <v>28</v>
      </c>
      <c r="F786" s="14" t="s">
        <v>27</v>
      </c>
      <c r="G786" s="305">
        <f>'SEPT-18'!I779</f>
        <v>616.44999999999982</v>
      </c>
      <c r="H786" s="51">
        <f>40+100+100+100+100+100+100+100+100+50+60+50+60+100+100+100+100+100+50+50+50+50+50+140+110+20+20+20+20+20+20+20+20+20+20+20+20+20+20+20+20+330+50+50+50+50+50+120+100+50+50+50+40+40+50+50+50+50+50+50+50+50+50+50+80+80+80+80</f>
        <v>4230</v>
      </c>
      <c r="I786" s="17">
        <f t="shared" si="16"/>
        <v>886.44999999999982</v>
      </c>
      <c r="J786" s="410">
        <v>4500</v>
      </c>
      <c r="K786" s="56"/>
    </row>
    <row r="787" spans="1:11" ht="29.25">
      <c r="A787" s="11">
        <v>51999</v>
      </c>
      <c r="B787" s="53" t="s">
        <v>1015</v>
      </c>
      <c r="C787" s="13"/>
      <c r="D787" s="14" t="s">
        <v>18</v>
      </c>
      <c r="E787" s="14" t="s">
        <v>28</v>
      </c>
      <c r="F787" s="14" t="s">
        <v>27</v>
      </c>
      <c r="G787" s="305">
        <f>'SEPT-18'!I780</f>
        <v>711.59999999999991</v>
      </c>
      <c r="H787" s="51"/>
      <c r="I787" s="17">
        <f t="shared" si="16"/>
        <v>711.59999999999991</v>
      </c>
      <c r="J787" s="137"/>
      <c r="K787" s="56"/>
    </row>
    <row r="788" spans="1:11" ht="57" customHeight="1">
      <c r="A788" s="11">
        <v>54107</v>
      </c>
      <c r="B788" s="53" t="s">
        <v>1212</v>
      </c>
      <c r="C788" s="13"/>
      <c r="D788" s="14" t="s">
        <v>18</v>
      </c>
      <c r="E788" s="14" t="s">
        <v>28</v>
      </c>
      <c r="F788" s="14" t="s">
        <v>27</v>
      </c>
      <c r="G788" s="305">
        <f>'SEPT-18'!I781</f>
        <v>320.75</v>
      </c>
      <c r="H788" s="51">
        <f>232</f>
        <v>232</v>
      </c>
      <c r="I788" s="17">
        <f t="shared" si="16"/>
        <v>88.75</v>
      </c>
      <c r="J788" s="266"/>
      <c r="K788" s="56"/>
    </row>
    <row r="789" spans="1:11" ht="33.75" customHeight="1">
      <c r="A789" s="11">
        <v>54110</v>
      </c>
      <c r="B789" s="53" t="s">
        <v>1016</v>
      </c>
      <c r="C789" s="13"/>
      <c r="D789" s="14" t="s">
        <v>18</v>
      </c>
      <c r="E789" s="14" t="s">
        <v>28</v>
      </c>
      <c r="F789" s="14" t="s">
        <v>27</v>
      </c>
      <c r="G789" s="305">
        <f>'SEPT-18'!I782</f>
        <v>500</v>
      </c>
      <c r="H789" s="51"/>
      <c r="I789" s="17">
        <f t="shared" si="16"/>
        <v>500</v>
      </c>
      <c r="J789" s="56"/>
      <c r="K789" s="56"/>
    </row>
    <row r="790" spans="1:11" ht="34.5" customHeight="1">
      <c r="A790" s="11">
        <v>54111</v>
      </c>
      <c r="B790" s="53" t="s">
        <v>1017</v>
      </c>
      <c r="C790" s="13"/>
      <c r="D790" s="14" t="s">
        <v>18</v>
      </c>
      <c r="E790" s="14" t="s">
        <v>28</v>
      </c>
      <c r="F790" s="14" t="s">
        <v>27</v>
      </c>
      <c r="G790" s="305">
        <f>'SEPT-18'!I783</f>
        <v>4967.1000000000004</v>
      </c>
      <c r="H790" s="51">
        <v>85</v>
      </c>
      <c r="I790" s="17">
        <f t="shared" si="16"/>
        <v>2882.1000000000004</v>
      </c>
      <c r="J790" s="56"/>
      <c r="K790" s="410">
        <v>2000</v>
      </c>
    </row>
    <row r="791" spans="1:11" ht="44.25">
      <c r="A791" s="11">
        <v>54112</v>
      </c>
      <c r="B791" s="53" t="s">
        <v>1021</v>
      </c>
      <c r="C791" s="13"/>
      <c r="D791" s="14" t="s">
        <v>18</v>
      </c>
      <c r="E791" s="14" t="s">
        <v>28</v>
      </c>
      <c r="F791" s="14" t="s">
        <v>27</v>
      </c>
      <c r="G791" s="305">
        <f>'SEPT-18'!I784</f>
        <v>1481.25</v>
      </c>
      <c r="H791" s="51"/>
      <c r="I791" s="17">
        <f t="shared" si="16"/>
        <v>481.25</v>
      </c>
      <c r="J791" s="56"/>
      <c r="K791" s="409">
        <v>1000</v>
      </c>
    </row>
    <row r="792" spans="1:11" ht="29.25">
      <c r="A792" s="11">
        <v>54118</v>
      </c>
      <c r="B792" s="53" t="s">
        <v>1020</v>
      </c>
      <c r="C792" s="61" t="s">
        <v>1109</v>
      </c>
      <c r="D792" s="14" t="s">
        <v>18</v>
      </c>
      <c r="E792" s="14" t="s">
        <v>28</v>
      </c>
      <c r="F792" s="14" t="s">
        <v>27</v>
      </c>
      <c r="G792" s="305">
        <f>'SEPT-18'!I785</f>
        <v>1185.5</v>
      </c>
      <c r="H792" s="51">
        <f>142.5</f>
        <v>142.5</v>
      </c>
      <c r="I792" s="17">
        <f t="shared" si="16"/>
        <v>43</v>
      </c>
      <c r="J792" s="56"/>
      <c r="K792" s="409">
        <v>1000</v>
      </c>
    </row>
    <row r="793" spans="1:11" ht="29.25">
      <c r="A793" s="11">
        <v>54199</v>
      </c>
      <c r="B793" s="53" t="s">
        <v>1018</v>
      </c>
      <c r="C793" s="13"/>
      <c r="D793" s="14" t="s">
        <v>18</v>
      </c>
      <c r="E793" s="14" t="s">
        <v>28</v>
      </c>
      <c r="F793" s="14" t="s">
        <v>27</v>
      </c>
      <c r="G793" s="305">
        <f>'SEPT-18'!I786</f>
        <v>1612.0500000000002</v>
      </c>
      <c r="H793" s="51"/>
      <c r="I793" s="17">
        <f t="shared" si="16"/>
        <v>1112.0500000000002</v>
      </c>
      <c r="J793" s="56"/>
      <c r="K793" s="409">
        <v>500</v>
      </c>
    </row>
    <row r="794" spans="1:11" ht="29.25">
      <c r="A794" s="11">
        <v>54313</v>
      </c>
      <c r="B794" s="53" t="s">
        <v>1019</v>
      </c>
      <c r="C794" s="13"/>
      <c r="D794" s="14" t="s">
        <v>18</v>
      </c>
      <c r="E794" s="14" t="s">
        <v>28</v>
      </c>
      <c r="F794" s="14" t="s">
        <v>27</v>
      </c>
      <c r="G794" s="305">
        <f>'SEPT-18'!I787</f>
        <v>275</v>
      </c>
      <c r="H794" s="51"/>
      <c r="I794" s="17">
        <f t="shared" si="16"/>
        <v>275</v>
      </c>
      <c r="J794" s="56"/>
      <c r="K794" s="56"/>
    </row>
    <row r="795" spans="1:11" ht="57">
      <c r="A795" s="11">
        <v>54316</v>
      </c>
      <c r="B795" s="53" t="s">
        <v>1189</v>
      </c>
      <c r="C795" s="13"/>
      <c r="D795" s="14" t="s">
        <v>18</v>
      </c>
      <c r="E795" s="14" t="s">
        <v>28</v>
      </c>
      <c r="F795" s="14" t="s">
        <v>27</v>
      </c>
      <c r="G795" s="305">
        <f>'SEPT-18'!I788</f>
        <v>95</v>
      </c>
      <c r="H795" s="51">
        <v>100</v>
      </c>
      <c r="I795" s="431">
        <f t="shared" si="16"/>
        <v>-5</v>
      </c>
      <c r="J795" s="127"/>
      <c r="K795" s="56"/>
    </row>
    <row r="796" spans="1:11" ht="34.5" customHeight="1">
      <c r="A796" s="11">
        <v>54399</v>
      </c>
      <c r="B796" s="53" t="s">
        <v>1022</v>
      </c>
      <c r="C796" s="13"/>
      <c r="D796" s="14" t="s">
        <v>18</v>
      </c>
      <c r="E796" s="14" t="s">
        <v>28</v>
      </c>
      <c r="F796" s="14" t="s">
        <v>27</v>
      </c>
      <c r="G796" s="305">
        <f>'SEPT-18'!I789</f>
        <v>1429.35</v>
      </c>
      <c r="H796" s="51"/>
      <c r="I796" s="17">
        <f t="shared" si="16"/>
        <v>1429.35</v>
      </c>
      <c r="J796" s="137"/>
      <c r="K796" s="137"/>
    </row>
    <row r="797" spans="1:11" ht="29.25">
      <c r="A797" s="11">
        <v>55603</v>
      </c>
      <c r="B797" s="53" t="s">
        <v>898</v>
      </c>
      <c r="C797" s="13"/>
      <c r="D797" s="14" t="s">
        <v>18</v>
      </c>
      <c r="E797" s="14" t="s">
        <v>28</v>
      </c>
      <c r="F797" s="14" t="s">
        <v>27</v>
      </c>
      <c r="G797" s="305">
        <f>'SEPT-18'!I790</f>
        <v>6.8199999999999994</v>
      </c>
      <c r="H797" s="51"/>
      <c r="I797" s="17">
        <f t="shared" si="16"/>
        <v>6.8199999999999994</v>
      </c>
      <c r="J797" s="142"/>
      <c r="K797" s="56"/>
    </row>
    <row r="798" spans="1:11" ht="60">
      <c r="A798" s="141">
        <v>41</v>
      </c>
      <c r="B798" s="53" t="s">
        <v>902</v>
      </c>
      <c r="C798" s="13"/>
      <c r="D798" s="14"/>
      <c r="E798" s="14"/>
      <c r="F798" s="14"/>
      <c r="G798" s="305">
        <f>'SEPT-18'!I791</f>
        <v>0</v>
      </c>
      <c r="H798" s="51"/>
      <c r="I798" s="17"/>
      <c r="J798" s="56"/>
      <c r="K798" s="56"/>
    </row>
    <row r="799" spans="1:11" ht="29.25">
      <c r="A799" s="11">
        <v>51999</v>
      </c>
      <c r="B799" s="53" t="s">
        <v>903</v>
      </c>
      <c r="C799" s="13"/>
      <c r="D799" s="14" t="s">
        <v>18</v>
      </c>
      <c r="E799" s="14" t="s">
        <v>28</v>
      </c>
      <c r="F799" s="14" t="s">
        <v>27</v>
      </c>
      <c r="G799" s="305">
        <f>'SEPT-18'!I792</f>
        <v>1000</v>
      </c>
      <c r="H799" s="51"/>
      <c r="I799" s="17">
        <f t="shared" si="16"/>
        <v>1000</v>
      </c>
      <c r="J799" s="56"/>
      <c r="K799" s="56"/>
    </row>
    <row r="800" spans="1:11" ht="44.25">
      <c r="A800" s="11">
        <v>54111</v>
      </c>
      <c r="B800" s="53" t="s">
        <v>904</v>
      </c>
      <c r="C800" s="13"/>
      <c r="D800" s="14" t="s">
        <v>18</v>
      </c>
      <c r="E800" s="14" t="s">
        <v>28</v>
      </c>
      <c r="F800" s="14" t="s">
        <v>27</v>
      </c>
      <c r="G800" s="305">
        <f>'SEPT-18'!I793</f>
        <v>1000</v>
      </c>
      <c r="H800" s="51"/>
      <c r="I800" s="17">
        <f t="shared" si="16"/>
        <v>1000</v>
      </c>
      <c r="J800" s="56"/>
      <c r="K800" s="56"/>
    </row>
    <row r="801" spans="1:11" ht="43.5">
      <c r="A801" s="11">
        <v>54118</v>
      </c>
      <c r="B801" s="53" t="s">
        <v>905</v>
      </c>
      <c r="C801" s="13"/>
      <c r="D801" s="14" t="s">
        <v>18</v>
      </c>
      <c r="E801" s="14" t="s">
        <v>28</v>
      </c>
      <c r="F801" s="14" t="s">
        <v>27</v>
      </c>
      <c r="G801" s="305">
        <f>'SEPT-18'!I794</f>
        <v>1000</v>
      </c>
      <c r="H801" s="51"/>
      <c r="I801" s="17">
        <f t="shared" si="16"/>
        <v>1000</v>
      </c>
      <c r="J801" s="56"/>
      <c r="K801" s="56"/>
    </row>
    <row r="802" spans="1:11" ht="44.25">
      <c r="A802" s="11">
        <v>54313</v>
      </c>
      <c r="B802" s="53" t="s">
        <v>906</v>
      </c>
      <c r="C802" s="13"/>
      <c r="D802" s="14" t="s">
        <v>18</v>
      </c>
      <c r="E802" s="14" t="s">
        <v>28</v>
      </c>
      <c r="F802" s="14" t="s">
        <v>27</v>
      </c>
      <c r="G802" s="305">
        <f>'SEPT-18'!I795</f>
        <v>100</v>
      </c>
      <c r="H802" s="51"/>
      <c r="I802" s="17">
        <f t="shared" si="16"/>
        <v>100</v>
      </c>
      <c r="J802" s="56"/>
      <c r="K802" s="56"/>
    </row>
    <row r="803" spans="1:11" ht="44.25">
      <c r="A803" s="11">
        <v>54399</v>
      </c>
      <c r="B803" s="53" t="s">
        <v>907</v>
      </c>
      <c r="C803" s="13"/>
      <c r="D803" s="14" t="s">
        <v>18</v>
      </c>
      <c r="E803" s="14" t="s">
        <v>28</v>
      </c>
      <c r="F803" s="14" t="s">
        <v>27</v>
      </c>
      <c r="G803" s="305">
        <f>'SEPT-18'!I796</f>
        <v>1890</v>
      </c>
      <c r="H803" s="51"/>
      <c r="I803" s="17">
        <f t="shared" si="16"/>
        <v>1890</v>
      </c>
      <c r="J803" s="56"/>
      <c r="K803" s="56"/>
    </row>
    <row r="804" spans="1:11" ht="29.25">
      <c r="A804" s="11">
        <v>55603</v>
      </c>
      <c r="B804" s="53" t="s">
        <v>908</v>
      </c>
      <c r="C804" s="13"/>
      <c r="D804" s="14" t="s">
        <v>18</v>
      </c>
      <c r="E804" s="14" t="s">
        <v>28</v>
      </c>
      <c r="F804" s="14" t="s">
        <v>27</v>
      </c>
      <c r="G804" s="305">
        <f>'SEPT-18'!I797</f>
        <v>10</v>
      </c>
      <c r="H804" s="51"/>
      <c r="I804" s="17">
        <f t="shared" si="16"/>
        <v>10</v>
      </c>
      <c r="J804" s="56"/>
      <c r="K804" s="56"/>
    </row>
    <row r="805" spans="1:11" ht="45">
      <c r="A805" s="141" t="s">
        <v>909</v>
      </c>
      <c r="B805" s="53" t="s">
        <v>910</v>
      </c>
      <c r="C805" s="13"/>
      <c r="D805" s="14"/>
      <c r="E805" s="14"/>
      <c r="F805" s="14"/>
      <c r="G805" s="305">
        <f>'SEPT-18'!I798</f>
        <v>0</v>
      </c>
      <c r="H805" s="51"/>
      <c r="I805" s="17"/>
      <c r="J805" s="56"/>
      <c r="K805" s="56"/>
    </row>
    <row r="806" spans="1:11" ht="29.25">
      <c r="A806" s="11">
        <v>51999</v>
      </c>
      <c r="B806" s="54" t="s">
        <v>911</v>
      </c>
      <c r="C806" s="13"/>
      <c r="D806" s="14" t="s">
        <v>18</v>
      </c>
      <c r="E806" s="14" t="s">
        <v>28</v>
      </c>
      <c r="F806" s="14" t="s">
        <v>27</v>
      </c>
      <c r="G806" s="305">
        <f>'SEPT-18'!I799</f>
        <v>500</v>
      </c>
      <c r="H806" s="51"/>
      <c r="I806" s="17">
        <f t="shared" si="16"/>
        <v>500</v>
      </c>
      <c r="J806" s="56"/>
      <c r="K806" s="56"/>
    </row>
    <row r="807" spans="1:11" ht="29.25">
      <c r="A807" s="11">
        <v>54110</v>
      </c>
      <c r="B807" s="54" t="s">
        <v>912</v>
      </c>
      <c r="C807" s="13"/>
      <c r="D807" s="14" t="s">
        <v>18</v>
      </c>
      <c r="E807" s="14" t="s">
        <v>28</v>
      </c>
      <c r="F807" s="14" t="s">
        <v>27</v>
      </c>
      <c r="G807" s="305">
        <f>'SEPT-18'!I800</f>
        <v>500</v>
      </c>
      <c r="H807" s="51"/>
      <c r="I807" s="17">
        <f t="shared" si="16"/>
        <v>500</v>
      </c>
      <c r="J807" s="56"/>
      <c r="K807" s="56"/>
    </row>
    <row r="808" spans="1:11" ht="30">
      <c r="A808" s="11">
        <v>54111</v>
      </c>
      <c r="B808" s="53" t="s">
        <v>913</v>
      </c>
      <c r="C808" s="13"/>
      <c r="D808" s="14" t="s">
        <v>18</v>
      </c>
      <c r="E808" s="14" t="s">
        <v>28</v>
      </c>
      <c r="F808" s="14" t="s">
        <v>27</v>
      </c>
      <c r="G808" s="305">
        <f>'SEPT-18'!I801</f>
        <v>1000</v>
      </c>
      <c r="H808" s="51"/>
      <c r="I808" s="17">
        <f t="shared" si="16"/>
        <v>1000</v>
      </c>
      <c r="J808" s="56"/>
      <c r="K808" s="56"/>
    </row>
    <row r="809" spans="1:11" ht="29.25">
      <c r="A809" s="11">
        <v>54118</v>
      </c>
      <c r="B809" s="53" t="s">
        <v>914</v>
      </c>
      <c r="C809" s="13"/>
      <c r="D809" s="14" t="s">
        <v>18</v>
      </c>
      <c r="E809" s="14" t="s">
        <v>28</v>
      </c>
      <c r="F809" s="14" t="s">
        <v>27</v>
      </c>
      <c r="G809" s="305">
        <f>'SEPT-18'!I802</f>
        <v>1000</v>
      </c>
      <c r="H809" s="51"/>
      <c r="I809" s="17">
        <f t="shared" si="16"/>
        <v>1000</v>
      </c>
      <c r="J809" s="56"/>
      <c r="K809" s="56"/>
    </row>
    <row r="810" spans="1:11" ht="29.25">
      <c r="A810" s="11">
        <v>54199</v>
      </c>
      <c r="B810" s="53" t="s">
        <v>915</v>
      </c>
      <c r="C810" s="13"/>
      <c r="D810" s="14" t="s">
        <v>18</v>
      </c>
      <c r="E810" s="14" t="s">
        <v>28</v>
      </c>
      <c r="F810" s="14" t="s">
        <v>27</v>
      </c>
      <c r="G810" s="305">
        <f>'SEPT-18'!I803</f>
        <v>500</v>
      </c>
      <c r="H810" s="51"/>
      <c r="I810" s="17">
        <f t="shared" si="16"/>
        <v>500</v>
      </c>
      <c r="J810" s="56"/>
      <c r="K810" s="56"/>
    </row>
    <row r="811" spans="1:11" ht="44.25">
      <c r="A811" s="11">
        <v>54313</v>
      </c>
      <c r="B811" s="53" t="s">
        <v>916</v>
      </c>
      <c r="C811" s="13"/>
      <c r="D811" s="14" t="s">
        <v>18</v>
      </c>
      <c r="E811" s="14" t="s">
        <v>28</v>
      </c>
      <c r="F811" s="14" t="s">
        <v>27</v>
      </c>
      <c r="G811" s="305">
        <f>'SEPT-18'!I804</f>
        <v>600</v>
      </c>
      <c r="H811" s="51"/>
      <c r="I811" s="17">
        <f t="shared" si="16"/>
        <v>600</v>
      </c>
      <c r="J811" s="56"/>
      <c r="K811" s="56"/>
    </row>
    <row r="812" spans="1:11" ht="30">
      <c r="A812" s="11">
        <v>54399</v>
      </c>
      <c r="B812" s="53" t="s">
        <v>917</v>
      </c>
      <c r="C812" s="13"/>
      <c r="D812" s="14" t="s">
        <v>18</v>
      </c>
      <c r="E812" s="14" t="s">
        <v>28</v>
      </c>
      <c r="F812" s="14" t="s">
        <v>27</v>
      </c>
      <c r="G812" s="305">
        <f>'SEPT-18'!I805</f>
        <v>890</v>
      </c>
      <c r="H812" s="51"/>
      <c r="I812" s="17">
        <f t="shared" si="16"/>
        <v>890</v>
      </c>
      <c r="J812" s="56"/>
      <c r="K812" s="56"/>
    </row>
    <row r="813" spans="1:11" ht="29.25">
      <c r="A813" s="11">
        <v>55603</v>
      </c>
      <c r="B813" s="53" t="s">
        <v>918</v>
      </c>
      <c r="C813" s="13"/>
      <c r="D813" s="14" t="s">
        <v>18</v>
      </c>
      <c r="E813" s="14" t="s">
        <v>28</v>
      </c>
      <c r="F813" s="14" t="s">
        <v>27</v>
      </c>
      <c r="G813" s="305">
        <f>'SEPT-18'!I806</f>
        <v>10</v>
      </c>
      <c r="H813" s="51"/>
      <c r="I813" s="17">
        <f t="shared" si="16"/>
        <v>10</v>
      </c>
      <c r="J813" s="56"/>
      <c r="K813" s="56"/>
    </row>
    <row r="814" spans="1:11" ht="74.25">
      <c r="A814" s="141" t="s">
        <v>1093</v>
      </c>
      <c r="B814" s="53" t="s">
        <v>964</v>
      </c>
      <c r="C814" s="13"/>
      <c r="D814" s="14"/>
      <c r="E814" s="14"/>
      <c r="F814" s="14"/>
      <c r="G814" s="305">
        <f>'SEPT-18'!I807</f>
        <v>0</v>
      </c>
      <c r="H814" s="51"/>
      <c r="I814" s="17"/>
      <c r="J814" s="56"/>
      <c r="K814" s="56"/>
    </row>
    <row r="815" spans="1:11" s="178" customFormat="1" ht="45">
      <c r="A815" s="1" t="s">
        <v>19</v>
      </c>
      <c r="B815" s="179" t="s">
        <v>965</v>
      </c>
      <c r="C815" s="180"/>
      <c r="D815" s="14" t="s">
        <v>18</v>
      </c>
      <c r="E815" s="14" t="s">
        <v>28</v>
      </c>
      <c r="F815" s="14" t="s">
        <v>27</v>
      </c>
      <c r="G815" s="305">
        <f>'SEPT-18'!I808</f>
        <v>1.8189894035458565E-12</v>
      </c>
      <c r="H815" s="210"/>
      <c r="I815" s="17">
        <f t="shared" si="16"/>
        <v>1.8189894035458565E-12</v>
      </c>
      <c r="J815" s="143"/>
      <c r="K815" s="209"/>
    </row>
    <row r="816" spans="1:11" s="178" customFormat="1" ht="71.25">
      <c r="A816" s="1">
        <v>51202</v>
      </c>
      <c r="B816" s="53" t="s">
        <v>985</v>
      </c>
      <c r="C816" s="180"/>
      <c r="D816" s="14" t="s">
        <v>18</v>
      </c>
      <c r="E816" s="14" t="s">
        <v>28</v>
      </c>
      <c r="F816" s="14" t="s">
        <v>27</v>
      </c>
      <c r="G816" s="305">
        <f>'SEPT-18'!I809</f>
        <v>0.15999999999939973</v>
      </c>
      <c r="H816" s="210"/>
      <c r="I816" s="17">
        <f t="shared" si="16"/>
        <v>0.15999999999939973</v>
      </c>
      <c r="J816" s="209"/>
      <c r="K816" s="209"/>
    </row>
    <row r="817" spans="1:190" ht="44.25">
      <c r="A817" s="11">
        <v>54118</v>
      </c>
      <c r="B817" s="53" t="s">
        <v>919</v>
      </c>
      <c r="C817" s="13"/>
      <c r="D817" s="14" t="s">
        <v>18</v>
      </c>
      <c r="E817" s="14" t="s">
        <v>28</v>
      </c>
      <c r="F817" s="14" t="s">
        <v>27</v>
      </c>
      <c r="G817" s="305">
        <f>'SEPT-18'!I810</f>
        <v>0</v>
      </c>
      <c r="H817" s="51"/>
      <c r="I817" s="17">
        <f t="shared" si="16"/>
        <v>0</v>
      </c>
      <c r="J817" s="56"/>
      <c r="K817" s="137"/>
    </row>
    <row r="818" spans="1:190" ht="44.25">
      <c r="A818" s="11">
        <v>54313</v>
      </c>
      <c r="B818" s="168" t="s">
        <v>920</v>
      </c>
      <c r="C818" s="13"/>
      <c r="D818" s="14" t="s">
        <v>18</v>
      </c>
      <c r="E818" s="14" t="s">
        <v>28</v>
      </c>
      <c r="F818" s="14" t="s">
        <v>27</v>
      </c>
      <c r="G818" s="305">
        <f>'SEPT-18'!I811</f>
        <v>0</v>
      </c>
      <c r="H818" s="51"/>
      <c r="I818" s="17">
        <f t="shared" si="16"/>
        <v>0</v>
      </c>
      <c r="J818" s="56"/>
      <c r="K818" s="137"/>
    </row>
    <row r="819" spans="1:190" ht="29.25">
      <c r="A819" s="11">
        <v>56303</v>
      </c>
      <c r="B819" s="53" t="s">
        <v>921</v>
      </c>
      <c r="C819" s="13"/>
      <c r="D819" s="14" t="s">
        <v>18</v>
      </c>
      <c r="E819" s="14" t="s">
        <v>28</v>
      </c>
      <c r="F819" s="14" t="s">
        <v>27</v>
      </c>
      <c r="G819" s="305">
        <f>'SEPT-18'!I812</f>
        <v>0</v>
      </c>
      <c r="H819" s="51"/>
      <c r="I819" s="17">
        <f t="shared" si="16"/>
        <v>0</v>
      </c>
      <c r="J819" s="56"/>
      <c r="K819" s="137"/>
    </row>
    <row r="820" spans="1:190" ht="29.25">
      <c r="A820" s="11">
        <v>55603</v>
      </c>
      <c r="B820" s="53" t="s">
        <v>922</v>
      </c>
      <c r="C820" s="13"/>
      <c r="D820" s="14" t="s">
        <v>18</v>
      </c>
      <c r="E820" s="14" t="s">
        <v>28</v>
      </c>
      <c r="F820" s="14" t="s">
        <v>27</v>
      </c>
      <c r="G820" s="305">
        <f>'SEPT-18'!I813</f>
        <v>0</v>
      </c>
      <c r="H820" s="51"/>
      <c r="I820" s="17">
        <f t="shared" si="16"/>
        <v>0</v>
      </c>
      <c r="J820" s="56"/>
      <c r="K820" s="137"/>
    </row>
    <row r="821" spans="1:190">
      <c r="A821" s="141">
        <v>61</v>
      </c>
      <c r="B821" s="53" t="s">
        <v>1228</v>
      </c>
      <c r="C821" s="13"/>
      <c r="D821" s="14"/>
      <c r="E821" s="14"/>
      <c r="F821" s="14"/>
      <c r="G821" s="305"/>
      <c r="H821" s="51"/>
      <c r="I821" s="17"/>
      <c r="J821" s="56"/>
      <c r="K821" s="137"/>
    </row>
    <row r="822" spans="1:190">
      <c r="A822" s="141">
        <v>616</v>
      </c>
      <c r="B822" s="53" t="s">
        <v>1225</v>
      </c>
      <c r="C822" s="13"/>
      <c r="D822" s="14"/>
      <c r="E822" s="14"/>
      <c r="F822" s="14"/>
      <c r="G822" s="305"/>
      <c r="H822" s="51"/>
      <c r="I822" s="17"/>
      <c r="J822" s="56"/>
      <c r="K822" s="137"/>
    </row>
    <row r="823" spans="1:190">
      <c r="A823" s="141">
        <v>61601</v>
      </c>
      <c r="B823" s="53" t="s">
        <v>1226</v>
      </c>
      <c r="C823" s="13"/>
      <c r="D823" s="14"/>
      <c r="E823" s="14"/>
      <c r="F823" s="14"/>
      <c r="G823" s="305"/>
      <c r="H823" s="51"/>
      <c r="I823" s="17"/>
      <c r="J823" s="56"/>
      <c r="K823" s="137"/>
    </row>
    <row r="824" spans="1:190" ht="74.25">
      <c r="A824" s="439" t="s">
        <v>1224</v>
      </c>
      <c r="B824" s="53" t="s">
        <v>1227</v>
      </c>
      <c r="C824" s="13"/>
      <c r="D824" s="14" t="s">
        <v>18</v>
      </c>
      <c r="E824" s="14" t="s">
        <v>28</v>
      </c>
      <c r="F824" s="14" t="s">
        <v>27</v>
      </c>
      <c r="G824" s="305">
        <f>'SEPT-18'!I817</f>
        <v>47211.45</v>
      </c>
      <c r="H824" s="51">
        <v>1.41</v>
      </c>
      <c r="I824" s="17">
        <f t="shared" si="16"/>
        <v>47210.039999999994</v>
      </c>
      <c r="J824" s="56"/>
      <c r="K824" s="137"/>
    </row>
    <row r="825" spans="1:190" ht="94.5" customHeight="1">
      <c r="A825" s="11" t="s">
        <v>923</v>
      </c>
      <c r="B825" s="53" t="s">
        <v>924</v>
      </c>
      <c r="C825" s="13"/>
      <c r="D825" s="14" t="s">
        <v>18</v>
      </c>
      <c r="E825" s="14" t="s">
        <v>28</v>
      </c>
      <c r="F825" s="14" t="s">
        <v>27</v>
      </c>
      <c r="G825" s="305"/>
      <c r="H825" s="51"/>
      <c r="I825" s="17">
        <f t="shared" si="16"/>
        <v>0</v>
      </c>
      <c r="J825" s="56"/>
      <c r="K825" s="266"/>
    </row>
    <row r="826" spans="1:190" ht="20.25" customHeight="1">
      <c r="A826" s="38"/>
      <c r="B826" s="161" t="s">
        <v>975</v>
      </c>
      <c r="C826" s="39"/>
      <c r="D826" s="39"/>
      <c r="E826" s="39"/>
      <c r="F826" s="39"/>
      <c r="G826" s="305">
        <f>SUM(G453:G825)</f>
        <v>508180.65999999992</v>
      </c>
      <c r="H826" s="95">
        <f>SUM(H453:H825)</f>
        <v>8547.7999999999993</v>
      </c>
      <c r="I826" s="40">
        <f>SUM(I453:I825)</f>
        <v>507254.85999999993</v>
      </c>
      <c r="J826" s="40">
        <f>SUM(J453:J825)</f>
        <v>15535.03</v>
      </c>
      <c r="K826" s="40">
        <f>SUM(K453:K825)</f>
        <v>7913.0300000000007</v>
      </c>
    </row>
    <row r="827" spans="1:190" s="198" customFormat="1" ht="54.75" customHeight="1" thickBot="1">
      <c r="A827" s="191" t="s">
        <v>925</v>
      </c>
      <c r="B827" s="192" t="s">
        <v>926</v>
      </c>
      <c r="C827" s="193"/>
      <c r="D827" s="194" t="s">
        <v>20</v>
      </c>
      <c r="E827" s="194" t="s">
        <v>31</v>
      </c>
      <c r="F827" s="194" t="s">
        <v>27</v>
      </c>
      <c r="G827" s="305">
        <f>'SEPT-18'!I819</f>
        <v>0</v>
      </c>
      <c r="H827" s="246"/>
      <c r="I827" s="196">
        <f t="shared" si="16"/>
        <v>0</v>
      </c>
      <c r="J827" s="197"/>
      <c r="K827" s="267"/>
      <c r="L827" s="199"/>
      <c r="M827" s="199"/>
      <c r="N827" s="199"/>
      <c r="O827" s="199"/>
      <c r="P827" s="199"/>
      <c r="Q827" s="199"/>
      <c r="R827" s="199"/>
      <c r="S827" s="199"/>
      <c r="T827" s="199"/>
      <c r="U827" s="199"/>
      <c r="V827" s="199"/>
      <c r="W827" s="199"/>
      <c r="X827" s="199"/>
      <c r="Y827" s="199"/>
      <c r="Z827" s="199"/>
      <c r="AA827" s="199"/>
      <c r="AB827" s="199"/>
      <c r="AC827" s="199"/>
      <c r="AD827" s="199"/>
      <c r="AE827" s="199"/>
      <c r="AF827" s="199"/>
      <c r="AG827" s="199"/>
      <c r="AH827" s="199"/>
      <c r="AI827" s="199"/>
      <c r="AJ827" s="199"/>
      <c r="AK827" s="199"/>
      <c r="AL827" s="199"/>
      <c r="AM827" s="199"/>
      <c r="AN827" s="199"/>
      <c r="AO827" s="199"/>
      <c r="AP827" s="199"/>
      <c r="AQ827" s="199"/>
      <c r="AR827" s="199"/>
      <c r="AS827" s="199"/>
      <c r="AT827" s="199"/>
      <c r="AU827" s="199"/>
      <c r="AV827" s="199"/>
      <c r="AW827" s="199"/>
      <c r="AX827" s="199"/>
      <c r="AY827" s="199"/>
      <c r="AZ827" s="199"/>
      <c r="BA827" s="199"/>
      <c r="BB827" s="199"/>
      <c r="BC827" s="199"/>
      <c r="BD827" s="199"/>
      <c r="BE827" s="199"/>
      <c r="BF827" s="199"/>
      <c r="BG827" s="199"/>
      <c r="BH827" s="199"/>
      <c r="BI827" s="199"/>
      <c r="BJ827" s="199"/>
      <c r="BK827" s="199"/>
      <c r="BL827" s="199"/>
      <c r="BM827" s="199"/>
      <c r="BN827" s="199"/>
      <c r="BO827" s="199"/>
      <c r="BP827" s="199"/>
      <c r="BQ827" s="199"/>
      <c r="BR827" s="199"/>
      <c r="BS827" s="199"/>
      <c r="BT827" s="199"/>
      <c r="BU827" s="199"/>
      <c r="BV827" s="199"/>
      <c r="BW827" s="199"/>
      <c r="BX827" s="199"/>
      <c r="BY827" s="199"/>
      <c r="BZ827" s="199"/>
      <c r="CA827" s="199"/>
      <c r="CB827" s="199"/>
      <c r="CC827" s="199"/>
      <c r="CD827" s="199"/>
      <c r="CE827" s="199"/>
      <c r="CF827" s="199"/>
      <c r="CG827" s="199"/>
      <c r="CH827" s="199"/>
      <c r="CI827" s="199"/>
      <c r="CJ827" s="199"/>
      <c r="CK827" s="199"/>
      <c r="CL827" s="199"/>
      <c r="CM827" s="199"/>
      <c r="CN827" s="199"/>
      <c r="CO827" s="199"/>
      <c r="CP827" s="199"/>
      <c r="CQ827" s="199"/>
      <c r="CR827" s="199"/>
      <c r="CS827" s="199"/>
      <c r="CT827" s="199"/>
      <c r="CU827" s="199"/>
      <c r="CV827" s="199"/>
      <c r="CW827" s="199"/>
      <c r="CX827" s="199"/>
      <c r="CY827" s="199"/>
      <c r="CZ827" s="199"/>
      <c r="DA827" s="199"/>
      <c r="DB827" s="199"/>
      <c r="DC827" s="199"/>
      <c r="DD827" s="199"/>
      <c r="DE827" s="199"/>
      <c r="DF827" s="199"/>
      <c r="DG827" s="199"/>
      <c r="DH827" s="199"/>
      <c r="DI827" s="199"/>
      <c r="DJ827" s="199"/>
      <c r="DK827" s="199"/>
      <c r="DL827" s="199"/>
      <c r="DM827" s="199"/>
      <c r="DN827" s="199"/>
      <c r="DO827" s="199"/>
      <c r="DP827" s="199"/>
      <c r="DQ827" s="199"/>
      <c r="DR827" s="199"/>
      <c r="DS827" s="199"/>
      <c r="DT827" s="199"/>
      <c r="DU827" s="199"/>
      <c r="DV827" s="199"/>
      <c r="DW827" s="199"/>
      <c r="DX827" s="199"/>
      <c r="DY827" s="199"/>
      <c r="DZ827" s="199"/>
      <c r="EA827" s="199"/>
      <c r="EB827" s="199"/>
      <c r="EC827" s="199"/>
      <c r="ED827" s="199"/>
      <c r="EE827" s="199"/>
      <c r="EF827" s="199"/>
      <c r="EG827" s="199"/>
      <c r="EH827" s="199"/>
      <c r="EI827" s="199"/>
      <c r="EJ827" s="199"/>
      <c r="EK827" s="199"/>
      <c r="EL827" s="199"/>
      <c r="EM827" s="199"/>
      <c r="EN827" s="199"/>
      <c r="EO827" s="199"/>
      <c r="EP827" s="199"/>
      <c r="EQ827" s="199"/>
      <c r="ER827" s="199"/>
      <c r="ES827" s="199"/>
      <c r="ET827" s="199"/>
      <c r="EU827" s="199"/>
      <c r="EV827" s="199"/>
      <c r="EW827" s="199"/>
      <c r="EX827" s="199"/>
      <c r="EY827" s="199"/>
      <c r="EZ827" s="199"/>
      <c r="FA827" s="199"/>
      <c r="FB827" s="199"/>
      <c r="FC827" s="199"/>
      <c r="FD827" s="199"/>
      <c r="FE827" s="199"/>
      <c r="FF827" s="199"/>
      <c r="FG827" s="199"/>
      <c r="FH827" s="199"/>
      <c r="FI827" s="199"/>
      <c r="FJ827" s="199"/>
      <c r="FK827" s="199"/>
      <c r="FL827" s="199"/>
      <c r="FM827" s="199"/>
      <c r="FN827" s="199"/>
      <c r="FO827" s="199"/>
      <c r="FP827" s="199"/>
      <c r="FQ827" s="199"/>
      <c r="FR827" s="199"/>
      <c r="FS827" s="199"/>
      <c r="FT827" s="199"/>
      <c r="FU827" s="199"/>
      <c r="FV827" s="199"/>
      <c r="FW827" s="199"/>
      <c r="FX827" s="199"/>
      <c r="FY827" s="199"/>
      <c r="FZ827" s="199"/>
      <c r="GA827" s="199"/>
      <c r="GB827" s="199"/>
      <c r="GC827" s="199"/>
      <c r="GD827" s="199"/>
      <c r="GE827" s="199"/>
      <c r="GF827" s="199"/>
      <c r="GG827" s="199"/>
      <c r="GH827" s="199"/>
    </row>
    <row r="828" spans="1:190" s="199" customFormat="1" ht="23.25" customHeight="1" thickBot="1">
      <c r="A828" s="38"/>
      <c r="B828" s="161" t="s">
        <v>21</v>
      </c>
      <c r="C828" s="39"/>
      <c r="D828" s="39"/>
      <c r="E828" s="39"/>
      <c r="F828" s="39"/>
      <c r="G828" s="305">
        <f>'SEPT-18'!I820</f>
        <v>0</v>
      </c>
      <c r="H828" s="95">
        <f>SUM(H827)</f>
        <v>0</v>
      </c>
      <c r="I828" s="196">
        <f t="shared" si="16"/>
        <v>0</v>
      </c>
      <c r="J828" s="40"/>
      <c r="K828" s="398">
        <f>SUM(K827)</f>
        <v>0</v>
      </c>
    </row>
    <row r="829" spans="1:190" s="171" customFormat="1" ht="45">
      <c r="A829" s="184" t="s">
        <v>929</v>
      </c>
      <c r="B829" s="185" t="s">
        <v>928</v>
      </c>
      <c r="C829" s="186"/>
      <c r="D829" s="187" t="s">
        <v>22</v>
      </c>
      <c r="E829" s="187" t="s">
        <v>31</v>
      </c>
      <c r="F829" s="187" t="s">
        <v>27</v>
      </c>
      <c r="G829" s="305">
        <f>'SEPT-18'!I821</f>
        <v>0</v>
      </c>
      <c r="H829" s="245"/>
      <c r="I829" s="189">
        <f t="shared" si="16"/>
        <v>0</v>
      </c>
      <c r="J829" s="190"/>
      <c r="K829" s="268"/>
    </row>
    <row r="830" spans="1:190" s="171" customFormat="1" ht="63" customHeight="1">
      <c r="A830" s="175" t="s">
        <v>927</v>
      </c>
      <c r="B830" s="174" t="s">
        <v>978</v>
      </c>
      <c r="C830" s="139"/>
      <c r="D830" s="14" t="s">
        <v>22</v>
      </c>
      <c r="E830" s="14" t="s">
        <v>31</v>
      </c>
      <c r="F830" s="14" t="s">
        <v>27</v>
      </c>
      <c r="G830" s="305">
        <f>'SEPT-18'!I822</f>
        <v>0</v>
      </c>
      <c r="H830" s="244"/>
      <c r="I830" s="17">
        <f t="shared" si="16"/>
        <v>0</v>
      </c>
      <c r="J830" s="140"/>
      <c r="K830" s="135"/>
    </row>
    <row r="831" spans="1:190">
      <c r="A831" s="38"/>
      <c r="B831" s="161" t="s">
        <v>23</v>
      </c>
      <c r="C831" s="39"/>
      <c r="D831" s="39"/>
      <c r="E831" s="39"/>
      <c r="F831" s="39"/>
      <c r="G831" s="305">
        <f>SUM(G829:G830)</f>
        <v>0</v>
      </c>
      <c r="H831" s="95">
        <f>SUM(H829:H830)</f>
        <v>0</v>
      </c>
      <c r="I831" s="17">
        <f t="shared" si="16"/>
        <v>0</v>
      </c>
      <c r="J831" s="40"/>
      <c r="K831" s="40">
        <f>SUM(K829:K830)</f>
        <v>0</v>
      </c>
    </row>
    <row r="832" spans="1:190" s="171" customFormat="1" ht="100.5" customHeight="1">
      <c r="A832" s="169" t="s">
        <v>200</v>
      </c>
      <c r="B832" s="174" t="s">
        <v>1081</v>
      </c>
      <c r="C832" s="139"/>
      <c r="D832" s="139"/>
      <c r="E832" s="139"/>
      <c r="F832" s="139"/>
      <c r="G832" s="305">
        <f>'SEPT-18'!I824</f>
        <v>0</v>
      </c>
      <c r="H832" s="170"/>
      <c r="I832" s="140"/>
      <c r="J832" s="140"/>
      <c r="K832" s="140"/>
    </row>
    <row r="833" spans="1:11" s="171" customFormat="1" ht="38.25" customHeight="1">
      <c r="A833" s="255">
        <v>51999</v>
      </c>
      <c r="B833" s="173" t="s">
        <v>933</v>
      </c>
      <c r="C833" s="139"/>
      <c r="D833" s="14" t="s">
        <v>11</v>
      </c>
      <c r="E833" s="14" t="s">
        <v>25</v>
      </c>
      <c r="F833" s="257" t="s">
        <v>1025</v>
      </c>
      <c r="G833" s="305">
        <f>'SEPT-18'!I825</f>
        <v>2100</v>
      </c>
      <c r="H833" s="140"/>
      <c r="I833" s="17">
        <f t="shared" ref="I833:I869" si="17">G833-H833+J833-K833</f>
        <v>2100</v>
      </c>
      <c r="J833" s="135"/>
      <c r="K833" s="135"/>
    </row>
    <row r="834" spans="1:11" s="171" customFormat="1" ht="23.25" customHeight="1">
      <c r="A834" s="255">
        <v>54199</v>
      </c>
      <c r="B834" s="173" t="s">
        <v>931</v>
      </c>
      <c r="C834" s="139"/>
      <c r="D834" s="14" t="s">
        <v>11</v>
      </c>
      <c r="E834" s="14" t="s">
        <v>25</v>
      </c>
      <c r="F834" s="257" t="s">
        <v>1025</v>
      </c>
      <c r="G834" s="305">
        <f>'SEPT-18'!I826</f>
        <v>0</v>
      </c>
      <c r="H834" s="170"/>
      <c r="I834" s="17">
        <f t="shared" si="17"/>
        <v>0</v>
      </c>
      <c r="J834" s="135"/>
      <c r="K834" s="135"/>
    </row>
    <row r="835" spans="1:11" s="171" customFormat="1" ht="19.5" customHeight="1">
      <c r="A835" s="255">
        <v>55799</v>
      </c>
      <c r="B835" s="173" t="s">
        <v>932</v>
      </c>
      <c r="C835" s="139"/>
      <c r="D835" s="14" t="s">
        <v>11</v>
      </c>
      <c r="E835" s="14" t="s">
        <v>25</v>
      </c>
      <c r="F835" s="257" t="s">
        <v>1025</v>
      </c>
      <c r="G835" s="305">
        <f>'SEPT-18'!I827</f>
        <v>1413.6799999999998</v>
      </c>
      <c r="H835" s="170"/>
      <c r="I835" s="17">
        <f t="shared" si="17"/>
        <v>1413.6799999999998</v>
      </c>
      <c r="J835" s="135"/>
      <c r="K835" s="135"/>
    </row>
    <row r="836" spans="1:11" s="171" customFormat="1" ht="68.25" customHeight="1">
      <c r="A836" s="176" t="s">
        <v>201</v>
      </c>
      <c r="B836" s="173" t="s">
        <v>934</v>
      </c>
      <c r="C836" s="139"/>
      <c r="D836" s="139"/>
      <c r="E836" s="139"/>
      <c r="F836" s="257" t="s">
        <v>1024</v>
      </c>
      <c r="G836" s="305">
        <f>'SEPT-18'!I828</f>
        <v>0</v>
      </c>
      <c r="H836" s="170"/>
      <c r="I836" s="17"/>
      <c r="J836" s="140"/>
      <c r="K836" s="140"/>
    </row>
    <row r="837" spans="1:11" s="171" customFormat="1" ht="37.5" customHeight="1">
      <c r="A837" s="254">
        <v>51202</v>
      </c>
      <c r="B837" s="173" t="s">
        <v>954</v>
      </c>
      <c r="C837" s="139"/>
      <c r="D837" s="14" t="s">
        <v>11</v>
      </c>
      <c r="E837" s="14" t="s">
        <v>25</v>
      </c>
      <c r="F837" s="257" t="s">
        <v>1024</v>
      </c>
      <c r="G837" s="305">
        <f>'SEPT-18'!I829</f>
        <v>335.67000000000098</v>
      </c>
      <c r="H837" s="140"/>
      <c r="I837" s="17">
        <f t="shared" si="17"/>
        <v>335.67000000000098</v>
      </c>
      <c r="J837" s="140"/>
      <c r="K837" s="140"/>
    </row>
    <row r="838" spans="1:11" s="171" customFormat="1" ht="33" customHeight="1">
      <c r="A838" s="254">
        <v>51999</v>
      </c>
      <c r="B838" s="177" t="s">
        <v>935</v>
      </c>
      <c r="C838" s="139"/>
      <c r="D838" s="14" t="s">
        <v>11</v>
      </c>
      <c r="E838" s="14" t="s">
        <v>25</v>
      </c>
      <c r="F838" s="257" t="s">
        <v>1024</v>
      </c>
      <c r="G838" s="305">
        <f>'SEPT-18'!I830</f>
        <v>0</v>
      </c>
      <c r="H838" s="140"/>
      <c r="I838" s="17">
        <f t="shared" si="17"/>
        <v>0</v>
      </c>
      <c r="J838" s="140"/>
      <c r="K838" s="135"/>
    </row>
    <row r="839" spans="1:11" s="171" customFormat="1" ht="29.25">
      <c r="A839" s="254">
        <v>54110</v>
      </c>
      <c r="B839" s="177" t="s">
        <v>936</v>
      </c>
      <c r="C839" s="139"/>
      <c r="D839" s="14" t="s">
        <v>11</v>
      </c>
      <c r="E839" s="14" t="s">
        <v>25</v>
      </c>
      <c r="F839" s="257" t="s">
        <v>1024</v>
      </c>
      <c r="G839" s="305">
        <f>'SEPT-18'!I831</f>
        <v>393.8599999999999</v>
      </c>
      <c r="H839" s="140"/>
      <c r="I839" s="17">
        <f t="shared" si="17"/>
        <v>393.8599999999999</v>
      </c>
      <c r="J839" s="140"/>
      <c r="K839" s="135"/>
    </row>
    <row r="840" spans="1:11" s="171" customFormat="1" ht="44.25">
      <c r="A840" s="254">
        <v>54111</v>
      </c>
      <c r="B840" s="173" t="s">
        <v>937</v>
      </c>
      <c r="C840" s="139"/>
      <c r="D840" s="14" t="s">
        <v>11</v>
      </c>
      <c r="E840" s="14" t="s">
        <v>25</v>
      </c>
      <c r="F840" s="257" t="s">
        <v>1024</v>
      </c>
      <c r="G840" s="305">
        <f>'SEPT-18'!I832</f>
        <v>176.97000000000116</v>
      </c>
      <c r="H840" s="140"/>
      <c r="I840" s="17">
        <f t="shared" si="17"/>
        <v>176.97000000000116</v>
      </c>
      <c r="J840" s="140"/>
      <c r="K840" s="135"/>
    </row>
    <row r="841" spans="1:11" s="171" customFormat="1" ht="44.25">
      <c r="A841" s="254">
        <v>54112</v>
      </c>
      <c r="B841" s="173" t="s">
        <v>938</v>
      </c>
      <c r="C841" s="139"/>
      <c r="D841" s="14" t="s">
        <v>11</v>
      </c>
      <c r="E841" s="14" t="s">
        <v>25</v>
      </c>
      <c r="F841" s="257" t="s">
        <v>1024</v>
      </c>
      <c r="G841" s="305">
        <f>'SEPT-18'!I833</f>
        <v>713.29999999999927</v>
      </c>
      <c r="H841" s="140"/>
      <c r="I841" s="17">
        <f t="shared" si="17"/>
        <v>713.29999999999927</v>
      </c>
      <c r="J841" s="135"/>
      <c r="K841" s="135"/>
    </row>
    <row r="842" spans="1:11" s="171" customFormat="1" ht="29.25">
      <c r="A842" s="254">
        <v>54118</v>
      </c>
      <c r="B842" s="173" t="s">
        <v>939</v>
      </c>
      <c r="C842" s="139"/>
      <c r="D842" s="14" t="s">
        <v>11</v>
      </c>
      <c r="E842" s="14" t="s">
        <v>25</v>
      </c>
      <c r="F842" s="257" t="s">
        <v>1024</v>
      </c>
      <c r="G842" s="305">
        <f>'SEPT-18'!I834</f>
        <v>41.749999999999773</v>
      </c>
      <c r="H842" s="244"/>
      <c r="I842" s="17">
        <f t="shared" si="17"/>
        <v>41.749999999999773</v>
      </c>
      <c r="J842" s="140"/>
      <c r="K842" s="135"/>
    </row>
    <row r="843" spans="1:11" s="171" customFormat="1" ht="29.25">
      <c r="A843" s="254">
        <v>54304</v>
      </c>
      <c r="B843" s="173" t="s">
        <v>940</v>
      </c>
      <c r="C843" s="139"/>
      <c r="D843" s="14" t="s">
        <v>11</v>
      </c>
      <c r="E843" s="14" t="s">
        <v>25</v>
      </c>
      <c r="F843" s="257" t="s">
        <v>1024</v>
      </c>
      <c r="G843" s="305">
        <f>'SEPT-18'!I835</f>
        <v>0</v>
      </c>
      <c r="H843" s="170"/>
      <c r="I843" s="17">
        <f t="shared" si="17"/>
        <v>0</v>
      </c>
      <c r="J843" s="140"/>
      <c r="K843" s="135"/>
    </row>
    <row r="844" spans="1:11" s="171" customFormat="1" ht="39" customHeight="1">
      <c r="A844" s="254">
        <v>54313</v>
      </c>
      <c r="B844" s="173" t="s">
        <v>941</v>
      </c>
      <c r="C844" s="139"/>
      <c r="D844" s="14" t="s">
        <v>11</v>
      </c>
      <c r="E844" s="14" t="s">
        <v>25</v>
      </c>
      <c r="F844" s="257" t="s">
        <v>1024</v>
      </c>
      <c r="G844" s="305">
        <f>'SEPT-18'!I836</f>
        <v>0</v>
      </c>
      <c r="H844" s="170"/>
      <c r="I844" s="17">
        <f t="shared" si="17"/>
        <v>0</v>
      </c>
      <c r="J844" s="140"/>
      <c r="K844" s="140"/>
    </row>
    <row r="845" spans="1:11" s="171" customFormat="1" ht="36" customHeight="1">
      <c r="A845" s="254">
        <v>54399</v>
      </c>
      <c r="B845" s="173" t="s">
        <v>942</v>
      </c>
      <c r="C845" s="139"/>
      <c r="D845" s="14" t="s">
        <v>11</v>
      </c>
      <c r="E845" s="14" t="s">
        <v>25</v>
      </c>
      <c r="F845" s="257" t="s">
        <v>1024</v>
      </c>
      <c r="G845" s="305">
        <f>'SEPT-18'!I837</f>
        <v>53.789999999999964</v>
      </c>
      <c r="H845" s="170"/>
      <c r="I845" s="17">
        <f t="shared" si="17"/>
        <v>53.789999999999964</v>
      </c>
      <c r="J845" s="140"/>
      <c r="K845" s="135"/>
    </row>
    <row r="846" spans="1:11" s="171" customFormat="1" ht="34.5" customHeight="1">
      <c r="A846" s="254">
        <v>55603</v>
      </c>
      <c r="B846" s="173" t="s">
        <v>943</v>
      </c>
      <c r="C846" s="139"/>
      <c r="D846" s="14" t="s">
        <v>11</v>
      </c>
      <c r="E846" s="14" t="s">
        <v>25</v>
      </c>
      <c r="F846" s="257" t="s">
        <v>1024</v>
      </c>
      <c r="G846" s="305">
        <f>'SEPT-18'!I838</f>
        <v>6.35</v>
      </c>
      <c r="H846" s="170"/>
      <c r="I846" s="134">
        <f t="shared" si="17"/>
        <v>6.35</v>
      </c>
      <c r="J846" s="135"/>
      <c r="K846" s="140"/>
    </row>
    <row r="847" spans="1:11" s="171" customFormat="1" ht="98.25" customHeight="1">
      <c r="A847" s="169" t="s">
        <v>220</v>
      </c>
      <c r="B847" s="241" t="s">
        <v>973</v>
      </c>
      <c r="C847" s="139"/>
      <c r="D847" s="14"/>
      <c r="E847" s="14"/>
      <c r="F847" s="257" t="s">
        <v>1024</v>
      </c>
      <c r="G847" s="305">
        <f>'SEPT-18'!I839</f>
        <v>0</v>
      </c>
      <c r="H847" s="170"/>
      <c r="I847" s="17"/>
      <c r="J847" s="140"/>
      <c r="K847" s="140"/>
    </row>
    <row r="848" spans="1:11" s="171" customFormat="1" ht="29.25">
      <c r="A848" s="254">
        <v>51202</v>
      </c>
      <c r="B848" s="173" t="s">
        <v>944</v>
      </c>
      <c r="C848" s="139"/>
      <c r="D848" s="14" t="s">
        <v>11</v>
      </c>
      <c r="E848" s="14" t="s">
        <v>25</v>
      </c>
      <c r="F848" s="257" t="s">
        <v>1024</v>
      </c>
      <c r="G848" s="305">
        <f>'SEPT-18'!I840</f>
        <v>6999.9999999999991</v>
      </c>
      <c r="H848" s="140"/>
      <c r="I848" s="17">
        <f t="shared" si="17"/>
        <v>6999.9999999999991</v>
      </c>
      <c r="J848" s="140"/>
      <c r="K848" s="140"/>
    </row>
    <row r="849" spans="1:11" s="171" customFormat="1" ht="29.25">
      <c r="A849" s="254">
        <v>51999</v>
      </c>
      <c r="B849" s="173" t="s">
        <v>946</v>
      </c>
      <c r="C849" s="139"/>
      <c r="D849" s="14" t="s">
        <v>11</v>
      </c>
      <c r="E849" s="14" t="s">
        <v>25</v>
      </c>
      <c r="F849" s="257" t="s">
        <v>1024</v>
      </c>
      <c r="G849" s="305">
        <f>'SEPT-18'!I841</f>
        <v>195.58000000000004</v>
      </c>
      <c r="H849" s="140"/>
      <c r="I849" s="17">
        <f t="shared" si="17"/>
        <v>195.58000000000004</v>
      </c>
      <c r="J849" s="140"/>
      <c r="K849" s="140"/>
    </row>
    <row r="850" spans="1:11" s="171" customFormat="1" ht="36" customHeight="1">
      <c r="A850" s="254">
        <v>54110</v>
      </c>
      <c r="B850" s="173" t="s">
        <v>945</v>
      </c>
      <c r="C850" s="139"/>
      <c r="D850" s="14" t="s">
        <v>11</v>
      </c>
      <c r="E850" s="14" t="s">
        <v>25</v>
      </c>
      <c r="F850" s="257" t="s">
        <v>1024</v>
      </c>
      <c r="G850" s="305">
        <f>'SEPT-18'!I842</f>
        <v>1000</v>
      </c>
      <c r="H850" s="140"/>
      <c r="I850" s="17">
        <f t="shared" si="17"/>
        <v>1000</v>
      </c>
      <c r="J850" s="140"/>
      <c r="K850" s="140"/>
    </row>
    <row r="851" spans="1:11" s="171" customFormat="1" ht="41.25" customHeight="1">
      <c r="A851" s="254">
        <v>54111</v>
      </c>
      <c r="B851" s="173" t="s">
        <v>947</v>
      </c>
      <c r="C851" s="139"/>
      <c r="D851" s="14" t="s">
        <v>11</v>
      </c>
      <c r="E851" s="14" t="s">
        <v>25</v>
      </c>
      <c r="F851" s="257" t="s">
        <v>1024</v>
      </c>
      <c r="G851" s="305">
        <f>'SEPT-18'!I843</f>
        <v>5000</v>
      </c>
      <c r="H851" s="140"/>
      <c r="I851" s="17">
        <f t="shared" si="17"/>
        <v>5000</v>
      </c>
      <c r="J851" s="140"/>
      <c r="K851" s="140"/>
    </row>
    <row r="852" spans="1:11" s="171" customFormat="1" ht="35.25" customHeight="1">
      <c r="A852" s="254">
        <v>54112</v>
      </c>
      <c r="B852" s="173" t="s">
        <v>948</v>
      </c>
      <c r="C852" s="139"/>
      <c r="D852" s="14" t="s">
        <v>11</v>
      </c>
      <c r="E852" s="14" t="s">
        <v>25</v>
      </c>
      <c r="F852" s="257" t="s">
        <v>1024</v>
      </c>
      <c r="G852" s="305">
        <f>'SEPT-18'!I844</f>
        <v>2000</v>
      </c>
      <c r="H852" s="140"/>
      <c r="I852" s="17">
        <f t="shared" si="17"/>
        <v>2000</v>
      </c>
      <c r="J852" s="140"/>
      <c r="K852" s="140"/>
    </row>
    <row r="853" spans="1:11" s="171" customFormat="1" ht="29.25">
      <c r="A853" s="254">
        <v>54118</v>
      </c>
      <c r="B853" s="173" t="s">
        <v>949</v>
      </c>
      <c r="C853" s="139"/>
      <c r="D853" s="14" t="s">
        <v>11</v>
      </c>
      <c r="E853" s="14" t="s">
        <v>25</v>
      </c>
      <c r="F853" s="257" t="s">
        <v>1024</v>
      </c>
      <c r="G853" s="305">
        <f>'SEPT-18'!I845</f>
        <v>856</v>
      </c>
      <c r="H853" s="140"/>
      <c r="I853" s="17">
        <f t="shared" si="17"/>
        <v>856</v>
      </c>
      <c r="J853" s="140"/>
      <c r="K853" s="140"/>
    </row>
    <row r="854" spans="1:11" s="171" customFormat="1" ht="29.25">
      <c r="A854" s="254">
        <v>54304</v>
      </c>
      <c r="B854" s="173" t="s">
        <v>950</v>
      </c>
      <c r="C854" s="139"/>
      <c r="D854" s="14" t="s">
        <v>11</v>
      </c>
      <c r="E854" s="14" t="s">
        <v>25</v>
      </c>
      <c r="F854" s="257" t="s">
        <v>1024</v>
      </c>
      <c r="G854" s="305">
        <f>'SEPT-18'!I846</f>
        <v>9000</v>
      </c>
      <c r="H854" s="140"/>
      <c r="I854" s="17">
        <f t="shared" si="17"/>
        <v>9000</v>
      </c>
      <c r="J854" s="140"/>
      <c r="K854" s="140"/>
    </row>
    <row r="855" spans="1:11" s="171" customFormat="1" ht="44.25">
      <c r="A855" s="254">
        <v>54313</v>
      </c>
      <c r="B855" s="173" t="s">
        <v>951</v>
      </c>
      <c r="C855" s="139"/>
      <c r="D855" s="14" t="s">
        <v>11</v>
      </c>
      <c r="E855" s="14" t="s">
        <v>25</v>
      </c>
      <c r="F855" s="257" t="s">
        <v>1024</v>
      </c>
      <c r="G855" s="305">
        <f>'SEPT-18'!I847</f>
        <v>0</v>
      </c>
      <c r="H855" s="140"/>
      <c r="I855" s="17">
        <f t="shared" si="17"/>
        <v>0</v>
      </c>
      <c r="J855" s="140"/>
      <c r="K855" s="140"/>
    </row>
    <row r="856" spans="1:11" s="171" customFormat="1" ht="44.25">
      <c r="A856" s="254">
        <v>54399</v>
      </c>
      <c r="B856" s="173" t="s">
        <v>952</v>
      </c>
      <c r="C856" s="139"/>
      <c r="D856" s="14" t="s">
        <v>11</v>
      </c>
      <c r="E856" s="14" t="s">
        <v>25</v>
      </c>
      <c r="F856" s="257" t="s">
        <v>1024</v>
      </c>
      <c r="G856" s="305">
        <f>'SEPT-18'!I849</f>
        <v>0</v>
      </c>
      <c r="H856" s="140"/>
      <c r="I856" s="17">
        <f t="shared" si="17"/>
        <v>0</v>
      </c>
      <c r="J856" s="135"/>
      <c r="K856" s="135"/>
    </row>
    <row r="857" spans="1:11" s="171" customFormat="1" ht="50.25" customHeight="1">
      <c r="A857" s="254">
        <v>55603</v>
      </c>
      <c r="B857" s="173" t="s">
        <v>953</v>
      </c>
      <c r="C857" s="139"/>
      <c r="D857" s="14" t="s">
        <v>11</v>
      </c>
      <c r="E857" s="14" t="s">
        <v>25</v>
      </c>
      <c r="F857" s="257" t="s">
        <v>1024</v>
      </c>
      <c r="G857" s="305">
        <f>'SEPT-18'!I850</f>
        <v>0</v>
      </c>
      <c r="H857" s="140"/>
      <c r="I857" s="134">
        <f t="shared" si="17"/>
        <v>0</v>
      </c>
      <c r="J857" s="135"/>
      <c r="K857" s="135"/>
    </row>
    <row r="858" spans="1:11" s="171" customFormat="1" ht="99.75">
      <c r="A858" s="256" t="s">
        <v>238</v>
      </c>
      <c r="B858" s="241" t="s">
        <v>972</v>
      </c>
      <c r="C858" s="139"/>
      <c r="D858" s="14"/>
      <c r="E858" s="14"/>
      <c r="F858" s="257" t="s">
        <v>1024</v>
      </c>
      <c r="G858" s="305">
        <f>'SEPT-18'!I851</f>
        <v>0</v>
      </c>
      <c r="H858" s="170"/>
      <c r="I858" s="17"/>
      <c r="J858" s="140"/>
      <c r="K858" s="140"/>
    </row>
    <row r="859" spans="1:11" s="171" customFormat="1" ht="29.25">
      <c r="A859" s="254">
        <v>51202</v>
      </c>
      <c r="B859" s="173" t="s">
        <v>955</v>
      </c>
      <c r="C859" s="139"/>
      <c r="D859" s="14" t="s">
        <v>11</v>
      </c>
      <c r="E859" s="14" t="s">
        <v>25</v>
      </c>
      <c r="F859" s="257" t="s">
        <v>1024</v>
      </c>
      <c r="G859" s="305">
        <f>'SEPT-18'!I852</f>
        <v>5476.74</v>
      </c>
      <c r="H859" s="244"/>
      <c r="I859" s="17">
        <f t="shared" si="17"/>
        <v>5476.74</v>
      </c>
      <c r="J859" s="140"/>
      <c r="K859" s="140"/>
    </row>
    <row r="860" spans="1:11" s="171" customFormat="1" ht="43.5">
      <c r="A860" s="254">
        <v>51999</v>
      </c>
      <c r="B860" s="173" t="s">
        <v>956</v>
      </c>
      <c r="C860" s="139"/>
      <c r="D860" s="14" t="s">
        <v>11</v>
      </c>
      <c r="E860" s="14" t="s">
        <v>25</v>
      </c>
      <c r="F860" s="257" t="s">
        <v>1024</v>
      </c>
      <c r="G860" s="305">
        <f>'SEPT-18'!I853</f>
        <v>0</v>
      </c>
      <c r="H860" s="244"/>
      <c r="I860" s="17">
        <f t="shared" si="17"/>
        <v>0</v>
      </c>
      <c r="J860" s="140"/>
      <c r="K860" s="135"/>
    </row>
    <row r="861" spans="1:11" s="171" customFormat="1" ht="43.5">
      <c r="A861" s="254">
        <v>54110</v>
      </c>
      <c r="B861" s="173" t="s">
        <v>957</v>
      </c>
      <c r="C861" s="139"/>
      <c r="D861" s="14" t="s">
        <v>11</v>
      </c>
      <c r="E861" s="14" t="s">
        <v>25</v>
      </c>
      <c r="F861" s="257" t="s">
        <v>1024</v>
      </c>
      <c r="G861" s="305">
        <f>'SEPT-18'!I854</f>
        <v>909.2</v>
      </c>
      <c r="H861" s="244"/>
      <c r="I861" s="17">
        <f t="shared" si="17"/>
        <v>909.2</v>
      </c>
      <c r="J861" s="140"/>
      <c r="K861" s="140"/>
    </row>
    <row r="862" spans="1:11" s="171" customFormat="1" ht="44.25">
      <c r="A862" s="254">
        <v>54111</v>
      </c>
      <c r="B862" s="173" t="s">
        <v>958</v>
      </c>
      <c r="C862" s="139"/>
      <c r="D862" s="14" t="s">
        <v>11</v>
      </c>
      <c r="E862" s="14" t="s">
        <v>25</v>
      </c>
      <c r="F862" s="257" t="s">
        <v>1024</v>
      </c>
      <c r="G862" s="305">
        <f>'SEPT-18'!I855</f>
        <v>1543.5</v>
      </c>
      <c r="H862" s="244"/>
      <c r="I862" s="17">
        <f t="shared" si="17"/>
        <v>1543.5</v>
      </c>
      <c r="J862" s="140"/>
      <c r="K862" s="135"/>
    </row>
    <row r="863" spans="1:11" s="171" customFormat="1" ht="44.25">
      <c r="A863" s="254">
        <v>54112</v>
      </c>
      <c r="B863" s="173" t="s">
        <v>959</v>
      </c>
      <c r="C863" s="139"/>
      <c r="D863" s="14" t="s">
        <v>11</v>
      </c>
      <c r="E863" s="14" t="s">
        <v>25</v>
      </c>
      <c r="F863" s="257" t="s">
        <v>1024</v>
      </c>
      <c r="G863" s="305">
        <f>'SEPT-18'!I856</f>
        <v>391.85000000000036</v>
      </c>
      <c r="H863" s="244"/>
      <c r="I863" s="134">
        <f t="shared" si="17"/>
        <v>391.85000000000036</v>
      </c>
      <c r="J863" s="135"/>
      <c r="K863" s="135"/>
    </row>
    <row r="864" spans="1:11" s="171" customFormat="1" ht="38.25" customHeight="1">
      <c r="A864" s="254">
        <v>54118</v>
      </c>
      <c r="B864" s="173" t="s">
        <v>960</v>
      </c>
      <c r="C864" s="139"/>
      <c r="D864" s="14" t="s">
        <v>11</v>
      </c>
      <c r="E864" s="14" t="s">
        <v>25</v>
      </c>
      <c r="F864" s="257" t="s">
        <v>1024</v>
      </c>
      <c r="G864" s="305">
        <f>'SEPT-18'!I857</f>
        <v>1464.85</v>
      </c>
      <c r="H864" s="244"/>
      <c r="I864" s="17">
        <f t="shared" si="17"/>
        <v>1464.85</v>
      </c>
      <c r="J864" s="135"/>
      <c r="K864" s="135"/>
    </row>
    <row r="865" spans="1:11" s="171" customFormat="1" ht="39" customHeight="1">
      <c r="A865" s="254">
        <v>54304</v>
      </c>
      <c r="B865" s="173" t="s">
        <v>961</v>
      </c>
      <c r="C865" s="139"/>
      <c r="D865" s="14" t="s">
        <v>11</v>
      </c>
      <c r="E865" s="14" t="s">
        <v>25</v>
      </c>
      <c r="F865" s="257" t="s">
        <v>1024</v>
      </c>
      <c r="G865" s="305">
        <f>'SEPT-18'!I858</f>
        <v>993</v>
      </c>
      <c r="H865" s="170"/>
      <c r="I865" s="17">
        <f t="shared" si="17"/>
        <v>993</v>
      </c>
      <c r="J865" s="135"/>
      <c r="K865" s="135"/>
    </row>
    <row r="866" spans="1:11" s="171" customFormat="1" ht="39" customHeight="1">
      <c r="A866" s="254">
        <v>54313</v>
      </c>
      <c r="B866" s="173" t="s">
        <v>962</v>
      </c>
      <c r="C866" s="139"/>
      <c r="D866" s="14" t="s">
        <v>11</v>
      </c>
      <c r="E866" s="14" t="s">
        <v>25</v>
      </c>
      <c r="F866" s="257" t="s">
        <v>1024</v>
      </c>
      <c r="G866" s="305">
        <f>'SEPT-18'!I859</f>
        <v>500</v>
      </c>
      <c r="H866" s="170"/>
      <c r="I866" s="17">
        <f t="shared" si="17"/>
        <v>500</v>
      </c>
      <c r="J866" s="135"/>
      <c r="K866" s="135"/>
    </row>
    <row r="867" spans="1:11" s="171" customFormat="1" ht="45" customHeight="1">
      <c r="A867" s="254">
        <v>54316</v>
      </c>
      <c r="B867" s="173" t="s">
        <v>1023</v>
      </c>
      <c r="C867" s="139"/>
      <c r="D867" s="14" t="s">
        <v>11</v>
      </c>
      <c r="E867" s="14" t="s">
        <v>25</v>
      </c>
      <c r="F867" s="257" t="s">
        <v>1024</v>
      </c>
      <c r="G867" s="305">
        <f>'SEPT-18'!I860</f>
        <v>50</v>
      </c>
      <c r="H867" s="170"/>
      <c r="I867" s="134">
        <f t="shared" si="17"/>
        <v>50</v>
      </c>
      <c r="J867" s="135"/>
      <c r="K867" s="135"/>
    </row>
    <row r="868" spans="1:11" s="171" customFormat="1" ht="40.5" customHeight="1">
      <c r="A868" s="254">
        <v>54399</v>
      </c>
      <c r="B868" s="173" t="s">
        <v>963</v>
      </c>
      <c r="C868" s="139"/>
      <c r="D868" s="14" t="s">
        <v>11</v>
      </c>
      <c r="E868" s="14" t="s">
        <v>25</v>
      </c>
      <c r="F868" s="257" t="s">
        <v>1024</v>
      </c>
      <c r="G868" s="305">
        <f>'SEPT-18'!I861</f>
        <v>495</v>
      </c>
      <c r="H868" s="170"/>
      <c r="I868" s="17">
        <f t="shared" si="17"/>
        <v>495</v>
      </c>
      <c r="J868" s="135"/>
      <c r="K868" s="135"/>
    </row>
    <row r="869" spans="1:11" s="171" customFormat="1" ht="57.75">
      <c r="A869" s="254">
        <v>55603</v>
      </c>
      <c r="B869" s="173" t="s">
        <v>971</v>
      </c>
      <c r="C869" s="139"/>
      <c r="D869" s="14" t="s">
        <v>11</v>
      </c>
      <c r="E869" s="14" t="s">
        <v>25</v>
      </c>
      <c r="F869" s="257" t="s">
        <v>1024</v>
      </c>
      <c r="G869" s="305">
        <f>'SEPT-18'!I862</f>
        <v>6.35</v>
      </c>
      <c r="H869" s="170"/>
      <c r="I869" s="134">
        <f t="shared" si="17"/>
        <v>6.35</v>
      </c>
      <c r="J869" s="135"/>
      <c r="K869" s="140"/>
    </row>
    <row r="870" spans="1:11" ht="21">
      <c r="A870" s="38" t="s">
        <v>8</v>
      </c>
      <c r="B870" s="39" t="s">
        <v>24</v>
      </c>
      <c r="C870" s="39"/>
      <c r="D870" s="39" t="s">
        <v>11</v>
      </c>
      <c r="E870" s="39" t="s">
        <v>25</v>
      </c>
      <c r="F870" s="257" t="s">
        <v>1024</v>
      </c>
      <c r="G870" s="305">
        <f>SUM(G832:G869)</f>
        <v>42117.439999999995</v>
      </c>
      <c r="H870" s="95">
        <f>SUM(H832:H869)</f>
        <v>0</v>
      </c>
      <c r="I870" s="40">
        <f>G870-H870+J870-K870</f>
        <v>42117.439999999995</v>
      </c>
      <c r="J870" s="40">
        <f>SUM(J832:J869)</f>
        <v>0</v>
      </c>
      <c r="K870" s="40">
        <f>SUM(K832:K869)</f>
        <v>0</v>
      </c>
    </row>
    <row r="871" spans="1:11" ht="28.5">
      <c r="A871" s="169" t="s">
        <v>15</v>
      </c>
      <c r="B871" s="282" t="s">
        <v>990</v>
      </c>
      <c r="C871" s="139" t="s">
        <v>1070</v>
      </c>
      <c r="D871" s="14" t="s">
        <v>18</v>
      </c>
      <c r="E871" s="14" t="s">
        <v>28</v>
      </c>
      <c r="F871" s="287" t="s">
        <v>1073</v>
      </c>
      <c r="G871" s="305">
        <f>'SEPT-18'!I864</f>
        <v>0</v>
      </c>
      <c r="H871" s="170"/>
      <c r="I871" s="135">
        <f>G871-H871+J871-K871</f>
        <v>0</v>
      </c>
      <c r="J871" s="135"/>
      <c r="K871" s="140"/>
    </row>
    <row r="872" spans="1:11" ht="25.5">
      <c r="A872" s="38"/>
      <c r="B872" s="39" t="s">
        <v>989</v>
      </c>
      <c r="C872" s="39"/>
      <c r="D872" s="99" t="s">
        <v>18</v>
      </c>
      <c r="E872" s="99" t="s">
        <v>28</v>
      </c>
      <c r="F872" s="242" t="s">
        <v>996</v>
      </c>
      <c r="G872" s="305">
        <f>SUM(G871)</f>
        <v>0</v>
      </c>
      <c r="H872" s="95">
        <f>SUM(H871)</f>
        <v>0</v>
      </c>
      <c r="I872" s="40">
        <f>SUM(I871)</f>
        <v>0</v>
      </c>
      <c r="J872" s="40">
        <f>SUM(J869:J871)</f>
        <v>0</v>
      </c>
      <c r="K872" s="40"/>
    </row>
    <row r="873" spans="1:11" ht="28.5">
      <c r="A873" s="169" t="s">
        <v>16</v>
      </c>
      <c r="B873" s="282" t="s">
        <v>1068</v>
      </c>
      <c r="C873" s="139" t="s">
        <v>1070</v>
      </c>
      <c r="D873" s="14" t="s">
        <v>18</v>
      </c>
      <c r="E873" s="14" t="s">
        <v>28</v>
      </c>
      <c r="F873" s="139" t="s">
        <v>1074</v>
      </c>
      <c r="G873" s="305">
        <f>'SEPT-18'!I866</f>
        <v>0</v>
      </c>
      <c r="H873" s="170"/>
      <c r="I873" s="244">
        <f>G873-H873+J873-K873</f>
        <v>0</v>
      </c>
      <c r="J873" s="140"/>
      <c r="K873" s="135"/>
    </row>
    <row r="874" spans="1:11">
      <c r="A874" s="38"/>
      <c r="B874" s="39" t="s">
        <v>989</v>
      </c>
      <c r="C874" s="39"/>
      <c r="D874" s="99" t="s">
        <v>18</v>
      </c>
      <c r="E874" s="99" t="s">
        <v>28</v>
      </c>
      <c r="F874" s="139" t="s">
        <v>1069</v>
      </c>
      <c r="G874" s="305">
        <f>SUM(G873)</f>
        <v>0</v>
      </c>
      <c r="H874" s="95">
        <f>SUM(H873)</f>
        <v>0</v>
      </c>
      <c r="I874" s="40">
        <f>SUM(I871:I873)</f>
        <v>0</v>
      </c>
      <c r="J874" s="40">
        <f>SUM(J873)</f>
        <v>0</v>
      </c>
      <c r="K874" s="40">
        <f>SUM(K873)</f>
        <v>0</v>
      </c>
    </row>
    <row r="875" spans="1:11" ht="20.25" customHeight="1">
      <c r="A875" s="469" t="s">
        <v>124</v>
      </c>
      <c r="B875" s="469"/>
      <c r="C875" s="469"/>
      <c r="D875" s="48"/>
      <c r="E875" s="48"/>
      <c r="F875" s="48"/>
      <c r="G875" s="305">
        <f>'SEPT-18'!I868</f>
        <v>1437421.7999999998</v>
      </c>
      <c r="H875" s="51">
        <f>H874+H872+H870+H831+H828+H826+H452+H159+H151+H138+H126+H101+H74+H61</f>
        <v>183044.45</v>
      </c>
      <c r="I875" s="49">
        <f>I874+I872+I870+I831+I828+I826+I452+I159+I151+I138+I126+I101+I74+I61</f>
        <v>1254377.3500000003</v>
      </c>
      <c r="J875" s="231">
        <f>J874+J872+J870+J831+J828+J826+J452+J159+J151+J138+J126+J101+J74+J61</f>
        <v>72301.430000000008</v>
      </c>
      <c r="K875" s="231">
        <f>K870+K831+K826+K452+K159+K151+K138+K126+K101+K74+K61+K828+K874</f>
        <v>72301.430000000008</v>
      </c>
    </row>
    <row r="876" spans="1:11">
      <c r="G876" s="274"/>
      <c r="J876" s="130"/>
    </row>
    <row r="877" spans="1:11">
      <c r="I877" s="274"/>
      <c r="J877" s="262">
        <f>J875-K875</f>
        <v>0</v>
      </c>
    </row>
    <row r="878" spans="1:11">
      <c r="A878" s="232" t="s">
        <v>1031</v>
      </c>
    </row>
    <row r="879" spans="1:11">
      <c r="A879" s="273" t="s">
        <v>1050</v>
      </c>
      <c r="B879" s="273"/>
      <c r="C879" s="273"/>
      <c r="D879" s="273"/>
      <c r="E879" s="273"/>
      <c r="F879" s="273"/>
    </row>
    <row r="880" spans="1:11">
      <c r="H880" s="274"/>
    </row>
  </sheetData>
  <mergeCells count="3">
    <mergeCell ref="B1:K1"/>
    <mergeCell ref="B2:J2"/>
    <mergeCell ref="A875:C875"/>
  </mergeCells>
  <pageMargins left="0.23622047244094491" right="0.23622047244094491" top="0.74803149606299213" bottom="0.74803149606299213" header="0.31496062992125984" footer="0.31496062992125984"/>
  <pageSetup paperSize="5" scale="80" orientation="landscape" horizontalDpi="4294967293" vertic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D22"/>
  <sheetViews>
    <sheetView topLeftCell="C13" workbookViewId="0">
      <selection activeCell="K7" sqref="K7"/>
    </sheetView>
  </sheetViews>
  <sheetFormatPr baseColWidth="10" defaultRowHeight="15"/>
  <cols>
    <col min="1" max="1" width="20.42578125" customWidth="1"/>
    <col min="2" max="2" width="28.85546875" customWidth="1"/>
    <col min="3" max="9" width="20.7109375" customWidth="1"/>
  </cols>
  <sheetData>
    <row r="1" spans="1:30" ht="36.75">
      <c r="A1" s="467" t="s">
        <v>155</v>
      </c>
      <c r="B1" s="467"/>
      <c r="C1" s="467"/>
      <c r="D1" s="467"/>
      <c r="E1" s="467"/>
      <c r="F1" s="467"/>
      <c r="G1" s="467"/>
      <c r="H1" s="467"/>
      <c r="I1" s="467"/>
      <c r="J1" s="467"/>
    </row>
    <row r="2" spans="1:30" ht="36.75">
      <c r="A2" s="468" t="s">
        <v>163</v>
      </c>
      <c r="B2" s="468"/>
      <c r="C2" s="468"/>
      <c r="D2" s="468"/>
      <c r="E2" s="468"/>
      <c r="F2" s="468"/>
      <c r="G2" s="468"/>
      <c r="H2" s="468"/>
      <c r="I2" s="468"/>
      <c r="J2" s="71"/>
    </row>
    <row r="3" spans="1:30" ht="66" customHeight="1">
      <c r="A3" s="100" t="s">
        <v>142</v>
      </c>
      <c r="B3" s="100" t="s">
        <v>143</v>
      </c>
      <c r="C3" s="100" t="s">
        <v>159</v>
      </c>
      <c r="D3" s="100" t="s">
        <v>145</v>
      </c>
      <c r="E3" s="100" t="s">
        <v>146</v>
      </c>
      <c r="F3" s="100" t="s">
        <v>147</v>
      </c>
      <c r="G3" s="100" t="s">
        <v>148</v>
      </c>
      <c r="H3" s="100" t="s">
        <v>976</v>
      </c>
      <c r="I3" s="100" t="s">
        <v>977</v>
      </c>
    </row>
    <row r="4" spans="1:30" ht="30" customHeight="1">
      <c r="A4" s="101" t="s">
        <v>42</v>
      </c>
      <c r="B4" s="100" t="s">
        <v>149</v>
      </c>
      <c r="C4" s="114">
        <f>'Enero-18'!G60</f>
        <v>288940.65999999997</v>
      </c>
      <c r="D4" s="115"/>
      <c r="E4" s="116"/>
      <c r="F4" s="116"/>
      <c r="G4" s="114">
        <f>C4+D4-F4</f>
        <v>288940.65999999997</v>
      </c>
      <c r="H4" s="114">
        <f>'Enero-18'!H60</f>
        <v>3939.8700000000003</v>
      </c>
      <c r="I4" s="114">
        <f>G4-H4</f>
        <v>285000.78999999998</v>
      </c>
      <c r="J4" s="72"/>
    </row>
    <row r="5" spans="1:30" ht="30" customHeight="1">
      <c r="A5" s="101" t="s">
        <v>94</v>
      </c>
      <c r="B5" s="100" t="s">
        <v>149</v>
      </c>
      <c r="C5" s="117">
        <f>'Enero-18'!G73</f>
        <v>27088.260000000002</v>
      </c>
      <c r="D5" s="118"/>
      <c r="E5" s="118"/>
      <c r="F5" s="118"/>
      <c r="G5" s="114">
        <f t="shared" ref="G5:G15" si="0">C5+D5-F5</f>
        <v>27088.260000000002</v>
      </c>
      <c r="H5" s="119">
        <f>'Enero-18'!H73</f>
        <v>3.6</v>
      </c>
      <c r="I5" s="114">
        <f t="shared" ref="I5:I15" si="1">G5-H5</f>
        <v>27084.660000000003</v>
      </c>
      <c r="J5" s="72"/>
    </row>
    <row r="6" spans="1:30" ht="30" customHeight="1">
      <c r="A6" s="101" t="s">
        <v>97</v>
      </c>
      <c r="B6" s="100" t="s">
        <v>149</v>
      </c>
      <c r="C6" s="119">
        <f>'Enero-18'!G100</f>
        <v>90698.909999999989</v>
      </c>
      <c r="D6" s="118"/>
      <c r="E6" s="118"/>
      <c r="F6" s="118"/>
      <c r="G6" s="114">
        <f t="shared" si="0"/>
        <v>90698.909999999989</v>
      </c>
      <c r="H6" s="119">
        <f>'Enero-18'!H100</f>
        <v>4487.74</v>
      </c>
      <c r="I6" s="114">
        <f t="shared" si="1"/>
        <v>86211.169999999984</v>
      </c>
      <c r="J6" s="72"/>
    </row>
    <row r="7" spans="1:30" ht="30" customHeight="1">
      <c r="A7" s="101" t="s">
        <v>42</v>
      </c>
      <c r="B7" s="100" t="s">
        <v>150</v>
      </c>
      <c r="C7" s="119">
        <f>'Enero-18'!G121</f>
        <v>207238.11</v>
      </c>
      <c r="D7" s="118"/>
      <c r="E7" s="118"/>
      <c r="F7" s="118"/>
      <c r="G7" s="114">
        <f t="shared" si="0"/>
        <v>207238.11</v>
      </c>
      <c r="H7" s="119">
        <f>'Enero-18'!H121</f>
        <v>13075.62</v>
      </c>
      <c r="I7" s="114">
        <f t="shared" si="1"/>
        <v>194162.49</v>
      </c>
      <c r="J7" s="72"/>
    </row>
    <row r="8" spans="1:30" ht="30" customHeight="1">
      <c r="A8" s="101" t="s">
        <v>94</v>
      </c>
      <c r="B8" s="100" t="s">
        <v>150</v>
      </c>
      <c r="C8" s="119">
        <f>'Enero-18'!G132</f>
        <v>121324.37000000001</v>
      </c>
      <c r="D8" s="118"/>
      <c r="E8" s="118"/>
      <c r="F8" s="118"/>
      <c r="G8" s="114">
        <f t="shared" si="0"/>
        <v>121324.37000000001</v>
      </c>
      <c r="H8" s="119">
        <f>'Enero-18'!H132</f>
        <v>6390.0999999999995</v>
      </c>
      <c r="I8" s="114">
        <f t="shared" si="1"/>
        <v>114934.27</v>
      </c>
      <c r="J8" s="72"/>
    </row>
    <row r="9" spans="1:30" ht="30" customHeight="1">
      <c r="A9" s="101" t="s">
        <v>97</v>
      </c>
      <c r="B9" s="100" t="s">
        <v>150</v>
      </c>
      <c r="C9" s="119">
        <f>'Enero-18'!G144</f>
        <v>283700.21000000002</v>
      </c>
      <c r="D9" s="118"/>
      <c r="E9" s="118"/>
      <c r="F9" s="118"/>
      <c r="G9" s="114">
        <f t="shared" si="0"/>
        <v>283700.21000000002</v>
      </c>
      <c r="H9" s="119">
        <f>'Enero-18'!H144</f>
        <v>18434.690000000002</v>
      </c>
      <c r="I9" s="114">
        <f t="shared" si="1"/>
        <v>265265.52</v>
      </c>
      <c r="J9" s="72"/>
    </row>
    <row r="10" spans="1:30" ht="30" customHeight="1">
      <c r="A10" s="101" t="s">
        <v>1</v>
      </c>
      <c r="B10" s="100" t="s">
        <v>151</v>
      </c>
      <c r="C10" s="119">
        <f>'Enero-18'!G152</f>
        <v>16569.48</v>
      </c>
      <c r="D10" s="118"/>
      <c r="E10" s="118"/>
      <c r="F10" s="118"/>
      <c r="G10" s="114">
        <f t="shared" si="0"/>
        <v>16569.48</v>
      </c>
      <c r="H10" s="119">
        <f>'Enero-18'!H152</f>
        <v>0</v>
      </c>
      <c r="I10" s="114">
        <f t="shared" si="1"/>
        <v>16569.48</v>
      </c>
      <c r="J10" s="72"/>
    </row>
    <row r="11" spans="1:30" ht="30" customHeight="1">
      <c r="A11" s="101" t="s">
        <v>11</v>
      </c>
      <c r="B11" s="100" t="s">
        <v>151</v>
      </c>
      <c r="C11" s="119">
        <f>'Enero-18'!G400</f>
        <v>899326.50000000012</v>
      </c>
      <c r="D11" s="118"/>
      <c r="E11" s="118"/>
      <c r="F11" s="118"/>
      <c r="G11" s="114">
        <f>C11+D11-F11</f>
        <v>899326.50000000012</v>
      </c>
      <c r="H11" s="119">
        <f>'Enero-18'!H400</f>
        <v>3350.3100000000013</v>
      </c>
      <c r="I11" s="114">
        <f>G11-H11</f>
        <v>895976.19000000006</v>
      </c>
      <c r="J11" s="72"/>
    </row>
    <row r="12" spans="1:30" ht="30" customHeight="1">
      <c r="A12" s="101" t="s">
        <v>18</v>
      </c>
      <c r="B12" s="100" t="s">
        <v>151</v>
      </c>
      <c r="C12" s="119">
        <f>'Enero-18'!G760</f>
        <v>1016414.4500000001</v>
      </c>
      <c r="D12" s="118"/>
      <c r="E12" s="118"/>
      <c r="F12" s="118"/>
      <c r="G12" s="114">
        <f t="shared" si="0"/>
        <v>1016414.4500000001</v>
      </c>
      <c r="H12" s="119">
        <f>'Enero-18'!H760</f>
        <v>37898.409999999996</v>
      </c>
      <c r="I12" s="114">
        <f t="shared" si="1"/>
        <v>978516.04</v>
      </c>
      <c r="J12" s="72"/>
    </row>
    <row r="13" spans="1:30" s="183" customFormat="1" ht="60" customHeight="1">
      <c r="A13" s="201" t="s">
        <v>20</v>
      </c>
      <c r="B13" s="202" t="s">
        <v>156</v>
      </c>
      <c r="C13" s="203">
        <f>'Enero-18'!G761</f>
        <v>55400</v>
      </c>
      <c r="D13" s="204"/>
      <c r="E13" s="204"/>
      <c r="F13" s="204"/>
      <c r="G13" s="205">
        <f t="shared" si="0"/>
        <v>55400</v>
      </c>
      <c r="H13" s="206">
        <f>'Enero-18'!H762</f>
        <v>32146.45</v>
      </c>
      <c r="I13" s="205">
        <f t="shared" si="1"/>
        <v>23253.55</v>
      </c>
      <c r="J13" s="178"/>
      <c r="K13" s="171"/>
      <c r="L13" s="171"/>
      <c r="M13" s="171"/>
      <c r="N13" s="171"/>
      <c r="O13" s="171"/>
      <c r="P13" s="171"/>
      <c r="Q13" s="171"/>
      <c r="R13" s="171"/>
      <c r="S13" s="171"/>
      <c r="T13" s="171"/>
      <c r="U13" s="171"/>
      <c r="V13" s="171"/>
      <c r="W13" s="171"/>
      <c r="X13" s="171"/>
      <c r="Y13" s="171"/>
      <c r="Z13" s="171"/>
      <c r="AA13" s="171"/>
      <c r="AB13" s="171"/>
      <c r="AC13" s="171"/>
      <c r="AD13" s="171"/>
    </row>
    <row r="14" spans="1:30" ht="46.5" customHeight="1">
      <c r="A14" s="101" t="s">
        <v>22</v>
      </c>
      <c r="B14" s="100" t="s">
        <v>157</v>
      </c>
      <c r="C14" s="120">
        <f>'Enero-18'!G763+'Enero-18'!G764</f>
        <v>2600</v>
      </c>
      <c r="D14" s="121"/>
      <c r="E14" s="121"/>
      <c r="F14" s="121"/>
      <c r="G14" s="122">
        <f t="shared" si="0"/>
        <v>2600</v>
      </c>
      <c r="H14" s="120">
        <f>'Enero-18'!H763+'Enero-18'!H764</f>
        <v>859.85</v>
      </c>
      <c r="I14" s="114">
        <f>'Enero-18'!I763+'Enero-18'!I764</f>
        <v>1740.15</v>
      </c>
      <c r="J14" s="72"/>
    </row>
    <row r="15" spans="1:30" ht="54" customHeight="1" thickBot="1">
      <c r="A15" s="102" t="s">
        <v>11</v>
      </c>
      <c r="B15" s="103" t="s">
        <v>152</v>
      </c>
      <c r="C15" s="123">
        <f>'Enero-18'!G803</f>
        <v>181413.68</v>
      </c>
      <c r="D15" s="124"/>
      <c r="E15" s="124"/>
      <c r="F15" s="124"/>
      <c r="G15" s="125">
        <f t="shared" si="0"/>
        <v>181413.68</v>
      </c>
      <c r="H15" s="123">
        <f>'Enero-18'!H803</f>
        <v>6602.22</v>
      </c>
      <c r="I15" s="125">
        <f t="shared" si="1"/>
        <v>174811.46</v>
      </c>
      <c r="J15" s="72"/>
    </row>
    <row r="16" spans="1:30" ht="18.75" thickBot="1">
      <c r="A16" s="104" t="s">
        <v>153</v>
      </c>
      <c r="B16" s="105"/>
      <c r="C16" s="112">
        <f t="shared" ref="C16:I16" si="2">SUM(C4:C15)</f>
        <v>3190714.6300000004</v>
      </c>
      <c r="D16" s="112">
        <f t="shared" si="2"/>
        <v>0</v>
      </c>
      <c r="E16" s="112">
        <f t="shared" si="2"/>
        <v>0</v>
      </c>
      <c r="F16" s="112">
        <f t="shared" si="2"/>
        <v>0</v>
      </c>
      <c r="G16" s="113">
        <f t="shared" si="2"/>
        <v>3190714.6300000004</v>
      </c>
      <c r="H16" s="113">
        <f t="shared" si="2"/>
        <v>127188.86</v>
      </c>
      <c r="I16" s="113">
        <f t="shared" si="2"/>
        <v>3063525.7699999996</v>
      </c>
      <c r="J16" s="72"/>
    </row>
    <row r="17" spans="1:10" ht="15.75" thickBot="1">
      <c r="A17" s="73"/>
      <c r="B17" s="74"/>
      <c r="C17" s="75"/>
      <c r="D17" s="76"/>
      <c r="E17" s="77"/>
      <c r="F17" s="77"/>
      <c r="G17" s="77"/>
      <c r="H17" s="77"/>
      <c r="I17" s="77"/>
      <c r="J17" s="78"/>
    </row>
    <row r="18" spans="1:10" ht="15.75" thickBot="1">
      <c r="A18" s="73" t="s">
        <v>154</v>
      </c>
      <c r="B18" s="74"/>
      <c r="C18" s="79">
        <f ca="1">TODAY()</f>
        <v>43586</v>
      </c>
      <c r="D18" s="80"/>
      <c r="E18" s="81">
        <f>D16-F16</f>
        <v>0</v>
      </c>
      <c r="F18" s="80"/>
      <c r="G18" s="80"/>
      <c r="H18" s="80"/>
      <c r="I18" s="80"/>
      <c r="J18" s="72"/>
    </row>
    <row r="19" spans="1:10">
      <c r="A19" s="83"/>
      <c r="B19" s="84"/>
      <c r="C19" s="84"/>
      <c r="D19" s="84"/>
      <c r="E19" s="82"/>
      <c r="F19" s="80"/>
      <c r="G19" s="80"/>
      <c r="H19" s="80"/>
    </row>
    <row r="20" spans="1:10">
      <c r="A20" s="83"/>
      <c r="B20" s="84"/>
      <c r="C20" s="84"/>
      <c r="D20" s="84"/>
      <c r="F20" s="80"/>
      <c r="G20" s="80"/>
      <c r="H20" s="80"/>
    </row>
    <row r="21" spans="1:10">
      <c r="A21" s="83"/>
      <c r="B21" s="84"/>
      <c r="C21" s="84"/>
      <c r="D21" s="84"/>
      <c r="F21" s="80"/>
      <c r="G21" s="80"/>
      <c r="H21" s="80"/>
    </row>
    <row r="22" spans="1:10">
      <c r="A22" s="83"/>
      <c r="B22" s="84"/>
      <c r="C22" s="84"/>
      <c r="D22" s="84"/>
    </row>
  </sheetData>
  <mergeCells count="2">
    <mergeCell ref="A1:J1"/>
    <mergeCell ref="A2:I2"/>
  </mergeCells>
  <pageMargins left="0.19685039370078741" right="0.19685039370078741" top="0.35433070866141736" bottom="0.31496062992125984" header="0.31496062992125984" footer="0.31496062992125984"/>
  <pageSetup paperSize="5" scale="80" orientation="landscape"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AF67D"/>
  </sheetPr>
  <dimension ref="A1:J26"/>
  <sheetViews>
    <sheetView topLeftCell="B4" zoomScaleNormal="100" workbookViewId="0">
      <selection activeCell="B29" sqref="B29"/>
    </sheetView>
  </sheetViews>
  <sheetFormatPr baseColWidth="10" defaultRowHeight="15"/>
  <cols>
    <col min="1" max="1" width="18" customWidth="1"/>
    <col min="2" max="2" width="24.85546875" customWidth="1"/>
    <col min="3" max="3" width="26.5703125" customWidth="1"/>
    <col min="4" max="4" width="20.28515625" customWidth="1"/>
    <col min="5" max="5" width="16.28515625" customWidth="1"/>
    <col min="6" max="6" width="20.28515625" customWidth="1"/>
    <col min="7" max="7" width="27" customWidth="1"/>
    <col min="8" max="8" width="27.28515625" customWidth="1"/>
    <col min="9" max="9" width="25" customWidth="1"/>
  </cols>
  <sheetData>
    <row r="1" spans="1:10" ht="36.75">
      <c r="A1" s="467" t="s">
        <v>155</v>
      </c>
      <c r="B1" s="467"/>
      <c r="C1" s="467"/>
      <c r="D1" s="467"/>
      <c r="E1" s="467"/>
      <c r="F1" s="467"/>
      <c r="G1" s="467"/>
      <c r="H1" s="467"/>
      <c r="I1" s="467"/>
      <c r="J1" s="467"/>
    </row>
    <row r="2" spans="1:10" ht="36.75">
      <c r="A2" s="468" t="s">
        <v>1215</v>
      </c>
      <c r="B2" s="468"/>
      <c r="C2" s="468"/>
      <c r="D2" s="468"/>
      <c r="E2" s="468"/>
      <c r="F2" s="468"/>
      <c r="G2" s="468"/>
      <c r="H2" s="468"/>
      <c r="I2" s="468"/>
      <c r="J2" s="438"/>
    </row>
    <row r="3" spans="1:10" ht="66" customHeight="1">
      <c r="A3" s="100" t="s">
        <v>142</v>
      </c>
      <c r="B3" s="100" t="s">
        <v>38</v>
      </c>
      <c r="C3" s="100" t="s">
        <v>144</v>
      </c>
      <c r="D3" s="100" t="s">
        <v>145</v>
      </c>
      <c r="E3" s="100" t="s">
        <v>146</v>
      </c>
      <c r="F3" s="100" t="s">
        <v>147</v>
      </c>
      <c r="G3" s="100" t="s">
        <v>148</v>
      </c>
      <c r="H3" s="100" t="s">
        <v>1262</v>
      </c>
      <c r="I3" s="100" t="s">
        <v>1263</v>
      </c>
    </row>
    <row r="4" spans="1:10" ht="30" customHeight="1">
      <c r="A4" s="101" t="s">
        <v>42</v>
      </c>
      <c r="B4" s="100" t="s">
        <v>149</v>
      </c>
      <c r="C4" s="85">
        <f>'OCT-18'!G61</f>
        <v>113265.14</v>
      </c>
      <c r="D4" s="353">
        <f>'OCT-18'!J61</f>
        <v>600</v>
      </c>
      <c r="E4" s="354"/>
      <c r="F4" s="354">
        <f>'OCT-18'!K61</f>
        <v>600</v>
      </c>
      <c r="G4" s="351">
        <f>C4+D4-F4</f>
        <v>113265.14</v>
      </c>
      <c r="H4" s="351">
        <f>'OCT-18'!H61</f>
        <v>19751.080000000002</v>
      </c>
      <c r="I4" s="355">
        <f>G4-H4</f>
        <v>93514.06</v>
      </c>
      <c r="J4" s="72"/>
    </row>
    <row r="5" spans="1:10" ht="30" customHeight="1">
      <c r="A5" s="101" t="s">
        <v>94</v>
      </c>
      <c r="B5" s="100" t="s">
        <v>149</v>
      </c>
      <c r="C5" s="88">
        <f>'OCT-18'!G74</f>
        <v>11244.140000000005</v>
      </c>
      <c r="D5" s="350">
        <f>'OCT-18'!J74</f>
        <v>0</v>
      </c>
      <c r="E5" s="89"/>
      <c r="F5" s="350">
        <f>'OCT-18'!K74</f>
        <v>1000</v>
      </c>
      <c r="G5" s="85">
        <f t="shared" ref="G5:G20" si="0">C5+D5-F5</f>
        <v>10244.140000000005</v>
      </c>
      <c r="H5" s="90">
        <f>'OCT-18'!H74</f>
        <v>2179.8200000000002</v>
      </c>
      <c r="I5" s="355">
        <f t="shared" ref="I5:I20" si="1">G5-H5</f>
        <v>8064.3200000000052</v>
      </c>
      <c r="J5" s="72"/>
    </row>
    <row r="6" spans="1:10" ht="30" customHeight="1">
      <c r="A6" s="101" t="s">
        <v>97</v>
      </c>
      <c r="B6" s="100" t="s">
        <v>149</v>
      </c>
      <c r="C6" s="90">
        <f>'OCT-18'!G101</f>
        <v>34238.530000000006</v>
      </c>
      <c r="D6" s="350">
        <f>'OCT-18'!J101</f>
        <v>2442</v>
      </c>
      <c r="E6" s="89"/>
      <c r="F6" s="350">
        <f>'OCT-18'!K101</f>
        <v>1442</v>
      </c>
      <c r="G6" s="85">
        <f t="shared" si="0"/>
        <v>35238.530000000006</v>
      </c>
      <c r="H6" s="90">
        <f>'OCT-18'!H101</f>
        <v>4116.91</v>
      </c>
      <c r="I6" s="355">
        <f t="shared" si="1"/>
        <v>31121.620000000006</v>
      </c>
      <c r="J6" s="72"/>
    </row>
    <row r="7" spans="1:10" ht="30" customHeight="1">
      <c r="A7" s="101"/>
      <c r="B7" s="100"/>
      <c r="C7" s="90"/>
      <c r="D7" s="350"/>
      <c r="E7" s="89"/>
      <c r="F7" s="350"/>
      <c r="G7" s="359">
        <f>SUM(G4:G6)</f>
        <v>158747.81</v>
      </c>
      <c r="H7" s="360">
        <f>SUM(H4:H6)</f>
        <v>26047.81</v>
      </c>
      <c r="I7" s="361">
        <f>SUM(I4:I6)</f>
        <v>132700</v>
      </c>
      <c r="J7" s="72"/>
    </row>
    <row r="8" spans="1:10" ht="30" customHeight="1">
      <c r="A8" s="101" t="s">
        <v>42</v>
      </c>
      <c r="B8" s="100" t="s">
        <v>150</v>
      </c>
      <c r="C8" s="90">
        <f>'OCT-18'!G126</f>
        <v>56103.449999999968</v>
      </c>
      <c r="D8" s="350">
        <f>'OCT-18'!J126</f>
        <v>1000</v>
      </c>
      <c r="E8" s="89"/>
      <c r="F8" s="350">
        <f>'OCT-18'!K126</f>
        <v>0</v>
      </c>
      <c r="G8" s="351">
        <f t="shared" si="0"/>
        <v>57103.449999999968</v>
      </c>
      <c r="H8" s="352">
        <f>'OCT-18'!H126</f>
        <v>24363.5</v>
      </c>
      <c r="I8" s="355">
        <f t="shared" si="1"/>
        <v>32739.949999999968</v>
      </c>
      <c r="J8" s="72"/>
    </row>
    <row r="9" spans="1:10" ht="30" customHeight="1">
      <c r="A9" s="101" t="s">
        <v>94</v>
      </c>
      <c r="B9" s="100" t="s">
        <v>150</v>
      </c>
      <c r="C9" s="90">
        <f>'OCT-18'!G138</f>
        <v>43840.930000000015</v>
      </c>
      <c r="D9" s="350">
        <f>'OCT-18'!J138</f>
        <v>0</v>
      </c>
      <c r="E9" s="89"/>
      <c r="F9" s="350">
        <f>'OCT-18'!K138</f>
        <v>1000</v>
      </c>
      <c r="G9" s="85">
        <f t="shared" si="0"/>
        <v>42840.930000000015</v>
      </c>
      <c r="H9" s="90">
        <f>'OCT-18'!H138</f>
        <v>5181.0200000000004</v>
      </c>
      <c r="I9" s="355">
        <f t="shared" si="1"/>
        <v>37659.910000000018</v>
      </c>
      <c r="J9" s="72"/>
    </row>
    <row r="10" spans="1:10" ht="30" customHeight="1">
      <c r="A10" s="101" t="s">
        <v>97</v>
      </c>
      <c r="B10" s="100" t="s">
        <v>150</v>
      </c>
      <c r="C10" s="90">
        <f>'OCT-18'!G151</f>
        <v>82020.60000000002</v>
      </c>
      <c r="D10" s="350">
        <f>'OCT-18'!J151</f>
        <v>0</v>
      </c>
      <c r="E10" s="89"/>
      <c r="F10" s="350">
        <f>'OCT-18'!K151</f>
        <v>0</v>
      </c>
      <c r="G10" s="351">
        <f t="shared" si="0"/>
        <v>82020.60000000002</v>
      </c>
      <c r="H10" s="352">
        <f>'OCT-18'!H151</f>
        <v>19740.62</v>
      </c>
      <c r="I10" s="355">
        <f t="shared" si="1"/>
        <v>62279.980000000025</v>
      </c>
      <c r="J10" s="72"/>
    </row>
    <row r="11" spans="1:10" ht="30" customHeight="1">
      <c r="A11" s="101"/>
      <c r="B11" s="100"/>
      <c r="C11" s="90"/>
      <c r="D11" s="350"/>
      <c r="E11" s="89"/>
      <c r="F11" s="350"/>
      <c r="G11" s="362">
        <f>SUM(G8:G10)</f>
        <v>181964.97999999998</v>
      </c>
      <c r="H11" s="363">
        <f>SUM(H8:H10)</f>
        <v>49285.14</v>
      </c>
      <c r="I11" s="361">
        <f>SUM(I8:I10)</f>
        <v>132679.84000000003</v>
      </c>
      <c r="J11" s="72"/>
    </row>
    <row r="12" spans="1:10" ht="30" customHeight="1">
      <c r="A12" s="101" t="s">
        <v>1</v>
      </c>
      <c r="B12" s="100" t="s">
        <v>151</v>
      </c>
      <c r="C12" s="90">
        <f>'OCT-18'!G159</f>
        <v>7899.1699999999992</v>
      </c>
      <c r="D12" s="350">
        <v>0</v>
      </c>
      <c r="E12" s="89"/>
      <c r="F12" s="350">
        <v>0</v>
      </c>
      <c r="G12" s="85">
        <f t="shared" si="0"/>
        <v>7899.1699999999992</v>
      </c>
      <c r="H12" s="90">
        <f>'OCT-18'!H159</f>
        <v>0</v>
      </c>
      <c r="I12" s="109">
        <f t="shared" si="1"/>
        <v>7899.1699999999992</v>
      </c>
      <c r="J12" s="72"/>
    </row>
    <row r="13" spans="1:10" ht="30" customHeight="1">
      <c r="A13" s="101" t="s">
        <v>11</v>
      </c>
      <c r="B13" s="100" t="s">
        <v>151</v>
      </c>
      <c r="C13" s="90">
        <f>'OCT-18'!G452</f>
        <v>538511.74</v>
      </c>
      <c r="D13" s="350">
        <f>'OCT-18'!J452</f>
        <v>52724.4</v>
      </c>
      <c r="E13" s="89"/>
      <c r="F13" s="350">
        <f>'OCT-18'!K452</f>
        <v>60346.400000000001</v>
      </c>
      <c r="G13" s="351">
        <f>C13+D13-F13</f>
        <v>530889.74</v>
      </c>
      <c r="H13" s="352">
        <f>'OCT-18'!H452</f>
        <v>99163.7</v>
      </c>
      <c r="I13" s="355">
        <f>G13-H13</f>
        <v>431726.04</v>
      </c>
      <c r="J13" s="72"/>
    </row>
    <row r="14" spans="1:10" ht="30" customHeight="1">
      <c r="A14" s="101" t="s">
        <v>18</v>
      </c>
      <c r="B14" s="100" t="s">
        <v>151</v>
      </c>
      <c r="C14" s="90">
        <f>'OCT-18'!G826</f>
        <v>508180.65999999992</v>
      </c>
      <c r="D14" s="350">
        <f>'OCT-18'!J826</f>
        <v>15535.03</v>
      </c>
      <c r="E14" s="89"/>
      <c r="F14" s="350">
        <f>'OCT-18'!K826</f>
        <v>7913.0300000000007</v>
      </c>
      <c r="G14" s="351">
        <f t="shared" si="0"/>
        <v>515802.65999999992</v>
      </c>
      <c r="H14" s="90">
        <f>'OCT-18'!H826</f>
        <v>8547.7999999999993</v>
      </c>
      <c r="I14" s="355">
        <f t="shared" si="1"/>
        <v>507254.85999999993</v>
      </c>
      <c r="J14" s="72"/>
    </row>
    <row r="15" spans="1:10" ht="24.75" customHeight="1">
      <c r="A15" s="101"/>
      <c r="B15" s="100"/>
      <c r="C15" s="90"/>
      <c r="D15" s="350"/>
      <c r="E15" s="89"/>
      <c r="F15" s="350"/>
      <c r="G15" s="362">
        <f>SUM(G12:G14)</f>
        <v>1054591.5699999998</v>
      </c>
      <c r="H15" s="364">
        <f>SUM(H12:H14)</f>
        <v>107711.5</v>
      </c>
      <c r="I15" s="361">
        <f>SUM(I12:I14)</f>
        <v>946880.06999999983</v>
      </c>
      <c r="J15" s="72"/>
    </row>
    <row r="16" spans="1:10" ht="26.25" customHeight="1">
      <c r="A16" s="101" t="s">
        <v>20</v>
      </c>
      <c r="B16" s="100" t="s">
        <v>156</v>
      </c>
      <c r="C16" s="90">
        <f>'ABRIL-18'!G776</f>
        <v>0</v>
      </c>
      <c r="D16" s="89">
        <v>0</v>
      </c>
      <c r="E16" s="89"/>
      <c r="F16" s="89"/>
      <c r="G16" s="85">
        <f t="shared" si="0"/>
        <v>0</v>
      </c>
      <c r="H16" s="91">
        <f>' MARZO-18-1'!H767</f>
        <v>0</v>
      </c>
      <c r="I16" s="109">
        <f t="shared" si="1"/>
        <v>0</v>
      </c>
      <c r="J16" s="72"/>
    </row>
    <row r="17" spans="1:10" ht="35.25" customHeight="1">
      <c r="A17" s="101" t="s">
        <v>22</v>
      </c>
      <c r="B17" s="100" t="s">
        <v>157</v>
      </c>
      <c r="C17" s="91">
        <f>'OCT-18'!G831</f>
        <v>0</v>
      </c>
      <c r="D17" s="92">
        <v>0</v>
      </c>
      <c r="E17" s="92"/>
      <c r="F17" s="92">
        <f>'OCT-18'!K831</f>
        <v>0</v>
      </c>
      <c r="G17" s="93">
        <f t="shared" si="0"/>
        <v>0</v>
      </c>
      <c r="H17" s="91"/>
      <c r="I17" s="109">
        <f t="shared" si="1"/>
        <v>0</v>
      </c>
      <c r="J17" s="72"/>
    </row>
    <row r="18" spans="1:10" ht="26.25" customHeight="1">
      <c r="A18" s="102" t="s">
        <v>11</v>
      </c>
      <c r="B18" s="103" t="s">
        <v>997</v>
      </c>
      <c r="C18" s="96">
        <f>'OCT-18'!G870</f>
        <v>42117.439999999995</v>
      </c>
      <c r="D18" s="97"/>
      <c r="E18" s="97"/>
      <c r="F18" s="97"/>
      <c r="G18" s="356">
        <f t="shared" si="0"/>
        <v>42117.439999999995</v>
      </c>
      <c r="H18" s="357"/>
      <c r="I18" s="356">
        <f t="shared" si="1"/>
        <v>42117.439999999995</v>
      </c>
      <c r="J18" s="72"/>
    </row>
    <row r="19" spans="1:10" ht="16.5" customHeight="1">
      <c r="A19" s="236" t="s">
        <v>18</v>
      </c>
      <c r="B19" s="100" t="s">
        <v>994</v>
      </c>
      <c r="C19" s="96">
        <f>'MAYO-18 '!G831</f>
        <v>0</v>
      </c>
      <c r="D19" s="97"/>
      <c r="E19" s="97"/>
      <c r="F19" s="97">
        <v>0</v>
      </c>
      <c r="G19" s="98">
        <f t="shared" si="0"/>
        <v>0</v>
      </c>
      <c r="H19" s="96"/>
      <c r="I19" s="98">
        <f t="shared" si="1"/>
        <v>0</v>
      </c>
      <c r="J19" s="72"/>
    </row>
    <row r="20" spans="1:10" ht="30" customHeight="1" thickBot="1">
      <c r="A20" s="236" t="s">
        <v>18</v>
      </c>
      <c r="B20" s="247" t="s">
        <v>1076</v>
      </c>
      <c r="C20" s="96">
        <f>'OCT-18'!G874</f>
        <v>0</v>
      </c>
      <c r="D20" s="97">
        <v>0</v>
      </c>
      <c r="E20" s="97"/>
      <c r="F20" s="97">
        <f>'OCT-18'!K874</f>
        <v>0</v>
      </c>
      <c r="G20" s="98">
        <f t="shared" si="0"/>
        <v>0</v>
      </c>
      <c r="H20" s="96"/>
      <c r="I20" s="98">
        <f t="shared" si="1"/>
        <v>0</v>
      </c>
      <c r="J20" s="72"/>
    </row>
    <row r="21" spans="1:10" ht="24" thickBot="1">
      <c r="A21" s="110" t="s">
        <v>153</v>
      </c>
      <c r="B21" s="110"/>
      <c r="C21" s="111">
        <f>SUM(C4:C20)</f>
        <v>1437421.7999999998</v>
      </c>
      <c r="D21" s="111">
        <f>SUM(D4:D20)</f>
        <v>72301.430000000008</v>
      </c>
      <c r="E21" s="111">
        <f>SUM(E4:E20)</f>
        <v>0</v>
      </c>
      <c r="F21" s="111">
        <f>SUM(F4:F20)</f>
        <v>72301.430000000008</v>
      </c>
      <c r="G21" s="111">
        <f>G7+G11+G15+G17+G18+G20</f>
        <v>1437421.7999999998</v>
      </c>
      <c r="H21" s="111">
        <f>H7+H11+H15+H18</f>
        <v>183044.45</v>
      </c>
      <c r="I21" s="111">
        <f>I7+I11+I15+I17+I18+I20</f>
        <v>1254377.3499999999</v>
      </c>
      <c r="J21" s="72"/>
    </row>
    <row r="22" spans="1:10" ht="15.75" thickBot="1">
      <c r="A22" s="73" t="s">
        <v>154</v>
      </c>
      <c r="B22" s="74"/>
      <c r="C22" s="79">
        <f ca="1">TODAY()</f>
        <v>43586</v>
      </c>
      <c r="D22" s="80"/>
      <c r="E22" s="81">
        <f>D21-F21</f>
        <v>0</v>
      </c>
      <c r="F22" s="80"/>
      <c r="G22" s="80"/>
      <c r="H22" s="80"/>
      <c r="I22" s="80"/>
      <c r="J22" s="72"/>
    </row>
    <row r="23" spans="1:10" ht="24.75">
      <c r="A23" s="83"/>
      <c r="B23" s="84"/>
      <c r="C23" s="84"/>
      <c r="D23" s="84"/>
      <c r="E23" s="263">
        <f>9000+9000</f>
        <v>18000</v>
      </c>
      <c r="F23" s="80" t="s">
        <v>1033</v>
      </c>
      <c r="G23" s="80">
        <v>0</v>
      </c>
      <c r="H23" s="80"/>
    </row>
    <row r="24" spans="1:10">
      <c r="A24" s="83"/>
      <c r="B24" s="84"/>
      <c r="C24" s="84"/>
      <c r="D24" s="84"/>
      <c r="E24" s="264">
        <v>4500</v>
      </c>
      <c r="F24" s="80" t="s">
        <v>1032</v>
      </c>
      <c r="G24" s="80"/>
      <c r="H24" s="80"/>
    </row>
    <row r="25" spans="1:10">
      <c r="A25" s="83"/>
      <c r="B25" s="84"/>
      <c r="C25" s="84"/>
      <c r="D25" s="84"/>
      <c r="F25" s="80"/>
      <c r="G25" s="80"/>
      <c r="H25" s="80"/>
    </row>
    <row r="26" spans="1:10">
      <c r="A26" s="83"/>
      <c r="B26" s="84"/>
      <c r="C26" s="84"/>
      <c r="D26" s="84"/>
    </row>
  </sheetData>
  <mergeCells count="2">
    <mergeCell ref="A1:J1"/>
    <mergeCell ref="A2:I2"/>
  </mergeCells>
  <pageMargins left="0.19685039370078741" right="0.19685039370078741" top="0.35433070866141736" bottom="0.31496062992125984" header="0.31496062992125984" footer="0.31496062992125984"/>
  <pageSetup paperSize="5" scale="82" orientation="landscape" horizontalDpi="4294967293" vertic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P905"/>
  <sheetViews>
    <sheetView topLeftCell="A590" zoomScale="86" zoomScaleNormal="86" workbookViewId="0">
      <selection activeCell="K163" sqref="K163"/>
    </sheetView>
  </sheetViews>
  <sheetFormatPr baseColWidth="10" defaultRowHeight="15"/>
  <cols>
    <col min="1" max="1" width="9" customWidth="1"/>
    <col min="2" max="2" width="62" customWidth="1"/>
    <col min="3" max="3" width="17.28515625" customWidth="1"/>
    <col min="4" max="4" width="10.28515625" customWidth="1"/>
    <col min="5" max="5" width="10.85546875" customWidth="1"/>
    <col min="6" max="6" width="15.42578125" customWidth="1"/>
    <col min="7" max="7" width="15.7109375" customWidth="1"/>
    <col min="8" max="8" width="14.42578125" customWidth="1"/>
    <col min="9" max="9" width="17" customWidth="1"/>
    <col min="10" max="10" width="13.42578125" customWidth="1"/>
    <col min="11" max="11" width="14.7109375" customWidth="1"/>
  </cols>
  <sheetData>
    <row r="1" spans="1:11" ht="36.75">
      <c r="A1" s="15"/>
      <c r="B1" s="467" t="s">
        <v>33</v>
      </c>
      <c r="C1" s="467"/>
      <c r="D1" s="467"/>
      <c r="E1" s="467"/>
      <c r="F1" s="467"/>
      <c r="G1" s="467"/>
      <c r="H1" s="467"/>
      <c r="I1" s="467"/>
      <c r="J1" s="467"/>
      <c r="K1" s="467"/>
    </row>
    <row r="2" spans="1:11" ht="36.75">
      <c r="A2" s="16"/>
      <c r="B2" s="468" t="s">
        <v>1229</v>
      </c>
      <c r="C2" s="468"/>
      <c r="D2" s="468"/>
      <c r="E2" s="468"/>
      <c r="F2" s="468"/>
      <c r="G2" s="468"/>
      <c r="H2" s="468"/>
      <c r="I2" s="468"/>
      <c r="J2" s="468"/>
      <c r="K2" s="438"/>
    </row>
    <row r="3" spans="1:11" ht="53.25" customHeight="1">
      <c r="A3" s="41" t="s">
        <v>8</v>
      </c>
      <c r="B3" s="41" t="s">
        <v>34</v>
      </c>
      <c r="C3" s="41" t="s">
        <v>35</v>
      </c>
      <c r="D3" s="41" t="s">
        <v>36</v>
      </c>
      <c r="E3" s="41" t="s">
        <v>37</v>
      </c>
      <c r="F3" s="41" t="s">
        <v>38</v>
      </c>
      <c r="G3" s="42" t="s">
        <v>39</v>
      </c>
      <c r="H3" s="42" t="s">
        <v>1230</v>
      </c>
      <c r="I3" s="42" t="s">
        <v>1231</v>
      </c>
      <c r="J3" s="42" t="s">
        <v>40</v>
      </c>
      <c r="K3" s="42" t="s">
        <v>41</v>
      </c>
    </row>
    <row r="4" spans="1:11" ht="41.25" customHeight="1">
      <c r="A4" s="308">
        <v>51101</v>
      </c>
      <c r="B4" s="306" t="s">
        <v>1110</v>
      </c>
      <c r="C4" s="304"/>
      <c r="D4" s="3" t="s">
        <v>42</v>
      </c>
      <c r="E4" s="3" t="s">
        <v>29</v>
      </c>
      <c r="F4" s="3" t="s">
        <v>43</v>
      </c>
      <c r="G4" s="305">
        <f>'OCT-18'!I4</f>
        <v>51.989999999999782</v>
      </c>
      <c r="H4" s="341"/>
      <c r="I4" s="17">
        <f>G4-H4+J4-K4</f>
        <v>51.989999999999782</v>
      </c>
      <c r="J4" s="342"/>
      <c r="K4" s="394"/>
    </row>
    <row r="5" spans="1:11">
      <c r="A5" s="4">
        <v>51103</v>
      </c>
      <c r="B5" s="7" t="s">
        <v>164</v>
      </c>
      <c r="C5" s="2"/>
      <c r="D5" s="3" t="s">
        <v>42</v>
      </c>
      <c r="E5" s="3" t="s">
        <v>29</v>
      </c>
      <c r="F5" s="3" t="s">
        <v>43</v>
      </c>
      <c r="G5" s="305">
        <f>'OCT-18'!I5</f>
        <v>570.95000000000005</v>
      </c>
      <c r="H5" s="51"/>
      <c r="I5" s="17">
        <f>G5-H5+J5-K5</f>
        <v>7537.05</v>
      </c>
      <c r="J5" s="18">
        <v>6966.1</v>
      </c>
      <c r="K5" s="18"/>
    </row>
    <row r="6" spans="1:11">
      <c r="A6" s="4">
        <v>51105</v>
      </c>
      <c r="B6" s="7" t="s">
        <v>125</v>
      </c>
      <c r="C6" s="2"/>
      <c r="D6" s="3" t="s">
        <v>42</v>
      </c>
      <c r="E6" s="3" t="s">
        <v>29</v>
      </c>
      <c r="F6" s="3" t="s">
        <v>43</v>
      </c>
      <c r="G6" s="305">
        <f>'OCT-18'!I6</f>
        <v>10454.400000000001</v>
      </c>
      <c r="H6" s="372">
        <v>7111.2</v>
      </c>
      <c r="I6" s="17">
        <f>G6-H6+J6-K6</f>
        <v>343.20000000000164</v>
      </c>
      <c r="J6" s="18"/>
      <c r="K6" s="18">
        <v>3000</v>
      </c>
    </row>
    <row r="7" spans="1:11">
      <c r="A7" s="4">
        <v>51107</v>
      </c>
      <c r="B7" s="7" t="s">
        <v>167</v>
      </c>
      <c r="C7" s="2"/>
      <c r="D7" s="3" t="s">
        <v>42</v>
      </c>
      <c r="E7" s="3" t="s">
        <v>29</v>
      </c>
      <c r="F7" s="3" t="s">
        <v>43</v>
      </c>
      <c r="G7" s="305">
        <f>'OCT-18'!I7</f>
        <v>113.67000000000007</v>
      </c>
      <c r="H7" s="51"/>
      <c r="I7" s="416">
        <f t="shared" ref="I7:I71" si="0">G7-H7+J7-K7</f>
        <v>7713.67</v>
      </c>
      <c r="J7" s="18">
        <v>7600</v>
      </c>
      <c r="K7" s="18"/>
    </row>
    <row r="8" spans="1:11">
      <c r="A8" s="4">
        <v>51201</v>
      </c>
      <c r="B8" s="7" t="s">
        <v>44</v>
      </c>
      <c r="C8" s="2"/>
      <c r="D8" s="3" t="s">
        <v>42</v>
      </c>
      <c r="E8" s="3" t="s">
        <v>29</v>
      </c>
      <c r="F8" s="3" t="s">
        <v>43</v>
      </c>
      <c r="G8" s="305">
        <f>'OCT-18'!I8</f>
        <v>938.02</v>
      </c>
      <c r="H8" s="369"/>
      <c r="I8" s="17">
        <f t="shared" si="0"/>
        <v>938.02</v>
      </c>
      <c r="J8" s="23"/>
      <c r="K8" s="18"/>
    </row>
    <row r="9" spans="1:11" ht="36.75" customHeight="1">
      <c r="A9" s="4">
        <v>51401</v>
      </c>
      <c r="B9" s="5" t="s">
        <v>128</v>
      </c>
      <c r="C9" s="2"/>
      <c r="D9" s="3" t="s">
        <v>42</v>
      </c>
      <c r="E9" s="3" t="s">
        <v>29</v>
      </c>
      <c r="F9" s="3" t="s">
        <v>43</v>
      </c>
      <c r="G9" s="305">
        <f>'OCT-18'!I9</f>
        <v>1744.1799999999998</v>
      </c>
      <c r="H9" s="108"/>
      <c r="I9" s="17">
        <f t="shared" si="0"/>
        <v>744.17999999999984</v>
      </c>
      <c r="J9" s="20"/>
      <c r="K9" s="18">
        <v>1000</v>
      </c>
    </row>
    <row r="10" spans="1:11" ht="42" customHeight="1">
      <c r="A10" s="4">
        <v>51501</v>
      </c>
      <c r="B10" s="5" t="s">
        <v>168</v>
      </c>
      <c r="C10" s="47"/>
      <c r="D10" s="3" t="s">
        <v>42</v>
      </c>
      <c r="E10" s="3" t="s">
        <v>29</v>
      </c>
      <c r="F10" s="3" t="s">
        <v>43</v>
      </c>
      <c r="G10" s="305">
        <f>'OCT-18'!I10</f>
        <v>2329.7800000000002</v>
      </c>
      <c r="H10" s="51"/>
      <c r="I10" s="17">
        <f t="shared" si="0"/>
        <v>329.7800000000002</v>
      </c>
      <c r="J10" s="21"/>
      <c r="K10" s="18">
        <v>2000</v>
      </c>
    </row>
    <row r="11" spans="1:11" ht="25.5">
      <c r="A11" s="4">
        <v>51701</v>
      </c>
      <c r="B11" s="7" t="s">
        <v>126</v>
      </c>
      <c r="C11" s="2"/>
      <c r="D11" s="3" t="s">
        <v>42</v>
      </c>
      <c r="E11" s="3" t="s">
        <v>29</v>
      </c>
      <c r="F11" s="3" t="s">
        <v>43</v>
      </c>
      <c r="G11" s="305">
        <f>'OCT-18'!I11</f>
        <v>146.81000000000677</v>
      </c>
      <c r="H11" s="51"/>
      <c r="I11" s="17">
        <f t="shared" si="0"/>
        <v>146.81000000000677</v>
      </c>
      <c r="J11" s="22"/>
      <c r="K11" s="18"/>
    </row>
    <row r="12" spans="1:11" ht="25.5">
      <c r="A12" s="4">
        <v>51601</v>
      </c>
      <c r="B12" s="7" t="s">
        <v>129</v>
      </c>
      <c r="C12" s="2"/>
      <c r="D12" s="3" t="s">
        <v>42</v>
      </c>
      <c r="E12" s="3" t="s">
        <v>29</v>
      </c>
      <c r="F12" s="3" t="s">
        <v>43</v>
      </c>
      <c r="G12" s="305">
        <f>'OCT-18'!I12</f>
        <v>3000</v>
      </c>
      <c r="H12" s="51">
        <f>1500</f>
        <v>1500</v>
      </c>
      <c r="I12" s="17">
        <f t="shared" si="0"/>
        <v>1500</v>
      </c>
      <c r="J12" s="21"/>
      <c r="K12" s="18"/>
    </row>
    <row r="13" spans="1:11">
      <c r="A13" s="4">
        <v>51602</v>
      </c>
      <c r="B13" s="2" t="s">
        <v>46</v>
      </c>
      <c r="C13" s="2"/>
      <c r="D13" s="3" t="s">
        <v>42</v>
      </c>
      <c r="E13" s="3" t="s">
        <v>29</v>
      </c>
      <c r="F13" s="3" t="s">
        <v>43</v>
      </c>
      <c r="G13" s="305">
        <f>'OCT-18'!I13</f>
        <v>1</v>
      </c>
      <c r="H13" s="51"/>
      <c r="I13" s="17">
        <f t="shared" si="0"/>
        <v>1</v>
      </c>
      <c r="J13" s="20"/>
      <c r="K13" s="18"/>
    </row>
    <row r="14" spans="1:11">
      <c r="A14" s="4">
        <v>51999</v>
      </c>
      <c r="B14" s="2" t="s">
        <v>47</v>
      </c>
      <c r="C14" s="2"/>
      <c r="D14" s="3" t="s">
        <v>42</v>
      </c>
      <c r="E14" s="3" t="s">
        <v>29</v>
      </c>
      <c r="F14" s="3" t="s">
        <v>43</v>
      </c>
      <c r="G14" s="305">
        <f>'OCT-18'!I14</f>
        <v>2684.7700000000004</v>
      </c>
      <c r="H14" s="51">
        <f>138.88+400+16.67+16.67+16.67</f>
        <v>588.88999999999987</v>
      </c>
      <c r="I14" s="17">
        <f t="shared" si="0"/>
        <v>1095.8800000000006</v>
      </c>
      <c r="J14" s="405"/>
      <c r="K14" s="18">
        <v>1000</v>
      </c>
    </row>
    <row r="15" spans="1:11" ht="45" customHeight="1">
      <c r="A15" s="4">
        <v>54101</v>
      </c>
      <c r="B15" s="5" t="s">
        <v>48</v>
      </c>
      <c r="C15" s="2"/>
      <c r="D15" s="3" t="s">
        <v>42</v>
      </c>
      <c r="E15" s="3" t="s">
        <v>29</v>
      </c>
      <c r="F15" s="3" t="s">
        <v>43</v>
      </c>
      <c r="G15" s="305">
        <f>'OCT-18'!I15</f>
        <v>11766.14</v>
      </c>
      <c r="H15" s="51">
        <f>32+135+45+75+55+45+150+75+77+180+60+30+69.9+26+20+44.8+89.6+45+985.88+56+41.2+26+76.5+153+200+80+325</f>
        <v>3197.8799999999997</v>
      </c>
      <c r="I15" s="17">
        <f t="shared" si="0"/>
        <v>6568.26</v>
      </c>
      <c r="J15" s="315"/>
      <c r="K15" s="18">
        <v>2000</v>
      </c>
    </row>
    <row r="16" spans="1:11" ht="26.25">
      <c r="A16" s="4">
        <v>54104</v>
      </c>
      <c r="B16" s="5" t="s">
        <v>130</v>
      </c>
      <c r="C16" s="2"/>
      <c r="D16" s="3" t="s">
        <v>42</v>
      </c>
      <c r="E16" s="3" t="s">
        <v>29</v>
      </c>
      <c r="F16" s="3" t="s">
        <v>43</v>
      </c>
      <c r="G16" s="305">
        <f>'OCT-18'!I16</f>
        <v>1343.1</v>
      </c>
      <c r="H16" s="51">
        <f>148</f>
        <v>148</v>
      </c>
      <c r="I16" s="17">
        <f t="shared" si="0"/>
        <v>195.09999999999991</v>
      </c>
      <c r="J16" s="21"/>
      <c r="K16" s="18">
        <v>1000</v>
      </c>
    </row>
    <row r="17" spans="1:11">
      <c r="A17" s="4">
        <v>54105</v>
      </c>
      <c r="B17" s="2" t="s">
        <v>49</v>
      </c>
      <c r="C17" s="2"/>
      <c r="D17" s="3" t="s">
        <v>42</v>
      </c>
      <c r="E17" s="3" t="s">
        <v>29</v>
      </c>
      <c r="F17" s="3" t="s">
        <v>43</v>
      </c>
      <c r="G17" s="305">
        <f>'OCT-18'!I17</f>
        <v>407.7</v>
      </c>
      <c r="H17" s="51">
        <f>390</f>
        <v>390</v>
      </c>
      <c r="I17" s="17">
        <f t="shared" si="0"/>
        <v>17.699999999999989</v>
      </c>
      <c r="J17" s="20"/>
      <c r="K17" s="18"/>
    </row>
    <row r="18" spans="1:11">
      <c r="A18" s="4">
        <v>54107</v>
      </c>
      <c r="B18" s="2" t="s">
        <v>50</v>
      </c>
      <c r="C18" s="2"/>
      <c r="D18" s="3" t="s">
        <v>42</v>
      </c>
      <c r="E18" s="3" t="s">
        <v>29</v>
      </c>
      <c r="F18" s="3" t="s">
        <v>43</v>
      </c>
      <c r="G18" s="305">
        <f>'OCT-18'!I18</f>
        <v>507</v>
      </c>
      <c r="H18" s="51"/>
      <c r="I18" s="17">
        <f t="shared" si="0"/>
        <v>7</v>
      </c>
      <c r="J18" s="22"/>
      <c r="K18" s="18">
        <v>500</v>
      </c>
    </row>
    <row r="19" spans="1:11">
      <c r="A19" s="4">
        <v>54108</v>
      </c>
      <c r="B19" s="2" t="s">
        <v>51</v>
      </c>
      <c r="C19" s="2"/>
      <c r="D19" s="3" t="s">
        <v>42</v>
      </c>
      <c r="E19" s="3" t="s">
        <v>29</v>
      </c>
      <c r="F19" s="3" t="s">
        <v>43</v>
      </c>
      <c r="G19" s="305">
        <f>'OCT-18'!I19</f>
        <v>100</v>
      </c>
      <c r="H19" s="51"/>
      <c r="I19" s="17">
        <f t="shared" si="0"/>
        <v>0</v>
      </c>
      <c r="J19" s="20"/>
      <c r="K19" s="18">
        <v>100</v>
      </c>
    </row>
    <row r="20" spans="1:11">
      <c r="A20" s="4">
        <v>54109</v>
      </c>
      <c r="B20" s="2" t="s">
        <v>131</v>
      </c>
      <c r="C20" s="2"/>
      <c r="D20" s="3" t="s">
        <v>42</v>
      </c>
      <c r="E20" s="3" t="s">
        <v>29</v>
      </c>
      <c r="F20" s="3" t="s">
        <v>43</v>
      </c>
      <c r="G20" s="305">
        <f>'OCT-18'!I20</f>
        <v>500</v>
      </c>
      <c r="H20" s="51"/>
      <c r="I20" s="17">
        <f t="shared" si="0"/>
        <v>0</v>
      </c>
      <c r="J20" s="20"/>
      <c r="K20" s="18">
        <v>500</v>
      </c>
    </row>
    <row r="21" spans="1:11">
      <c r="A21" s="4">
        <v>54110</v>
      </c>
      <c r="B21" s="2" t="s">
        <v>132</v>
      </c>
      <c r="C21" s="2"/>
      <c r="D21" s="3" t="s">
        <v>42</v>
      </c>
      <c r="E21" s="3" t="s">
        <v>29</v>
      </c>
      <c r="F21" s="3" t="s">
        <v>43</v>
      </c>
      <c r="G21" s="305">
        <f>'OCT-18'!I21</f>
        <v>6035.7700000000013</v>
      </c>
      <c r="H21" s="51">
        <f>451.16+564.67+32.3</f>
        <v>1048.1299999999999</v>
      </c>
      <c r="I21" s="17">
        <f t="shared" si="0"/>
        <v>4987.6400000000012</v>
      </c>
      <c r="J21" s="24"/>
      <c r="K21" s="18"/>
    </row>
    <row r="22" spans="1:11" ht="30.75" customHeight="1">
      <c r="A22" s="4">
        <v>54111</v>
      </c>
      <c r="B22" s="5" t="s">
        <v>54</v>
      </c>
      <c r="C22" s="2"/>
      <c r="D22" s="3" t="s">
        <v>42</v>
      </c>
      <c r="E22" s="3" t="s">
        <v>29</v>
      </c>
      <c r="F22" s="3" t="s">
        <v>43</v>
      </c>
      <c r="G22" s="305">
        <f>'OCT-18'!I22</f>
        <v>343.55000000000018</v>
      </c>
      <c r="H22" s="51"/>
      <c r="I22" s="416">
        <f t="shared" si="0"/>
        <v>343.55000000000018</v>
      </c>
      <c r="J22" s="23"/>
      <c r="K22" s="18"/>
    </row>
    <row r="23" spans="1:11" ht="42.75" customHeight="1">
      <c r="A23" s="4">
        <v>54112</v>
      </c>
      <c r="B23" s="5" t="s">
        <v>55</v>
      </c>
      <c r="C23" s="2"/>
      <c r="D23" s="3" t="s">
        <v>42</v>
      </c>
      <c r="E23" s="3" t="s">
        <v>29</v>
      </c>
      <c r="F23" s="3" t="s">
        <v>43</v>
      </c>
      <c r="G23" s="305">
        <f>'OCT-18'!I23</f>
        <v>500</v>
      </c>
      <c r="H23" s="51"/>
      <c r="I23" s="17">
        <f t="shared" si="0"/>
        <v>500</v>
      </c>
      <c r="J23" s="21"/>
      <c r="K23" s="18"/>
    </row>
    <row r="24" spans="1:11">
      <c r="A24" s="4">
        <v>54114</v>
      </c>
      <c r="B24" s="2" t="s">
        <v>56</v>
      </c>
      <c r="C24" s="2"/>
      <c r="D24" s="3" t="s">
        <v>42</v>
      </c>
      <c r="E24" s="3" t="s">
        <v>29</v>
      </c>
      <c r="F24" s="3" t="s">
        <v>43</v>
      </c>
      <c r="G24" s="305">
        <f>'OCT-18'!I24</f>
        <v>852.06</v>
      </c>
      <c r="H24" s="51"/>
      <c r="I24" s="17">
        <f t="shared" si="0"/>
        <v>352.05999999999995</v>
      </c>
      <c r="J24" s="20"/>
      <c r="K24" s="18">
        <v>500</v>
      </c>
    </row>
    <row r="25" spans="1:11">
      <c r="A25" s="4">
        <v>54115</v>
      </c>
      <c r="B25" s="2" t="s">
        <v>57</v>
      </c>
      <c r="C25" s="2"/>
      <c r="D25" s="3" t="s">
        <v>42</v>
      </c>
      <c r="E25" s="3" t="s">
        <v>29</v>
      </c>
      <c r="F25" s="3" t="s">
        <v>43</v>
      </c>
      <c r="G25" s="305">
        <f>'OCT-18'!I25</f>
        <v>775.52</v>
      </c>
      <c r="H25" s="51">
        <v>688.5</v>
      </c>
      <c r="I25" s="17">
        <f t="shared" si="0"/>
        <v>87.019999999999982</v>
      </c>
      <c r="J25" s="20"/>
      <c r="K25" s="18"/>
    </row>
    <row r="26" spans="1:11" ht="30">
      <c r="A26" s="4">
        <v>54116</v>
      </c>
      <c r="B26" s="5" t="s">
        <v>58</v>
      </c>
      <c r="C26" s="2"/>
      <c r="D26" s="3" t="s">
        <v>42</v>
      </c>
      <c r="E26" s="3" t="s">
        <v>29</v>
      </c>
      <c r="F26" s="3" t="s">
        <v>43</v>
      </c>
      <c r="G26" s="305">
        <f>'OCT-18'!I26</f>
        <v>460</v>
      </c>
      <c r="H26" s="51"/>
      <c r="I26" s="17">
        <f t="shared" si="0"/>
        <v>160</v>
      </c>
      <c r="J26" s="20"/>
      <c r="K26" s="18">
        <v>300</v>
      </c>
    </row>
    <row r="27" spans="1:11">
      <c r="A27" s="4">
        <v>54117</v>
      </c>
      <c r="B27" s="25" t="s">
        <v>12</v>
      </c>
      <c r="C27" s="25"/>
      <c r="D27" s="3" t="s">
        <v>42</v>
      </c>
      <c r="E27" s="3" t="s">
        <v>29</v>
      </c>
      <c r="F27" s="3" t="s">
        <v>43</v>
      </c>
      <c r="G27" s="305">
        <f>'OCT-18'!I27</f>
        <v>500</v>
      </c>
      <c r="H27" s="51"/>
      <c r="I27" s="17">
        <f t="shared" si="0"/>
        <v>0</v>
      </c>
      <c r="J27" s="20"/>
      <c r="K27" s="18">
        <v>500</v>
      </c>
    </row>
    <row r="28" spans="1:11">
      <c r="A28" s="4">
        <v>54118</v>
      </c>
      <c r="B28" s="2" t="s">
        <v>59</v>
      </c>
      <c r="C28" s="2"/>
      <c r="D28" s="3" t="s">
        <v>42</v>
      </c>
      <c r="E28" s="3" t="s">
        <v>29</v>
      </c>
      <c r="F28" s="3" t="s">
        <v>43</v>
      </c>
      <c r="G28" s="305">
        <f>'OCT-18'!I28</f>
        <v>462</v>
      </c>
      <c r="H28" s="51"/>
      <c r="I28" s="17">
        <f t="shared" si="0"/>
        <v>62</v>
      </c>
      <c r="J28" s="23"/>
      <c r="K28" s="18">
        <v>400</v>
      </c>
    </row>
    <row r="29" spans="1:11">
      <c r="A29" s="4">
        <v>54119</v>
      </c>
      <c r="B29" s="2" t="s">
        <v>60</v>
      </c>
      <c r="C29" s="2"/>
      <c r="D29" s="3" t="s">
        <v>42</v>
      </c>
      <c r="E29" s="3" t="s">
        <v>29</v>
      </c>
      <c r="F29" s="3" t="s">
        <v>43</v>
      </c>
      <c r="G29" s="305">
        <f>'OCT-18'!I29</f>
        <v>500</v>
      </c>
      <c r="H29" s="51"/>
      <c r="I29" s="17">
        <f t="shared" si="0"/>
        <v>0</v>
      </c>
      <c r="J29" s="21"/>
      <c r="K29" s="18">
        <v>500</v>
      </c>
    </row>
    <row r="30" spans="1:11">
      <c r="A30" s="4">
        <v>54199</v>
      </c>
      <c r="B30" s="2" t="s">
        <v>61</v>
      </c>
      <c r="C30" s="2"/>
      <c r="D30" s="3" t="s">
        <v>42</v>
      </c>
      <c r="E30" s="3" t="s">
        <v>29</v>
      </c>
      <c r="F30" s="3" t="s">
        <v>43</v>
      </c>
      <c r="G30" s="305">
        <f>'OCT-18'!I30</f>
        <v>1003.8500000000001</v>
      </c>
      <c r="H30" s="51"/>
      <c r="I30" s="17">
        <f t="shared" si="0"/>
        <v>1003.8500000000001</v>
      </c>
      <c r="J30" s="21"/>
      <c r="K30" s="18"/>
    </row>
    <row r="31" spans="1:11">
      <c r="A31" s="4">
        <v>54201</v>
      </c>
      <c r="B31" s="2" t="s">
        <v>62</v>
      </c>
      <c r="C31" s="2"/>
      <c r="D31" s="3" t="s">
        <v>42</v>
      </c>
      <c r="E31" s="3" t="s">
        <v>29</v>
      </c>
      <c r="F31" s="3" t="s">
        <v>43</v>
      </c>
      <c r="G31" s="305">
        <f>'OCT-18'!I31</f>
        <v>8604.0400000000009</v>
      </c>
      <c r="H31" s="51"/>
      <c r="I31" s="17">
        <f t="shared" si="0"/>
        <v>2483.3400000000011</v>
      </c>
      <c r="J31" s="20"/>
      <c r="K31" s="18">
        <f>5000+1120.7</f>
        <v>6120.7</v>
      </c>
    </row>
    <row r="32" spans="1:11">
      <c r="A32" s="4">
        <v>54202</v>
      </c>
      <c r="B32" s="2" t="s">
        <v>63</v>
      </c>
      <c r="C32" s="2"/>
      <c r="D32" s="3" t="s">
        <v>42</v>
      </c>
      <c r="E32" s="3" t="s">
        <v>29</v>
      </c>
      <c r="F32" s="3" t="s">
        <v>43</v>
      </c>
      <c r="G32" s="305">
        <f>'OCT-18'!I32</f>
        <v>2763.8</v>
      </c>
      <c r="H32" s="51"/>
      <c r="I32" s="17">
        <f t="shared" si="0"/>
        <v>763.80000000000018</v>
      </c>
      <c r="J32" s="20"/>
      <c r="K32" s="18">
        <v>2000</v>
      </c>
    </row>
    <row r="33" spans="1:11" ht="26.25">
      <c r="A33" s="4">
        <v>54203</v>
      </c>
      <c r="B33" s="5" t="s">
        <v>133</v>
      </c>
      <c r="C33" s="2"/>
      <c r="D33" s="3" t="s">
        <v>42</v>
      </c>
      <c r="E33" s="3" t="s">
        <v>29</v>
      </c>
      <c r="F33" s="3" t="s">
        <v>43</v>
      </c>
      <c r="G33" s="305">
        <f>'OCT-18'!I33</f>
        <v>8732.75</v>
      </c>
      <c r="H33" s="51"/>
      <c r="I33" s="17">
        <f t="shared" si="0"/>
        <v>2732.75</v>
      </c>
      <c r="J33" s="20"/>
      <c r="K33" s="21">
        <v>6000</v>
      </c>
    </row>
    <row r="34" spans="1:11">
      <c r="A34" s="4">
        <v>54204</v>
      </c>
      <c r="B34" s="2" t="s">
        <v>65</v>
      </c>
      <c r="C34" s="2"/>
      <c r="D34" s="3" t="s">
        <v>42</v>
      </c>
      <c r="E34" s="3" t="s">
        <v>29</v>
      </c>
      <c r="F34" s="3" t="s">
        <v>43</v>
      </c>
      <c r="G34" s="305">
        <f>'OCT-18'!I34</f>
        <v>100</v>
      </c>
      <c r="H34" s="51"/>
      <c r="I34" s="17">
        <f t="shared" si="0"/>
        <v>0</v>
      </c>
      <c r="J34" s="20"/>
      <c r="K34" s="18">
        <v>100</v>
      </c>
    </row>
    <row r="35" spans="1:11">
      <c r="A35" s="4">
        <v>54301</v>
      </c>
      <c r="B35" s="2" t="s">
        <v>66</v>
      </c>
      <c r="C35" s="2"/>
      <c r="D35" s="3" t="s">
        <v>42</v>
      </c>
      <c r="E35" s="3" t="s">
        <v>29</v>
      </c>
      <c r="F35" s="3" t="s">
        <v>43</v>
      </c>
      <c r="G35" s="305">
        <f>'OCT-18'!I35</f>
        <v>338</v>
      </c>
      <c r="H35" s="51"/>
      <c r="I35" s="17">
        <f t="shared" si="0"/>
        <v>0</v>
      </c>
      <c r="J35" s="21"/>
      <c r="K35" s="18">
        <v>338</v>
      </c>
    </row>
    <row r="36" spans="1:11">
      <c r="A36" s="4">
        <v>54302</v>
      </c>
      <c r="B36" s="2" t="s">
        <v>67</v>
      </c>
      <c r="C36" s="2"/>
      <c r="D36" s="3" t="s">
        <v>42</v>
      </c>
      <c r="E36" s="3" t="s">
        <v>29</v>
      </c>
      <c r="F36" s="3" t="s">
        <v>43</v>
      </c>
      <c r="G36" s="305">
        <f>'OCT-18'!I36</f>
        <v>500</v>
      </c>
      <c r="H36" s="51"/>
      <c r="I36" s="17">
        <f t="shared" si="0"/>
        <v>0</v>
      </c>
      <c r="J36" s="20"/>
      <c r="K36" s="18">
        <v>500</v>
      </c>
    </row>
    <row r="37" spans="1:11">
      <c r="A37" s="4">
        <v>54303</v>
      </c>
      <c r="B37" s="2" t="s">
        <v>68</v>
      </c>
      <c r="C37" s="2"/>
      <c r="D37" s="3" t="s">
        <v>42</v>
      </c>
      <c r="E37" s="3" t="s">
        <v>29</v>
      </c>
      <c r="F37" s="3" t="s">
        <v>43</v>
      </c>
      <c r="G37" s="305">
        <f>'OCT-18'!I37</f>
        <v>400</v>
      </c>
      <c r="H37" s="51"/>
      <c r="I37" s="17">
        <f t="shared" si="0"/>
        <v>0</v>
      </c>
      <c r="J37" s="20"/>
      <c r="K37" s="18">
        <v>400</v>
      </c>
    </row>
    <row r="38" spans="1:11">
      <c r="A38" s="4">
        <v>54304</v>
      </c>
      <c r="B38" s="2" t="s">
        <v>69</v>
      </c>
      <c r="C38" s="2"/>
      <c r="D38" s="3" t="s">
        <v>42</v>
      </c>
      <c r="E38" s="3" t="s">
        <v>29</v>
      </c>
      <c r="F38" s="3" t="s">
        <v>43</v>
      </c>
      <c r="G38" s="305">
        <f>'OCT-18'!I38</f>
        <v>268.52999999999992</v>
      </c>
      <c r="H38" s="51">
        <f>33.33+150+100+45+38.88+83.33+277.83+200+133.33+80+40+222.24</f>
        <v>1403.9399999999998</v>
      </c>
      <c r="I38" s="17">
        <f t="shared" si="0"/>
        <v>64.590000000000146</v>
      </c>
      <c r="J38" s="18">
        <f>500+700</f>
        <v>1200</v>
      </c>
      <c r="K38" s="21"/>
    </row>
    <row r="39" spans="1:11">
      <c r="A39" s="4">
        <v>54305</v>
      </c>
      <c r="B39" s="2" t="s">
        <v>70</v>
      </c>
      <c r="C39" s="2"/>
      <c r="D39" s="3" t="s">
        <v>42</v>
      </c>
      <c r="E39" s="3" t="s">
        <v>29</v>
      </c>
      <c r="F39" s="3" t="s">
        <v>43</v>
      </c>
      <c r="G39" s="305">
        <f>'OCT-18'!I39</f>
        <v>168</v>
      </c>
      <c r="H39" s="51"/>
      <c r="I39" s="17">
        <f t="shared" si="0"/>
        <v>168</v>
      </c>
      <c r="J39" s="21"/>
      <c r="K39" s="18"/>
    </row>
    <row r="40" spans="1:11">
      <c r="A40" s="4">
        <v>54313</v>
      </c>
      <c r="B40" s="2" t="s">
        <v>71</v>
      </c>
      <c r="C40" s="2"/>
      <c r="D40" s="3" t="s">
        <v>42</v>
      </c>
      <c r="E40" s="3" t="s">
        <v>29</v>
      </c>
      <c r="F40" s="3" t="s">
        <v>43</v>
      </c>
      <c r="G40" s="305">
        <f>'OCT-18'!I40</f>
        <v>162.92000000000007</v>
      </c>
      <c r="H40" s="51">
        <f>144</f>
        <v>144</v>
      </c>
      <c r="I40" s="17">
        <f t="shared" si="0"/>
        <v>118.92000000000007</v>
      </c>
      <c r="J40" s="18">
        <v>100</v>
      </c>
      <c r="K40" s="21"/>
    </row>
    <row r="41" spans="1:11">
      <c r="A41" s="4">
        <v>54316</v>
      </c>
      <c r="B41" s="2" t="s">
        <v>72</v>
      </c>
      <c r="C41" s="2"/>
      <c r="D41" s="3" t="s">
        <v>42</v>
      </c>
      <c r="E41" s="3" t="s">
        <v>29</v>
      </c>
      <c r="F41" s="3" t="s">
        <v>43</v>
      </c>
      <c r="G41" s="305">
        <f>'OCT-18'!I41</f>
        <v>161</v>
      </c>
      <c r="H41" s="51"/>
      <c r="I41" s="17">
        <f t="shared" si="0"/>
        <v>161</v>
      </c>
      <c r="J41" s="336"/>
      <c r="K41" s="18"/>
    </row>
    <row r="42" spans="1:11">
      <c r="A42" s="4">
        <v>54317</v>
      </c>
      <c r="B42" s="2" t="s">
        <v>73</v>
      </c>
      <c r="C42" s="2"/>
      <c r="D42" s="3" t="s">
        <v>42</v>
      </c>
      <c r="E42" s="3" t="s">
        <v>29</v>
      </c>
      <c r="F42" s="3" t="s">
        <v>43</v>
      </c>
      <c r="G42" s="305">
        <f>'OCT-18'!I42</f>
        <v>140</v>
      </c>
      <c r="H42" s="51">
        <f>250+330+250+110</f>
        <v>940</v>
      </c>
      <c r="I42" s="18">
        <f t="shared" si="0"/>
        <v>600</v>
      </c>
      <c r="J42" s="336">
        <f>600+200+600</f>
        <v>1400</v>
      </c>
      <c r="K42" s="18"/>
    </row>
    <row r="43" spans="1:11">
      <c r="A43" s="4">
        <v>54399</v>
      </c>
      <c r="B43" s="2" t="s">
        <v>74</v>
      </c>
      <c r="C43" s="2"/>
      <c r="D43" s="3" t="s">
        <v>42</v>
      </c>
      <c r="E43" s="3" t="s">
        <v>29</v>
      </c>
      <c r="F43" s="3" t="s">
        <v>43</v>
      </c>
      <c r="G43" s="305">
        <f>'OCT-18'!I43</f>
        <v>163.28</v>
      </c>
      <c r="H43" s="51"/>
      <c r="I43" s="17">
        <f t="shared" si="0"/>
        <v>163.28</v>
      </c>
      <c r="J43" s="18"/>
      <c r="K43" s="21"/>
    </row>
    <row r="44" spans="1:11">
      <c r="A44" s="4">
        <v>54401</v>
      </c>
      <c r="B44" s="2" t="s">
        <v>75</v>
      </c>
      <c r="C44" s="2"/>
      <c r="D44" s="3" t="s">
        <v>42</v>
      </c>
      <c r="E44" s="3" t="s">
        <v>29</v>
      </c>
      <c r="F44" s="3" t="s">
        <v>43</v>
      </c>
      <c r="G44" s="305">
        <f>'OCT-18'!I44</f>
        <v>200</v>
      </c>
      <c r="H44" s="51"/>
      <c r="I44" s="17">
        <f t="shared" si="0"/>
        <v>0</v>
      </c>
      <c r="J44" s="20"/>
      <c r="K44" s="18">
        <v>200</v>
      </c>
    </row>
    <row r="45" spans="1:11">
      <c r="A45" s="4">
        <v>54403</v>
      </c>
      <c r="B45" s="2" t="s">
        <v>76</v>
      </c>
      <c r="C45" s="2"/>
      <c r="D45" s="3" t="s">
        <v>42</v>
      </c>
      <c r="E45" s="3" t="s">
        <v>29</v>
      </c>
      <c r="F45" s="3" t="s">
        <v>43</v>
      </c>
      <c r="G45" s="305">
        <f>'OCT-18'!I45</f>
        <v>300</v>
      </c>
      <c r="H45" s="51"/>
      <c r="I45" s="17">
        <f t="shared" si="0"/>
        <v>300</v>
      </c>
      <c r="J45" s="20"/>
      <c r="K45" s="18"/>
    </row>
    <row r="46" spans="1:11">
      <c r="A46" s="4">
        <v>54501</v>
      </c>
      <c r="B46" s="2" t="s">
        <v>77</v>
      </c>
      <c r="C46" s="2"/>
      <c r="D46" s="3" t="s">
        <v>42</v>
      </c>
      <c r="E46" s="3" t="s">
        <v>29</v>
      </c>
      <c r="F46" s="3" t="s">
        <v>43</v>
      </c>
      <c r="G46" s="305">
        <f>'OCT-18'!I46</f>
        <v>3800</v>
      </c>
      <c r="H46" s="51"/>
      <c r="I46" s="17">
        <f t="shared" si="0"/>
        <v>3800</v>
      </c>
      <c r="J46" s="18"/>
      <c r="K46" s="22"/>
    </row>
    <row r="47" spans="1:11">
      <c r="A47" s="4">
        <v>54503</v>
      </c>
      <c r="B47" s="2" t="s">
        <v>78</v>
      </c>
      <c r="C47" s="2"/>
      <c r="D47" s="3" t="s">
        <v>42</v>
      </c>
      <c r="E47" s="3" t="s">
        <v>29</v>
      </c>
      <c r="F47" s="3" t="s">
        <v>43</v>
      </c>
      <c r="G47" s="305">
        <f>'OCT-18'!I47</f>
        <v>1500</v>
      </c>
      <c r="H47" s="51"/>
      <c r="I47" s="17">
        <f t="shared" si="0"/>
        <v>500</v>
      </c>
      <c r="J47" s="18"/>
      <c r="K47" s="18">
        <v>1000</v>
      </c>
    </row>
    <row r="48" spans="1:11">
      <c r="A48" s="4">
        <v>54504</v>
      </c>
      <c r="B48" s="2" t="s">
        <v>79</v>
      </c>
      <c r="C48" s="2"/>
      <c r="D48" s="3" t="s">
        <v>80</v>
      </c>
      <c r="E48" s="3" t="s">
        <v>29</v>
      </c>
      <c r="F48" s="3" t="s">
        <v>43</v>
      </c>
      <c r="G48" s="305">
        <f>'OCT-18'!I48</f>
        <v>1000</v>
      </c>
      <c r="H48" s="51"/>
      <c r="I48" s="17">
        <f t="shared" si="0"/>
        <v>1000</v>
      </c>
      <c r="J48" s="18"/>
      <c r="K48" s="18"/>
    </row>
    <row r="49" spans="1:11">
      <c r="A49" s="4">
        <v>54505</v>
      </c>
      <c r="B49" s="5" t="s">
        <v>81</v>
      </c>
      <c r="C49" s="2"/>
      <c r="D49" s="3" t="s">
        <v>42</v>
      </c>
      <c r="E49" s="3" t="s">
        <v>29</v>
      </c>
      <c r="F49" s="3" t="s">
        <v>43</v>
      </c>
      <c r="G49" s="305">
        <f>'OCT-18'!I49</f>
        <v>1000</v>
      </c>
      <c r="H49" s="51"/>
      <c r="I49" s="17">
        <f t="shared" si="0"/>
        <v>1000</v>
      </c>
      <c r="J49" s="18"/>
      <c r="K49" s="22"/>
    </row>
    <row r="50" spans="1:11" ht="20.25" customHeight="1">
      <c r="A50" s="4">
        <v>54599</v>
      </c>
      <c r="B50" s="5" t="s">
        <v>82</v>
      </c>
      <c r="C50" s="5"/>
      <c r="D50" s="3" t="s">
        <v>42</v>
      </c>
      <c r="E50" s="3" t="s">
        <v>29</v>
      </c>
      <c r="F50" s="3" t="s">
        <v>43</v>
      </c>
      <c r="G50" s="305">
        <f>'OCT-18'!I50</f>
        <v>700</v>
      </c>
      <c r="H50" s="51"/>
      <c r="I50" s="17">
        <f t="shared" si="0"/>
        <v>200</v>
      </c>
      <c r="J50" s="18"/>
      <c r="K50" s="18">
        <v>500</v>
      </c>
    </row>
    <row r="51" spans="1:11" ht="30" customHeight="1">
      <c r="A51" s="4">
        <v>55302</v>
      </c>
      <c r="B51" s="5" t="s">
        <v>83</v>
      </c>
      <c r="C51" s="2"/>
      <c r="D51" s="3" t="s">
        <v>42</v>
      </c>
      <c r="E51" s="3" t="s">
        <v>29</v>
      </c>
      <c r="F51" s="3" t="s">
        <v>43</v>
      </c>
      <c r="G51" s="305">
        <f>'OCT-18'!I51</f>
        <v>500</v>
      </c>
      <c r="H51" s="51"/>
      <c r="I51" s="17">
        <f t="shared" si="0"/>
        <v>0</v>
      </c>
      <c r="J51" s="18"/>
      <c r="K51" s="21">
        <v>500</v>
      </c>
    </row>
    <row r="52" spans="1:11">
      <c r="A52" s="4">
        <v>55601</v>
      </c>
      <c r="B52" s="2" t="s">
        <v>84</v>
      </c>
      <c r="C52" s="2" t="s">
        <v>85</v>
      </c>
      <c r="D52" s="3" t="s">
        <v>42</v>
      </c>
      <c r="E52" s="3" t="s">
        <v>29</v>
      </c>
      <c r="F52" s="3" t="s">
        <v>43</v>
      </c>
      <c r="G52" s="305">
        <f>'OCT-18'!I52</f>
        <v>3457.6</v>
      </c>
      <c r="H52" s="51"/>
      <c r="I52" s="17">
        <f t="shared" si="0"/>
        <v>0</v>
      </c>
      <c r="J52" s="18"/>
      <c r="K52" s="22">
        <v>3457.6</v>
      </c>
    </row>
    <row r="53" spans="1:11">
      <c r="A53" s="4">
        <v>55602</v>
      </c>
      <c r="B53" s="2" t="s">
        <v>86</v>
      </c>
      <c r="C53" s="2" t="s">
        <v>87</v>
      </c>
      <c r="D53" s="3" t="s">
        <v>42</v>
      </c>
      <c r="E53" s="3" t="s">
        <v>29</v>
      </c>
      <c r="F53" s="3" t="s">
        <v>43</v>
      </c>
      <c r="G53" s="305">
        <f>'OCT-18'!I53</f>
        <v>6349.89</v>
      </c>
      <c r="H53" s="51"/>
      <c r="I53" s="17">
        <f t="shared" si="0"/>
        <v>6349.89</v>
      </c>
      <c r="J53" s="18"/>
      <c r="K53" s="22"/>
    </row>
    <row r="54" spans="1:11">
      <c r="A54" s="4">
        <v>55603</v>
      </c>
      <c r="B54" s="2" t="s">
        <v>6</v>
      </c>
      <c r="C54" s="2"/>
      <c r="D54" s="3" t="s">
        <v>42</v>
      </c>
      <c r="E54" s="3" t="s">
        <v>29</v>
      </c>
      <c r="F54" s="3" t="s">
        <v>43</v>
      </c>
      <c r="G54" s="305">
        <f>'OCT-18'!I54</f>
        <v>423.43</v>
      </c>
      <c r="H54" s="276">
        <f>5.65</f>
        <v>5.65</v>
      </c>
      <c r="I54" s="17">
        <f t="shared" si="0"/>
        <v>417.78000000000003</v>
      </c>
      <c r="J54" s="18"/>
      <c r="K54" s="21"/>
    </row>
    <row r="55" spans="1:11" ht="33" customHeight="1">
      <c r="A55" s="4">
        <v>55799</v>
      </c>
      <c r="B55" s="5" t="s">
        <v>169</v>
      </c>
      <c r="C55" s="5"/>
      <c r="D55" s="3" t="s">
        <v>42</v>
      </c>
      <c r="E55" s="3" t="s">
        <v>29</v>
      </c>
      <c r="F55" s="3" t="s">
        <v>43</v>
      </c>
      <c r="G55" s="305">
        <f>'OCT-18'!I55</f>
        <v>394.71000000000004</v>
      </c>
      <c r="H55" s="51"/>
      <c r="I55" s="17">
        <f t="shared" si="0"/>
        <v>394.71000000000004</v>
      </c>
      <c r="J55" s="18"/>
      <c r="K55" s="21"/>
    </row>
    <row r="56" spans="1:11" ht="33" customHeight="1">
      <c r="A56" s="4" t="s">
        <v>170</v>
      </c>
      <c r="B56" s="5" t="s">
        <v>1028</v>
      </c>
      <c r="C56" s="5"/>
      <c r="D56" s="3" t="s">
        <v>42</v>
      </c>
      <c r="E56" s="3" t="s">
        <v>29</v>
      </c>
      <c r="F56" s="3" t="s">
        <v>43</v>
      </c>
      <c r="G56" s="305">
        <f>'OCT-18'!I56</f>
        <v>700</v>
      </c>
      <c r="H56" s="51"/>
      <c r="I56" s="17">
        <f t="shared" si="0"/>
        <v>700</v>
      </c>
      <c r="J56" s="18"/>
      <c r="K56" s="21"/>
    </row>
    <row r="57" spans="1:11" ht="39">
      <c r="A57" s="4" t="s">
        <v>171</v>
      </c>
      <c r="B57" s="5" t="s">
        <v>1137</v>
      </c>
      <c r="C57" s="5"/>
      <c r="D57" s="3" t="s">
        <v>42</v>
      </c>
      <c r="E57" s="3" t="s">
        <v>29</v>
      </c>
      <c r="F57" s="3" t="s">
        <v>43</v>
      </c>
      <c r="G57" s="305">
        <f>'OCT-18'!I57</f>
        <v>37.510000000000161</v>
      </c>
      <c r="H57" s="51">
        <f>369+38.7</f>
        <v>407.7</v>
      </c>
      <c r="I57" s="17">
        <f t="shared" si="0"/>
        <v>629.81000000000017</v>
      </c>
      <c r="J57" s="18">
        <v>1000</v>
      </c>
      <c r="K57" s="18"/>
    </row>
    <row r="58" spans="1:11" ht="27">
      <c r="A58" s="4" t="s">
        <v>161</v>
      </c>
      <c r="B58" s="5" t="s">
        <v>1027</v>
      </c>
      <c r="C58" s="5"/>
      <c r="D58" s="3" t="s">
        <v>42</v>
      </c>
      <c r="E58" s="3" t="s">
        <v>29</v>
      </c>
      <c r="F58" s="3" t="s">
        <v>43</v>
      </c>
      <c r="G58" s="305">
        <f>'OCT-18'!I58</f>
        <v>400</v>
      </c>
      <c r="H58" s="51">
        <v>300</v>
      </c>
      <c r="I58" s="17">
        <f t="shared" si="0"/>
        <v>400</v>
      </c>
      <c r="J58" s="18">
        <v>300</v>
      </c>
      <c r="K58" s="18"/>
    </row>
    <row r="59" spans="1:11" ht="21" customHeight="1">
      <c r="A59" s="4">
        <v>56303</v>
      </c>
      <c r="B59" s="2" t="s">
        <v>90</v>
      </c>
      <c r="C59" s="2"/>
      <c r="D59" s="3" t="s">
        <v>42</v>
      </c>
      <c r="E59" s="3" t="s">
        <v>29</v>
      </c>
      <c r="F59" s="3" t="s">
        <v>43</v>
      </c>
      <c r="G59" s="305">
        <f>'OCT-18'!I59</f>
        <v>2055.6899999999982</v>
      </c>
      <c r="H59" s="51">
        <f>1170.5+150+100+336+75+80+200+107+15+225+50+125+200+20+40+200+30+1111.12+75+37.93+80+270.5</f>
        <v>4698.05</v>
      </c>
      <c r="I59" s="18">
        <f t="shared" si="0"/>
        <v>57.639999999998054</v>
      </c>
      <c r="J59" s="18">
        <v>2700</v>
      </c>
      <c r="K59" s="18"/>
    </row>
    <row r="60" spans="1:11" ht="21.75" customHeight="1">
      <c r="A60" s="4">
        <v>56304</v>
      </c>
      <c r="B60" s="2" t="s">
        <v>91</v>
      </c>
      <c r="C60" s="2"/>
      <c r="D60" s="3" t="s">
        <v>42</v>
      </c>
      <c r="E60" s="3" t="s">
        <v>29</v>
      </c>
      <c r="F60" s="3" t="s">
        <v>43</v>
      </c>
      <c r="G60" s="305">
        <f>'OCT-18'!I60</f>
        <v>100.65000000000055</v>
      </c>
      <c r="H60" s="51">
        <f>50+45+55+500+150+150+150+150+80+100+50+100+100+80+50+100+43+25+25+25+25+25+25+25+25+25+25+25+25+25+25+25+40+100+56.4+50+50+620.23+20</f>
        <v>3264.63</v>
      </c>
      <c r="I60" s="18">
        <f>G60-H60+J60-K60</f>
        <v>836.02000000000044</v>
      </c>
      <c r="J60" s="18">
        <f>4000</f>
        <v>4000</v>
      </c>
      <c r="K60" s="18"/>
    </row>
    <row r="61" spans="1:11" ht="45.75" customHeight="1">
      <c r="A61" s="38" t="s">
        <v>8</v>
      </c>
      <c r="B61" s="39" t="s">
        <v>92</v>
      </c>
      <c r="C61" s="39"/>
      <c r="D61" s="39" t="s">
        <v>42</v>
      </c>
      <c r="E61" s="39" t="s">
        <v>29</v>
      </c>
      <c r="F61" s="39" t="s">
        <v>43</v>
      </c>
      <c r="G61" s="305">
        <f>SUM(G4:G60)</f>
        <v>93514.06</v>
      </c>
      <c r="H61" s="95">
        <f>SUM(H4:H60)</f>
        <v>25836.570000000003</v>
      </c>
      <c r="I61" s="40">
        <f>G61-H61+J61-K61</f>
        <v>58527.289999999994</v>
      </c>
      <c r="J61" s="107">
        <f>SUM(J4:J60)</f>
        <v>25266.1</v>
      </c>
      <c r="K61" s="107">
        <f>SUM(K4:K60)</f>
        <v>34416.300000000003</v>
      </c>
    </row>
    <row r="62" spans="1:11">
      <c r="A62" s="4">
        <v>51103</v>
      </c>
      <c r="B62" s="2" t="s">
        <v>173</v>
      </c>
      <c r="C62" s="2"/>
      <c r="D62" s="3" t="s">
        <v>94</v>
      </c>
      <c r="E62" s="3" t="s">
        <v>29</v>
      </c>
      <c r="F62" s="3" t="s">
        <v>43</v>
      </c>
      <c r="G62" s="305">
        <f>'OCT-18'!I62</f>
        <v>100</v>
      </c>
      <c r="H62" s="51"/>
      <c r="I62" s="17">
        <f t="shared" si="0"/>
        <v>5157.9799999999996</v>
      </c>
      <c r="J62" s="395">
        <f>4314+743.98</f>
        <v>5057.9799999999996</v>
      </c>
      <c r="K62" s="28"/>
    </row>
    <row r="63" spans="1:11">
      <c r="A63" s="4">
        <v>51107</v>
      </c>
      <c r="B63" s="2" t="s">
        <v>93</v>
      </c>
      <c r="C63" s="2"/>
      <c r="D63" s="3" t="s">
        <v>94</v>
      </c>
      <c r="E63" s="3" t="s">
        <v>29</v>
      </c>
      <c r="F63" s="3" t="s">
        <v>43</v>
      </c>
      <c r="G63" s="305">
        <f>'OCT-18'!I63</f>
        <v>118.66999999999996</v>
      </c>
      <c r="H63" s="51"/>
      <c r="I63" s="17">
        <f t="shared" si="0"/>
        <v>118.66999999999996</v>
      </c>
      <c r="J63" s="27"/>
      <c r="K63" s="28"/>
    </row>
    <row r="64" spans="1:11">
      <c r="A64" s="4">
        <v>51301</v>
      </c>
      <c r="B64" s="2" t="s">
        <v>45</v>
      </c>
      <c r="C64" s="2"/>
      <c r="D64" s="3" t="s">
        <v>94</v>
      </c>
      <c r="E64" s="3" t="s">
        <v>29</v>
      </c>
      <c r="F64" s="3" t="s">
        <v>43</v>
      </c>
      <c r="G64" s="305">
        <f>'OCT-18'!I64</f>
        <v>1500</v>
      </c>
      <c r="H64" s="51"/>
      <c r="I64" s="17">
        <f t="shared" si="0"/>
        <v>500</v>
      </c>
      <c r="J64" s="27"/>
      <c r="K64" s="29">
        <v>1000</v>
      </c>
    </row>
    <row r="65" spans="1:11" ht="25.5">
      <c r="A65" s="4">
        <v>51401</v>
      </c>
      <c r="B65" s="7" t="s">
        <v>128</v>
      </c>
      <c r="C65" s="2"/>
      <c r="D65" s="3" t="s">
        <v>94</v>
      </c>
      <c r="E65" s="3" t="s">
        <v>29</v>
      </c>
      <c r="F65" s="3" t="s">
        <v>43</v>
      </c>
      <c r="G65" s="305">
        <f>'OCT-18'!I65</f>
        <v>1599.1</v>
      </c>
      <c r="H65" s="51"/>
      <c r="I65" s="17">
        <f t="shared" si="0"/>
        <v>599.09999999999991</v>
      </c>
      <c r="J65" s="27"/>
      <c r="K65" s="30">
        <v>1000</v>
      </c>
    </row>
    <row r="66" spans="1:11" ht="36">
      <c r="A66" s="4">
        <v>51501</v>
      </c>
      <c r="B66" s="5" t="s">
        <v>141</v>
      </c>
      <c r="C66" s="2"/>
      <c r="D66" s="3" t="s">
        <v>94</v>
      </c>
      <c r="E66" s="3" t="s">
        <v>29</v>
      </c>
      <c r="F66" s="3" t="s">
        <v>43</v>
      </c>
      <c r="G66" s="305">
        <f>'OCT-18'!I66</f>
        <v>1389.16</v>
      </c>
      <c r="H66" s="51"/>
      <c r="I66" s="17">
        <f t="shared" si="0"/>
        <v>389.16000000000008</v>
      </c>
      <c r="J66" s="27"/>
      <c r="K66" s="21">
        <v>1000</v>
      </c>
    </row>
    <row r="67" spans="1:11">
      <c r="A67" s="4">
        <v>54104</v>
      </c>
      <c r="B67" s="2" t="s">
        <v>10</v>
      </c>
      <c r="C67" s="2"/>
      <c r="D67" s="3" t="s">
        <v>94</v>
      </c>
      <c r="E67" s="3" t="s">
        <v>29</v>
      </c>
      <c r="F67" s="3" t="s">
        <v>43</v>
      </c>
      <c r="G67" s="305">
        <f>'OCT-18'!I67</f>
        <v>1000</v>
      </c>
      <c r="H67" s="51"/>
      <c r="I67" s="17">
        <f t="shared" si="0"/>
        <v>0</v>
      </c>
      <c r="J67" s="27"/>
      <c r="K67" s="22">
        <v>1000</v>
      </c>
    </row>
    <row r="68" spans="1:11">
      <c r="A68" s="4">
        <v>54105</v>
      </c>
      <c r="B68" s="2" t="s">
        <v>49</v>
      </c>
      <c r="C68" s="2"/>
      <c r="D68" s="3" t="s">
        <v>94</v>
      </c>
      <c r="E68" s="3" t="s">
        <v>29</v>
      </c>
      <c r="F68" s="3" t="s">
        <v>43</v>
      </c>
      <c r="G68" s="305">
        <f>'OCT-18'!I68</f>
        <v>14.680000000000064</v>
      </c>
      <c r="H68" s="51"/>
      <c r="I68" s="17">
        <f t="shared" si="0"/>
        <v>14.680000000000064</v>
      </c>
      <c r="J68" s="27"/>
      <c r="K68" s="18"/>
    </row>
    <row r="69" spans="1:11">
      <c r="A69" s="4">
        <v>54114</v>
      </c>
      <c r="B69" s="2" t="s">
        <v>56</v>
      </c>
      <c r="C69" s="2"/>
      <c r="D69" s="3" t="s">
        <v>94</v>
      </c>
      <c r="E69" s="3" t="s">
        <v>29</v>
      </c>
      <c r="F69" s="3" t="s">
        <v>43</v>
      </c>
      <c r="G69" s="305">
        <f>'OCT-18'!I69</f>
        <v>1169.0299999999997</v>
      </c>
      <c r="H69" s="51">
        <v>22.8</v>
      </c>
      <c r="I69" s="17">
        <f t="shared" si="0"/>
        <v>1146.2299999999998</v>
      </c>
      <c r="J69" s="27"/>
      <c r="K69" s="21"/>
    </row>
    <row r="70" spans="1:11">
      <c r="A70" s="4">
        <v>54115</v>
      </c>
      <c r="B70" s="2" t="s">
        <v>57</v>
      </c>
      <c r="C70" s="2"/>
      <c r="D70" s="3" t="s">
        <v>94</v>
      </c>
      <c r="E70" s="3" t="s">
        <v>29</v>
      </c>
      <c r="F70" s="3" t="s">
        <v>43</v>
      </c>
      <c r="G70" s="305">
        <f>'OCT-18'!I70</f>
        <v>196.07999999999993</v>
      </c>
      <c r="H70" s="51"/>
      <c r="I70" s="17">
        <f t="shared" si="0"/>
        <v>196.07999999999993</v>
      </c>
      <c r="J70" s="31"/>
      <c r="K70" s="21"/>
    </row>
    <row r="71" spans="1:11">
      <c r="A71" s="4">
        <v>54401</v>
      </c>
      <c r="B71" s="2" t="s">
        <v>75</v>
      </c>
      <c r="C71" s="2"/>
      <c r="D71" s="3" t="s">
        <v>94</v>
      </c>
      <c r="E71" s="3" t="s">
        <v>29</v>
      </c>
      <c r="F71" s="3" t="s">
        <v>43</v>
      </c>
      <c r="G71" s="305">
        <f>'OCT-18'!I71</f>
        <v>200</v>
      </c>
      <c r="H71" s="51"/>
      <c r="I71" s="17">
        <f t="shared" si="0"/>
        <v>200</v>
      </c>
      <c r="J71" s="27"/>
      <c r="K71" s="21"/>
    </row>
    <row r="72" spans="1:11">
      <c r="A72" s="4">
        <v>54403</v>
      </c>
      <c r="B72" s="2" t="s">
        <v>76</v>
      </c>
      <c r="C72" s="2"/>
      <c r="D72" s="3" t="s">
        <v>94</v>
      </c>
      <c r="E72" s="3" t="s">
        <v>29</v>
      </c>
      <c r="F72" s="3" t="s">
        <v>43</v>
      </c>
      <c r="G72" s="305">
        <f>'OCT-18'!I72</f>
        <v>288</v>
      </c>
      <c r="H72" s="51"/>
      <c r="I72" s="17">
        <f>G72-H72+J72-K72</f>
        <v>288</v>
      </c>
      <c r="J72" s="27"/>
      <c r="K72" s="28"/>
    </row>
    <row r="73" spans="1:11" ht="21" customHeight="1">
      <c r="A73" s="4">
        <v>54507</v>
      </c>
      <c r="B73" s="5" t="s">
        <v>95</v>
      </c>
      <c r="C73" s="2"/>
      <c r="D73" s="3" t="s">
        <v>94</v>
      </c>
      <c r="E73" s="3" t="s">
        <v>29</v>
      </c>
      <c r="F73" s="3" t="s">
        <v>43</v>
      </c>
      <c r="G73" s="305">
        <f>'OCT-18'!I73</f>
        <v>489.6</v>
      </c>
      <c r="H73" s="51"/>
      <c r="I73" s="17">
        <f>G73-H73+J73-K73</f>
        <v>489.6</v>
      </c>
      <c r="J73" s="32"/>
      <c r="K73" s="28"/>
    </row>
    <row r="74" spans="1:11" ht="21">
      <c r="A74" s="38" t="s">
        <v>8</v>
      </c>
      <c r="B74" s="39" t="s">
        <v>96</v>
      </c>
      <c r="C74" s="39"/>
      <c r="D74" s="39" t="s">
        <v>94</v>
      </c>
      <c r="E74" s="39" t="s">
        <v>29</v>
      </c>
      <c r="F74" s="39" t="s">
        <v>43</v>
      </c>
      <c r="G74" s="440">
        <f>'OCT-18'!I74</f>
        <v>8064.3200000000052</v>
      </c>
      <c r="H74" s="95">
        <f>SUM(H62:H73)</f>
        <v>22.8</v>
      </c>
      <c r="I74" s="40">
        <f>G74-H74+J74-K74</f>
        <v>9099.5000000000036</v>
      </c>
      <c r="J74" s="107">
        <f>SUM(J62:J73)</f>
        <v>5057.9799999999996</v>
      </c>
      <c r="K74" s="107">
        <f>SUM(K62:K73)</f>
        <v>4000</v>
      </c>
    </row>
    <row r="75" spans="1:11">
      <c r="A75" s="4">
        <v>51103</v>
      </c>
      <c r="B75" s="2" t="s">
        <v>174</v>
      </c>
      <c r="C75" s="2"/>
      <c r="D75" s="3" t="s">
        <v>97</v>
      </c>
      <c r="E75" s="3" t="s">
        <v>29</v>
      </c>
      <c r="F75" s="3" t="s">
        <v>43</v>
      </c>
      <c r="G75" s="305">
        <f>'OCT-18'!I75</f>
        <v>100</v>
      </c>
      <c r="H75" s="51"/>
      <c r="I75" s="170">
        <f t="shared" ref="I75:I100" si="1">G75-H75+J75-K75</f>
        <v>20492.22</v>
      </c>
      <c r="J75" s="28">
        <f>15944.72+2027.5+2420</f>
        <v>20392.22</v>
      </c>
      <c r="K75" s="28"/>
    </row>
    <row r="76" spans="1:11">
      <c r="A76" s="4">
        <v>51107</v>
      </c>
      <c r="B76" s="2" t="s">
        <v>93</v>
      </c>
      <c r="C76" s="2"/>
      <c r="D76" s="3" t="s">
        <v>97</v>
      </c>
      <c r="E76" s="3" t="s">
        <v>29</v>
      </c>
      <c r="F76" s="3" t="s">
        <v>43</v>
      </c>
      <c r="G76" s="305">
        <f>'OCT-18'!I76</f>
        <v>333.21000000000004</v>
      </c>
      <c r="H76" s="51">
        <f>26.92+26.92+26.92+26.92+26.92+26.92</f>
        <v>161.52000000000004</v>
      </c>
      <c r="I76" s="418">
        <f t="shared" si="1"/>
        <v>171.69</v>
      </c>
      <c r="J76" s="28"/>
      <c r="K76" s="28"/>
    </row>
    <row r="77" spans="1:11">
      <c r="A77" s="4">
        <v>51201</v>
      </c>
      <c r="B77" s="2" t="s">
        <v>44</v>
      </c>
      <c r="C77" s="2"/>
      <c r="D77" s="3" t="s">
        <v>97</v>
      </c>
      <c r="E77" s="3" t="s">
        <v>29</v>
      </c>
      <c r="F77" s="3" t="s">
        <v>43</v>
      </c>
      <c r="G77" s="305">
        <f>'OCT-18'!I77</f>
        <v>402.5</v>
      </c>
      <c r="H77" s="51"/>
      <c r="I77" s="170">
        <f t="shared" si="1"/>
        <v>402.5</v>
      </c>
      <c r="J77" s="30"/>
      <c r="K77" s="28"/>
    </row>
    <row r="78" spans="1:11">
      <c r="A78" s="4">
        <v>51301</v>
      </c>
      <c r="B78" s="7" t="s">
        <v>98</v>
      </c>
      <c r="C78" s="2"/>
      <c r="D78" s="3" t="s">
        <v>97</v>
      </c>
      <c r="E78" s="3" t="s">
        <v>29</v>
      </c>
      <c r="F78" s="3" t="s">
        <v>43</v>
      </c>
      <c r="G78" s="305">
        <f>'OCT-18'!I78</f>
        <v>1500</v>
      </c>
      <c r="H78" s="51"/>
      <c r="I78" s="170">
        <f t="shared" si="1"/>
        <v>500</v>
      </c>
      <c r="J78" s="30"/>
      <c r="K78" s="28">
        <v>1000</v>
      </c>
    </row>
    <row r="79" spans="1:11" ht="48.75" customHeight="1">
      <c r="A79" s="4">
        <v>51401</v>
      </c>
      <c r="B79" s="7" t="s">
        <v>134</v>
      </c>
      <c r="C79" s="2"/>
      <c r="D79" s="3" t="s">
        <v>97</v>
      </c>
      <c r="E79" s="3" t="s">
        <v>29</v>
      </c>
      <c r="F79" s="3" t="s">
        <v>43</v>
      </c>
      <c r="G79" s="305">
        <f>'OCT-18'!I79</f>
        <v>6336.74</v>
      </c>
      <c r="H79" s="51"/>
      <c r="I79" s="170">
        <f t="shared" si="1"/>
        <v>1336.7399999999998</v>
      </c>
      <c r="J79" s="29"/>
      <c r="K79" s="28">
        <v>5000</v>
      </c>
    </row>
    <row r="80" spans="1:11" ht="36">
      <c r="A80" s="4">
        <v>51501</v>
      </c>
      <c r="B80" s="5" t="s">
        <v>127</v>
      </c>
      <c r="C80" s="2"/>
      <c r="D80" s="3" t="s">
        <v>97</v>
      </c>
      <c r="E80" s="3" t="s">
        <v>29</v>
      </c>
      <c r="F80" s="3" t="s">
        <v>43</v>
      </c>
      <c r="G80" s="305">
        <f>'OCT-18'!I80</f>
        <v>6853.28</v>
      </c>
      <c r="H80" s="51"/>
      <c r="I80" s="170">
        <f t="shared" si="1"/>
        <v>1853.2799999999997</v>
      </c>
      <c r="J80" s="27"/>
      <c r="K80" s="28">
        <v>5000</v>
      </c>
    </row>
    <row r="81" spans="1:11" ht="24" customHeight="1">
      <c r="A81" s="4">
        <v>54104</v>
      </c>
      <c r="B81" s="2" t="s">
        <v>10</v>
      </c>
      <c r="C81" s="2"/>
      <c r="D81" s="3" t="s">
        <v>97</v>
      </c>
      <c r="E81" s="3" t="s">
        <v>29</v>
      </c>
      <c r="F81" s="3" t="s">
        <v>43</v>
      </c>
      <c r="G81" s="305">
        <f>'OCT-18'!I81</f>
        <v>1289.5</v>
      </c>
      <c r="H81" s="51"/>
      <c r="I81" s="170">
        <f t="shared" si="1"/>
        <v>789.5</v>
      </c>
      <c r="J81" s="28"/>
      <c r="K81" s="28">
        <v>500</v>
      </c>
    </row>
    <row r="82" spans="1:11" ht="21.75" customHeight="1">
      <c r="A82" s="4">
        <v>54105</v>
      </c>
      <c r="B82" s="2" t="s">
        <v>49</v>
      </c>
      <c r="C82" s="2"/>
      <c r="D82" s="3" t="s">
        <v>97</v>
      </c>
      <c r="E82" s="3" t="s">
        <v>29</v>
      </c>
      <c r="F82" s="3" t="s">
        <v>43</v>
      </c>
      <c r="G82" s="305">
        <f>'OCT-18'!I82</f>
        <v>491.65</v>
      </c>
      <c r="H82" s="51"/>
      <c r="I82" s="170">
        <f t="shared" si="1"/>
        <v>91.649999999999977</v>
      </c>
      <c r="J82" s="27"/>
      <c r="K82" s="28">
        <v>400</v>
      </c>
    </row>
    <row r="83" spans="1:11" ht="27" customHeight="1">
      <c r="A83" s="4">
        <v>54106</v>
      </c>
      <c r="B83" s="5" t="s">
        <v>99</v>
      </c>
      <c r="C83" s="5"/>
      <c r="D83" s="3" t="s">
        <v>97</v>
      </c>
      <c r="E83" s="3" t="s">
        <v>29</v>
      </c>
      <c r="F83" s="3" t="s">
        <v>43</v>
      </c>
      <c r="G83" s="305">
        <f>'OCT-18'!I83</f>
        <v>380.62</v>
      </c>
      <c r="H83" s="51"/>
      <c r="I83" s="170">
        <f t="shared" si="1"/>
        <v>80.62</v>
      </c>
      <c r="J83" s="27"/>
      <c r="K83" s="28">
        <v>300</v>
      </c>
    </row>
    <row r="84" spans="1:11" ht="24" customHeight="1">
      <c r="A84" s="4">
        <v>54109</v>
      </c>
      <c r="B84" s="2" t="s">
        <v>52</v>
      </c>
      <c r="C84" s="2"/>
      <c r="D84" s="3" t="s">
        <v>97</v>
      </c>
      <c r="E84" s="3" t="s">
        <v>29</v>
      </c>
      <c r="F84" s="3" t="s">
        <v>43</v>
      </c>
      <c r="G84" s="305">
        <f>'OCT-18'!I84</f>
        <v>0</v>
      </c>
      <c r="H84" s="51"/>
      <c r="I84" s="170">
        <f t="shared" si="1"/>
        <v>0</v>
      </c>
      <c r="J84" s="33"/>
      <c r="K84" s="28"/>
    </row>
    <row r="85" spans="1:11" ht="28.5" customHeight="1">
      <c r="A85" s="4">
        <v>54110</v>
      </c>
      <c r="B85" s="2" t="s">
        <v>53</v>
      </c>
      <c r="C85" s="2"/>
      <c r="D85" s="3" t="s">
        <v>97</v>
      </c>
      <c r="E85" s="3" t="s">
        <v>29</v>
      </c>
      <c r="F85" s="3" t="s">
        <v>43</v>
      </c>
      <c r="G85" s="305">
        <f>'OCT-18'!I85</f>
        <v>2309.0299999999997</v>
      </c>
      <c r="H85" s="51">
        <f>1150.31+1041.85</f>
        <v>2192.16</v>
      </c>
      <c r="I85" s="170">
        <f t="shared" si="1"/>
        <v>116.86999999999989</v>
      </c>
      <c r="J85" s="33"/>
      <c r="K85" s="30"/>
    </row>
    <row r="86" spans="1:11" ht="30.75" customHeight="1">
      <c r="A86" s="4">
        <v>54111</v>
      </c>
      <c r="B86" s="5" t="s">
        <v>54</v>
      </c>
      <c r="C86" s="2"/>
      <c r="D86" s="3" t="s">
        <v>97</v>
      </c>
      <c r="E86" s="3" t="s">
        <v>29</v>
      </c>
      <c r="F86" s="3" t="s">
        <v>43</v>
      </c>
      <c r="G86" s="305">
        <f>'OCT-18'!I86</f>
        <v>188</v>
      </c>
      <c r="H86" s="51"/>
      <c r="I86" s="170">
        <f t="shared" si="1"/>
        <v>188</v>
      </c>
      <c r="J86" s="33"/>
      <c r="K86" s="277"/>
    </row>
    <row r="87" spans="1:11" ht="39">
      <c r="A87" s="4">
        <v>54112</v>
      </c>
      <c r="B87" s="5" t="s">
        <v>55</v>
      </c>
      <c r="C87" s="2"/>
      <c r="D87" s="3" t="s">
        <v>97</v>
      </c>
      <c r="E87" s="3" t="s">
        <v>29</v>
      </c>
      <c r="F87" s="3" t="s">
        <v>43</v>
      </c>
      <c r="G87" s="305">
        <f>'OCT-18'!I87</f>
        <v>176</v>
      </c>
      <c r="H87" s="51"/>
      <c r="I87" s="170">
        <f t="shared" si="1"/>
        <v>176</v>
      </c>
      <c r="J87" s="33"/>
      <c r="K87" s="28"/>
    </row>
    <row r="88" spans="1:11" ht="18" customHeight="1">
      <c r="A88" s="4">
        <v>54114</v>
      </c>
      <c r="B88" s="2" t="s">
        <v>56</v>
      </c>
      <c r="C88" s="2"/>
      <c r="D88" s="3" t="s">
        <v>97</v>
      </c>
      <c r="E88" s="3" t="s">
        <v>29</v>
      </c>
      <c r="F88" s="3" t="s">
        <v>43</v>
      </c>
      <c r="G88" s="305">
        <f>'OCT-18'!I88</f>
        <v>400</v>
      </c>
      <c r="H88" s="51"/>
      <c r="I88" s="170">
        <f t="shared" si="1"/>
        <v>0</v>
      </c>
      <c r="J88" s="27"/>
      <c r="K88" s="28">
        <v>400</v>
      </c>
    </row>
    <row r="89" spans="1:11">
      <c r="A89" s="4">
        <v>54115</v>
      </c>
      <c r="B89" s="2" t="s">
        <v>57</v>
      </c>
      <c r="C89" s="2"/>
      <c r="D89" s="3" t="s">
        <v>97</v>
      </c>
      <c r="E89" s="3" t="s">
        <v>29</v>
      </c>
      <c r="F89" s="3" t="s">
        <v>43</v>
      </c>
      <c r="G89" s="305">
        <f>'OCT-18'!I89</f>
        <v>470</v>
      </c>
      <c r="H89" s="51">
        <f>80+924.22</f>
        <v>1004.22</v>
      </c>
      <c r="I89" s="170">
        <f t="shared" si="1"/>
        <v>465.78</v>
      </c>
      <c r="J89" s="33">
        <v>1000</v>
      </c>
      <c r="K89" s="28"/>
    </row>
    <row r="90" spans="1:11" ht="27" customHeight="1">
      <c r="A90" s="4">
        <v>54118</v>
      </c>
      <c r="B90" s="5" t="s">
        <v>100</v>
      </c>
      <c r="C90" s="2"/>
      <c r="D90" s="3" t="s">
        <v>97</v>
      </c>
      <c r="E90" s="3" t="s">
        <v>29</v>
      </c>
      <c r="F90" s="3" t="s">
        <v>43</v>
      </c>
      <c r="G90" s="305">
        <f>'OCT-18'!I90</f>
        <v>462.17</v>
      </c>
      <c r="H90" s="51">
        <f>70.5+265</f>
        <v>335.5</v>
      </c>
      <c r="I90" s="170">
        <f t="shared" si="1"/>
        <v>126.67000000000002</v>
      </c>
      <c r="J90" s="30"/>
      <c r="K90" s="28"/>
    </row>
    <row r="91" spans="1:11">
      <c r="A91" s="4">
        <v>54119</v>
      </c>
      <c r="B91" s="2" t="s">
        <v>60</v>
      </c>
      <c r="C91" s="2"/>
      <c r="D91" s="3" t="s">
        <v>97</v>
      </c>
      <c r="E91" s="3" t="s">
        <v>29</v>
      </c>
      <c r="F91" s="3" t="s">
        <v>43</v>
      </c>
      <c r="G91" s="305">
        <f>'OCT-18'!I91</f>
        <v>551.05000000000007</v>
      </c>
      <c r="H91" s="51"/>
      <c r="I91" s="170">
        <f t="shared" si="1"/>
        <v>51.050000000000068</v>
      </c>
      <c r="J91" s="30"/>
      <c r="K91" s="28">
        <v>500</v>
      </c>
    </row>
    <row r="92" spans="1:11">
      <c r="A92" s="4">
        <v>54199</v>
      </c>
      <c r="B92" s="2" t="s">
        <v>61</v>
      </c>
      <c r="C92" s="2"/>
      <c r="D92" s="3" t="s">
        <v>97</v>
      </c>
      <c r="E92" s="3" t="s">
        <v>29</v>
      </c>
      <c r="F92" s="3" t="s">
        <v>43</v>
      </c>
      <c r="G92" s="305">
        <f>'OCT-18'!I92</f>
        <v>167.03000000000009</v>
      </c>
      <c r="H92" s="51">
        <v>115.5</v>
      </c>
      <c r="I92" s="170">
        <f t="shared" si="1"/>
        <v>51.530000000000086</v>
      </c>
      <c r="J92" s="33"/>
      <c r="K92" s="28"/>
    </row>
    <row r="93" spans="1:11">
      <c r="A93" s="4">
        <v>54301</v>
      </c>
      <c r="B93" s="2" t="s">
        <v>66</v>
      </c>
      <c r="C93" s="2"/>
      <c r="D93" s="3" t="s">
        <v>97</v>
      </c>
      <c r="E93" s="3" t="s">
        <v>29</v>
      </c>
      <c r="F93" s="3" t="s">
        <v>43</v>
      </c>
      <c r="G93" s="305">
        <f>'OCT-18'!I93</f>
        <v>124.32999999999998</v>
      </c>
      <c r="H93" s="51">
        <f>35</f>
        <v>35</v>
      </c>
      <c r="I93" s="170">
        <f t="shared" si="1"/>
        <v>89.329999999999984</v>
      </c>
      <c r="J93" s="29"/>
      <c r="K93" s="28"/>
    </row>
    <row r="94" spans="1:11">
      <c r="A94" s="4">
        <v>54302</v>
      </c>
      <c r="B94" s="2" t="s">
        <v>67</v>
      </c>
      <c r="C94" s="2"/>
      <c r="D94" s="3" t="s">
        <v>97</v>
      </c>
      <c r="E94" s="3" t="s">
        <v>29</v>
      </c>
      <c r="F94" s="3" t="s">
        <v>43</v>
      </c>
      <c r="G94" s="305">
        <f>'OCT-18'!I94</f>
        <v>360</v>
      </c>
      <c r="H94" s="51"/>
      <c r="I94" s="170">
        <f t="shared" si="1"/>
        <v>360</v>
      </c>
      <c r="J94" s="27"/>
      <c r="K94" s="28"/>
    </row>
    <row r="95" spans="1:11" ht="24.75" customHeight="1">
      <c r="A95" s="4">
        <v>54314</v>
      </c>
      <c r="B95" s="5" t="s">
        <v>101</v>
      </c>
      <c r="C95" s="2"/>
      <c r="D95" s="3" t="s">
        <v>97</v>
      </c>
      <c r="E95" s="3" t="s">
        <v>29</v>
      </c>
      <c r="F95" s="3" t="s">
        <v>43</v>
      </c>
      <c r="G95" s="305">
        <f>'OCT-18'!I95</f>
        <v>7151.8600000000006</v>
      </c>
      <c r="H95" s="51">
        <f>80+15+225</f>
        <v>320</v>
      </c>
      <c r="I95" s="170">
        <f t="shared" si="1"/>
        <v>6831.8600000000006</v>
      </c>
      <c r="J95" s="33"/>
      <c r="K95" s="315"/>
    </row>
    <row r="96" spans="1:11">
      <c r="A96" s="4">
        <v>54399</v>
      </c>
      <c r="B96" s="2" t="s">
        <v>74</v>
      </c>
      <c r="C96" s="2"/>
      <c r="D96" s="3" t="s">
        <v>97</v>
      </c>
      <c r="E96" s="3" t="s">
        <v>29</v>
      </c>
      <c r="F96" s="3" t="s">
        <v>43</v>
      </c>
      <c r="G96" s="305">
        <f>'OCT-18'!I96</f>
        <v>352.16999999999996</v>
      </c>
      <c r="H96" s="51">
        <f>277.78</f>
        <v>277.77999999999997</v>
      </c>
      <c r="I96" s="170">
        <f t="shared" si="1"/>
        <v>74.389999999999986</v>
      </c>
      <c r="J96" s="33"/>
      <c r="K96" s="33"/>
    </row>
    <row r="97" spans="1:11">
      <c r="A97" s="4">
        <v>54401</v>
      </c>
      <c r="B97" s="2" t="s">
        <v>75</v>
      </c>
      <c r="C97" s="2"/>
      <c r="D97" s="3" t="s">
        <v>97</v>
      </c>
      <c r="E97" s="3" t="s">
        <v>29</v>
      </c>
      <c r="F97" s="3" t="s">
        <v>43</v>
      </c>
      <c r="G97" s="305">
        <f>'OCT-18'!I97</f>
        <v>400</v>
      </c>
      <c r="H97" s="51"/>
      <c r="I97" s="170">
        <f t="shared" si="1"/>
        <v>200</v>
      </c>
      <c r="J97" s="34"/>
      <c r="K97" s="28">
        <v>200</v>
      </c>
    </row>
    <row r="98" spans="1:11">
      <c r="A98" s="4">
        <v>54403</v>
      </c>
      <c r="B98" s="2" t="s">
        <v>102</v>
      </c>
      <c r="C98" s="2"/>
      <c r="D98" s="3" t="s">
        <v>97</v>
      </c>
      <c r="E98" s="3" t="s">
        <v>29</v>
      </c>
      <c r="F98" s="3" t="s">
        <v>43</v>
      </c>
      <c r="G98" s="305">
        <f>'OCT-18'!I98</f>
        <v>321.48</v>
      </c>
      <c r="H98" s="51"/>
      <c r="I98" s="170">
        <f t="shared" si="1"/>
        <v>321.48</v>
      </c>
      <c r="J98" s="34"/>
      <c r="K98" s="28"/>
    </row>
    <row r="99" spans="1:11" ht="21.75" customHeight="1">
      <c r="A99" s="4">
        <v>54507</v>
      </c>
      <c r="B99" s="5" t="s">
        <v>103</v>
      </c>
      <c r="C99" s="5"/>
      <c r="D99" s="3" t="s">
        <v>97</v>
      </c>
      <c r="E99" s="3" t="s">
        <v>29</v>
      </c>
      <c r="F99" s="3" t="s">
        <v>43</v>
      </c>
      <c r="G99" s="305">
        <f>'OCT-18'!I99</f>
        <v>0</v>
      </c>
      <c r="H99" s="51"/>
      <c r="I99" s="170">
        <f t="shared" si="1"/>
        <v>0</v>
      </c>
      <c r="J99" s="35"/>
      <c r="K99" s="28"/>
    </row>
    <row r="100" spans="1:11">
      <c r="A100" s="4">
        <v>54699</v>
      </c>
      <c r="B100" s="5" t="s">
        <v>104</v>
      </c>
      <c r="C100" s="2"/>
      <c r="D100" s="3" t="s">
        <v>97</v>
      </c>
      <c r="E100" s="3" t="s">
        <v>29</v>
      </c>
      <c r="F100" s="3" t="s">
        <v>43</v>
      </c>
      <c r="G100" s="305">
        <f>'OCT-18'!I100</f>
        <v>1</v>
      </c>
      <c r="H100" s="51"/>
      <c r="I100" s="170">
        <f t="shared" si="1"/>
        <v>1</v>
      </c>
      <c r="J100" s="27"/>
      <c r="K100" s="28"/>
    </row>
    <row r="101" spans="1:11" ht="21">
      <c r="A101" s="38" t="s">
        <v>8</v>
      </c>
      <c r="B101" s="39" t="s">
        <v>105</v>
      </c>
      <c r="C101" s="39"/>
      <c r="D101" s="39" t="s">
        <v>97</v>
      </c>
      <c r="E101" s="39" t="s">
        <v>29</v>
      </c>
      <c r="F101" s="39" t="s">
        <v>43</v>
      </c>
      <c r="G101" s="440">
        <f>'OCT-18'!I101</f>
        <v>31121.620000000006</v>
      </c>
      <c r="H101" s="95">
        <f>SUM(H75:H100)</f>
        <v>4441.6799999999994</v>
      </c>
      <c r="I101" s="40">
        <f>G101-H101+J101-K101</f>
        <v>34772.160000000003</v>
      </c>
      <c r="J101" s="107">
        <f>SUM(J75:J100)</f>
        <v>21392.22</v>
      </c>
      <c r="K101" s="107">
        <f>SUM(K75:K100)</f>
        <v>13300</v>
      </c>
    </row>
    <row r="102" spans="1:11">
      <c r="A102" s="4">
        <v>51101</v>
      </c>
      <c r="B102" s="2" t="s">
        <v>175</v>
      </c>
      <c r="C102" s="2"/>
      <c r="D102" s="3" t="s">
        <v>42</v>
      </c>
      <c r="E102" s="3" t="s">
        <v>29</v>
      </c>
      <c r="F102" s="3" t="s">
        <v>106</v>
      </c>
      <c r="G102" s="305">
        <f>'OCT-18'!I102</f>
        <v>13574.09999999998</v>
      </c>
      <c r="H102" s="51">
        <v>7537.05</v>
      </c>
      <c r="I102" s="17">
        <f t="shared" ref="I102:I149" si="2">G102-H102+J102-K102</f>
        <v>3037.0499999999802</v>
      </c>
      <c r="J102" s="28"/>
      <c r="K102" s="30">
        <v>3000</v>
      </c>
    </row>
    <row r="103" spans="1:11">
      <c r="A103" s="4">
        <v>51103</v>
      </c>
      <c r="B103" s="2" t="s">
        <v>107</v>
      </c>
      <c r="C103" s="2"/>
      <c r="D103" s="3" t="s">
        <v>42</v>
      </c>
      <c r="E103" s="3" t="s">
        <v>29</v>
      </c>
      <c r="F103" s="3" t="s">
        <v>106</v>
      </c>
      <c r="G103" s="305">
        <f>'OCT-18'!I103</f>
        <v>4687.05</v>
      </c>
      <c r="H103" s="51"/>
      <c r="I103" s="17">
        <f t="shared" si="2"/>
        <v>2687.05</v>
      </c>
      <c r="J103" s="30"/>
      <c r="K103" s="29">
        <v>2000</v>
      </c>
    </row>
    <row r="104" spans="1:11">
      <c r="A104" s="4">
        <v>51105</v>
      </c>
      <c r="B104" s="2" t="s">
        <v>176</v>
      </c>
      <c r="C104" s="2"/>
      <c r="D104" s="3" t="s">
        <v>42</v>
      </c>
      <c r="E104" s="3" t="s">
        <v>29</v>
      </c>
      <c r="F104" s="3" t="s">
        <v>106</v>
      </c>
      <c r="G104" s="305">
        <f>'OCT-18'!I104</f>
        <v>517.17999999999574</v>
      </c>
      <c r="H104" s="51"/>
      <c r="I104" s="17">
        <f t="shared" si="2"/>
        <v>517.17999999999574</v>
      </c>
      <c r="J104" s="30"/>
      <c r="K104" s="29"/>
    </row>
    <row r="105" spans="1:11" ht="29.25">
      <c r="A105" s="4">
        <v>51107</v>
      </c>
      <c r="B105" s="7" t="s">
        <v>1168</v>
      </c>
      <c r="C105" s="2"/>
      <c r="D105" s="3" t="s">
        <v>42</v>
      </c>
      <c r="E105" s="3" t="s">
        <v>29</v>
      </c>
      <c r="F105" s="3" t="s">
        <v>106</v>
      </c>
      <c r="G105" s="305">
        <f>'OCT-18'!I105</f>
        <v>900</v>
      </c>
      <c r="H105" s="51"/>
      <c r="I105" s="17">
        <f t="shared" si="2"/>
        <v>900</v>
      </c>
      <c r="J105" s="30"/>
      <c r="K105" s="29"/>
    </row>
    <row r="106" spans="1:11" ht="18.75" customHeight="1">
      <c r="A106" s="4">
        <v>51201</v>
      </c>
      <c r="B106" s="2" t="s">
        <v>1173</v>
      </c>
      <c r="C106" s="2"/>
      <c r="D106" s="3" t="s">
        <v>42</v>
      </c>
      <c r="E106" s="3" t="s">
        <v>29</v>
      </c>
      <c r="F106" s="3" t="s">
        <v>30</v>
      </c>
      <c r="G106" s="305">
        <f>'OCT-18'!I106</f>
        <v>1695</v>
      </c>
      <c r="H106" s="51">
        <f>950+1334</f>
        <v>2284</v>
      </c>
      <c r="I106" s="17">
        <f t="shared" si="2"/>
        <v>1411</v>
      </c>
      <c r="J106" s="445">
        <v>2000</v>
      </c>
      <c r="K106" s="29"/>
    </row>
    <row r="107" spans="1:11">
      <c r="A107" s="4">
        <v>51301</v>
      </c>
      <c r="B107" s="2" t="s">
        <v>177</v>
      </c>
      <c r="C107" s="2"/>
      <c r="D107" s="3" t="s">
        <v>42</v>
      </c>
      <c r="E107" s="3" t="s">
        <v>29</v>
      </c>
      <c r="F107" s="3" t="s">
        <v>30</v>
      </c>
      <c r="G107" s="305">
        <f>'OCT-18'!I107</f>
        <v>719.02</v>
      </c>
      <c r="H107" s="51"/>
      <c r="I107" s="17">
        <f t="shared" si="2"/>
        <v>719.02</v>
      </c>
      <c r="J107" s="30"/>
      <c r="K107" s="29"/>
    </row>
    <row r="108" spans="1:11" ht="33.75" customHeight="1">
      <c r="A108" s="4">
        <v>51401</v>
      </c>
      <c r="B108" s="5" t="s">
        <v>128</v>
      </c>
      <c r="C108" s="5"/>
      <c r="D108" s="3" t="s">
        <v>42</v>
      </c>
      <c r="E108" s="3" t="s">
        <v>29</v>
      </c>
      <c r="F108" s="3" t="s">
        <v>106</v>
      </c>
      <c r="G108" s="305">
        <f>'OCT-18'!I108</f>
        <v>1473.46</v>
      </c>
      <c r="H108" s="51">
        <f>386.15+69.3+205.28</f>
        <v>660.73</v>
      </c>
      <c r="I108" s="17">
        <f t="shared" si="2"/>
        <v>812.73</v>
      </c>
      <c r="J108" s="33"/>
      <c r="K108" s="29"/>
    </row>
    <row r="109" spans="1:11" ht="36">
      <c r="A109" s="4">
        <v>51501</v>
      </c>
      <c r="B109" s="5" t="s">
        <v>168</v>
      </c>
      <c r="C109" s="5"/>
      <c r="D109" s="3" t="s">
        <v>42</v>
      </c>
      <c r="E109" s="3" t="s">
        <v>29</v>
      </c>
      <c r="F109" s="3" t="s">
        <v>106</v>
      </c>
      <c r="G109" s="305">
        <f>'OCT-18'!I109</f>
        <v>2328.5500000000002</v>
      </c>
      <c r="H109" s="51">
        <f>183.72+327.36+91.86+63</f>
        <v>665.94</v>
      </c>
      <c r="I109" s="17">
        <f t="shared" si="2"/>
        <v>1662.6100000000001</v>
      </c>
      <c r="J109" s="33"/>
      <c r="K109" s="29"/>
    </row>
    <row r="110" spans="1:11" ht="34.5" customHeight="1">
      <c r="A110" s="4">
        <v>51601</v>
      </c>
      <c r="B110" s="311" t="s">
        <v>1087</v>
      </c>
      <c r="C110" s="444"/>
      <c r="D110" s="3" t="s">
        <v>42</v>
      </c>
      <c r="E110" s="3" t="s">
        <v>29</v>
      </c>
      <c r="F110" s="3" t="s">
        <v>106</v>
      </c>
      <c r="G110" s="305">
        <f>'OCT-18'!I110</f>
        <v>0</v>
      </c>
      <c r="H110" s="51"/>
      <c r="I110" s="17">
        <f t="shared" si="2"/>
        <v>0</v>
      </c>
      <c r="J110" s="33"/>
      <c r="K110" s="29"/>
    </row>
    <row r="111" spans="1:11" ht="27.75" customHeight="1">
      <c r="A111" s="4">
        <v>51999</v>
      </c>
      <c r="B111" s="5" t="s">
        <v>178</v>
      </c>
      <c r="C111" s="5"/>
      <c r="D111" s="3" t="s">
        <v>42</v>
      </c>
      <c r="E111" s="3" t="s">
        <v>29</v>
      </c>
      <c r="F111" s="3" t="s">
        <v>30</v>
      </c>
      <c r="G111" s="305">
        <f>'OCT-18'!I111</f>
        <v>777.37</v>
      </c>
      <c r="H111" s="51"/>
      <c r="I111" s="17">
        <f t="shared" si="2"/>
        <v>777.37</v>
      </c>
      <c r="J111" s="33"/>
      <c r="K111" s="29"/>
    </row>
    <row r="112" spans="1:11">
      <c r="A112" s="4">
        <v>54110</v>
      </c>
      <c r="B112" s="2" t="s">
        <v>108</v>
      </c>
      <c r="C112" s="2"/>
      <c r="D112" s="3" t="s">
        <v>42</v>
      </c>
      <c r="E112" s="3" t="s">
        <v>29</v>
      </c>
      <c r="F112" s="3" t="s">
        <v>30</v>
      </c>
      <c r="G112" s="305">
        <f>'OCT-18'!I112</f>
        <v>0</v>
      </c>
      <c r="H112" s="51"/>
      <c r="I112" s="17">
        <f t="shared" si="2"/>
        <v>0</v>
      </c>
      <c r="J112" s="33"/>
      <c r="K112" s="29"/>
    </row>
    <row r="113" spans="1:11">
      <c r="A113" s="4">
        <v>54199</v>
      </c>
      <c r="B113" s="2" t="s">
        <v>61</v>
      </c>
      <c r="C113" s="2"/>
      <c r="D113" s="3" t="s">
        <v>42</v>
      </c>
      <c r="E113" s="3" t="s">
        <v>29</v>
      </c>
      <c r="F113" s="3" t="s">
        <v>106</v>
      </c>
      <c r="G113" s="305">
        <f>'OCT-18'!I113</f>
        <v>0</v>
      </c>
      <c r="H113" s="51"/>
      <c r="I113" s="17">
        <f t="shared" si="2"/>
        <v>0</v>
      </c>
      <c r="J113" s="35"/>
      <c r="K113" s="29"/>
    </row>
    <row r="114" spans="1:11">
      <c r="A114" s="4">
        <v>54201</v>
      </c>
      <c r="B114" s="2" t="s">
        <v>62</v>
      </c>
      <c r="C114" s="2"/>
      <c r="D114" s="3" t="s">
        <v>42</v>
      </c>
      <c r="E114" s="3" t="s">
        <v>29</v>
      </c>
      <c r="F114" s="3" t="s">
        <v>106</v>
      </c>
      <c r="G114" s="305">
        <f>'OCT-18'!I114</f>
        <v>427.37999999999829</v>
      </c>
      <c r="H114" s="51">
        <f>4313.5</f>
        <v>4313.5</v>
      </c>
      <c r="I114" s="17">
        <f t="shared" si="2"/>
        <v>1113.8799999999983</v>
      </c>
      <c r="J114" s="358">
        <v>5000</v>
      </c>
      <c r="K114" s="29"/>
    </row>
    <row r="115" spans="1:11">
      <c r="A115" s="4">
        <v>54202</v>
      </c>
      <c r="B115" s="2" t="s">
        <v>109</v>
      </c>
      <c r="C115" s="2"/>
      <c r="D115" s="3" t="s">
        <v>42</v>
      </c>
      <c r="E115" s="3" t="s">
        <v>29</v>
      </c>
      <c r="F115" s="3" t="s">
        <v>106</v>
      </c>
      <c r="G115" s="305">
        <f>'OCT-18'!I115</f>
        <v>1111.8600000000001</v>
      </c>
      <c r="H115" s="51"/>
      <c r="I115" s="17">
        <f t="shared" si="2"/>
        <v>1111.8600000000001</v>
      </c>
      <c r="J115" s="18"/>
      <c r="K115" s="29"/>
    </row>
    <row r="116" spans="1:11">
      <c r="A116" s="4">
        <v>54203</v>
      </c>
      <c r="B116" s="2" t="s">
        <v>64</v>
      </c>
      <c r="C116" s="2"/>
      <c r="D116" s="3" t="s">
        <v>42</v>
      </c>
      <c r="E116" s="3" t="s">
        <v>29</v>
      </c>
      <c r="F116" s="3" t="s">
        <v>106</v>
      </c>
      <c r="G116" s="305">
        <f>'OCT-18'!I116</f>
        <v>787.09</v>
      </c>
      <c r="H116" s="51">
        <f>922.57+267.21+922.57</f>
        <v>2112.35</v>
      </c>
      <c r="I116" s="17">
        <f t="shared" si="2"/>
        <v>674.74000000000024</v>
      </c>
      <c r="J116" s="358">
        <v>2000</v>
      </c>
      <c r="K116" s="29"/>
    </row>
    <row r="117" spans="1:11">
      <c r="A117" s="4">
        <v>54302</v>
      </c>
      <c r="B117" s="5" t="s">
        <v>136</v>
      </c>
      <c r="C117" s="2"/>
      <c r="D117" s="3" t="s">
        <v>42</v>
      </c>
      <c r="E117" s="3" t="s">
        <v>29</v>
      </c>
      <c r="F117" s="3" t="s">
        <v>106</v>
      </c>
      <c r="G117" s="305">
        <f>'OCT-18'!I117</f>
        <v>1</v>
      </c>
      <c r="H117" s="51"/>
      <c r="I117" s="17">
        <f t="shared" si="2"/>
        <v>1</v>
      </c>
      <c r="J117" s="35"/>
      <c r="K117" s="29"/>
    </row>
    <row r="118" spans="1:11" ht="30">
      <c r="A118" s="4">
        <v>54313</v>
      </c>
      <c r="B118" s="5" t="s">
        <v>1054</v>
      </c>
      <c r="C118" s="2"/>
      <c r="D118" s="3" t="s">
        <v>42</v>
      </c>
      <c r="E118" s="3" t="s">
        <v>29</v>
      </c>
      <c r="F118" s="3" t="s">
        <v>106</v>
      </c>
      <c r="G118" s="305">
        <f>'OCT-18'!I118</f>
        <v>0</v>
      </c>
      <c r="H118" s="51"/>
      <c r="I118" s="17">
        <f t="shared" si="2"/>
        <v>0</v>
      </c>
      <c r="J118" s="35"/>
      <c r="K118" s="29"/>
    </row>
    <row r="119" spans="1:11" ht="21.75" customHeight="1">
      <c r="A119" s="4">
        <v>54503</v>
      </c>
      <c r="B119" s="314" t="s">
        <v>1088</v>
      </c>
      <c r="C119" s="313"/>
      <c r="D119" s="3" t="s">
        <v>42</v>
      </c>
      <c r="E119" s="3" t="s">
        <v>29</v>
      </c>
      <c r="F119" s="3" t="s">
        <v>106</v>
      </c>
      <c r="G119" s="305">
        <f>'OCT-18'!I119</f>
        <v>0</v>
      </c>
      <c r="H119" s="51"/>
      <c r="I119" s="17">
        <f t="shared" si="2"/>
        <v>0</v>
      </c>
      <c r="J119" s="35"/>
      <c r="K119" s="29"/>
    </row>
    <row r="120" spans="1:11" ht="22.5" customHeight="1">
      <c r="A120" s="4">
        <v>55603</v>
      </c>
      <c r="B120" s="2" t="s">
        <v>6</v>
      </c>
      <c r="C120" s="2"/>
      <c r="D120" s="3" t="s">
        <v>42</v>
      </c>
      <c r="E120" s="3" t="s">
        <v>29</v>
      </c>
      <c r="F120" s="3" t="s">
        <v>106</v>
      </c>
      <c r="G120" s="305">
        <f>'OCT-18'!I120</f>
        <v>182.88</v>
      </c>
      <c r="H120" s="51"/>
      <c r="I120" s="17">
        <f t="shared" si="2"/>
        <v>182.88</v>
      </c>
      <c r="J120" s="35"/>
      <c r="K120" s="29"/>
    </row>
    <row r="121" spans="1:11" ht="24.75" customHeight="1">
      <c r="A121" s="4">
        <v>55799</v>
      </c>
      <c r="B121" s="5" t="s">
        <v>137</v>
      </c>
      <c r="C121" s="2"/>
      <c r="D121" s="3" t="s">
        <v>42</v>
      </c>
      <c r="E121" s="3" t="s">
        <v>29</v>
      </c>
      <c r="F121" s="3" t="s">
        <v>106</v>
      </c>
      <c r="G121" s="305">
        <f>'OCT-18'!I121</f>
        <v>658.01</v>
      </c>
      <c r="H121" s="51">
        <f>275.52</f>
        <v>275.52</v>
      </c>
      <c r="I121" s="134">
        <f t="shared" si="2"/>
        <v>382.49</v>
      </c>
      <c r="J121" s="35"/>
      <c r="K121" s="29"/>
    </row>
    <row r="122" spans="1:11" ht="16.5" customHeight="1">
      <c r="A122" s="4" t="s">
        <v>110</v>
      </c>
      <c r="B122" s="5" t="s">
        <v>111</v>
      </c>
      <c r="C122" s="2"/>
      <c r="D122" s="3" t="s">
        <v>42</v>
      </c>
      <c r="E122" s="3" t="s">
        <v>29</v>
      </c>
      <c r="F122" s="3" t="s">
        <v>106</v>
      </c>
      <c r="G122" s="305">
        <f>'OCT-18'!I122</f>
        <v>2400</v>
      </c>
      <c r="H122" s="276">
        <v>600</v>
      </c>
      <c r="I122" s="17">
        <f t="shared" si="2"/>
        <v>1800</v>
      </c>
      <c r="J122" s="35"/>
      <c r="K122" s="35"/>
    </row>
    <row r="123" spans="1:11" ht="15.75" customHeight="1">
      <c r="A123" s="4" t="s">
        <v>112</v>
      </c>
      <c r="B123" s="5" t="s">
        <v>113</v>
      </c>
      <c r="C123" s="2"/>
      <c r="D123" s="3" t="s">
        <v>42</v>
      </c>
      <c r="E123" s="3" t="s">
        <v>29</v>
      </c>
      <c r="F123" s="3" t="s">
        <v>106</v>
      </c>
      <c r="G123" s="305">
        <f>'OCT-18'!I123</f>
        <v>500</v>
      </c>
      <c r="H123" s="51"/>
      <c r="I123" s="17">
        <f t="shared" si="2"/>
        <v>500</v>
      </c>
      <c r="J123" s="35"/>
      <c r="K123" s="35"/>
    </row>
    <row r="124" spans="1:11" ht="27">
      <c r="A124" s="4">
        <v>56301</v>
      </c>
      <c r="B124" s="5" t="s">
        <v>114</v>
      </c>
      <c r="C124" s="2"/>
      <c r="D124" s="3" t="s">
        <v>42</v>
      </c>
      <c r="E124" s="3" t="s">
        <v>29</v>
      </c>
      <c r="F124" s="3" t="s">
        <v>106</v>
      </c>
      <c r="G124" s="305">
        <f>'OCT-18'!I124</f>
        <v>0</v>
      </c>
      <c r="H124" s="51"/>
      <c r="I124" s="17">
        <f t="shared" si="2"/>
        <v>0</v>
      </c>
      <c r="J124" s="35"/>
      <c r="K124" s="35"/>
    </row>
    <row r="125" spans="1:11" ht="39.75" customHeight="1">
      <c r="A125" s="4"/>
      <c r="B125" s="5" t="s">
        <v>179</v>
      </c>
      <c r="C125" s="2"/>
      <c r="D125" s="3" t="s">
        <v>42</v>
      </c>
      <c r="E125" s="3" t="s">
        <v>29</v>
      </c>
      <c r="F125" s="3" t="s">
        <v>30</v>
      </c>
      <c r="G125" s="305">
        <f>'OCT-18'!I125</f>
        <v>0</v>
      </c>
      <c r="H125" s="51"/>
      <c r="I125" s="17">
        <f t="shared" si="2"/>
        <v>0</v>
      </c>
      <c r="J125" s="29"/>
      <c r="K125" s="30"/>
    </row>
    <row r="126" spans="1:11" ht="21">
      <c r="A126" s="38" t="s">
        <v>8</v>
      </c>
      <c r="B126" s="39" t="s">
        <v>115</v>
      </c>
      <c r="C126" s="39"/>
      <c r="D126" s="39" t="s">
        <v>42</v>
      </c>
      <c r="E126" s="39" t="s">
        <v>29</v>
      </c>
      <c r="F126" s="39" t="s">
        <v>30</v>
      </c>
      <c r="G126" s="305">
        <f>'OCT-18'!I126</f>
        <v>32739.949999999968</v>
      </c>
      <c r="H126" s="95">
        <f>SUM(H102:H125)</f>
        <v>18449.09</v>
      </c>
      <c r="I126" s="40">
        <f>G126-H126+J126-K126</f>
        <v>18290.859999999968</v>
      </c>
      <c r="J126" s="107">
        <f>SUM(J102:J125)</f>
        <v>9000</v>
      </c>
      <c r="K126" s="107">
        <f>SUM(K102:K125)</f>
        <v>5000</v>
      </c>
    </row>
    <row r="127" spans="1:11">
      <c r="A127" s="4">
        <v>51101</v>
      </c>
      <c r="B127" s="2" t="s">
        <v>180</v>
      </c>
      <c r="C127" s="2"/>
      <c r="D127" s="3" t="s">
        <v>94</v>
      </c>
      <c r="E127" s="3" t="s">
        <v>29</v>
      </c>
      <c r="F127" s="3" t="s">
        <v>106</v>
      </c>
      <c r="G127" s="305">
        <f>'OCT-18'!I127</f>
        <v>16694.140000000014</v>
      </c>
      <c r="H127" s="51">
        <v>4414</v>
      </c>
      <c r="I127" s="17">
        <f t="shared" si="2"/>
        <v>8280.140000000014</v>
      </c>
      <c r="J127" s="30"/>
      <c r="K127" s="35">
        <v>4000</v>
      </c>
    </row>
    <row r="128" spans="1:11">
      <c r="A128" s="4">
        <v>51103</v>
      </c>
      <c r="B128" s="2" t="s">
        <v>181</v>
      </c>
      <c r="C128" s="2"/>
      <c r="D128" s="3" t="s">
        <v>94</v>
      </c>
      <c r="E128" s="3" t="s">
        <v>29</v>
      </c>
      <c r="F128" s="3" t="s">
        <v>106</v>
      </c>
      <c r="G128" s="305">
        <f>'OCT-18'!I128</f>
        <v>5128.9799999999996</v>
      </c>
      <c r="H128" s="51"/>
      <c r="I128" s="17">
        <f t="shared" si="2"/>
        <v>5128.9799999999996</v>
      </c>
      <c r="J128" s="30"/>
      <c r="K128" s="29"/>
    </row>
    <row r="129" spans="1:11" ht="30">
      <c r="A129" s="4">
        <v>51107</v>
      </c>
      <c r="B129" s="382" t="s">
        <v>1172</v>
      </c>
      <c r="C129" s="2"/>
      <c r="D129" s="3" t="s">
        <v>94</v>
      </c>
      <c r="E129" s="3" t="s">
        <v>29</v>
      </c>
      <c r="F129" s="3" t="s">
        <v>106</v>
      </c>
      <c r="G129" s="305">
        <f>'OCT-18'!I129</f>
        <v>450</v>
      </c>
      <c r="H129" s="51"/>
      <c r="I129" s="17">
        <f t="shared" si="2"/>
        <v>1050</v>
      </c>
      <c r="J129" s="30">
        <v>600</v>
      </c>
      <c r="K129" s="29"/>
    </row>
    <row r="130" spans="1:11">
      <c r="A130" s="4">
        <v>51201</v>
      </c>
      <c r="B130" s="2" t="s">
        <v>44</v>
      </c>
      <c r="C130" s="2"/>
      <c r="D130" s="3" t="s">
        <v>94</v>
      </c>
      <c r="E130" s="3" t="s">
        <v>29</v>
      </c>
      <c r="F130" s="3" t="s">
        <v>30</v>
      </c>
      <c r="G130" s="305">
        <f>'OCT-18'!I130</f>
        <v>2460.04</v>
      </c>
      <c r="H130" s="51">
        <v>743.98</v>
      </c>
      <c r="I130" s="17">
        <f t="shared" si="2"/>
        <v>1716.06</v>
      </c>
      <c r="J130" s="30"/>
      <c r="K130" s="29"/>
    </row>
    <row r="131" spans="1:11">
      <c r="A131" s="4">
        <v>51301</v>
      </c>
      <c r="B131" s="2" t="s">
        <v>45</v>
      </c>
      <c r="C131" s="2"/>
      <c r="D131" s="3" t="s">
        <v>94</v>
      </c>
      <c r="E131" s="3" t="s">
        <v>29</v>
      </c>
      <c r="F131" s="3" t="s">
        <v>30</v>
      </c>
      <c r="G131" s="305">
        <f>'OCT-18'!I131</f>
        <v>1031.4300000000003</v>
      </c>
      <c r="H131" s="51"/>
      <c r="I131" s="17">
        <f t="shared" si="2"/>
        <v>431.43000000000029</v>
      </c>
      <c r="J131" s="30"/>
      <c r="K131" s="29">
        <v>600</v>
      </c>
    </row>
    <row r="132" spans="1:11">
      <c r="A132" s="4">
        <v>51999</v>
      </c>
      <c r="B132" s="2" t="s">
        <v>47</v>
      </c>
      <c r="C132" s="2"/>
      <c r="D132" s="3" t="s">
        <v>94</v>
      </c>
      <c r="E132" s="3" t="s">
        <v>29</v>
      </c>
      <c r="F132" s="3" t="s">
        <v>30</v>
      </c>
      <c r="G132" s="305">
        <f>'OCT-18'!I132</f>
        <v>450</v>
      </c>
      <c r="H132" s="51"/>
      <c r="I132" s="17">
        <f t="shared" si="2"/>
        <v>450</v>
      </c>
      <c r="J132" s="30"/>
      <c r="K132" s="29"/>
    </row>
    <row r="133" spans="1:11" ht="25.5">
      <c r="A133" s="4">
        <v>51401</v>
      </c>
      <c r="B133" s="5" t="s">
        <v>138</v>
      </c>
      <c r="C133" s="2"/>
      <c r="D133" s="3" t="s">
        <v>94</v>
      </c>
      <c r="E133" s="3" t="s">
        <v>29</v>
      </c>
      <c r="F133" s="3" t="s">
        <v>106</v>
      </c>
      <c r="G133" s="305">
        <f>'OCT-18'!I133</f>
        <v>1079.9099999999994</v>
      </c>
      <c r="H133" s="51">
        <f>328.51</f>
        <v>328.51</v>
      </c>
      <c r="I133" s="17">
        <f t="shared" si="2"/>
        <v>751.39999999999941</v>
      </c>
      <c r="J133" s="35"/>
      <c r="K133" s="34"/>
    </row>
    <row r="134" spans="1:11" ht="33" customHeight="1">
      <c r="A134" s="4">
        <v>51501</v>
      </c>
      <c r="B134" s="5" t="s">
        <v>182</v>
      </c>
      <c r="C134" s="2"/>
      <c r="D134" s="3" t="s">
        <v>94</v>
      </c>
      <c r="E134" s="3" t="s">
        <v>29</v>
      </c>
      <c r="F134" s="3" t="s">
        <v>30</v>
      </c>
      <c r="G134" s="305">
        <f>'OCT-18'!I134</f>
        <v>1501.21</v>
      </c>
      <c r="H134" s="51">
        <f>281.24+60.84</f>
        <v>342.08000000000004</v>
      </c>
      <c r="I134" s="17">
        <f t="shared" si="2"/>
        <v>1159.1300000000001</v>
      </c>
      <c r="J134" s="35"/>
      <c r="K134" s="27"/>
    </row>
    <row r="135" spans="1:11">
      <c r="A135" s="4">
        <v>54105</v>
      </c>
      <c r="B135" s="2" t="s">
        <v>116</v>
      </c>
      <c r="C135" s="2"/>
      <c r="D135" s="3" t="s">
        <v>94</v>
      </c>
      <c r="E135" s="3" t="s">
        <v>29</v>
      </c>
      <c r="F135" s="3" t="s">
        <v>30</v>
      </c>
      <c r="G135" s="305">
        <f>'OCT-18'!I135</f>
        <v>3000</v>
      </c>
      <c r="H135" s="51"/>
      <c r="I135" s="17">
        <f t="shared" si="2"/>
        <v>3000</v>
      </c>
      <c r="J135" s="30"/>
      <c r="K135" s="29"/>
    </row>
    <row r="136" spans="1:11">
      <c r="A136" s="4">
        <v>54114</v>
      </c>
      <c r="B136" s="2" t="s">
        <v>56</v>
      </c>
      <c r="C136" s="2"/>
      <c r="D136" s="3" t="s">
        <v>94</v>
      </c>
      <c r="E136" s="3" t="s">
        <v>29</v>
      </c>
      <c r="F136" s="3" t="s">
        <v>30</v>
      </c>
      <c r="G136" s="305">
        <f>'OCT-18'!I136</f>
        <v>2504.1999999999998</v>
      </c>
      <c r="H136" s="51"/>
      <c r="I136" s="17">
        <f t="shared" si="2"/>
        <v>2504.1999999999998</v>
      </c>
      <c r="J136" s="35"/>
      <c r="K136" s="35"/>
    </row>
    <row r="137" spans="1:11">
      <c r="A137" s="4">
        <v>54115</v>
      </c>
      <c r="B137" s="2" t="s">
        <v>57</v>
      </c>
      <c r="C137" s="2"/>
      <c r="D137" s="3" t="s">
        <v>94</v>
      </c>
      <c r="E137" s="3" t="s">
        <v>29</v>
      </c>
      <c r="F137" s="3" t="s">
        <v>30</v>
      </c>
      <c r="G137" s="305">
        <f>'OCT-18'!I137</f>
        <v>3360</v>
      </c>
      <c r="H137" s="51"/>
      <c r="I137" s="17">
        <f t="shared" si="2"/>
        <v>3360</v>
      </c>
      <c r="J137" s="29"/>
      <c r="K137" s="28"/>
    </row>
    <row r="138" spans="1:11" ht="21">
      <c r="A138" s="38" t="s">
        <v>8</v>
      </c>
      <c r="B138" s="39" t="s">
        <v>117</v>
      </c>
      <c r="C138" s="39"/>
      <c r="D138" s="39" t="s">
        <v>94</v>
      </c>
      <c r="E138" s="39" t="s">
        <v>29</v>
      </c>
      <c r="F138" s="39" t="s">
        <v>30</v>
      </c>
      <c r="G138" s="305">
        <f>'OCT-18'!I138</f>
        <v>37659.910000000018</v>
      </c>
      <c r="H138" s="95">
        <f>SUM(H127:H137)</f>
        <v>5828.57</v>
      </c>
      <c r="I138" s="40">
        <f>G138-H138+J138-K138</f>
        <v>27831.340000000018</v>
      </c>
      <c r="J138" s="107">
        <f>SUM(J127:J137)</f>
        <v>600</v>
      </c>
      <c r="K138" s="107">
        <f>SUM(K127:K137)</f>
        <v>4600</v>
      </c>
    </row>
    <row r="139" spans="1:11">
      <c r="A139" s="4">
        <v>51101</v>
      </c>
      <c r="B139" s="2" t="s">
        <v>183</v>
      </c>
      <c r="C139" s="2"/>
      <c r="D139" s="3" t="s">
        <v>97</v>
      </c>
      <c r="E139" s="3" t="s">
        <v>29</v>
      </c>
      <c r="F139" s="3" t="s">
        <v>106</v>
      </c>
      <c r="G139" s="305">
        <f>'OCT-18'!I139</f>
        <v>40880.870000000024</v>
      </c>
      <c r="H139" s="51">
        <f>16044.72+1100</f>
        <v>17144.72</v>
      </c>
      <c r="I139" s="17">
        <f t="shared" si="2"/>
        <v>19236.150000000023</v>
      </c>
      <c r="J139" s="30"/>
      <c r="K139" s="35">
        <v>4500</v>
      </c>
    </row>
    <row r="140" spans="1:11">
      <c r="A140" s="4">
        <v>51103</v>
      </c>
      <c r="B140" s="2" t="s">
        <v>181</v>
      </c>
      <c r="C140" s="2"/>
      <c r="D140" s="3" t="s">
        <v>97</v>
      </c>
      <c r="E140" s="3" t="s">
        <v>29</v>
      </c>
      <c r="F140" s="3" t="s">
        <v>106</v>
      </c>
      <c r="G140" s="305">
        <f>'OCT-18'!I140</f>
        <v>11385.310000000001</v>
      </c>
      <c r="H140" s="51"/>
      <c r="I140" s="248">
        <f>G140-H140+J140-K140</f>
        <v>11385.310000000001</v>
      </c>
      <c r="J140" s="30"/>
      <c r="K140" s="30"/>
    </row>
    <row r="141" spans="1:11">
      <c r="A141" s="4">
        <v>51107</v>
      </c>
      <c r="B141" s="2" t="s">
        <v>1169</v>
      </c>
      <c r="C141" s="2"/>
      <c r="D141" s="3" t="s">
        <v>97</v>
      </c>
      <c r="E141" s="3" t="s">
        <v>29</v>
      </c>
      <c r="F141" s="3" t="s">
        <v>30</v>
      </c>
      <c r="G141" s="305">
        <f>'OCT-18'!I141</f>
        <v>1725.5</v>
      </c>
      <c r="H141" s="51"/>
      <c r="I141" s="17">
        <f t="shared" si="2"/>
        <v>1725.5</v>
      </c>
      <c r="J141" s="30"/>
      <c r="K141" s="395"/>
    </row>
    <row r="142" spans="1:11">
      <c r="A142" s="4">
        <v>51201</v>
      </c>
      <c r="B142" s="2" t="s">
        <v>119</v>
      </c>
      <c r="C142" s="2"/>
      <c r="D142" s="3" t="s">
        <v>97</v>
      </c>
      <c r="E142" s="3" t="s">
        <v>29</v>
      </c>
      <c r="F142" s="3" t="s">
        <v>30</v>
      </c>
      <c r="G142" s="305">
        <f>'OCT-18'!I142</f>
        <v>21.670000000000073</v>
      </c>
      <c r="H142" s="51">
        <f>2027.5+1320</f>
        <v>3347.5</v>
      </c>
      <c r="I142" s="17">
        <f t="shared" si="2"/>
        <v>1174.17</v>
      </c>
      <c r="J142" s="445">
        <v>4500</v>
      </c>
      <c r="K142" s="277"/>
    </row>
    <row r="143" spans="1:11">
      <c r="A143" s="4">
        <v>51301</v>
      </c>
      <c r="B143" s="2" t="s">
        <v>45</v>
      </c>
      <c r="C143" s="2"/>
      <c r="D143" s="3" t="s">
        <v>97</v>
      </c>
      <c r="E143" s="3" t="s">
        <v>29</v>
      </c>
      <c r="F143" s="3" t="s">
        <v>106</v>
      </c>
      <c r="G143" s="305">
        <f>'OCT-18'!I143</f>
        <v>595.92999999999893</v>
      </c>
      <c r="H143" s="51"/>
      <c r="I143" s="17">
        <f t="shared" si="2"/>
        <v>595.92999999999893</v>
      </c>
      <c r="J143" s="20"/>
      <c r="K143" s="35"/>
    </row>
    <row r="144" spans="1:11" ht="34.5" customHeight="1">
      <c r="A144" s="4">
        <v>51401</v>
      </c>
      <c r="B144" s="5" t="s">
        <v>139</v>
      </c>
      <c r="C144" s="2"/>
      <c r="D144" s="3" t="s">
        <v>97</v>
      </c>
      <c r="E144" s="3" t="s">
        <v>29</v>
      </c>
      <c r="F144" s="3" t="s">
        <v>106</v>
      </c>
      <c r="G144" s="305">
        <f>'OCT-18'!I144</f>
        <v>2265.5600000000013</v>
      </c>
      <c r="H144" s="51">
        <f>1039.01+107.25</f>
        <v>1146.26</v>
      </c>
      <c r="I144" s="17">
        <f t="shared" si="2"/>
        <v>1119.3000000000013</v>
      </c>
      <c r="J144" s="35"/>
      <c r="K144" s="35"/>
    </row>
    <row r="145" spans="1:11" ht="45" customHeight="1">
      <c r="A145" s="4">
        <v>51501</v>
      </c>
      <c r="B145" s="5" t="s">
        <v>185</v>
      </c>
      <c r="C145" s="2"/>
      <c r="D145" s="3" t="s">
        <v>97</v>
      </c>
      <c r="E145" s="3" t="s">
        <v>29</v>
      </c>
      <c r="F145" s="3" t="s">
        <v>106</v>
      </c>
      <c r="G145" s="305">
        <f>'OCT-18'!I145</f>
        <v>4720.1399999999994</v>
      </c>
      <c r="H145" s="51">
        <f>597.61+25.57+459.09</f>
        <v>1082.27</v>
      </c>
      <c r="I145" s="17">
        <f t="shared" si="2"/>
        <v>3637.8699999999994</v>
      </c>
      <c r="J145" s="35"/>
      <c r="K145" s="35"/>
    </row>
    <row r="146" spans="1:11" ht="20.25" customHeight="1">
      <c r="A146" s="4">
        <v>54110</v>
      </c>
      <c r="B146" s="5" t="s">
        <v>108</v>
      </c>
      <c r="C146" s="2"/>
      <c r="D146" s="3" t="s">
        <v>97</v>
      </c>
      <c r="E146" s="3" t="s">
        <v>29</v>
      </c>
      <c r="F146" s="3" t="s">
        <v>106</v>
      </c>
      <c r="G146" s="305">
        <f>'OCT-18'!I146</f>
        <v>1</v>
      </c>
      <c r="H146" s="51"/>
      <c r="I146" s="17">
        <f t="shared" si="2"/>
        <v>1</v>
      </c>
      <c r="J146" s="35"/>
      <c r="K146" s="35"/>
    </row>
    <row r="147" spans="1:11">
      <c r="A147" s="4">
        <v>54121</v>
      </c>
      <c r="B147" s="2" t="s">
        <v>120</v>
      </c>
      <c r="C147" s="2"/>
      <c r="D147" s="3" t="s">
        <v>97</v>
      </c>
      <c r="E147" s="3" t="s">
        <v>29</v>
      </c>
      <c r="F147" s="3" t="s">
        <v>106</v>
      </c>
      <c r="G147" s="305">
        <f>'OCT-18'!I147</f>
        <v>657</v>
      </c>
      <c r="H147" s="51"/>
      <c r="I147" s="17">
        <f t="shared" si="2"/>
        <v>657</v>
      </c>
      <c r="J147" s="35"/>
      <c r="K147" s="29"/>
    </row>
    <row r="148" spans="1:11">
      <c r="A148" s="4">
        <v>54301</v>
      </c>
      <c r="B148" s="2" t="s">
        <v>140</v>
      </c>
      <c r="C148" s="2"/>
      <c r="D148" s="3" t="s">
        <v>97</v>
      </c>
      <c r="E148" s="3" t="s">
        <v>29</v>
      </c>
      <c r="F148" s="3" t="s">
        <v>106</v>
      </c>
      <c r="G148" s="305">
        <f>'OCT-18'!I148</f>
        <v>1</v>
      </c>
      <c r="H148" s="51"/>
      <c r="I148" s="17">
        <f t="shared" si="2"/>
        <v>1</v>
      </c>
      <c r="J148" s="35"/>
      <c r="K148" s="29"/>
    </row>
    <row r="149" spans="1:11">
      <c r="A149" s="4">
        <v>54302</v>
      </c>
      <c r="B149" s="2" t="s">
        <v>121</v>
      </c>
      <c r="C149" s="2"/>
      <c r="D149" s="3" t="s">
        <v>122</v>
      </c>
      <c r="E149" s="3" t="s">
        <v>29</v>
      </c>
      <c r="F149" s="3" t="s">
        <v>30</v>
      </c>
      <c r="G149" s="305">
        <f>'OCT-18'!I149</f>
        <v>1</v>
      </c>
      <c r="H149" s="51"/>
      <c r="I149" s="17">
        <f t="shared" si="2"/>
        <v>1</v>
      </c>
      <c r="J149" s="35"/>
      <c r="K149" s="29"/>
    </row>
    <row r="150" spans="1:11" ht="45">
      <c r="A150" s="4">
        <v>54501</v>
      </c>
      <c r="B150" s="7" t="s">
        <v>1055</v>
      </c>
      <c r="C150" s="2"/>
      <c r="D150" s="3" t="s">
        <v>122</v>
      </c>
      <c r="E150" s="3" t="s">
        <v>29</v>
      </c>
      <c r="F150" s="3" t="s">
        <v>30</v>
      </c>
      <c r="G150" s="305">
        <f>'OCT-18'!I150</f>
        <v>25</v>
      </c>
      <c r="H150" s="51"/>
      <c r="I150" s="17">
        <f>G150-H150+J150-K150</f>
        <v>25</v>
      </c>
      <c r="J150" s="22"/>
      <c r="K150" s="29"/>
    </row>
    <row r="151" spans="1:11" ht="21">
      <c r="A151" s="38" t="s">
        <v>8</v>
      </c>
      <c r="B151" s="39" t="s">
        <v>123</v>
      </c>
      <c r="C151" s="39"/>
      <c r="D151" s="39" t="s">
        <v>97</v>
      </c>
      <c r="E151" s="39" t="s">
        <v>29</v>
      </c>
      <c r="F151" s="39" t="s">
        <v>30</v>
      </c>
      <c r="G151" s="305">
        <f>'OCT-18'!I151</f>
        <v>62279.980000000025</v>
      </c>
      <c r="H151" s="95">
        <f>SUM(H139:H150)</f>
        <v>22720.75</v>
      </c>
      <c r="I151" s="40">
        <f>G151-H151+J151-K151</f>
        <v>39559.230000000025</v>
      </c>
      <c r="J151" s="107">
        <f>SUM(J141:J150)</f>
        <v>4500</v>
      </c>
      <c r="K151" s="107">
        <f>SUM(K139:K150)</f>
        <v>4500</v>
      </c>
    </row>
    <row r="152" spans="1:11">
      <c r="A152" s="1">
        <v>54305</v>
      </c>
      <c r="B152" s="2" t="s">
        <v>0</v>
      </c>
      <c r="C152" s="2"/>
      <c r="D152" s="3" t="s">
        <v>1</v>
      </c>
      <c r="E152" s="3" t="s">
        <v>25</v>
      </c>
      <c r="F152" s="3" t="s">
        <v>26</v>
      </c>
      <c r="G152" s="305">
        <f>'OCT-18'!I152</f>
        <v>1500</v>
      </c>
      <c r="H152" s="51"/>
      <c r="I152" s="17">
        <f t="shared" ref="I152:I288" si="3">G152-H152+J152-K152</f>
        <v>0</v>
      </c>
      <c r="J152" s="37"/>
      <c r="K152" s="446">
        <v>1500</v>
      </c>
    </row>
    <row r="153" spans="1:11" ht="30.75" customHeight="1">
      <c r="A153" s="4">
        <v>54313</v>
      </c>
      <c r="B153" s="5" t="s">
        <v>2</v>
      </c>
      <c r="C153" s="5"/>
      <c r="D153" s="3" t="s">
        <v>1</v>
      </c>
      <c r="E153" s="3" t="s">
        <v>25</v>
      </c>
      <c r="F153" s="3" t="s">
        <v>26</v>
      </c>
      <c r="G153" s="305">
        <f>'OCT-18'!I153</f>
        <v>1246.32</v>
      </c>
      <c r="H153" s="51"/>
      <c r="I153" s="17">
        <f t="shared" si="3"/>
        <v>1246.32</v>
      </c>
      <c r="J153" s="37"/>
      <c r="K153" s="446"/>
    </row>
    <row r="154" spans="1:11">
      <c r="A154" s="4">
        <v>54503</v>
      </c>
      <c r="B154" s="5" t="s">
        <v>3</v>
      </c>
      <c r="C154" s="2"/>
      <c r="D154" s="3" t="s">
        <v>1</v>
      </c>
      <c r="E154" s="3" t="s">
        <v>25</v>
      </c>
      <c r="F154" s="3" t="s">
        <v>26</v>
      </c>
      <c r="G154" s="305">
        <f>'OCT-18'!I154</f>
        <v>2000</v>
      </c>
      <c r="H154" s="51"/>
      <c r="I154" s="17">
        <f t="shared" si="3"/>
        <v>2000</v>
      </c>
      <c r="J154" s="37"/>
      <c r="K154" s="446"/>
    </row>
    <row r="155" spans="1:11">
      <c r="A155" s="4">
        <v>54505</v>
      </c>
      <c r="B155" s="2" t="s">
        <v>4</v>
      </c>
      <c r="C155" s="2"/>
      <c r="D155" s="3" t="s">
        <v>1</v>
      </c>
      <c r="E155" s="3" t="s">
        <v>25</v>
      </c>
      <c r="F155" s="3" t="s">
        <v>27</v>
      </c>
      <c r="G155" s="305">
        <f>'OCT-18'!I155</f>
        <v>2000</v>
      </c>
      <c r="H155" s="51"/>
      <c r="I155" s="17">
        <f t="shared" si="3"/>
        <v>500</v>
      </c>
      <c r="J155" s="37"/>
      <c r="K155" s="446">
        <v>1500</v>
      </c>
    </row>
    <row r="156" spans="1:11" ht="30">
      <c r="A156" s="11">
        <v>54599</v>
      </c>
      <c r="B156" s="54" t="s">
        <v>5</v>
      </c>
      <c r="C156" s="68"/>
      <c r="D156" s="14" t="s">
        <v>1</v>
      </c>
      <c r="E156" s="14" t="s">
        <v>25</v>
      </c>
      <c r="F156" s="14" t="s">
        <v>27</v>
      </c>
      <c r="G156" s="305">
        <f>'OCT-18'!I156</f>
        <v>367.60999999999967</v>
      </c>
      <c r="H156" s="51"/>
      <c r="I156" s="17">
        <f t="shared" si="3"/>
        <v>3367.6099999999997</v>
      </c>
      <c r="J156" s="108">
        <v>3000</v>
      </c>
      <c r="K156" s="302"/>
    </row>
    <row r="157" spans="1:11">
      <c r="A157" s="11">
        <v>55603</v>
      </c>
      <c r="B157" s="54" t="s">
        <v>6</v>
      </c>
      <c r="C157" s="55"/>
      <c r="D157" s="14" t="s">
        <v>1</v>
      </c>
      <c r="E157" s="14" t="s">
        <v>25</v>
      </c>
      <c r="F157" s="14" t="s">
        <v>26</v>
      </c>
      <c r="G157" s="305">
        <f>'OCT-18'!I157</f>
        <v>97.4</v>
      </c>
      <c r="H157" s="51"/>
      <c r="I157" s="17">
        <f t="shared" si="3"/>
        <v>97.4</v>
      </c>
      <c r="J157" s="64"/>
      <c r="K157" s="65"/>
    </row>
    <row r="158" spans="1:11" ht="26.25">
      <c r="A158" s="4">
        <v>61599</v>
      </c>
      <c r="B158" s="5" t="s">
        <v>7</v>
      </c>
      <c r="C158" s="5"/>
      <c r="D158" s="3" t="s">
        <v>1</v>
      </c>
      <c r="E158" s="3" t="s">
        <v>25</v>
      </c>
      <c r="F158" s="3" t="s">
        <v>26</v>
      </c>
      <c r="G158" s="305">
        <f>'OCT-18'!I158</f>
        <v>687.83999999999992</v>
      </c>
      <c r="H158" s="51"/>
      <c r="I158" s="17">
        <f t="shared" si="3"/>
        <v>687.83999999999992</v>
      </c>
      <c r="J158" s="37"/>
      <c r="K158" s="36"/>
    </row>
    <row r="159" spans="1:11" ht="21">
      <c r="A159" s="38" t="s">
        <v>8</v>
      </c>
      <c r="B159" s="39" t="s">
        <v>9</v>
      </c>
      <c r="C159" s="39"/>
      <c r="D159" s="39" t="s">
        <v>1</v>
      </c>
      <c r="E159" s="39" t="s">
        <v>25</v>
      </c>
      <c r="F159" s="39" t="s">
        <v>27</v>
      </c>
      <c r="G159" s="305">
        <f>'OCT-18'!I159</f>
        <v>7899.1699999999992</v>
      </c>
      <c r="H159" s="95">
        <f>SUM(H152:H158)</f>
        <v>0</v>
      </c>
      <c r="I159" s="40">
        <f>G159-H159+J159-K159</f>
        <v>7899.1699999999983</v>
      </c>
      <c r="J159" s="107">
        <f>SUM(J152:J158)</f>
        <v>3000</v>
      </c>
      <c r="K159" s="107">
        <f>SUM(K152:K158)</f>
        <v>3000</v>
      </c>
    </row>
    <row r="160" spans="1:11" ht="28.5" customHeight="1">
      <c r="A160" s="367">
        <v>54104</v>
      </c>
      <c r="B160" s="7" t="s">
        <v>186</v>
      </c>
      <c r="C160" s="6"/>
      <c r="D160" s="3" t="s">
        <v>11</v>
      </c>
      <c r="E160" s="3" t="s">
        <v>25</v>
      </c>
      <c r="F160" s="3" t="s">
        <v>26</v>
      </c>
      <c r="G160" s="305">
        <f>'OCT-18'!I160</f>
        <v>3000</v>
      </c>
      <c r="H160" s="51"/>
      <c r="I160" s="17">
        <f t="shared" si="3"/>
        <v>3000</v>
      </c>
      <c r="J160" s="37"/>
      <c r="K160" s="36"/>
    </row>
    <row r="161" spans="1:11" ht="44.25" customHeight="1">
      <c r="A161" s="4">
        <v>54117</v>
      </c>
      <c r="B161" s="7" t="s">
        <v>187</v>
      </c>
      <c r="C161" s="6"/>
      <c r="D161" s="3" t="s">
        <v>11</v>
      </c>
      <c r="E161" s="3" t="s">
        <v>25</v>
      </c>
      <c r="F161" s="3" t="s">
        <v>26</v>
      </c>
      <c r="G161" s="305">
        <f>'OCT-18'!I161</f>
        <v>1500</v>
      </c>
      <c r="H161" s="51"/>
      <c r="I161" s="17">
        <f t="shared" si="3"/>
        <v>530.03</v>
      </c>
      <c r="J161" s="37"/>
      <c r="K161" s="324">
        <v>969.97</v>
      </c>
    </row>
    <row r="162" spans="1:11" ht="30.75" customHeight="1">
      <c r="A162" s="4">
        <v>55603</v>
      </c>
      <c r="B162" s="5" t="s">
        <v>13</v>
      </c>
      <c r="C162" s="6"/>
      <c r="D162" s="3" t="s">
        <v>11</v>
      </c>
      <c r="E162" s="3" t="s">
        <v>25</v>
      </c>
      <c r="F162" s="3" t="s">
        <v>26</v>
      </c>
      <c r="G162" s="305">
        <f>'OCT-18'!I162</f>
        <v>764.67000000000007</v>
      </c>
      <c r="H162" s="51"/>
      <c r="I162" s="17">
        <f t="shared" si="3"/>
        <v>761.28000000000009</v>
      </c>
      <c r="J162" s="37"/>
      <c r="K162" s="385">
        <v>3.39</v>
      </c>
    </row>
    <row r="163" spans="1:11" ht="30.75" customHeight="1">
      <c r="A163" s="66" t="s">
        <v>14</v>
      </c>
      <c r="B163" s="67" t="s">
        <v>188</v>
      </c>
      <c r="C163" s="55"/>
      <c r="D163" s="14" t="s">
        <v>11</v>
      </c>
      <c r="E163" s="14" t="s">
        <v>25</v>
      </c>
      <c r="F163" s="50" t="s">
        <v>26</v>
      </c>
      <c r="G163" s="305">
        <f>'OCT-18'!I163</f>
        <v>3000.26</v>
      </c>
      <c r="H163" s="51">
        <f>2480.6</f>
        <v>2480.6</v>
      </c>
      <c r="I163" s="441">
        <f t="shared" si="3"/>
        <v>519.66000000000031</v>
      </c>
      <c r="J163" s="387"/>
      <c r="K163" s="54"/>
    </row>
    <row r="164" spans="1:11" ht="36.75" customHeight="1">
      <c r="A164" s="11">
        <v>61104</v>
      </c>
      <c r="B164" s="54" t="s">
        <v>189</v>
      </c>
      <c r="C164" s="55"/>
      <c r="D164" s="14" t="s">
        <v>11</v>
      </c>
      <c r="E164" s="14" t="s">
        <v>25</v>
      </c>
      <c r="F164" s="14" t="s">
        <v>27</v>
      </c>
      <c r="G164" s="305">
        <f>'OCT-18'!I164</f>
        <v>626.86000000000035</v>
      </c>
      <c r="H164" s="51"/>
      <c r="I164" s="17">
        <f t="shared" si="3"/>
        <v>626.86000000000035</v>
      </c>
      <c r="J164" s="62"/>
      <c r="K164" s="320"/>
    </row>
    <row r="165" spans="1:11" ht="31.5" customHeight="1">
      <c r="A165" s="11">
        <v>61109</v>
      </c>
      <c r="B165" s="54" t="s">
        <v>190</v>
      </c>
      <c r="C165" s="55"/>
      <c r="D165" s="14" t="s">
        <v>11</v>
      </c>
      <c r="E165" s="14" t="s">
        <v>25</v>
      </c>
      <c r="F165" s="14" t="s">
        <v>26</v>
      </c>
      <c r="G165" s="305">
        <f>'OCT-18'!I165</f>
        <v>673.5</v>
      </c>
      <c r="H165" s="51"/>
      <c r="I165" s="17">
        <f t="shared" si="3"/>
        <v>673.5</v>
      </c>
      <c r="J165" s="62"/>
      <c r="K165" s="387"/>
    </row>
    <row r="166" spans="1:11" ht="30.75" customHeight="1">
      <c r="A166" s="11" t="s">
        <v>160</v>
      </c>
      <c r="B166" s="54" t="s">
        <v>194</v>
      </c>
      <c r="C166" s="55"/>
      <c r="D166" s="14" t="s">
        <v>11</v>
      </c>
      <c r="E166" s="14" t="s">
        <v>25</v>
      </c>
      <c r="F166" s="14" t="s">
        <v>26</v>
      </c>
      <c r="G166" s="305">
        <f>'OCT-18'!I166</f>
        <v>0</v>
      </c>
      <c r="H166" s="51"/>
      <c r="I166" s="17">
        <f t="shared" si="3"/>
        <v>0</v>
      </c>
      <c r="J166" s="62"/>
      <c r="K166" s="63"/>
    </row>
    <row r="167" spans="1:11" ht="27.75" customHeight="1">
      <c r="A167" s="11" t="s">
        <v>191</v>
      </c>
      <c r="B167" s="54" t="s">
        <v>195</v>
      </c>
      <c r="C167" s="55"/>
      <c r="D167" s="14" t="s">
        <v>11</v>
      </c>
      <c r="E167" s="14" t="s">
        <v>25</v>
      </c>
      <c r="F167" s="14" t="s">
        <v>26</v>
      </c>
      <c r="G167" s="305">
        <f>'OCT-18'!I167</f>
        <v>0</v>
      </c>
      <c r="H167" s="51"/>
      <c r="I167" s="17">
        <f t="shared" si="3"/>
        <v>0</v>
      </c>
      <c r="J167" s="64"/>
      <c r="K167" s="385"/>
    </row>
    <row r="168" spans="1:11" ht="31.5" customHeight="1">
      <c r="A168" s="11" t="s">
        <v>192</v>
      </c>
      <c r="B168" s="53" t="s">
        <v>196</v>
      </c>
      <c r="C168" s="8"/>
      <c r="D168" s="3" t="s">
        <v>11</v>
      </c>
      <c r="E168" s="3" t="s">
        <v>25</v>
      </c>
      <c r="F168" s="3" t="s">
        <v>26</v>
      </c>
      <c r="G168" s="305">
        <f>'OCT-18'!I168</f>
        <v>2000</v>
      </c>
      <c r="H168" s="51"/>
      <c r="I168" s="17">
        <f t="shared" si="3"/>
        <v>2000</v>
      </c>
      <c r="J168" s="45"/>
      <c r="K168" s="385"/>
    </row>
    <row r="169" spans="1:11" ht="45" customHeight="1">
      <c r="A169" s="11" t="s">
        <v>193</v>
      </c>
      <c r="B169" s="53" t="s">
        <v>197</v>
      </c>
      <c r="C169" s="8"/>
      <c r="D169" s="3" t="s">
        <v>11</v>
      </c>
      <c r="E169" s="3" t="s">
        <v>25</v>
      </c>
      <c r="F169" s="3" t="s">
        <v>26</v>
      </c>
      <c r="G169" s="305">
        <f>'OCT-18'!I169</f>
        <v>10000</v>
      </c>
      <c r="H169" s="51"/>
      <c r="I169" s="17">
        <f t="shared" si="3"/>
        <v>10000</v>
      </c>
      <c r="J169" s="45"/>
      <c r="K169" s="46"/>
    </row>
    <row r="170" spans="1:11" ht="42.75" customHeight="1">
      <c r="A170" s="11" t="s">
        <v>198</v>
      </c>
      <c r="B170" s="53" t="s">
        <v>1029</v>
      </c>
      <c r="C170" s="6"/>
      <c r="D170" s="3" t="s">
        <v>11</v>
      </c>
      <c r="E170" s="3" t="s">
        <v>25</v>
      </c>
      <c r="F170" s="3" t="s">
        <v>26</v>
      </c>
      <c r="G170" s="305">
        <f>'OCT-18'!I170</f>
        <v>14000</v>
      </c>
      <c r="H170" s="51"/>
      <c r="I170" s="17">
        <f t="shared" si="3"/>
        <v>14000</v>
      </c>
      <c r="J170" s="45"/>
      <c r="K170" s="46"/>
    </row>
    <row r="171" spans="1:11" ht="85.5">
      <c r="A171" s="144" t="s">
        <v>200</v>
      </c>
      <c r="B171" s="54" t="s">
        <v>202</v>
      </c>
      <c r="C171" s="343" t="s">
        <v>1096</v>
      </c>
      <c r="D171" s="14" t="s">
        <v>11</v>
      </c>
      <c r="E171" s="14" t="s">
        <v>25</v>
      </c>
      <c r="F171" s="14" t="s">
        <v>26</v>
      </c>
      <c r="G171" s="305">
        <f>'OCT-18'!I171</f>
        <v>0</v>
      </c>
      <c r="H171" s="51"/>
      <c r="I171" s="17">
        <f t="shared" si="3"/>
        <v>0</v>
      </c>
      <c r="J171" s="64"/>
      <c r="K171" s="261"/>
    </row>
    <row r="172" spans="1:11" ht="36.75" customHeight="1">
      <c r="A172" s="11" t="s">
        <v>556</v>
      </c>
      <c r="B172" s="145" t="s">
        <v>1030</v>
      </c>
      <c r="C172" s="55" t="s">
        <v>1097</v>
      </c>
      <c r="D172" s="14" t="s">
        <v>11</v>
      </c>
      <c r="E172" s="14" t="s">
        <v>25</v>
      </c>
      <c r="F172" s="14" t="s">
        <v>26</v>
      </c>
      <c r="G172" s="305">
        <f>'OCT-18'!I172</f>
        <v>66.149999999998215</v>
      </c>
      <c r="H172" s="51">
        <f>233.38+277.9+217.84+217.84+217.84+186.76+140+50+140+140+233.38+277.9+217.84+217.84+217.84+186.76+140+140+140+140</f>
        <v>3733.1200000000008</v>
      </c>
      <c r="I172" s="17">
        <f t="shared" si="3"/>
        <v>4333.029999999997</v>
      </c>
      <c r="J172" s="108">
        <v>8000</v>
      </c>
      <c r="K172" s="269"/>
    </row>
    <row r="173" spans="1:11" ht="36.75" customHeight="1">
      <c r="A173" s="11" t="s">
        <v>1241</v>
      </c>
      <c r="B173" s="250" t="s">
        <v>1242</v>
      </c>
      <c r="C173" s="55"/>
      <c r="D173" s="14" t="s">
        <v>11</v>
      </c>
      <c r="E173" s="14" t="s">
        <v>25</v>
      </c>
      <c r="F173" s="14" t="s">
        <v>26</v>
      </c>
      <c r="G173" s="305"/>
      <c r="H173" s="51"/>
      <c r="I173" s="17">
        <f t="shared" si="3"/>
        <v>3000</v>
      </c>
      <c r="J173" s="108">
        <v>3000</v>
      </c>
      <c r="K173" s="269"/>
    </row>
    <row r="174" spans="1:11" ht="36.75" customHeight="1">
      <c r="A174" s="144" t="s">
        <v>564</v>
      </c>
      <c r="B174" s="250" t="s">
        <v>1232</v>
      </c>
      <c r="C174" s="55"/>
      <c r="D174" s="14" t="s">
        <v>11</v>
      </c>
      <c r="E174" s="14" t="s">
        <v>25</v>
      </c>
      <c r="F174" s="14" t="s">
        <v>26</v>
      </c>
      <c r="G174" s="305"/>
      <c r="H174" s="51">
        <v>34</v>
      </c>
      <c r="I174" s="18">
        <f t="shared" si="3"/>
        <v>66</v>
      </c>
      <c r="J174" s="108">
        <v>100</v>
      </c>
      <c r="K174" s="269"/>
    </row>
    <row r="175" spans="1:11" ht="36.75" customHeight="1">
      <c r="A175" s="144" t="s">
        <v>1038</v>
      </c>
      <c r="B175" s="250" t="s">
        <v>1007</v>
      </c>
      <c r="C175" s="55" t="s">
        <v>1097</v>
      </c>
      <c r="D175" s="14" t="s">
        <v>11</v>
      </c>
      <c r="E175" s="14" t="s">
        <v>25</v>
      </c>
      <c r="F175" s="14" t="s">
        <v>26</v>
      </c>
      <c r="G175" s="305">
        <f>'OCT-18'!I173</f>
        <v>0</v>
      </c>
      <c r="H175" s="51"/>
      <c r="I175" s="17">
        <f t="shared" si="3"/>
        <v>4000</v>
      </c>
      <c r="J175" s="108">
        <v>4000</v>
      </c>
      <c r="K175" s="269"/>
    </row>
    <row r="176" spans="1:11" ht="36" customHeight="1">
      <c r="A176" s="144" t="s">
        <v>1138</v>
      </c>
      <c r="B176" s="250" t="s">
        <v>1139</v>
      </c>
      <c r="C176" s="55" t="s">
        <v>1097</v>
      </c>
      <c r="D176" s="14" t="s">
        <v>11</v>
      </c>
      <c r="E176" s="14" t="s">
        <v>25</v>
      </c>
      <c r="F176" s="14" t="s">
        <v>26</v>
      </c>
      <c r="G176" s="305">
        <f>'OCT-18'!I174</f>
        <v>0</v>
      </c>
      <c r="H176" s="51"/>
      <c r="I176" s="17">
        <f t="shared" si="3"/>
        <v>2364.52</v>
      </c>
      <c r="J176" s="108">
        <v>2364.52</v>
      </c>
      <c r="K176" s="269"/>
    </row>
    <row r="177" spans="1:11" ht="36" customHeight="1">
      <c r="A177" s="144" t="s">
        <v>1216</v>
      </c>
      <c r="B177" s="250" t="s">
        <v>1217</v>
      </c>
      <c r="C177" s="55" t="s">
        <v>1097</v>
      </c>
      <c r="D177" s="14" t="s">
        <v>11</v>
      </c>
      <c r="E177" s="14" t="s">
        <v>25</v>
      </c>
      <c r="F177" s="14" t="s">
        <v>26</v>
      </c>
      <c r="G177" s="305">
        <f>'OCT-18'!I175</f>
        <v>0</v>
      </c>
      <c r="H177" s="51"/>
      <c r="I177" s="17">
        <f t="shared" si="3"/>
        <v>0</v>
      </c>
      <c r="J177" s="108"/>
      <c r="K177" s="269"/>
    </row>
    <row r="178" spans="1:11" ht="38.25" customHeight="1">
      <c r="A178" s="144" t="s">
        <v>571</v>
      </c>
      <c r="B178" s="250" t="s">
        <v>1067</v>
      </c>
      <c r="C178" s="55" t="s">
        <v>1097</v>
      </c>
      <c r="D178" s="14" t="s">
        <v>11</v>
      </c>
      <c r="E178" s="14" t="s">
        <v>25</v>
      </c>
      <c r="F178" s="14" t="s">
        <v>26</v>
      </c>
      <c r="G178" s="305">
        <f>'OCT-18'!I176</f>
        <v>-7.9936057773011271E-15</v>
      </c>
      <c r="H178" s="51"/>
      <c r="I178" s="17">
        <f t="shared" si="3"/>
        <v>-7.9936057773011271E-15</v>
      </c>
      <c r="J178" s="108"/>
      <c r="K178" s="269"/>
    </row>
    <row r="179" spans="1:11" ht="38.25" customHeight="1">
      <c r="A179" s="144">
        <v>54599</v>
      </c>
      <c r="B179" s="250" t="s">
        <v>1184</v>
      </c>
      <c r="C179" s="55"/>
      <c r="D179" s="14" t="s">
        <v>11</v>
      </c>
      <c r="E179" s="14" t="s">
        <v>25</v>
      </c>
      <c r="F179" s="14" t="s">
        <v>26</v>
      </c>
      <c r="G179" s="305">
        <f>'OCT-18'!I177</f>
        <v>0</v>
      </c>
      <c r="H179" s="51"/>
      <c r="I179" s="17">
        <f t="shared" si="3"/>
        <v>0</v>
      </c>
      <c r="J179" s="108"/>
      <c r="K179" s="269"/>
    </row>
    <row r="180" spans="1:11" ht="40.5" customHeight="1">
      <c r="A180" s="144" t="s">
        <v>969</v>
      </c>
      <c r="B180" s="145" t="s">
        <v>1039</v>
      </c>
      <c r="C180" s="55" t="s">
        <v>1097</v>
      </c>
      <c r="D180" s="14" t="s">
        <v>11</v>
      </c>
      <c r="E180" s="14" t="s">
        <v>25</v>
      </c>
      <c r="F180" s="14" t="s">
        <v>26</v>
      </c>
      <c r="G180" s="305">
        <f>'OCT-18'!I178</f>
        <v>-4.4408920985006262E-16</v>
      </c>
      <c r="H180" s="51">
        <v>3.39</v>
      </c>
      <c r="I180" s="18">
        <f t="shared" si="3"/>
        <v>-4.4408920985006262E-16</v>
      </c>
      <c r="J180" s="108">
        <v>3.39</v>
      </c>
      <c r="K180" s="65"/>
    </row>
    <row r="181" spans="1:11" ht="106.5">
      <c r="A181" s="144" t="s">
        <v>201</v>
      </c>
      <c r="B181" s="54" t="s">
        <v>204</v>
      </c>
      <c r="C181" s="343" t="s">
        <v>1098</v>
      </c>
      <c r="D181" s="14" t="s">
        <v>11</v>
      </c>
      <c r="E181" s="14" t="s">
        <v>25</v>
      </c>
      <c r="F181" s="14" t="s">
        <v>26</v>
      </c>
      <c r="G181" s="305">
        <f>'OCT-18'!I179</f>
        <v>0</v>
      </c>
      <c r="H181" s="51"/>
      <c r="I181" s="17">
        <f t="shared" si="3"/>
        <v>0</v>
      </c>
      <c r="J181" s="62"/>
      <c r="K181" s="63"/>
    </row>
    <row r="182" spans="1:11" ht="19.5" customHeight="1">
      <c r="A182" s="11" t="s">
        <v>203</v>
      </c>
      <c r="B182" s="145" t="s">
        <v>206</v>
      </c>
      <c r="C182" s="55" t="s">
        <v>1099</v>
      </c>
      <c r="D182" s="14" t="s">
        <v>11</v>
      </c>
      <c r="E182" s="14" t="s">
        <v>25</v>
      </c>
      <c r="F182" s="14" t="s">
        <v>26</v>
      </c>
      <c r="G182" s="305">
        <f>'OCT-18'!I180</f>
        <v>1726.3399999999983</v>
      </c>
      <c r="H182" s="51">
        <f>277.9+217.84+217.84+217.84+140+140+140+140+140+140+140+140+140+140+40+233.38+277.9+217.84+217.84+217.84+140+60+50+140+140+140+140+140+140+140+140+40+100+233.38+277.9+217.84+217.84+217.84+140+140+140+140+140+140+140+140+140+140+140</f>
        <v>7751.0200000000013</v>
      </c>
      <c r="I182" s="17">
        <f t="shared" si="3"/>
        <v>975.31999999999698</v>
      </c>
      <c r="J182" s="108">
        <v>7000</v>
      </c>
      <c r="K182" s="65"/>
    </row>
    <row r="183" spans="1:11" ht="36">
      <c r="A183" s="11" t="s">
        <v>1041</v>
      </c>
      <c r="B183" s="145" t="s">
        <v>1042</v>
      </c>
      <c r="C183" s="55" t="s">
        <v>1099</v>
      </c>
      <c r="D183" s="14" t="s">
        <v>11</v>
      </c>
      <c r="E183" s="14" t="s">
        <v>25</v>
      </c>
      <c r="F183" s="14" t="s">
        <v>26</v>
      </c>
      <c r="G183" s="305">
        <f>'OCT-18'!I181</f>
        <v>0</v>
      </c>
      <c r="H183" s="51"/>
      <c r="I183" s="17">
        <f t="shared" si="3"/>
        <v>0</v>
      </c>
      <c r="J183" s="108"/>
      <c r="K183" s="65"/>
    </row>
    <row r="184" spans="1:11" ht="20.25" customHeight="1">
      <c r="A184" s="11" t="s">
        <v>205</v>
      </c>
      <c r="B184" s="145" t="s">
        <v>207</v>
      </c>
      <c r="C184" s="55" t="s">
        <v>1099</v>
      </c>
      <c r="D184" s="14" t="s">
        <v>11</v>
      </c>
      <c r="E184" s="14" t="s">
        <v>25</v>
      </c>
      <c r="F184" s="14" t="s">
        <v>26</v>
      </c>
      <c r="G184" s="305">
        <f>'OCT-18'!I182</f>
        <v>200</v>
      </c>
      <c r="H184" s="51">
        <f>91.8+68.8</f>
        <v>160.6</v>
      </c>
      <c r="I184" s="17">
        <f t="shared" si="3"/>
        <v>39.400000000000006</v>
      </c>
      <c r="J184" s="64"/>
      <c r="K184" s="65"/>
    </row>
    <row r="185" spans="1:11" ht="36">
      <c r="A185" s="11" t="s">
        <v>208</v>
      </c>
      <c r="B185" s="145" t="s">
        <v>209</v>
      </c>
      <c r="C185" s="55" t="s">
        <v>1099</v>
      </c>
      <c r="D185" s="14" t="s">
        <v>11</v>
      </c>
      <c r="E185" s="14" t="s">
        <v>25</v>
      </c>
      <c r="F185" s="14" t="s">
        <v>26</v>
      </c>
      <c r="G185" s="305">
        <f>'OCT-18'!I183</f>
        <v>3018.91</v>
      </c>
      <c r="H185" s="51">
        <f>1042+1868+1446.5+413.75</f>
        <v>4770.25</v>
      </c>
      <c r="I185" s="17">
        <f t="shared" si="3"/>
        <v>248.65999999999985</v>
      </c>
      <c r="J185" s="108">
        <v>2000</v>
      </c>
      <c r="K185" s="269"/>
    </row>
    <row r="186" spans="1:11" ht="24">
      <c r="A186" s="11" t="s">
        <v>210</v>
      </c>
      <c r="B186" s="145" t="s">
        <v>211</v>
      </c>
      <c r="C186" s="55" t="s">
        <v>1099</v>
      </c>
      <c r="D186" s="14" t="s">
        <v>11</v>
      </c>
      <c r="E186" s="14" t="s">
        <v>25</v>
      </c>
      <c r="F186" s="14" t="s">
        <v>26</v>
      </c>
      <c r="G186" s="305">
        <f>'OCT-18'!I184</f>
        <v>1052.25</v>
      </c>
      <c r="H186" s="276">
        <f>47.5+166.32+865</f>
        <v>1078.82</v>
      </c>
      <c r="I186" s="17">
        <f t="shared" si="3"/>
        <v>473.43000000000006</v>
      </c>
      <c r="J186" s="108">
        <v>500</v>
      </c>
      <c r="K186" s="65"/>
    </row>
    <row r="187" spans="1:11" ht="34.5" customHeight="1">
      <c r="A187" s="11" t="s">
        <v>212</v>
      </c>
      <c r="B187" s="145" t="s">
        <v>213</v>
      </c>
      <c r="C187" s="55" t="s">
        <v>1099</v>
      </c>
      <c r="D187" s="3" t="s">
        <v>11</v>
      </c>
      <c r="E187" s="3" t="s">
        <v>25</v>
      </c>
      <c r="F187" s="3" t="s">
        <v>26</v>
      </c>
      <c r="G187" s="305">
        <f>'OCT-18'!I185</f>
        <v>41.49000000000003</v>
      </c>
      <c r="H187" s="51"/>
      <c r="I187" s="17">
        <f t="shared" si="3"/>
        <v>11.49000000000003</v>
      </c>
      <c r="J187" s="45"/>
      <c r="K187" s="270">
        <v>30</v>
      </c>
    </row>
    <row r="188" spans="1:11" ht="34.5" customHeight="1">
      <c r="A188" s="11" t="s">
        <v>1143</v>
      </c>
      <c r="B188" s="145" t="s">
        <v>1140</v>
      </c>
      <c r="C188" s="55" t="s">
        <v>1099</v>
      </c>
      <c r="D188" s="3" t="s">
        <v>11</v>
      </c>
      <c r="E188" s="3" t="s">
        <v>25</v>
      </c>
      <c r="F188" s="3" t="s">
        <v>26</v>
      </c>
      <c r="G188" s="305">
        <f>'OCT-18'!I186</f>
        <v>270</v>
      </c>
      <c r="H188" s="51"/>
      <c r="I188" s="17">
        <f t="shared" si="3"/>
        <v>0</v>
      </c>
      <c r="J188" s="126"/>
      <c r="K188" s="270">
        <v>270</v>
      </c>
    </row>
    <row r="189" spans="1:11" ht="37.5" customHeight="1">
      <c r="A189" s="11" t="s">
        <v>1043</v>
      </c>
      <c r="B189" s="145" t="s">
        <v>1044</v>
      </c>
      <c r="C189" s="55" t="s">
        <v>1099</v>
      </c>
      <c r="D189" s="3" t="s">
        <v>11</v>
      </c>
      <c r="E189" s="3" t="s">
        <v>25</v>
      </c>
      <c r="F189" s="3" t="s">
        <v>26</v>
      </c>
      <c r="G189" s="305">
        <f>'OCT-18'!I187</f>
        <v>1.8099999999999454</v>
      </c>
      <c r="H189" s="51"/>
      <c r="I189" s="17">
        <f t="shared" si="3"/>
        <v>1.8099999999999454</v>
      </c>
      <c r="J189" s="126"/>
      <c r="K189" s="46"/>
    </row>
    <row r="190" spans="1:11" ht="28.5" customHeight="1">
      <c r="A190" s="11" t="s">
        <v>215</v>
      </c>
      <c r="B190" s="145" t="s">
        <v>214</v>
      </c>
      <c r="C190" s="55" t="s">
        <v>1099</v>
      </c>
      <c r="D190" s="3" t="s">
        <v>11</v>
      </c>
      <c r="E190" s="3" t="s">
        <v>25</v>
      </c>
      <c r="F190" s="3" t="s">
        <v>26</v>
      </c>
      <c r="G190" s="305">
        <f>'OCT-18'!I188</f>
        <v>3915</v>
      </c>
      <c r="H190" s="51"/>
      <c r="I190" s="17">
        <f t="shared" si="3"/>
        <v>15</v>
      </c>
      <c r="J190" s="45"/>
      <c r="K190" s="270">
        <v>3900</v>
      </c>
    </row>
    <row r="191" spans="1:11" ht="27.75" customHeight="1">
      <c r="A191" s="11" t="s">
        <v>216</v>
      </c>
      <c r="B191" s="145" t="s">
        <v>217</v>
      </c>
      <c r="C191" s="55" t="s">
        <v>1099</v>
      </c>
      <c r="D191" s="3" t="s">
        <v>11</v>
      </c>
      <c r="E191" s="3" t="s">
        <v>25</v>
      </c>
      <c r="F191" s="3" t="s">
        <v>26</v>
      </c>
      <c r="G191" s="305">
        <f>'OCT-18'!I189</f>
        <v>5364.9</v>
      </c>
      <c r="H191" s="51"/>
      <c r="I191" s="17">
        <f t="shared" si="3"/>
        <v>64.899999999999636</v>
      </c>
      <c r="J191" s="126"/>
      <c r="K191" s="270">
        <v>5300</v>
      </c>
    </row>
    <row r="192" spans="1:11" ht="44.25" customHeight="1">
      <c r="A192" s="141" t="s">
        <v>1208</v>
      </c>
      <c r="B192" s="250" t="s">
        <v>1206</v>
      </c>
      <c r="C192" s="55"/>
      <c r="D192" s="3" t="s">
        <v>11</v>
      </c>
      <c r="E192" s="3" t="s">
        <v>25</v>
      </c>
      <c r="F192" s="3" t="s">
        <v>26</v>
      </c>
      <c r="G192" s="305">
        <f>'OCT-18'!I190</f>
        <v>4.5</v>
      </c>
      <c r="H192" s="51"/>
      <c r="I192" s="17">
        <f t="shared" si="3"/>
        <v>4.5</v>
      </c>
      <c r="J192" s="126"/>
      <c r="K192" s="270"/>
    </row>
    <row r="193" spans="1:11" ht="36" customHeight="1">
      <c r="A193" s="11" t="s">
        <v>218</v>
      </c>
      <c r="B193" s="145" t="s">
        <v>219</v>
      </c>
      <c r="C193" s="55" t="s">
        <v>1099</v>
      </c>
      <c r="D193" s="3" t="s">
        <v>11</v>
      </c>
      <c r="E193" s="3" t="s">
        <v>25</v>
      </c>
      <c r="F193" s="3" t="s">
        <v>26</v>
      </c>
      <c r="G193" s="305">
        <f>'OCT-18'!I191</f>
        <v>42.65</v>
      </c>
      <c r="H193" s="372">
        <v>3.39</v>
      </c>
      <c r="I193" s="17">
        <f t="shared" si="3"/>
        <v>39.26</v>
      </c>
      <c r="J193" s="45"/>
      <c r="K193" s="46"/>
    </row>
    <row r="194" spans="1:11" ht="105" customHeight="1">
      <c r="A194" s="144" t="s">
        <v>220</v>
      </c>
      <c r="B194" s="54" t="s">
        <v>221</v>
      </c>
      <c r="C194" s="343" t="s">
        <v>1100</v>
      </c>
      <c r="D194" s="3"/>
      <c r="E194" s="3"/>
      <c r="F194" s="3"/>
      <c r="G194" s="305">
        <f>'OCT-18'!I192</f>
        <v>0</v>
      </c>
      <c r="H194" s="51"/>
      <c r="I194" s="17"/>
      <c r="J194" s="45"/>
      <c r="K194" s="46"/>
    </row>
    <row r="195" spans="1:11" ht="18" customHeight="1">
      <c r="A195" s="11" t="s">
        <v>222</v>
      </c>
      <c r="B195" s="145" t="s">
        <v>223</v>
      </c>
      <c r="C195" s="55" t="s">
        <v>1101</v>
      </c>
      <c r="D195" s="3" t="s">
        <v>11</v>
      </c>
      <c r="E195" s="3" t="s">
        <v>25</v>
      </c>
      <c r="F195" s="3" t="s">
        <v>26</v>
      </c>
      <c r="G195" s="305">
        <f>'OCT-18'!I193</f>
        <v>1838.7899999999981</v>
      </c>
      <c r="H195" s="51">
        <f>233.38+277.9+217.84+217.84+217.84+140+140+140+140+140+140+140+140+140+140+233.38+277.9+217.84+217.84+217.84+140+140+140+140+140+140+140+140+140+140</f>
        <v>5129.6000000000004</v>
      </c>
      <c r="I195" s="17">
        <f t="shared" si="3"/>
        <v>-290.81000000000222</v>
      </c>
      <c r="J195" s="126">
        <v>3000</v>
      </c>
      <c r="K195" s="46"/>
    </row>
    <row r="196" spans="1:11" ht="24.75" customHeight="1">
      <c r="A196" s="11" t="s">
        <v>1233</v>
      </c>
      <c r="B196" s="145" t="s">
        <v>1234</v>
      </c>
      <c r="C196" s="55"/>
      <c r="D196" s="3"/>
      <c r="E196" s="3"/>
      <c r="F196" s="3"/>
      <c r="G196" s="305"/>
      <c r="H196" s="51">
        <f>8601+839.62</f>
        <v>9440.6200000000008</v>
      </c>
      <c r="I196" s="17">
        <f t="shared" si="3"/>
        <v>559.3799999999992</v>
      </c>
      <c r="J196" s="126">
        <v>10000</v>
      </c>
      <c r="K196" s="46"/>
    </row>
    <row r="197" spans="1:11" ht="38.25" customHeight="1">
      <c r="A197" s="11" t="s">
        <v>1209</v>
      </c>
      <c r="B197" s="146" t="s">
        <v>1207</v>
      </c>
      <c r="C197" s="55"/>
      <c r="D197" s="3" t="s">
        <v>11</v>
      </c>
      <c r="E197" s="3" t="s">
        <v>25</v>
      </c>
      <c r="F197" s="3" t="s">
        <v>26</v>
      </c>
      <c r="G197" s="305">
        <f>'OCT-18'!I194</f>
        <v>52</v>
      </c>
      <c r="H197" s="51"/>
      <c r="I197" s="17">
        <f t="shared" si="3"/>
        <v>52</v>
      </c>
      <c r="J197" s="126"/>
      <c r="K197" s="46"/>
    </row>
    <row r="198" spans="1:11" ht="30" customHeight="1">
      <c r="A198" s="11" t="s">
        <v>225</v>
      </c>
      <c r="B198" s="145" t="s">
        <v>224</v>
      </c>
      <c r="C198" s="55"/>
      <c r="D198" s="3" t="s">
        <v>11</v>
      </c>
      <c r="E198" s="3" t="s">
        <v>25</v>
      </c>
      <c r="F198" s="3" t="s">
        <v>26</v>
      </c>
      <c r="G198" s="305">
        <f>'OCT-18'!I195</f>
        <v>100</v>
      </c>
      <c r="H198" s="51">
        <f>17+17.31</f>
        <v>34.31</v>
      </c>
      <c r="I198" s="17">
        <f t="shared" si="3"/>
        <v>65.69</v>
      </c>
      <c r="J198" s="126"/>
      <c r="K198" s="46"/>
    </row>
    <row r="199" spans="1:11" ht="33.75" customHeight="1">
      <c r="A199" s="11" t="s">
        <v>226</v>
      </c>
      <c r="B199" s="145" t="s">
        <v>227</v>
      </c>
      <c r="C199" s="55" t="s">
        <v>1101</v>
      </c>
      <c r="D199" s="3" t="s">
        <v>11</v>
      </c>
      <c r="E199" s="3" t="s">
        <v>25</v>
      </c>
      <c r="F199" s="3" t="s">
        <v>26</v>
      </c>
      <c r="G199" s="305">
        <f>'OCT-18'!I196</f>
        <v>17474.95</v>
      </c>
      <c r="H199" s="51">
        <f>336+430+91</f>
        <v>857</v>
      </c>
      <c r="I199" s="17">
        <f t="shared" si="3"/>
        <v>6617.9500000000007</v>
      </c>
      <c r="J199" s="126"/>
      <c r="K199" s="324">
        <v>10000</v>
      </c>
    </row>
    <row r="200" spans="1:11" ht="28.5" customHeight="1">
      <c r="A200" s="11" t="s">
        <v>228</v>
      </c>
      <c r="B200" s="145" t="s">
        <v>229</v>
      </c>
      <c r="C200" s="55"/>
      <c r="D200" s="3" t="s">
        <v>11</v>
      </c>
      <c r="E200" s="3" t="s">
        <v>25</v>
      </c>
      <c r="F200" s="3" t="s">
        <v>26</v>
      </c>
      <c r="G200" s="305">
        <f>'OCT-18'!I197</f>
        <v>6129.7899999999991</v>
      </c>
      <c r="H200" s="51">
        <v>396.75</v>
      </c>
      <c r="I200" s="17">
        <f t="shared" si="3"/>
        <v>4333.0399999999991</v>
      </c>
      <c r="J200" s="126"/>
      <c r="K200" s="324">
        <v>1400</v>
      </c>
    </row>
    <row r="201" spans="1:11" ht="26.25" customHeight="1">
      <c r="A201" s="11" t="s">
        <v>230</v>
      </c>
      <c r="B201" s="145" t="s">
        <v>231</v>
      </c>
      <c r="C201" s="55"/>
      <c r="D201" s="3" t="s">
        <v>11</v>
      </c>
      <c r="E201" s="3" t="s">
        <v>25</v>
      </c>
      <c r="F201" s="3" t="s">
        <v>26</v>
      </c>
      <c r="G201" s="305">
        <f>'OCT-18'!I198</f>
        <v>94.6</v>
      </c>
      <c r="H201" s="51"/>
      <c r="I201" s="17">
        <f t="shared" si="3"/>
        <v>94.6</v>
      </c>
      <c r="J201" s="126"/>
      <c r="K201" s="324"/>
    </row>
    <row r="202" spans="1:11" ht="33.75" customHeight="1">
      <c r="A202" s="11" t="s">
        <v>1236</v>
      </c>
      <c r="B202" s="145" t="s">
        <v>1237</v>
      </c>
      <c r="C202" s="55"/>
      <c r="D202" s="3"/>
      <c r="E202" s="3"/>
      <c r="F202" s="3"/>
      <c r="G202" s="305"/>
      <c r="H202" s="51">
        <f>120+250</f>
        <v>370</v>
      </c>
      <c r="I202" s="17">
        <f t="shared" si="3"/>
        <v>30</v>
      </c>
      <c r="J202" s="126">
        <v>400</v>
      </c>
      <c r="K202" s="324"/>
    </row>
    <row r="203" spans="1:11" ht="23.25" customHeight="1">
      <c r="A203" s="11" t="s">
        <v>232</v>
      </c>
      <c r="B203" s="145" t="s">
        <v>233</v>
      </c>
      <c r="C203" s="55"/>
      <c r="D203" s="3" t="s">
        <v>11</v>
      </c>
      <c r="E203" s="3" t="s">
        <v>25</v>
      </c>
      <c r="F203" s="3" t="s">
        <v>26</v>
      </c>
      <c r="G203" s="305">
        <f>'OCT-18'!I199</f>
        <v>12000</v>
      </c>
      <c r="H203" s="51"/>
      <c r="I203" s="17">
        <f t="shared" si="3"/>
        <v>2000</v>
      </c>
      <c r="J203" s="126"/>
      <c r="K203" s="324">
        <v>10000</v>
      </c>
    </row>
    <row r="204" spans="1:11" ht="28.5" customHeight="1">
      <c r="A204" s="11" t="s">
        <v>234</v>
      </c>
      <c r="B204" s="145" t="s">
        <v>237</v>
      </c>
      <c r="C204" s="55"/>
      <c r="D204" s="3" t="s">
        <v>11</v>
      </c>
      <c r="E204" s="3" t="s">
        <v>25</v>
      </c>
      <c r="F204" s="3" t="s">
        <v>26</v>
      </c>
      <c r="G204" s="305">
        <f>'OCT-18'!I200</f>
        <v>12500</v>
      </c>
      <c r="H204" s="51"/>
      <c r="I204" s="17">
        <f t="shared" si="3"/>
        <v>2500</v>
      </c>
      <c r="J204" s="126"/>
      <c r="K204" s="324">
        <v>10000</v>
      </c>
    </row>
    <row r="205" spans="1:11" ht="45" customHeight="1">
      <c r="A205" s="11" t="s">
        <v>1182</v>
      </c>
      <c r="B205" s="145" t="s">
        <v>1185</v>
      </c>
      <c r="C205" s="55"/>
      <c r="D205" s="3" t="s">
        <v>11</v>
      </c>
      <c r="E205" s="3" t="s">
        <v>25</v>
      </c>
      <c r="F205" s="3" t="s">
        <v>1181</v>
      </c>
      <c r="G205" s="305">
        <f>'OCT-18'!I201</f>
        <v>5</v>
      </c>
      <c r="H205" s="51"/>
      <c r="I205" s="17">
        <f t="shared" si="3"/>
        <v>5</v>
      </c>
      <c r="J205" s="126"/>
      <c r="K205" s="46"/>
    </row>
    <row r="206" spans="1:11" ht="45" customHeight="1">
      <c r="A206" s="11" t="s">
        <v>1235</v>
      </c>
      <c r="B206" s="145" t="s">
        <v>1243</v>
      </c>
      <c r="C206" s="55"/>
      <c r="D206" s="3"/>
      <c r="E206" s="3"/>
      <c r="F206" s="3"/>
      <c r="G206" s="305"/>
      <c r="H206" s="51">
        <f>16584.7</f>
        <v>16584.7</v>
      </c>
      <c r="I206" s="17">
        <f t="shared" si="3"/>
        <v>1415.2999999999993</v>
      </c>
      <c r="J206" s="126">
        <v>18000</v>
      </c>
      <c r="K206" s="46"/>
    </row>
    <row r="207" spans="1:11" ht="24" customHeight="1">
      <c r="A207" s="11" t="s">
        <v>235</v>
      </c>
      <c r="B207" s="145" t="s">
        <v>236</v>
      </c>
      <c r="C207" s="55" t="s">
        <v>1101</v>
      </c>
      <c r="D207" s="3" t="s">
        <v>11</v>
      </c>
      <c r="E207" s="3" t="s">
        <v>25</v>
      </c>
      <c r="F207" s="3" t="s">
        <v>26</v>
      </c>
      <c r="G207" s="305">
        <f>'OCT-18'!I202</f>
        <v>40.050000000000004</v>
      </c>
      <c r="H207" s="51">
        <f>3.39</f>
        <v>3.39</v>
      </c>
      <c r="I207" s="17">
        <f t="shared" si="3"/>
        <v>36.660000000000004</v>
      </c>
      <c r="J207" s="45"/>
      <c r="K207" s="46"/>
    </row>
    <row r="208" spans="1:11" ht="87" customHeight="1">
      <c r="A208" s="144" t="s">
        <v>238</v>
      </c>
      <c r="B208" s="54" t="s">
        <v>239</v>
      </c>
      <c r="C208" s="55"/>
      <c r="D208" s="3"/>
      <c r="E208" s="3"/>
      <c r="F208" s="3"/>
      <c r="G208" s="305">
        <f>'OCT-18'!I203</f>
        <v>0</v>
      </c>
      <c r="H208" s="51"/>
      <c r="I208" s="17"/>
      <c r="J208" s="45"/>
      <c r="K208" s="46"/>
    </row>
    <row r="209" spans="1:11" ht="24" customHeight="1">
      <c r="A209" s="11" t="s">
        <v>240</v>
      </c>
      <c r="B209" s="145" t="s">
        <v>243</v>
      </c>
      <c r="C209" s="55"/>
      <c r="D209" s="3" t="s">
        <v>11</v>
      </c>
      <c r="E209" s="3" t="s">
        <v>25</v>
      </c>
      <c r="F209" s="3" t="s">
        <v>26</v>
      </c>
      <c r="G209" s="305">
        <f>'OCT-18'!I204</f>
        <v>0</v>
      </c>
      <c r="H209" s="51"/>
      <c r="I209" s="17">
        <f t="shared" si="3"/>
        <v>0</v>
      </c>
      <c r="J209" s="45"/>
      <c r="K209" s="280"/>
    </row>
    <row r="210" spans="1:11" ht="24" customHeight="1">
      <c r="A210" s="11" t="s">
        <v>241</v>
      </c>
      <c r="B210" s="145" t="s">
        <v>242</v>
      </c>
      <c r="C210" s="55"/>
      <c r="D210" s="3" t="s">
        <v>11</v>
      </c>
      <c r="E210" s="3" t="s">
        <v>25</v>
      </c>
      <c r="F210" s="3" t="s">
        <v>26</v>
      </c>
      <c r="G210" s="305">
        <f>'OCT-18'!I205</f>
        <v>0</v>
      </c>
      <c r="H210" s="51"/>
      <c r="I210" s="17">
        <f t="shared" si="3"/>
        <v>0</v>
      </c>
      <c r="J210" s="45"/>
      <c r="K210" s="280"/>
    </row>
    <row r="211" spans="1:11" ht="40.5" customHeight="1">
      <c r="A211" s="11" t="s">
        <v>245</v>
      </c>
      <c r="B211" s="145" t="s">
        <v>244</v>
      </c>
      <c r="C211" s="55"/>
      <c r="D211" s="3" t="s">
        <v>11</v>
      </c>
      <c r="E211" s="3" t="s">
        <v>25</v>
      </c>
      <c r="F211" s="3" t="s">
        <v>26</v>
      </c>
      <c r="G211" s="305">
        <f>'OCT-18'!I206</f>
        <v>0</v>
      </c>
      <c r="H211" s="51"/>
      <c r="I211" s="17">
        <f t="shared" si="3"/>
        <v>0</v>
      </c>
      <c r="J211" s="45"/>
      <c r="K211" s="280"/>
    </row>
    <row r="212" spans="1:11" ht="24" customHeight="1">
      <c r="A212" s="11" t="s">
        <v>246</v>
      </c>
      <c r="B212" s="145" t="s">
        <v>247</v>
      </c>
      <c r="C212" s="55"/>
      <c r="D212" s="3" t="s">
        <v>11</v>
      </c>
      <c r="E212" s="3" t="s">
        <v>25</v>
      </c>
      <c r="F212" s="3" t="s">
        <v>26</v>
      </c>
      <c r="G212" s="305">
        <f>'OCT-18'!I207</f>
        <v>0</v>
      </c>
      <c r="H212" s="51"/>
      <c r="I212" s="17">
        <f t="shared" si="3"/>
        <v>0</v>
      </c>
      <c r="J212" s="45"/>
      <c r="K212" s="280"/>
    </row>
    <row r="213" spans="1:11" ht="24" customHeight="1">
      <c r="A213" s="11" t="s">
        <v>249</v>
      </c>
      <c r="B213" s="145" t="s">
        <v>248</v>
      </c>
      <c r="C213" s="55"/>
      <c r="D213" s="3" t="s">
        <v>11</v>
      </c>
      <c r="E213" s="3" t="s">
        <v>25</v>
      </c>
      <c r="F213" s="3" t="s">
        <v>26</v>
      </c>
      <c r="G213" s="305">
        <f>'OCT-18'!I208</f>
        <v>0</v>
      </c>
      <c r="H213" s="51"/>
      <c r="I213" s="17">
        <f t="shared" si="3"/>
        <v>0</v>
      </c>
      <c r="J213" s="45"/>
      <c r="K213" s="280"/>
    </row>
    <row r="214" spans="1:11" ht="24" customHeight="1">
      <c r="A214" s="11" t="s">
        <v>251</v>
      </c>
      <c r="B214" s="145" t="s">
        <v>252</v>
      </c>
      <c r="C214" s="55"/>
      <c r="D214" s="3" t="s">
        <v>11</v>
      </c>
      <c r="E214" s="3" t="s">
        <v>25</v>
      </c>
      <c r="F214" s="3" t="s">
        <v>26</v>
      </c>
      <c r="G214" s="305">
        <f>'OCT-18'!I209</f>
        <v>0</v>
      </c>
      <c r="H214" s="51"/>
      <c r="I214" s="17">
        <f t="shared" si="3"/>
        <v>0</v>
      </c>
      <c r="J214" s="45"/>
      <c r="K214" s="280"/>
    </row>
    <row r="215" spans="1:11" ht="24" customHeight="1">
      <c r="A215" s="11" t="s">
        <v>250</v>
      </c>
      <c r="B215" s="145" t="s">
        <v>253</v>
      </c>
      <c r="C215" s="55"/>
      <c r="D215" s="3" t="s">
        <v>11</v>
      </c>
      <c r="E215" s="3" t="s">
        <v>25</v>
      </c>
      <c r="F215" s="3" t="s">
        <v>26</v>
      </c>
      <c r="G215" s="305">
        <f>'OCT-18'!I210</f>
        <v>0</v>
      </c>
      <c r="H215" s="51"/>
      <c r="I215" s="17">
        <f t="shared" si="3"/>
        <v>0</v>
      </c>
      <c r="J215" s="45"/>
      <c r="K215" s="280"/>
    </row>
    <row r="216" spans="1:11" ht="24" customHeight="1">
      <c r="A216" s="11" t="s">
        <v>255</v>
      </c>
      <c r="B216" s="145" t="s">
        <v>254</v>
      </c>
      <c r="C216" s="55"/>
      <c r="D216" s="3" t="s">
        <v>11</v>
      </c>
      <c r="E216" s="3" t="s">
        <v>25</v>
      </c>
      <c r="F216" s="3" t="s">
        <v>26</v>
      </c>
      <c r="G216" s="305">
        <f>'OCT-18'!I211</f>
        <v>0</v>
      </c>
      <c r="H216" s="51"/>
      <c r="I216" s="17">
        <f t="shared" si="3"/>
        <v>0</v>
      </c>
      <c r="J216" s="45"/>
      <c r="K216" s="280"/>
    </row>
    <row r="217" spans="1:11" ht="87" customHeight="1">
      <c r="A217" s="144" t="s">
        <v>256</v>
      </c>
      <c r="B217" s="54" t="s">
        <v>257</v>
      </c>
      <c r="C217" s="55"/>
      <c r="D217" s="3"/>
      <c r="E217" s="3"/>
      <c r="F217" s="3"/>
      <c r="G217" s="305">
        <f>'OCT-18'!I212</f>
        <v>0</v>
      </c>
      <c r="H217" s="51"/>
      <c r="I217" s="17"/>
      <c r="J217" s="45"/>
      <c r="K217" s="46"/>
    </row>
    <row r="218" spans="1:11" ht="24" customHeight="1">
      <c r="A218" s="11" t="s">
        <v>258</v>
      </c>
      <c r="B218" s="145" t="s">
        <v>263</v>
      </c>
      <c r="C218" s="55"/>
      <c r="D218" s="3" t="s">
        <v>11</v>
      </c>
      <c r="E218" s="3" t="s">
        <v>25</v>
      </c>
      <c r="F218" s="3" t="s">
        <v>26</v>
      </c>
      <c r="G218" s="305">
        <f>'OCT-18'!I213</f>
        <v>0</v>
      </c>
      <c r="H218" s="51"/>
      <c r="I218" s="17">
        <f t="shared" si="3"/>
        <v>0</v>
      </c>
      <c r="J218" s="45"/>
      <c r="K218" s="280"/>
    </row>
    <row r="219" spans="1:11" ht="24" customHeight="1">
      <c r="A219" s="11" t="s">
        <v>259</v>
      </c>
      <c r="B219" s="145" t="s">
        <v>262</v>
      </c>
      <c r="C219" s="55"/>
      <c r="D219" s="3" t="s">
        <v>11</v>
      </c>
      <c r="E219" s="3" t="s">
        <v>25</v>
      </c>
      <c r="F219" s="3" t="s">
        <v>26</v>
      </c>
      <c r="G219" s="305">
        <f>'OCT-18'!I214</f>
        <v>0</v>
      </c>
      <c r="H219" s="51"/>
      <c r="I219" s="17">
        <f t="shared" si="3"/>
        <v>0</v>
      </c>
      <c r="J219" s="45"/>
      <c r="K219" s="280"/>
    </row>
    <row r="220" spans="1:11" ht="24" customHeight="1">
      <c r="A220" s="11" t="s">
        <v>260</v>
      </c>
      <c r="B220" s="145" t="s">
        <v>261</v>
      </c>
      <c r="C220" s="55"/>
      <c r="D220" s="3" t="s">
        <v>11</v>
      </c>
      <c r="E220" s="3" t="s">
        <v>25</v>
      </c>
      <c r="F220" s="3" t="s">
        <v>26</v>
      </c>
      <c r="G220" s="305">
        <f>'OCT-18'!I215</f>
        <v>0</v>
      </c>
      <c r="H220" s="51"/>
      <c r="I220" s="17">
        <f t="shared" si="3"/>
        <v>0</v>
      </c>
      <c r="J220" s="45"/>
      <c r="K220" s="280"/>
    </row>
    <row r="221" spans="1:11" ht="60" customHeight="1">
      <c r="A221" s="144" t="s">
        <v>264</v>
      </c>
      <c r="B221" s="54" t="s">
        <v>287</v>
      </c>
      <c r="C221" s="55"/>
      <c r="D221" s="3"/>
      <c r="E221" s="3"/>
      <c r="F221" s="3"/>
      <c r="G221" s="305">
        <f>'OCT-18'!I216</f>
        <v>0</v>
      </c>
      <c r="H221" s="51"/>
      <c r="I221" s="17"/>
      <c r="J221" s="45"/>
      <c r="K221" s="46"/>
    </row>
    <row r="222" spans="1:11" ht="24" customHeight="1">
      <c r="A222" s="11" t="s">
        <v>265</v>
      </c>
      <c r="B222" s="145" t="s">
        <v>1046</v>
      </c>
      <c r="C222" s="55"/>
      <c r="D222" s="3" t="s">
        <v>11</v>
      </c>
      <c r="E222" s="3" t="s">
        <v>25</v>
      </c>
      <c r="F222" s="3" t="s">
        <v>26</v>
      </c>
      <c r="G222" s="305">
        <f>'OCT-18'!I217</f>
        <v>0</v>
      </c>
      <c r="H222" s="51"/>
      <c r="I222" s="17">
        <f t="shared" si="3"/>
        <v>0</v>
      </c>
      <c r="J222" s="45"/>
      <c r="K222" s="385"/>
    </row>
    <row r="223" spans="1:11" ht="24" customHeight="1">
      <c r="A223" s="11" t="s">
        <v>266</v>
      </c>
      <c r="B223" s="145" t="s">
        <v>268</v>
      </c>
      <c r="C223" s="55"/>
      <c r="D223" s="3" t="s">
        <v>11</v>
      </c>
      <c r="E223" s="3" t="s">
        <v>25</v>
      </c>
      <c r="F223" s="3" t="s">
        <v>26</v>
      </c>
      <c r="G223" s="305">
        <f>'OCT-18'!I218</f>
        <v>0</v>
      </c>
      <c r="H223" s="51"/>
      <c r="I223" s="17">
        <f t="shared" si="3"/>
        <v>0</v>
      </c>
      <c r="J223" s="45"/>
      <c r="K223" s="385"/>
    </row>
    <row r="224" spans="1:11" ht="71.25" customHeight="1">
      <c r="A224" s="144" t="s">
        <v>269</v>
      </c>
      <c r="B224" s="54" t="s">
        <v>286</v>
      </c>
      <c r="C224" s="343" t="s">
        <v>1111</v>
      </c>
      <c r="D224" s="3"/>
      <c r="E224" s="3"/>
      <c r="F224" s="3"/>
      <c r="G224" s="305">
        <f>'OCT-18'!I219</f>
        <v>0</v>
      </c>
      <c r="H224" s="51"/>
      <c r="I224" s="17"/>
      <c r="J224" s="45"/>
      <c r="K224" s="46"/>
    </row>
    <row r="225" spans="1:11" ht="27.75" customHeight="1">
      <c r="A225" s="11" t="s">
        <v>273</v>
      </c>
      <c r="B225" s="145" t="s">
        <v>270</v>
      </c>
      <c r="C225" s="55"/>
      <c r="D225" s="3" t="s">
        <v>11</v>
      </c>
      <c r="E225" s="3" t="s">
        <v>25</v>
      </c>
      <c r="F225" s="3" t="s">
        <v>26</v>
      </c>
      <c r="G225" s="305">
        <f>'OCT-18'!I220</f>
        <v>2135</v>
      </c>
      <c r="H225" s="51">
        <f>122.22</f>
        <v>122.22</v>
      </c>
      <c r="I225" s="17">
        <f t="shared" si="3"/>
        <v>1012.78</v>
      </c>
      <c r="J225" s="45"/>
      <c r="K225" s="126">
        <v>1000</v>
      </c>
    </row>
    <row r="226" spans="1:11" ht="24" customHeight="1">
      <c r="A226" s="11" t="s">
        <v>272</v>
      </c>
      <c r="B226" s="145" t="s">
        <v>271</v>
      </c>
      <c r="C226" s="55"/>
      <c r="D226" s="3" t="s">
        <v>11</v>
      </c>
      <c r="E226" s="3" t="s">
        <v>25</v>
      </c>
      <c r="F226" s="3" t="s">
        <v>26</v>
      </c>
      <c r="G226" s="305">
        <f>'OCT-18'!I221</f>
        <v>2664.4100000000008</v>
      </c>
      <c r="H226" s="51">
        <f>1762.95+1762.95+1795.5</f>
        <v>5321.4</v>
      </c>
      <c r="I226" s="17">
        <f t="shared" si="3"/>
        <v>343.01000000000113</v>
      </c>
      <c r="J226" s="126">
        <v>3000</v>
      </c>
      <c r="K226" s="126"/>
    </row>
    <row r="227" spans="1:11" ht="24" customHeight="1">
      <c r="A227" s="11" t="s">
        <v>274</v>
      </c>
      <c r="B227" s="145" t="s">
        <v>275</v>
      </c>
      <c r="C227" s="55"/>
      <c r="D227" s="3" t="s">
        <v>11</v>
      </c>
      <c r="E227" s="3" t="s">
        <v>25</v>
      </c>
      <c r="F227" s="3" t="s">
        <v>26</v>
      </c>
      <c r="G227" s="305">
        <f>'OCT-18'!I222</f>
        <v>329.33999999999992</v>
      </c>
      <c r="H227" s="51">
        <f>593.75</f>
        <v>593.75</v>
      </c>
      <c r="I227" s="17">
        <f t="shared" si="3"/>
        <v>35.589999999999918</v>
      </c>
      <c r="J227" s="126">
        <v>300</v>
      </c>
      <c r="K227" s="46"/>
    </row>
    <row r="228" spans="1:11" ht="24" customHeight="1">
      <c r="A228" s="11" t="s">
        <v>276</v>
      </c>
      <c r="B228" s="145" t="s">
        <v>277</v>
      </c>
      <c r="C228" s="55"/>
      <c r="D228" s="3" t="s">
        <v>11</v>
      </c>
      <c r="E228" s="3" t="s">
        <v>25</v>
      </c>
      <c r="F228" s="3" t="s">
        <v>26</v>
      </c>
      <c r="G228" s="305">
        <f>'OCT-18'!I223</f>
        <v>6520.5199999999986</v>
      </c>
      <c r="H228" s="51">
        <f>18.75+3+277.75+1269.25+1211.75</f>
        <v>2780.5</v>
      </c>
      <c r="I228" s="17">
        <f t="shared" si="3"/>
        <v>3740.0199999999986</v>
      </c>
      <c r="J228" s="45"/>
      <c r="K228" s="279"/>
    </row>
    <row r="229" spans="1:11" ht="24" customHeight="1">
      <c r="A229" s="11" t="s">
        <v>278</v>
      </c>
      <c r="B229" s="145" t="s">
        <v>279</v>
      </c>
      <c r="C229" s="55"/>
      <c r="D229" s="3" t="s">
        <v>11</v>
      </c>
      <c r="E229" s="3" t="s">
        <v>25</v>
      </c>
      <c r="F229" s="3" t="s">
        <v>26</v>
      </c>
      <c r="G229" s="305">
        <f>'OCT-18'!I224</f>
        <v>518.1</v>
      </c>
      <c r="H229" s="51"/>
      <c r="I229" s="17">
        <f t="shared" si="3"/>
        <v>18.100000000000023</v>
      </c>
      <c r="J229" s="45"/>
      <c r="K229" s="126">
        <v>500</v>
      </c>
    </row>
    <row r="230" spans="1:11" ht="24" customHeight="1">
      <c r="A230" s="11" t="s">
        <v>280</v>
      </c>
      <c r="B230" s="145" t="s">
        <v>281</v>
      </c>
      <c r="C230" s="55"/>
      <c r="D230" s="3" t="s">
        <v>11</v>
      </c>
      <c r="E230" s="3" t="s">
        <v>25</v>
      </c>
      <c r="F230" s="3" t="s">
        <v>26</v>
      </c>
      <c r="G230" s="305">
        <f>'OCT-18'!I225</f>
        <v>1290</v>
      </c>
      <c r="H230" s="51"/>
      <c r="I230" s="17">
        <f t="shared" si="3"/>
        <v>290</v>
      </c>
      <c r="J230" s="126"/>
      <c r="K230" s="126">
        <v>1000</v>
      </c>
    </row>
    <row r="231" spans="1:11" ht="24" customHeight="1">
      <c r="A231" s="11" t="s">
        <v>282</v>
      </c>
      <c r="B231" s="145" t="s">
        <v>283</v>
      </c>
      <c r="C231" s="55"/>
      <c r="D231" s="3" t="s">
        <v>11</v>
      </c>
      <c r="E231" s="3" t="s">
        <v>25</v>
      </c>
      <c r="F231" s="3" t="s">
        <v>26</v>
      </c>
      <c r="G231" s="305">
        <f>'OCT-18'!I226</f>
        <v>927.06000000000029</v>
      </c>
      <c r="H231" s="51"/>
      <c r="I231" s="17">
        <f t="shared" si="3"/>
        <v>127.06000000000029</v>
      </c>
      <c r="J231" s="126"/>
      <c r="K231" s="126">
        <v>800</v>
      </c>
    </row>
    <row r="232" spans="1:11" ht="24" customHeight="1">
      <c r="A232" s="11" t="s">
        <v>284</v>
      </c>
      <c r="B232" s="145" t="s">
        <v>285</v>
      </c>
      <c r="C232" s="55"/>
      <c r="D232" s="3" t="s">
        <v>11</v>
      </c>
      <c r="E232" s="3" t="s">
        <v>25</v>
      </c>
      <c r="F232" s="3" t="s">
        <v>26</v>
      </c>
      <c r="G232" s="305">
        <f>'OCT-18'!I227</f>
        <v>14.17</v>
      </c>
      <c r="H232" s="51"/>
      <c r="I232" s="17">
        <f t="shared" si="3"/>
        <v>14.17</v>
      </c>
      <c r="J232" s="45"/>
      <c r="K232" s="46"/>
    </row>
    <row r="233" spans="1:11" ht="102" customHeight="1">
      <c r="A233" s="144" t="s">
        <v>289</v>
      </c>
      <c r="B233" s="54" t="s">
        <v>1198</v>
      </c>
      <c r="C233" s="55" t="s">
        <v>1057</v>
      </c>
      <c r="D233" s="3"/>
      <c r="E233" s="3"/>
      <c r="F233" s="3"/>
      <c r="G233" s="305">
        <f>'OCT-18'!I228</f>
        <v>0</v>
      </c>
      <c r="H233" s="275"/>
      <c r="I233" s="17"/>
      <c r="J233" s="45"/>
      <c r="K233" s="46"/>
    </row>
    <row r="234" spans="1:11" ht="24" customHeight="1">
      <c r="A234" s="11" t="s">
        <v>290</v>
      </c>
      <c r="B234" s="145" t="s">
        <v>291</v>
      </c>
      <c r="C234" s="55"/>
      <c r="D234" s="3" t="s">
        <v>11</v>
      </c>
      <c r="E234" s="3" t="s">
        <v>25</v>
      </c>
      <c r="F234" s="3" t="s">
        <v>26</v>
      </c>
      <c r="G234" s="305">
        <f>'OCT-18'!I229</f>
        <v>500</v>
      </c>
      <c r="H234" s="51"/>
      <c r="I234" s="17">
        <f t="shared" si="3"/>
        <v>500</v>
      </c>
      <c r="J234" s="45"/>
      <c r="K234" s="46"/>
    </row>
    <row r="235" spans="1:11" ht="24" customHeight="1">
      <c r="A235" s="11" t="s">
        <v>292</v>
      </c>
      <c r="B235" s="145" t="s">
        <v>293</v>
      </c>
      <c r="C235" s="55"/>
      <c r="D235" s="3" t="s">
        <v>11</v>
      </c>
      <c r="E235" s="3" t="s">
        <v>25</v>
      </c>
      <c r="F235" s="3" t="s">
        <v>26</v>
      </c>
      <c r="G235" s="305">
        <f>'OCT-18'!I230</f>
        <v>0</v>
      </c>
      <c r="H235" s="51"/>
      <c r="I235" s="17">
        <f t="shared" si="3"/>
        <v>0</v>
      </c>
      <c r="J235" s="45"/>
      <c r="K235" s="280"/>
    </row>
    <row r="236" spans="1:11" ht="18" customHeight="1">
      <c r="A236" s="11" t="s">
        <v>294</v>
      </c>
      <c r="B236" s="145" t="s">
        <v>295</v>
      </c>
      <c r="C236" s="55"/>
      <c r="D236" s="3" t="s">
        <v>11</v>
      </c>
      <c r="E236" s="3" t="s">
        <v>25</v>
      </c>
      <c r="F236" s="3" t="s">
        <v>26</v>
      </c>
      <c r="G236" s="305">
        <f>'OCT-18'!I231</f>
        <v>97.4</v>
      </c>
      <c r="H236" s="51"/>
      <c r="I236" s="17">
        <f t="shared" si="3"/>
        <v>97.4</v>
      </c>
      <c r="J236" s="45"/>
      <c r="K236" s="46"/>
    </row>
    <row r="237" spans="1:11" ht="19.5" customHeight="1">
      <c r="A237" s="11" t="s">
        <v>296</v>
      </c>
      <c r="B237" s="145" t="s">
        <v>297</v>
      </c>
      <c r="C237" s="55"/>
      <c r="D237" s="3" t="s">
        <v>11</v>
      </c>
      <c r="E237" s="3" t="s">
        <v>25</v>
      </c>
      <c r="F237" s="3" t="s">
        <v>26</v>
      </c>
      <c r="G237" s="305">
        <f>'OCT-18'!I232</f>
        <v>18480</v>
      </c>
      <c r="H237" s="51">
        <f>7040</f>
        <v>7040</v>
      </c>
      <c r="I237" s="17">
        <f t="shared" si="3"/>
        <v>11440</v>
      </c>
      <c r="J237" s="45"/>
      <c r="K237" s="46"/>
    </row>
    <row r="238" spans="1:11" ht="21" customHeight="1">
      <c r="A238" s="11" t="s">
        <v>298</v>
      </c>
      <c r="B238" s="145" t="s">
        <v>299</v>
      </c>
      <c r="C238" s="55"/>
      <c r="D238" s="3" t="s">
        <v>11</v>
      </c>
      <c r="E238" s="3" t="s">
        <v>25</v>
      </c>
      <c r="F238" s="3" t="s">
        <v>26</v>
      </c>
      <c r="G238" s="305">
        <f>'OCT-18'!I233</f>
        <v>862.29</v>
      </c>
      <c r="H238" s="51"/>
      <c r="I238" s="17">
        <f t="shared" si="3"/>
        <v>862.29</v>
      </c>
      <c r="J238" s="45"/>
      <c r="K238" s="385"/>
    </row>
    <row r="239" spans="1:11" ht="75" customHeight="1">
      <c r="A239" s="144" t="s">
        <v>300</v>
      </c>
      <c r="B239" s="54" t="s">
        <v>301</v>
      </c>
      <c r="C239" s="343" t="s">
        <v>1112</v>
      </c>
      <c r="D239" s="3"/>
      <c r="E239" s="3"/>
      <c r="F239" s="3"/>
      <c r="G239" s="305">
        <f>'OCT-18'!I234</f>
        <v>0</v>
      </c>
      <c r="H239" s="51"/>
      <c r="I239" s="17"/>
      <c r="J239" s="45"/>
      <c r="K239" s="46"/>
    </row>
    <row r="240" spans="1:11" ht="18.75" customHeight="1">
      <c r="A240" s="11" t="s">
        <v>302</v>
      </c>
      <c r="B240" s="145" t="s">
        <v>309</v>
      </c>
      <c r="C240" s="55"/>
      <c r="D240" s="3" t="s">
        <v>11</v>
      </c>
      <c r="E240" s="3" t="s">
        <v>25</v>
      </c>
      <c r="F240" s="3" t="s">
        <v>26</v>
      </c>
      <c r="G240" s="305">
        <f>'OCT-18'!I235</f>
        <v>66.640000000000441</v>
      </c>
      <c r="H240" s="51">
        <f>150+166.67+166.67+166.67+166.67</f>
        <v>816.67999999999984</v>
      </c>
      <c r="I240" s="17">
        <f t="shared" si="3"/>
        <v>449.9600000000006</v>
      </c>
      <c r="J240" s="126">
        <v>1200</v>
      </c>
      <c r="K240" s="321"/>
    </row>
    <row r="241" spans="1:11" ht="18.75" customHeight="1">
      <c r="A241" s="11" t="s">
        <v>303</v>
      </c>
      <c r="B241" s="145" t="s">
        <v>310</v>
      </c>
      <c r="C241" s="55"/>
      <c r="D241" s="3" t="s">
        <v>11</v>
      </c>
      <c r="E241" s="3" t="s">
        <v>25</v>
      </c>
      <c r="F241" s="3" t="s">
        <v>26</v>
      </c>
      <c r="G241" s="305">
        <f>'OCT-18'!I236</f>
        <v>4000</v>
      </c>
      <c r="H241" s="51"/>
      <c r="I241" s="17">
        <f t="shared" si="3"/>
        <v>2800</v>
      </c>
      <c r="J241" s="45"/>
      <c r="K241" s="411">
        <v>1200</v>
      </c>
    </row>
    <row r="242" spans="1:11" ht="24.75" customHeight="1">
      <c r="A242" s="11" t="s">
        <v>304</v>
      </c>
      <c r="B242" s="145" t="s">
        <v>311</v>
      </c>
      <c r="C242" s="55"/>
      <c r="D242" s="3" t="s">
        <v>11</v>
      </c>
      <c r="E242" s="3" t="s">
        <v>25</v>
      </c>
      <c r="F242" s="3" t="s">
        <v>26</v>
      </c>
      <c r="G242" s="305">
        <f>'OCT-18'!I237</f>
        <v>1000</v>
      </c>
      <c r="H242" s="51"/>
      <c r="I242" s="17">
        <f t="shared" si="3"/>
        <v>1000</v>
      </c>
      <c r="J242" s="45"/>
      <c r="K242" s="322"/>
    </row>
    <row r="243" spans="1:11" ht="16.5" customHeight="1">
      <c r="A243" s="11" t="s">
        <v>305</v>
      </c>
      <c r="B243" s="145" t="s">
        <v>312</v>
      </c>
      <c r="C243" s="55"/>
      <c r="D243" s="3" t="s">
        <v>11</v>
      </c>
      <c r="E243" s="3" t="s">
        <v>25</v>
      </c>
      <c r="F243" s="3" t="s">
        <v>26</v>
      </c>
      <c r="G243" s="305">
        <f>'OCT-18'!I238</f>
        <v>954.78</v>
      </c>
      <c r="H243" s="51"/>
      <c r="I243" s="17">
        <f t="shared" si="3"/>
        <v>954.78</v>
      </c>
      <c r="J243" s="45"/>
      <c r="K243" s="323"/>
    </row>
    <row r="244" spans="1:11" ht="22.5" customHeight="1">
      <c r="A244" s="11" t="s">
        <v>306</v>
      </c>
      <c r="B244" s="145" t="s">
        <v>313</v>
      </c>
      <c r="C244" s="55"/>
      <c r="D244" s="3" t="s">
        <v>11</v>
      </c>
      <c r="E244" s="3" t="s">
        <v>25</v>
      </c>
      <c r="F244" s="3" t="s">
        <v>26</v>
      </c>
      <c r="G244" s="305">
        <f>'OCT-18'!I239</f>
        <v>918.34000000000015</v>
      </c>
      <c r="H244" s="51"/>
      <c r="I244" s="17">
        <f t="shared" si="3"/>
        <v>918.34000000000015</v>
      </c>
      <c r="J244" s="45"/>
      <c r="K244" s="324"/>
    </row>
    <row r="245" spans="1:11" ht="19.5" customHeight="1">
      <c r="A245" s="11" t="s">
        <v>307</v>
      </c>
      <c r="B245" s="145" t="s">
        <v>314</v>
      </c>
      <c r="C245" s="55"/>
      <c r="D245" s="3" t="s">
        <v>11</v>
      </c>
      <c r="E245" s="3" t="s">
        <v>25</v>
      </c>
      <c r="F245" s="3" t="s">
        <v>26</v>
      </c>
      <c r="G245" s="305">
        <f>'OCT-18'!I240</f>
        <v>9.17</v>
      </c>
      <c r="H245" s="51"/>
      <c r="I245" s="17">
        <f t="shared" si="3"/>
        <v>9.17</v>
      </c>
      <c r="J245" s="45"/>
      <c r="K245" s="324"/>
    </row>
    <row r="246" spans="1:11" ht="24" customHeight="1">
      <c r="A246" s="11" t="s">
        <v>308</v>
      </c>
      <c r="B246" s="145" t="s">
        <v>315</v>
      </c>
      <c r="C246" s="55"/>
      <c r="D246" s="3" t="s">
        <v>11</v>
      </c>
      <c r="E246" s="3" t="s">
        <v>25</v>
      </c>
      <c r="F246" s="3" t="s">
        <v>26</v>
      </c>
      <c r="G246" s="305">
        <f>'OCT-18'!I241</f>
        <v>50</v>
      </c>
      <c r="H246" s="51"/>
      <c r="I246" s="17">
        <f t="shared" si="3"/>
        <v>50</v>
      </c>
      <c r="J246" s="126"/>
      <c r="K246" s="324"/>
    </row>
    <row r="247" spans="1:11" ht="72.75" customHeight="1">
      <c r="A247" s="144" t="s">
        <v>316</v>
      </c>
      <c r="B247" s="54" t="s">
        <v>317</v>
      </c>
      <c r="C247" s="343" t="s">
        <v>1113</v>
      </c>
      <c r="D247" s="3"/>
      <c r="E247" s="3"/>
      <c r="F247" s="3"/>
      <c r="G247" s="305">
        <f>'OCT-18'!I242</f>
        <v>0</v>
      </c>
      <c r="H247" s="51"/>
      <c r="I247" s="17"/>
      <c r="J247" s="45"/>
      <c r="K247" s="46"/>
    </row>
    <row r="248" spans="1:11" ht="20.25" customHeight="1">
      <c r="A248" s="11" t="s">
        <v>318</v>
      </c>
      <c r="B248" s="145" t="s">
        <v>322</v>
      </c>
      <c r="C248" s="55"/>
      <c r="D248" s="3" t="s">
        <v>11</v>
      </c>
      <c r="E248" s="3" t="s">
        <v>25</v>
      </c>
      <c r="F248" s="3" t="s">
        <v>26</v>
      </c>
      <c r="G248" s="305">
        <f>'OCT-18'!I243</f>
        <v>699.98000000000036</v>
      </c>
      <c r="H248" s="51">
        <f>333.34</f>
        <v>333.34</v>
      </c>
      <c r="I248" s="17">
        <f t="shared" ref="I248:I282" si="4">G248-H248+J248-K248</f>
        <v>366.64000000000038</v>
      </c>
      <c r="J248" s="126"/>
      <c r="K248" s="46"/>
    </row>
    <row r="249" spans="1:11" ht="36.75" customHeight="1">
      <c r="A249" s="11" t="s">
        <v>1009</v>
      </c>
      <c r="B249" s="145" t="s">
        <v>1011</v>
      </c>
      <c r="C249" s="55"/>
      <c r="D249" s="3" t="s">
        <v>11</v>
      </c>
      <c r="E249" s="3" t="s">
        <v>25</v>
      </c>
      <c r="F249" s="3" t="s">
        <v>26</v>
      </c>
      <c r="G249" s="305">
        <f>'OCT-18'!I244</f>
        <v>175</v>
      </c>
      <c r="H249" s="51"/>
      <c r="I249" s="17">
        <f t="shared" si="4"/>
        <v>175</v>
      </c>
      <c r="J249" s="126"/>
      <c r="K249" s="46"/>
    </row>
    <row r="250" spans="1:11" ht="31.5" customHeight="1">
      <c r="A250" s="11" t="s">
        <v>319</v>
      </c>
      <c r="B250" s="145" t="s">
        <v>1010</v>
      </c>
      <c r="C250" s="55"/>
      <c r="D250" s="3" t="s">
        <v>11</v>
      </c>
      <c r="E250" s="3" t="s">
        <v>25</v>
      </c>
      <c r="F250" s="3" t="s">
        <v>26</v>
      </c>
      <c r="G250" s="305">
        <f>'OCT-18'!I245</f>
        <v>1028</v>
      </c>
      <c r="H250" s="51"/>
      <c r="I250" s="17">
        <f t="shared" si="4"/>
        <v>1028</v>
      </c>
      <c r="J250" s="45"/>
      <c r="K250" s="260"/>
    </row>
    <row r="251" spans="1:11" ht="20.25" customHeight="1">
      <c r="A251" s="11" t="s">
        <v>320</v>
      </c>
      <c r="B251" s="145" t="s">
        <v>324</v>
      </c>
      <c r="C251" s="55"/>
      <c r="D251" s="3" t="s">
        <v>11</v>
      </c>
      <c r="E251" s="3" t="s">
        <v>25</v>
      </c>
      <c r="F251" s="3" t="s">
        <v>26</v>
      </c>
      <c r="G251" s="305">
        <f>'OCT-18'!I246</f>
        <v>15.87</v>
      </c>
      <c r="H251" s="51"/>
      <c r="I251" s="17">
        <f t="shared" si="4"/>
        <v>15.87</v>
      </c>
      <c r="J251" s="45"/>
      <c r="K251" s="46"/>
    </row>
    <row r="252" spans="1:11" ht="29.25" customHeight="1">
      <c r="A252" s="11" t="s">
        <v>321</v>
      </c>
      <c r="B252" s="145" t="s">
        <v>325</v>
      </c>
      <c r="C252" s="55"/>
      <c r="D252" s="3" t="s">
        <v>11</v>
      </c>
      <c r="E252" s="3" t="s">
        <v>25</v>
      </c>
      <c r="F252" s="3" t="s">
        <v>26</v>
      </c>
      <c r="G252" s="305">
        <f>'OCT-18'!I247</f>
        <v>1980</v>
      </c>
      <c r="H252" s="51"/>
      <c r="I252" s="17">
        <f t="shared" si="4"/>
        <v>1980</v>
      </c>
      <c r="J252" s="45"/>
      <c r="K252" s="46"/>
    </row>
    <row r="253" spans="1:11" ht="66" customHeight="1">
      <c r="A253" s="271" t="s">
        <v>326</v>
      </c>
      <c r="B253" s="54" t="s">
        <v>327</v>
      </c>
      <c r="C253" s="55"/>
      <c r="D253" s="3"/>
      <c r="E253" s="3"/>
      <c r="F253" s="3"/>
      <c r="G253" s="305">
        <f>'OCT-18'!I248</f>
        <v>0</v>
      </c>
      <c r="H253" s="51"/>
      <c r="I253" s="17"/>
      <c r="J253" s="45"/>
      <c r="K253" s="46"/>
    </row>
    <row r="254" spans="1:11" ht="23.25" customHeight="1">
      <c r="A254" s="11" t="s">
        <v>328</v>
      </c>
      <c r="B254" s="145" t="s">
        <v>329</v>
      </c>
      <c r="C254" s="55"/>
      <c r="D254" s="3" t="s">
        <v>11</v>
      </c>
      <c r="E254" s="3" t="s">
        <v>25</v>
      </c>
      <c r="F254" s="3" t="s">
        <v>26</v>
      </c>
      <c r="G254" s="305">
        <f>'OCT-18'!I249</f>
        <v>0</v>
      </c>
      <c r="H254" s="51"/>
      <c r="I254" s="17">
        <f t="shared" si="4"/>
        <v>0</v>
      </c>
      <c r="J254" s="45"/>
      <c r="K254" s="324"/>
    </row>
    <row r="255" spans="1:11" ht="26.25" customHeight="1">
      <c r="A255" s="11" t="s">
        <v>330</v>
      </c>
      <c r="B255" s="145" t="s">
        <v>331</v>
      </c>
      <c r="C255" s="55"/>
      <c r="D255" s="3" t="s">
        <v>11</v>
      </c>
      <c r="E255" s="3" t="s">
        <v>25</v>
      </c>
      <c r="F255" s="3" t="s">
        <v>26</v>
      </c>
      <c r="G255" s="305">
        <f>'OCT-18'!I250</f>
        <v>0</v>
      </c>
      <c r="H255" s="51"/>
      <c r="I255" s="17">
        <f t="shared" si="4"/>
        <v>0</v>
      </c>
      <c r="J255" s="45"/>
      <c r="K255" s="324"/>
    </row>
    <row r="256" spans="1:11" ht="18.75" customHeight="1">
      <c r="A256" s="11" t="s">
        <v>332</v>
      </c>
      <c r="B256" s="145" t="s">
        <v>333</v>
      </c>
      <c r="C256" s="55"/>
      <c r="D256" s="3" t="s">
        <v>11</v>
      </c>
      <c r="E256" s="3" t="s">
        <v>25</v>
      </c>
      <c r="F256" s="3" t="s">
        <v>26</v>
      </c>
      <c r="G256" s="305">
        <f>'OCT-18'!I251</f>
        <v>0</v>
      </c>
      <c r="H256" s="51"/>
      <c r="I256" s="17">
        <f t="shared" si="4"/>
        <v>0</v>
      </c>
      <c r="J256" s="45"/>
      <c r="K256" s="324"/>
    </row>
    <row r="257" spans="1:11" ht="18" customHeight="1">
      <c r="A257" s="11" t="s">
        <v>334</v>
      </c>
      <c r="B257" s="145" t="s">
        <v>335</v>
      </c>
      <c r="C257" s="55"/>
      <c r="D257" s="3" t="s">
        <v>11</v>
      </c>
      <c r="E257" s="3" t="s">
        <v>25</v>
      </c>
      <c r="F257" s="3" t="s">
        <v>26</v>
      </c>
      <c r="G257" s="305">
        <f>'OCT-18'!I252</f>
        <v>0</v>
      </c>
      <c r="H257" s="51"/>
      <c r="I257" s="17">
        <f t="shared" si="4"/>
        <v>0</v>
      </c>
      <c r="J257" s="45"/>
      <c r="K257" s="324"/>
    </row>
    <row r="258" spans="1:11" ht="24.75" customHeight="1">
      <c r="A258" s="11" t="s">
        <v>336</v>
      </c>
      <c r="B258" s="145" t="s">
        <v>337</v>
      </c>
      <c r="C258" s="55"/>
      <c r="D258" s="3" t="s">
        <v>11</v>
      </c>
      <c r="E258" s="3" t="s">
        <v>25</v>
      </c>
      <c r="F258" s="3" t="s">
        <v>26</v>
      </c>
      <c r="G258" s="305">
        <f>'OCT-18'!I253</f>
        <v>0</v>
      </c>
      <c r="H258" s="51"/>
      <c r="I258" s="17">
        <f t="shared" si="4"/>
        <v>0</v>
      </c>
      <c r="J258" s="45"/>
      <c r="K258" s="324"/>
    </row>
    <row r="259" spans="1:11" ht="60.75" customHeight="1">
      <c r="A259" s="144" t="s">
        <v>338</v>
      </c>
      <c r="B259" s="54" t="s">
        <v>339</v>
      </c>
      <c r="C259" s="55" t="s">
        <v>1059</v>
      </c>
      <c r="D259" s="3"/>
      <c r="E259" s="3"/>
      <c r="F259" s="3"/>
      <c r="G259" s="305">
        <f>'OCT-18'!I254</f>
        <v>0</v>
      </c>
      <c r="H259" s="51"/>
      <c r="I259" s="17"/>
      <c r="J259" s="45"/>
      <c r="K259" s="46"/>
    </row>
    <row r="260" spans="1:11" ht="18.75" customHeight="1">
      <c r="A260" s="11" t="s">
        <v>340</v>
      </c>
      <c r="B260" s="145" t="s">
        <v>344</v>
      </c>
      <c r="C260" s="55"/>
      <c r="D260" s="3" t="s">
        <v>11</v>
      </c>
      <c r="E260" s="3" t="s">
        <v>25</v>
      </c>
      <c r="F260" s="3" t="s">
        <v>26</v>
      </c>
      <c r="G260" s="305">
        <f>'OCT-18'!I255</f>
        <v>0</v>
      </c>
      <c r="H260" s="51"/>
      <c r="I260" s="17">
        <f t="shared" si="4"/>
        <v>0</v>
      </c>
      <c r="J260" s="45"/>
      <c r="K260" s="280"/>
    </row>
    <row r="261" spans="1:11" ht="31.5" customHeight="1">
      <c r="A261" s="11" t="s">
        <v>341</v>
      </c>
      <c r="B261" s="145" t="s">
        <v>345</v>
      </c>
      <c r="C261" s="55" t="s">
        <v>1059</v>
      </c>
      <c r="D261" s="3" t="s">
        <v>11</v>
      </c>
      <c r="E261" s="3" t="s">
        <v>25</v>
      </c>
      <c r="F261" s="3" t="s">
        <v>26</v>
      </c>
      <c r="G261" s="305">
        <f>'OCT-18'!I256</f>
        <v>0</v>
      </c>
      <c r="H261" s="51"/>
      <c r="I261" s="17">
        <f t="shared" si="4"/>
        <v>0</v>
      </c>
      <c r="J261" s="45"/>
      <c r="K261" s="280"/>
    </row>
    <row r="262" spans="1:11" ht="20.25" customHeight="1">
      <c r="A262" s="11" t="s">
        <v>342</v>
      </c>
      <c r="B262" s="145" t="s">
        <v>346</v>
      </c>
      <c r="C262" s="55"/>
      <c r="D262" s="3" t="s">
        <v>11</v>
      </c>
      <c r="E262" s="3" t="s">
        <v>25</v>
      </c>
      <c r="F262" s="3" t="s">
        <v>26</v>
      </c>
      <c r="G262" s="305">
        <f>'OCT-18'!I257</f>
        <v>0</v>
      </c>
      <c r="H262" s="51"/>
      <c r="I262" s="17">
        <f t="shared" si="4"/>
        <v>0</v>
      </c>
      <c r="J262" s="45"/>
      <c r="K262" s="280"/>
    </row>
    <row r="263" spans="1:11" ht="24" customHeight="1">
      <c r="A263" s="11" t="s">
        <v>343</v>
      </c>
      <c r="B263" s="145" t="s">
        <v>347</v>
      </c>
      <c r="C263" s="55"/>
      <c r="D263" s="3" t="s">
        <v>11</v>
      </c>
      <c r="E263" s="3" t="s">
        <v>25</v>
      </c>
      <c r="F263" s="3" t="s">
        <v>26</v>
      </c>
      <c r="G263" s="305">
        <f>'OCT-18'!I258</f>
        <v>0</v>
      </c>
      <c r="H263" s="51"/>
      <c r="I263" s="17">
        <f t="shared" si="4"/>
        <v>0</v>
      </c>
      <c r="J263" s="45"/>
      <c r="K263" s="280"/>
    </row>
    <row r="264" spans="1:11" ht="70.5" customHeight="1">
      <c r="A264" s="144" t="s">
        <v>348</v>
      </c>
      <c r="B264" s="54" t="s">
        <v>349</v>
      </c>
      <c r="C264" s="55"/>
      <c r="D264" s="3"/>
      <c r="E264" s="3"/>
      <c r="F264" s="3"/>
      <c r="G264" s="305">
        <f>'OCT-18'!I259</f>
        <v>0</v>
      </c>
      <c r="H264" s="51"/>
      <c r="I264" s="17"/>
      <c r="J264" s="45"/>
      <c r="K264" s="46"/>
    </row>
    <row r="265" spans="1:11" ht="23.25" customHeight="1">
      <c r="A265" s="11" t="s">
        <v>350</v>
      </c>
      <c r="B265" s="145" t="s">
        <v>355</v>
      </c>
      <c r="C265" s="55"/>
      <c r="D265" s="3" t="s">
        <v>11</v>
      </c>
      <c r="E265" s="3" t="s">
        <v>25</v>
      </c>
      <c r="F265" s="3" t="s">
        <v>26</v>
      </c>
      <c r="G265" s="305">
        <f>'OCT-18'!I260</f>
        <v>0</v>
      </c>
      <c r="H265" s="51"/>
      <c r="I265" s="17">
        <f t="shared" si="4"/>
        <v>0</v>
      </c>
      <c r="J265" s="45"/>
      <c r="K265" s="324"/>
    </row>
    <row r="266" spans="1:11" ht="22.5" customHeight="1">
      <c r="A266" s="11" t="s">
        <v>351</v>
      </c>
      <c r="B266" s="145" t="s">
        <v>354</v>
      </c>
      <c r="C266" s="55"/>
      <c r="D266" s="3" t="s">
        <v>11</v>
      </c>
      <c r="E266" s="3" t="s">
        <v>25</v>
      </c>
      <c r="F266" s="3" t="s">
        <v>26</v>
      </c>
      <c r="G266" s="305">
        <f>'OCT-18'!I261</f>
        <v>0</v>
      </c>
      <c r="H266" s="51"/>
      <c r="I266" s="17">
        <f t="shared" si="4"/>
        <v>0</v>
      </c>
      <c r="J266" s="45"/>
      <c r="K266" s="324"/>
    </row>
    <row r="267" spans="1:11" ht="24.75" customHeight="1">
      <c r="A267" s="11" t="s">
        <v>352</v>
      </c>
      <c r="B267" s="145" t="s">
        <v>356</v>
      </c>
      <c r="C267" s="55"/>
      <c r="D267" s="3" t="s">
        <v>11</v>
      </c>
      <c r="E267" s="3" t="s">
        <v>25</v>
      </c>
      <c r="F267" s="3" t="s">
        <v>26</v>
      </c>
      <c r="G267" s="305">
        <f>'OCT-18'!I262</f>
        <v>0</v>
      </c>
      <c r="H267" s="51"/>
      <c r="I267" s="17">
        <f t="shared" si="4"/>
        <v>0</v>
      </c>
      <c r="J267" s="45"/>
      <c r="K267" s="385"/>
    </row>
    <row r="268" spans="1:11" ht="24.75" customHeight="1">
      <c r="A268" s="11" t="s">
        <v>353</v>
      </c>
      <c r="B268" s="145" t="s">
        <v>357</v>
      </c>
      <c r="C268" s="55"/>
      <c r="D268" s="3" t="s">
        <v>11</v>
      </c>
      <c r="E268" s="3" t="s">
        <v>25</v>
      </c>
      <c r="F268" s="3" t="s">
        <v>26</v>
      </c>
      <c r="G268" s="305">
        <f>'OCT-18'!I263</f>
        <v>0</v>
      </c>
      <c r="H268" s="51"/>
      <c r="I268" s="17">
        <f t="shared" si="4"/>
        <v>0</v>
      </c>
      <c r="J268" s="45"/>
      <c r="K268" s="385"/>
    </row>
    <row r="269" spans="1:11" ht="59.25" customHeight="1">
      <c r="A269" s="144" t="s">
        <v>358</v>
      </c>
      <c r="B269" s="54" t="s">
        <v>359</v>
      </c>
      <c r="C269" s="55"/>
      <c r="D269" s="3"/>
      <c r="E269" s="3"/>
      <c r="F269" s="3"/>
      <c r="G269" s="305">
        <f>'OCT-18'!I264</f>
        <v>0</v>
      </c>
      <c r="H269" s="51"/>
      <c r="I269" s="17"/>
      <c r="J269" s="45"/>
      <c r="K269" s="46"/>
    </row>
    <row r="270" spans="1:11" ht="18.75" customHeight="1">
      <c r="A270" s="11" t="s">
        <v>361</v>
      </c>
      <c r="B270" s="146" t="s">
        <v>360</v>
      </c>
      <c r="C270" s="55"/>
      <c r="D270" s="3" t="s">
        <v>11</v>
      </c>
      <c r="E270" s="3" t="s">
        <v>25</v>
      </c>
      <c r="F270" s="3" t="s">
        <v>26</v>
      </c>
      <c r="G270" s="305">
        <f>'OCT-18'!I265</f>
        <v>3000</v>
      </c>
      <c r="H270" s="51"/>
      <c r="I270" s="17">
        <f t="shared" si="4"/>
        <v>3000</v>
      </c>
      <c r="J270" s="45"/>
      <c r="K270" s="46"/>
    </row>
    <row r="271" spans="1:11" ht="18.75" customHeight="1">
      <c r="A271" s="11" t="s">
        <v>362</v>
      </c>
      <c r="B271" s="145" t="s">
        <v>365</v>
      </c>
      <c r="C271" s="55"/>
      <c r="D271" s="3" t="s">
        <v>11</v>
      </c>
      <c r="E271" s="3" t="s">
        <v>25</v>
      </c>
      <c r="F271" s="3" t="s">
        <v>26</v>
      </c>
      <c r="G271" s="305">
        <f>'OCT-18'!I266</f>
        <v>500</v>
      </c>
      <c r="H271" s="51"/>
      <c r="I271" s="17">
        <f t="shared" si="4"/>
        <v>500</v>
      </c>
      <c r="J271" s="45"/>
      <c r="K271" s="46"/>
    </row>
    <row r="272" spans="1:11" ht="24.75" customHeight="1">
      <c r="A272" s="11" t="s">
        <v>363</v>
      </c>
      <c r="B272" s="145" t="s">
        <v>366</v>
      </c>
      <c r="C272" s="55"/>
      <c r="D272" s="3" t="s">
        <v>11</v>
      </c>
      <c r="E272" s="3" t="s">
        <v>25</v>
      </c>
      <c r="F272" s="3" t="s">
        <v>26</v>
      </c>
      <c r="G272" s="305">
        <f>'OCT-18'!I267</f>
        <v>200</v>
      </c>
      <c r="H272" s="51"/>
      <c r="I272" s="17">
        <f t="shared" si="4"/>
        <v>200</v>
      </c>
      <c r="J272" s="45"/>
      <c r="K272" s="46"/>
    </row>
    <row r="273" spans="1:11" ht="28.5" customHeight="1">
      <c r="A273" s="11" t="s">
        <v>364</v>
      </c>
      <c r="B273" s="146" t="s">
        <v>367</v>
      </c>
      <c r="C273" s="55"/>
      <c r="D273" s="3" t="s">
        <v>11</v>
      </c>
      <c r="E273" s="3" t="s">
        <v>25</v>
      </c>
      <c r="F273" s="3" t="s">
        <v>26</v>
      </c>
      <c r="G273" s="305">
        <f>'OCT-18'!I268</f>
        <v>7280</v>
      </c>
      <c r="H273" s="51"/>
      <c r="I273" s="17">
        <f t="shared" si="4"/>
        <v>280</v>
      </c>
      <c r="J273" s="45"/>
      <c r="K273" s="324">
        <v>7000</v>
      </c>
    </row>
    <row r="274" spans="1:11" ht="27.75" customHeight="1">
      <c r="A274" s="11" t="s">
        <v>368</v>
      </c>
      <c r="B274" s="145" t="s">
        <v>369</v>
      </c>
      <c r="C274" s="55"/>
      <c r="D274" s="3" t="s">
        <v>11</v>
      </c>
      <c r="E274" s="3" t="s">
        <v>25</v>
      </c>
      <c r="F274" s="3" t="s">
        <v>26</v>
      </c>
      <c r="G274" s="305">
        <f>'OCT-18'!I269</f>
        <v>3000</v>
      </c>
      <c r="H274" s="51"/>
      <c r="I274" s="17">
        <f t="shared" si="4"/>
        <v>0</v>
      </c>
      <c r="J274" s="45"/>
      <c r="K274" s="324">
        <v>3000</v>
      </c>
    </row>
    <row r="275" spans="1:11" ht="23.25" customHeight="1">
      <c r="A275" s="11" t="s">
        <v>370</v>
      </c>
      <c r="B275" s="145" t="s">
        <v>371</v>
      </c>
      <c r="C275" s="55"/>
      <c r="D275" s="3" t="s">
        <v>11</v>
      </c>
      <c r="E275" s="3" t="s">
        <v>25</v>
      </c>
      <c r="F275" s="3" t="s">
        <v>26</v>
      </c>
      <c r="G275" s="305">
        <f>'OCT-18'!I270</f>
        <v>1000</v>
      </c>
      <c r="H275" s="51"/>
      <c r="I275" s="17">
        <f t="shared" si="4"/>
        <v>6.3999999999999773</v>
      </c>
      <c r="J275" s="45"/>
      <c r="K275" s="324">
        <f>168.96+824.64</f>
        <v>993.6</v>
      </c>
    </row>
    <row r="276" spans="1:11" ht="24" customHeight="1">
      <c r="A276" s="11" t="s">
        <v>372</v>
      </c>
      <c r="B276" s="145" t="s">
        <v>373</v>
      </c>
      <c r="C276" s="55"/>
      <c r="D276" s="3" t="s">
        <v>11</v>
      </c>
      <c r="E276" s="3" t="s">
        <v>25</v>
      </c>
      <c r="F276" s="3" t="s">
        <v>26</v>
      </c>
      <c r="G276" s="305">
        <f>'OCT-18'!I271</f>
        <v>18.7</v>
      </c>
      <c r="H276" s="51"/>
      <c r="I276" s="17">
        <f t="shared" si="4"/>
        <v>18.7</v>
      </c>
      <c r="J276" s="45"/>
      <c r="K276" s="46"/>
    </row>
    <row r="277" spans="1:11" ht="69" customHeight="1">
      <c r="A277" s="144" t="s">
        <v>374</v>
      </c>
      <c r="B277" s="54" t="s">
        <v>375</v>
      </c>
      <c r="C277" s="55"/>
      <c r="D277" s="3"/>
      <c r="E277" s="3"/>
      <c r="F277" s="3"/>
      <c r="G277" s="305">
        <f>'OCT-18'!I272</f>
        <v>0</v>
      </c>
      <c r="H277" s="51"/>
      <c r="I277" s="17"/>
      <c r="J277" s="45"/>
      <c r="K277" s="46"/>
    </row>
    <row r="278" spans="1:11" ht="24" customHeight="1">
      <c r="A278" s="11" t="s">
        <v>376</v>
      </c>
      <c r="B278" s="146" t="s">
        <v>377</v>
      </c>
      <c r="C278" s="55"/>
      <c r="D278" s="3" t="s">
        <v>11</v>
      </c>
      <c r="E278" s="3" t="s">
        <v>25</v>
      </c>
      <c r="F278" s="3" t="s">
        <v>26</v>
      </c>
      <c r="G278" s="305">
        <f>'OCT-18'!I273</f>
        <v>0</v>
      </c>
      <c r="H278" s="51"/>
      <c r="I278" s="17">
        <f t="shared" si="4"/>
        <v>0</v>
      </c>
      <c r="J278" s="45"/>
      <c r="K278" s="324"/>
    </row>
    <row r="279" spans="1:11" ht="28.5" customHeight="1">
      <c r="A279" s="11" t="s">
        <v>383</v>
      </c>
      <c r="B279" s="145" t="s">
        <v>378</v>
      </c>
      <c r="C279" s="55"/>
      <c r="D279" s="3" t="s">
        <v>11</v>
      </c>
      <c r="E279" s="3" t="s">
        <v>25</v>
      </c>
      <c r="F279" s="3" t="s">
        <v>26</v>
      </c>
      <c r="G279" s="305">
        <f>'OCT-18'!I274</f>
        <v>0</v>
      </c>
      <c r="H279" s="51"/>
      <c r="I279" s="17">
        <f t="shared" si="4"/>
        <v>0</v>
      </c>
      <c r="J279" s="45"/>
      <c r="K279" s="324"/>
    </row>
    <row r="280" spans="1:11" ht="33" customHeight="1">
      <c r="A280" s="11" t="s">
        <v>384</v>
      </c>
      <c r="B280" s="146" t="s">
        <v>379</v>
      </c>
      <c r="C280" s="55"/>
      <c r="D280" s="3" t="s">
        <v>11</v>
      </c>
      <c r="E280" s="3" t="s">
        <v>25</v>
      </c>
      <c r="F280" s="3" t="s">
        <v>26</v>
      </c>
      <c r="G280" s="305">
        <f>'OCT-18'!I275</f>
        <v>0</v>
      </c>
      <c r="H280" s="51"/>
      <c r="I280" s="17">
        <f t="shared" si="4"/>
        <v>0</v>
      </c>
      <c r="J280" s="45"/>
      <c r="K280" s="324"/>
    </row>
    <row r="281" spans="1:11" ht="41.25" customHeight="1">
      <c r="A281" s="11" t="s">
        <v>385</v>
      </c>
      <c r="B281" s="145" t="s">
        <v>380</v>
      </c>
      <c r="C281" s="55"/>
      <c r="D281" s="3" t="s">
        <v>11</v>
      </c>
      <c r="E281" s="3" t="s">
        <v>25</v>
      </c>
      <c r="F281" s="3" t="s">
        <v>26</v>
      </c>
      <c r="G281" s="305">
        <f>'OCT-18'!I276</f>
        <v>0</v>
      </c>
      <c r="H281" s="51"/>
      <c r="I281" s="17">
        <f t="shared" si="4"/>
        <v>0</v>
      </c>
      <c r="J281" s="45"/>
      <c r="K281" s="324"/>
    </row>
    <row r="282" spans="1:11" ht="30" customHeight="1">
      <c r="A282" s="11" t="s">
        <v>386</v>
      </c>
      <c r="B282" s="145" t="s">
        <v>381</v>
      </c>
      <c r="C282" s="55"/>
      <c r="D282" s="3" t="s">
        <v>11</v>
      </c>
      <c r="E282" s="3" t="s">
        <v>25</v>
      </c>
      <c r="F282" s="3" t="s">
        <v>26</v>
      </c>
      <c r="G282" s="305">
        <f>'OCT-18'!I277</f>
        <v>1464.83</v>
      </c>
      <c r="H282" s="51"/>
      <c r="I282" s="17">
        <f t="shared" si="4"/>
        <v>1464.83</v>
      </c>
      <c r="J282" s="45"/>
      <c r="K282" s="324"/>
    </row>
    <row r="283" spans="1:11" ht="27" customHeight="1">
      <c r="A283" s="11" t="s">
        <v>387</v>
      </c>
      <c r="B283" s="145" t="s">
        <v>382</v>
      </c>
      <c r="C283" s="6"/>
      <c r="D283" s="3" t="s">
        <v>11</v>
      </c>
      <c r="E283" s="3" t="s">
        <v>25</v>
      </c>
      <c r="F283" s="3" t="s">
        <v>26</v>
      </c>
      <c r="G283" s="305">
        <f>'OCT-18'!I278</f>
        <v>20</v>
      </c>
      <c r="H283" s="51"/>
      <c r="I283" s="17">
        <f t="shared" si="3"/>
        <v>20</v>
      </c>
      <c r="J283" s="45"/>
      <c r="K283" s="385"/>
    </row>
    <row r="284" spans="1:11" ht="143.25" customHeight="1">
      <c r="A284" s="144" t="s">
        <v>388</v>
      </c>
      <c r="B284" s="54" t="s">
        <v>391</v>
      </c>
      <c r="C284" s="55"/>
      <c r="D284" s="14"/>
      <c r="E284" s="14"/>
      <c r="F284" s="14"/>
      <c r="G284" s="305">
        <f>'OCT-18'!I279</f>
        <v>0</v>
      </c>
      <c r="H284" s="51"/>
      <c r="I284" s="17"/>
      <c r="J284" s="62"/>
      <c r="K284" s="63"/>
    </row>
    <row r="285" spans="1:11" ht="29.25">
      <c r="A285" s="11" t="s">
        <v>389</v>
      </c>
      <c r="B285" s="54" t="s">
        <v>390</v>
      </c>
      <c r="C285" s="55"/>
      <c r="D285" s="14" t="s">
        <v>11</v>
      </c>
      <c r="E285" s="14" t="s">
        <v>25</v>
      </c>
      <c r="F285" s="14" t="s">
        <v>26</v>
      </c>
      <c r="G285" s="305">
        <f>'OCT-18'!I280</f>
        <v>0</v>
      </c>
      <c r="H285" s="51"/>
      <c r="I285" s="17">
        <f t="shared" si="3"/>
        <v>0</v>
      </c>
      <c r="J285" s="62"/>
      <c r="K285" s="324"/>
    </row>
    <row r="286" spans="1:11" ht="68.25" customHeight="1">
      <c r="A286" s="412" t="s">
        <v>392</v>
      </c>
      <c r="B286" s="54" t="s">
        <v>393</v>
      </c>
      <c r="C286" s="343" t="s">
        <v>1114</v>
      </c>
      <c r="D286" s="14"/>
      <c r="E286" s="14"/>
      <c r="F286" s="14"/>
      <c r="G286" s="305">
        <f>'OCT-18'!I281</f>
        <v>0</v>
      </c>
      <c r="H286" s="51"/>
      <c r="I286" s="17"/>
      <c r="J286" s="62"/>
      <c r="K286" s="63"/>
    </row>
    <row r="287" spans="1:11">
      <c r="A287" s="11">
        <v>51999</v>
      </c>
      <c r="B287" s="54" t="s">
        <v>394</v>
      </c>
      <c r="C287" s="55"/>
      <c r="D287" s="14" t="s">
        <v>11</v>
      </c>
      <c r="E287" s="14" t="s">
        <v>25</v>
      </c>
      <c r="F287" s="14" t="s">
        <v>26</v>
      </c>
      <c r="G287" s="305">
        <f>'OCT-18'!I282</f>
        <v>47.230000000000018</v>
      </c>
      <c r="H287" s="51"/>
      <c r="I287" s="17">
        <f t="shared" si="3"/>
        <v>47.230000000000018</v>
      </c>
      <c r="J287" s="108"/>
      <c r="K287" s="320"/>
    </row>
    <row r="288" spans="1:11" ht="29.25">
      <c r="A288" s="11">
        <v>54112</v>
      </c>
      <c r="B288" s="54" t="s">
        <v>395</v>
      </c>
      <c r="C288" s="55"/>
      <c r="D288" s="14" t="s">
        <v>11</v>
      </c>
      <c r="E288" s="14" t="s">
        <v>25</v>
      </c>
      <c r="F288" s="14" t="s">
        <v>26</v>
      </c>
      <c r="G288" s="305">
        <f>'OCT-18'!I283</f>
        <v>1000</v>
      </c>
      <c r="H288" s="51"/>
      <c r="I288" s="17">
        <f t="shared" si="3"/>
        <v>1000</v>
      </c>
      <c r="J288" s="62"/>
      <c r="K288" s="320"/>
    </row>
    <row r="289" spans="1:11" ht="29.25">
      <c r="A289" s="11">
        <v>54199</v>
      </c>
      <c r="B289" s="54" t="s">
        <v>396</v>
      </c>
      <c r="C289" s="55"/>
      <c r="D289" s="14" t="s">
        <v>11</v>
      </c>
      <c r="E289" s="14" t="s">
        <v>25</v>
      </c>
      <c r="F289" s="14" t="s">
        <v>26</v>
      </c>
      <c r="G289" s="305">
        <f>'OCT-18'!I284</f>
        <v>500</v>
      </c>
      <c r="H289" s="51"/>
      <c r="I289" s="17">
        <f t="shared" ref="I289:I353" si="5">G289-H289+J289-K289</f>
        <v>500</v>
      </c>
      <c r="J289" s="62"/>
      <c r="K289" s="320"/>
    </row>
    <row r="290" spans="1:11" ht="21.75" customHeight="1">
      <c r="A290" s="11">
        <v>54305</v>
      </c>
      <c r="B290" s="54" t="s">
        <v>397</v>
      </c>
      <c r="C290" s="55"/>
      <c r="D290" s="14" t="s">
        <v>11</v>
      </c>
      <c r="E290" s="14" t="s">
        <v>25</v>
      </c>
      <c r="F290" s="14" t="s">
        <v>26</v>
      </c>
      <c r="G290" s="305">
        <f>'OCT-18'!I285</f>
        <v>1191.1999999999998</v>
      </c>
      <c r="H290" s="51">
        <f>277.78</f>
        <v>277.77999999999997</v>
      </c>
      <c r="I290" s="17">
        <f t="shared" si="5"/>
        <v>913.41999999999985</v>
      </c>
      <c r="J290" s="62"/>
      <c r="K290" s="108"/>
    </row>
    <row r="291" spans="1:11" ht="30">
      <c r="A291" s="11">
        <v>54313</v>
      </c>
      <c r="B291" s="54" t="s">
        <v>398</v>
      </c>
      <c r="C291" s="55" t="s">
        <v>1064</v>
      </c>
      <c r="D291" s="14" t="s">
        <v>11</v>
      </c>
      <c r="E291" s="14" t="s">
        <v>25</v>
      </c>
      <c r="F291" s="14" t="s">
        <v>26</v>
      </c>
      <c r="G291" s="305">
        <f>'OCT-18'!I286</f>
        <v>138.14999999999998</v>
      </c>
      <c r="H291" s="51">
        <f>60</f>
        <v>60</v>
      </c>
      <c r="I291" s="17">
        <f t="shared" si="5"/>
        <v>78.149999999999977</v>
      </c>
      <c r="J291" s="408"/>
      <c r="K291" s="63"/>
    </row>
    <row r="292" spans="1:11" ht="29.25">
      <c r="A292" s="11">
        <v>54314</v>
      </c>
      <c r="B292" s="54" t="s">
        <v>1218</v>
      </c>
      <c r="C292" s="55"/>
      <c r="D292" s="14" t="s">
        <v>11</v>
      </c>
      <c r="E292" s="14" t="s">
        <v>25</v>
      </c>
      <c r="F292" s="14" t="s">
        <v>27</v>
      </c>
      <c r="G292" s="305">
        <f>'OCT-18'!I287</f>
        <v>40</v>
      </c>
      <c r="H292" s="51"/>
      <c r="I292" s="17">
        <f t="shared" si="5"/>
        <v>40</v>
      </c>
      <c r="J292" s="408"/>
      <c r="K292" s="63"/>
    </row>
    <row r="293" spans="1:11" ht="30">
      <c r="A293" s="11">
        <v>54399</v>
      </c>
      <c r="B293" s="54" t="s">
        <v>399</v>
      </c>
      <c r="C293" s="55"/>
      <c r="D293" s="14" t="s">
        <v>11</v>
      </c>
      <c r="E293" s="14" t="s">
        <v>25</v>
      </c>
      <c r="F293" s="14" t="s">
        <v>26</v>
      </c>
      <c r="G293" s="305">
        <f>'OCT-18'!I288</f>
        <v>40</v>
      </c>
      <c r="H293" s="51"/>
      <c r="I293" s="17">
        <f t="shared" si="5"/>
        <v>40</v>
      </c>
      <c r="J293" s="62"/>
      <c r="K293" s="387"/>
    </row>
    <row r="294" spans="1:11" ht="30">
      <c r="A294" s="11">
        <v>55603</v>
      </c>
      <c r="B294" s="54" t="s">
        <v>400</v>
      </c>
      <c r="C294" s="55"/>
      <c r="D294" s="14" t="s">
        <v>11</v>
      </c>
      <c r="E294" s="14" t="s">
        <v>25</v>
      </c>
      <c r="F294" s="14" t="s">
        <v>26</v>
      </c>
      <c r="G294" s="305">
        <f>'OCT-18'!I289</f>
        <v>14.17</v>
      </c>
      <c r="H294" s="51"/>
      <c r="I294" s="17">
        <f t="shared" si="5"/>
        <v>14.17</v>
      </c>
      <c r="J294" s="62"/>
      <c r="K294" s="63"/>
    </row>
    <row r="295" spans="1:11" ht="29.25">
      <c r="A295" s="11">
        <v>61101</v>
      </c>
      <c r="B295" s="54" t="s">
        <v>1183</v>
      </c>
      <c r="C295" s="55"/>
      <c r="D295" s="14" t="s">
        <v>11</v>
      </c>
      <c r="E295" s="14" t="s">
        <v>25</v>
      </c>
      <c r="F295" s="14" t="s">
        <v>1181</v>
      </c>
      <c r="G295" s="305">
        <f>'OCT-18'!I290</f>
        <v>23.479999999999791</v>
      </c>
      <c r="H295" s="51"/>
      <c r="I295" s="17">
        <f t="shared" si="5"/>
        <v>23.479999999999791</v>
      </c>
      <c r="J295" s="408"/>
      <c r="K295" s="63"/>
    </row>
    <row r="296" spans="1:11" ht="75.75" customHeight="1">
      <c r="A296" s="144" t="s">
        <v>401</v>
      </c>
      <c r="B296" s="54" t="s">
        <v>402</v>
      </c>
      <c r="C296" s="55" t="s">
        <v>1063</v>
      </c>
      <c r="D296" s="14"/>
      <c r="E296" s="14"/>
      <c r="F296" s="14"/>
      <c r="G296" s="305">
        <f>'OCT-18'!I291</f>
        <v>0</v>
      </c>
      <c r="H296" s="51"/>
      <c r="I296" s="17"/>
      <c r="J296" s="62"/>
      <c r="K296" s="63"/>
    </row>
    <row r="297" spans="1:11" ht="20.25" customHeight="1">
      <c r="A297" s="147">
        <v>54119</v>
      </c>
      <c r="B297" s="145" t="s">
        <v>403</v>
      </c>
      <c r="C297" s="55" t="s">
        <v>1063</v>
      </c>
      <c r="D297" s="14" t="s">
        <v>11</v>
      </c>
      <c r="E297" s="14" t="s">
        <v>25</v>
      </c>
      <c r="F297" s="14" t="s">
        <v>26</v>
      </c>
      <c r="G297" s="305">
        <f>'OCT-18'!I292</f>
        <v>14509.2</v>
      </c>
      <c r="H297" s="51">
        <f>27.35+1120+1356.25</f>
        <v>2503.6</v>
      </c>
      <c r="I297" s="134">
        <f t="shared" si="5"/>
        <v>12005.6</v>
      </c>
      <c r="J297" s="108"/>
      <c r="K297" s="433"/>
    </row>
    <row r="298" spans="1:11" ht="39.75" customHeight="1">
      <c r="A298" s="147">
        <v>51999</v>
      </c>
      <c r="B298" s="145" t="s">
        <v>1051</v>
      </c>
      <c r="C298" s="55" t="s">
        <v>1063</v>
      </c>
      <c r="D298" s="14" t="s">
        <v>11</v>
      </c>
      <c r="E298" s="14" t="s">
        <v>25</v>
      </c>
      <c r="F298" s="14" t="s">
        <v>26</v>
      </c>
      <c r="G298" s="305">
        <f>'OCT-18'!I293</f>
        <v>5000</v>
      </c>
      <c r="H298" s="51">
        <f>100+500+500</f>
        <v>1100</v>
      </c>
      <c r="I298" s="17">
        <f t="shared" si="5"/>
        <v>3900</v>
      </c>
      <c r="J298" s="108"/>
      <c r="K298" s="387"/>
    </row>
    <row r="299" spans="1:11" ht="24">
      <c r="A299" s="147">
        <v>54112</v>
      </c>
      <c r="B299" s="145" t="s">
        <v>404</v>
      </c>
      <c r="C299" s="55"/>
      <c r="D299" s="14" t="s">
        <v>11</v>
      </c>
      <c r="E299" s="14" t="s">
        <v>25</v>
      </c>
      <c r="F299" s="14" t="s">
        <v>26</v>
      </c>
      <c r="G299" s="305">
        <f>'OCT-18'!I294</f>
        <v>0</v>
      </c>
      <c r="H299" s="51"/>
      <c r="I299" s="17">
        <f t="shared" si="5"/>
        <v>0</v>
      </c>
      <c r="J299" s="62"/>
      <c r="K299" s="387"/>
    </row>
    <row r="300" spans="1:11" ht="22.5" customHeight="1">
      <c r="A300" s="147">
        <v>54199</v>
      </c>
      <c r="B300" s="145" t="s">
        <v>405</v>
      </c>
      <c r="C300" s="55"/>
      <c r="D300" s="14" t="s">
        <v>11</v>
      </c>
      <c r="E300" s="14" t="s">
        <v>25</v>
      </c>
      <c r="F300" s="14" t="s">
        <v>26</v>
      </c>
      <c r="G300" s="305">
        <f>'OCT-18'!I295</f>
        <v>0</v>
      </c>
      <c r="H300" s="51"/>
      <c r="I300" s="17">
        <f t="shared" si="5"/>
        <v>0</v>
      </c>
      <c r="J300" s="62"/>
      <c r="K300" s="387"/>
    </row>
    <row r="301" spans="1:11" ht="24">
      <c r="A301" s="147">
        <v>54399</v>
      </c>
      <c r="B301" s="145" t="s">
        <v>406</v>
      </c>
      <c r="C301" s="55"/>
      <c r="D301" s="14" t="s">
        <v>11</v>
      </c>
      <c r="E301" s="14" t="s">
        <v>25</v>
      </c>
      <c r="F301" s="14" t="s">
        <v>26</v>
      </c>
      <c r="G301" s="305">
        <f>'OCT-18'!I296</f>
        <v>0</v>
      </c>
      <c r="H301" s="51"/>
      <c r="I301" s="17">
        <f t="shared" si="5"/>
        <v>0</v>
      </c>
      <c r="J301" s="62"/>
      <c r="K301" s="387"/>
    </row>
    <row r="302" spans="1:11" ht="23.25" customHeight="1">
      <c r="A302" s="147">
        <v>55603</v>
      </c>
      <c r="B302" s="145" t="s">
        <v>407</v>
      </c>
      <c r="C302" s="55"/>
      <c r="D302" s="14" t="s">
        <v>11</v>
      </c>
      <c r="E302" s="14" t="s">
        <v>25</v>
      </c>
      <c r="F302" s="14" t="s">
        <v>26</v>
      </c>
      <c r="G302" s="305">
        <f>'OCT-18'!I297</f>
        <v>0</v>
      </c>
      <c r="H302" s="309"/>
      <c r="I302" s="17">
        <f t="shared" si="5"/>
        <v>0</v>
      </c>
      <c r="J302" s="62"/>
      <c r="K302" s="387"/>
    </row>
    <row r="303" spans="1:11" s="213" customFormat="1" ht="66.75" customHeight="1">
      <c r="A303" s="144" t="s">
        <v>408</v>
      </c>
      <c r="B303" s="54" t="s">
        <v>409</v>
      </c>
      <c r="C303" s="378" t="s">
        <v>1141</v>
      </c>
      <c r="D303" s="14"/>
      <c r="E303" s="14"/>
      <c r="F303" s="14"/>
      <c r="G303" s="305">
        <f>'OCT-18'!I298</f>
        <v>0</v>
      </c>
      <c r="H303" s="51"/>
      <c r="I303" s="17"/>
      <c r="J303" s="62"/>
      <c r="K303" s="63"/>
    </row>
    <row r="304" spans="1:11" ht="29.25">
      <c r="A304" s="11">
        <v>51999</v>
      </c>
      <c r="B304" s="54" t="s">
        <v>410</v>
      </c>
      <c r="C304" s="55"/>
      <c r="D304" s="14" t="s">
        <v>11</v>
      </c>
      <c r="E304" s="14" t="s">
        <v>25</v>
      </c>
      <c r="F304" s="14" t="s">
        <v>26</v>
      </c>
      <c r="G304" s="305">
        <f>'OCT-18'!I299</f>
        <v>545.32999999999993</v>
      </c>
      <c r="H304" s="51">
        <f>45</f>
        <v>45</v>
      </c>
      <c r="I304" s="17">
        <f t="shared" si="5"/>
        <v>500.32999999999993</v>
      </c>
      <c r="J304" s="62"/>
      <c r="K304" s="63"/>
    </row>
    <row r="305" spans="1:11" ht="43.5">
      <c r="A305" s="11">
        <v>54107</v>
      </c>
      <c r="B305" s="54" t="s">
        <v>1211</v>
      </c>
      <c r="C305" s="55"/>
      <c r="D305" s="14" t="s">
        <v>11</v>
      </c>
      <c r="E305" s="14" t="s">
        <v>25</v>
      </c>
      <c r="F305" s="14" t="s">
        <v>26</v>
      </c>
      <c r="G305" s="305">
        <f>'OCT-18'!I300</f>
        <v>86</v>
      </c>
      <c r="H305" s="51">
        <f>240</f>
        <v>240</v>
      </c>
      <c r="I305" s="17">
        <f t="shared" si="5"/>
        <v>46</v>
      </c>
      <c r="J305" s="408">
        <v>200</v>
      </c>
      <c r="K305" s="63"/>
    </row>
    <row r="306" spans="1:11" ht="29.25">
      <c r="A306" s="11">
        <v>54111</v>
      </c>
      <c r="B306" s="54" t="s">
        <v>411</v>
      </c>
      <c r="C306" s="55" t="s">
        <v>1142</v>
      </c>
      <c r="D306" s="14" t="s">
        <v>11</v>
      </c>
      <c r="E306" s="14" t="s">
        <v>25</v>
      </c>
      <c r="F306" s="14" t="s">
        <v>26</v>
      </c>
      <c r="G306" s="305">
        <f>'OCT-18'!I301</f>
        <v>1657.32</v>
      </c>
      <c r="H306" s="51">
        <f>32.7</f>
        <v>32.700000000000003</v>
      </c>
      <c r="I306" s="17">
        <f t="shared" si="5"/>
        <v>824.61999999999989</v>
      </c>
      <c r="J306" s="62"/>
      <c r="K306" s="320">
        <v>800</v>
      </c>
    </row>
    <row r="307" spans="1:11" ht="29.25">
      <c r="A307" s="11">
        <v>54112</v>
      </c>
      <c r="B307" s="54" t="s">
        <v>412</v>
      </c>
      <c r="C307" s="55"/>
      <c r="D307" s="14" t="s">
        <v>11</v>
      </c>
      <c r="E307" s="14" t="s">
        <v>25</v>
      </c>
      <c r="F307" s="14" t="s">
        <v>26</v>
      </c>
      <c r="G307" s="305">
        <f>'OCT-18'!I302</f>
        <v>837.61999999999989</v>
      </c>
      <c r="H307" s="51">
        <f>18.65</f>
        <v>18.649999999999999</v>
      </c>
      <c r="I307" s="17">
        <f t="shared" si="5"/>
        <v>818.96999999999991</v>
      </c>
      <c r="J307" s="62"/>
      <c r="K307" s="434"/>
    </row>
    <row r="308" spans="1:11" ht="30">
      <c r="A308" s="11">
        <v>54118</v>
      </c>
      <c r="B308" s="54" t="s">
        <v>413</v>
      </c>
      <c r="C308" s="55" t="s">
        <v>1142</v>
      </c>
      <c r="D308" s="14" t="s">
        <v>11</v>
      </c>
      <c r="E308" s="14" t="s">
        <v>25</v>
      </c>
      <c r="F308" s="14" t="s">
        <v>26</v>
      </c>
      <c r="G308" s="305">
        <f>'OCT-18'!I303</f>
        <v>1095.4499999999998</v>
      </c>
      <c r="H308" s="51">
        <f>73.76+15.15+315.2</f>
        <v>404.11</v>
      </c>
      <c r="I308" s="17">
        <f t="shared" si="5"/>
        <v>1291.3399999999997</v>
      </c>
      <c r="J308" s="400">
        <v>600</v>
      </c>
      <c r="K308" s="320"/>
    </row>
    <row r="309" spans="1:11" ht="29.25">
      <c r="A309" s="11">
        <v>54199</v>
      </c>
      <c r="B309" s="54" t="s">
        <v>414</v>
      </c>
      <c r="C309" s="55"/>
      <c r="D309" s="14" t="s">
        <v>11</v>
      </c>
      <c r="E309" s="14" t="s">
        <v>25</v>
      </c>
      <c r="F309" s="14" t="s">
        <v>26</v>
      </c>
      <c r="G309" s="305">
        <f>'OCT-18'!I304</f>
        <v>625.08000000000004</v>
      </c>
      <c r="H309" s="51"/>
      <c r="I309" s="17">
        <f t="shared" si="5"/>
        <v>625.08000000000004</v>
      </c>
      <c r="J309" s="62"/>
      <c r="K309" s="320"/>
    </row>
    <row r="310" spans="1:11" ht="30">
      <c r="A310" s="11">
        <v>54301</v>
      </c>
      <c r="B310" s="54" t="s">
        <v>415</v>
      </c>
      <c r="C310" s="55" t="s">
        <v>1142</v>
      </c>
      <c r="D310" s="14" t="s">
        <v>11</v>
      </c>
      <c r="E310" s="14" t="s">
        <v>25</v>
      </c>
      <c r="F310" s="14" t="s">
        <v>26</v>
      </c>
      <c r="G310" s="305">
        <f>'OCT-18'!I305</f>
        <v>333.25000000000023</v>
      </c>
      <c r="H310" s="51"/>
      <c r="I310" s="17">
        <f t="shared" si="5"/>
        <v>333.25000000000023</v>
      </c>
      <c r="J310" s="62"/>
      <c r="K310" s="320"/>
    </row>
    <row r="311" spans="1:11" ht="57.75">
      <c r="A311" s="11">
        <v>54302</v>
      </c>
      <c r="B311" s="54" t="s">
        <v>1280</v>
      </c>
      <c r="C311" s="55" t="s">
        <v>1142</v>
      </c>
      <c r="D311" s="14" t="s">
        <v>11</v>
      </c>
      <c r="E311" s="14" t="s">
        <v>25</v>
      </c>
      <c r="F311" s="14" t="s">
        <v>26</v>
      </c>
      <c r="G311" s="305"/>
      <c r="H311" s="372">
        <v>1954.22</v>
      </c>
      <c r="I311" s="17">
        <f t="shared" si="5"/>
        <v>0</v>
      </c>
      <c r="J311" s="62">
        <v>1954.22</v>
      </c>
      <c r="K311" s="320"/>
    </row>
    <row r="312" spans="1:11" ht="29.25">
      <c r="A312" s="11">
        <v>54316</v>
      </c>
      <c r="B312" s="54" t="s">
        <v>1146</v>
      </c>
      <c r="C312" s="55" t="s">
        <v>1142</v>
      </c>
      <c r="D312" s="14" t="s">
        <v>11</v>
      </c>
      <c r="E312" s="14" t="s">
        <v>25</v>
      </c>
      <c r="F312" s="14" t="s">
        <v>26</v>
      </c>
      <c r="G312" s="305">
        <f>'OCT-18'!I306</f>
        <v>206.24</v>
      </c>
      <c r="H312" s="51"/>
      <c r="I312" s="17">
        <f t="shared" si="5"/>
        <v>206.24</v>
      </c>
      <c r="J312" s="108"/>
      <c r="K312" s="320"/>
    </row>
    <row r="313" spans="1:11" ht="30">
      <c r="A313" s="11">
        <v>54399</v>
      </c>
      <c r="B313" s="54" t="s">
        <v>416</v>
      </c>
      <c r="C313" s="55"/>
      <c r="D313" s="14" t="s">
        <v>11</v>
      </c>
      <c r="E313" s="14" t="s">
        <v>25</v>
      </c>
      <c r="F313" s="14" t="s">
        <v>26</v>
      </c>
      <c r="G313" s="305">
        <f>'OCT-18'!I307</f>
        <v>141.5</v>
      </c>
      <c r="H313" s="51"/>
      <c r="I313" s="17">
        <f t="shared" si="5"/>
        <v>141.5</v>
      </c>
      <c r="J313" s="62"/>
      <c r="K313" s="320"/>
    </row>
    <row r="314" spans="1:11" ht="29.25">
      <c r="A314" s="11">
        <v>55603</v>
      </c>
      <c r="B314" s="54" t="s">
        <v>417</v>
      </c>
      <c r="C314" s="55"/>
      <c r="D314" s="14" t="s">
        <v>11</v>
      </c>
      <c r="E314" s="14" t="s">
        <v>25</v>
      </c>
      <c r="F314" s="14" t="s">
        <v>26</v>
      </c>
      <c r="G314" s="305">
        <f>'OCT-18'!I308</f>
        <v>1.7499999999999991</v>
      </c>
      <c r="H314" s="51"/>
      <c r="I314" s="17">
        <f t="shared" si="5"/>
        <v>1.7499999999999991</v>
      </c>
      <c r="J314" s="62"/>
      <c r="K314" s="63"/>
    </row>
    <row r="315" spans="1:11" ht="29.25">
      <c r="A315" s="11">
        <v>61101</v>
      </c>
      <c r="B315" s="54" t="s">
        <v>1219</v>
      </c>
      <c r="C315" s="55"/>
      <c r="D315" s="14" t="s">
        <v>11</v>
      </c>
      <c r="E315" s="14" t="s">
        <v>25</v>
      </c>
      <c r="F315" s="14" t="s">
        <v>27</v>
      </c>
      <c r="G315" s="305">
        <f>'OCT-18'!I309</f>
        <v>0</v>
      </c>
      <c r="H315" s="51"/>
      <c r="I315" s="17">
        <f t="shared" si="5"/>
        <v>0</v>
      </c>
      <c r="J315" s="108"/>
      <c r="K315" s="63"/>
    </row>
    <row r="316" spans="1:11" ht="64.5" customHeight="1">
      <c r="A316" s="447" t="s">
        <v>418</v>
      </c>
      <c r="B316" s="54" t="s">
        <v>419</v>
      </c>
      <c r="C316" s="344" t="s">
        <v>1144</v>
      </c>
      <c r="D316" s="14"/>
      <c r="E316" s="14"/>
      <c r="F316" s="14"/>
      <c r="G316" s="305">
        <f>'OCT-18'!I310</f>
        <v>0</v>
      </c>
      <c r="H316" s="51"/>
      <c r="I316" s="17"/>
      <c r="J316" s="62"/>
      <c r="K316" s="63"/>
    </row>
    <row r="317" spans="1:11" ht="20.25" customHeight="1">
      <c r="A317" s="11">
        <v>51202</v>
      </c>
      <c r="B317" s="54" t="s">
        <v>420</v>
      </c>
      <c r="C317" s="55"/>
      <c r="D317" s="14" t="s">
        <v>11</v>
      </c>
      <c r="E317" s="14" t="s">
        <v>25</v>
      </c>
      <c r="F317" s="14" t="s">
        <v>26</v>
      </c>
      <c r="G317" s="305">
        <f>'OCT-18'!I311</f>
        <v>51.279999999999973</v>
      </c>
      <c r="H317" s="51">
        <f>50+50+50+50+50</f>
        <v>250</v>
      </c>
      <c r="I317" s="17">
        <f t="shared" si="5"/>
        <v>1.2799999999999727</v>
      </c>
      <c r="J317" s="408">
        <v>200</v>
      </c>
      <c r="K317" s="320"/>
    </row>
    <row r="318" spans="1:11" ht="25.5" customHeight="1">
      <c r="A318" s="11">
        <v>54110</v>
      </c>
      <c r="B318" s="54" t="s">
        <v>421</v>
      </c>
      <c r="C318" s="55"/>
      <c r="D318" s="14" t="s">
        <v>11</v>
      </c>
      <c r="E318" s="14" t="s">
        <v>25</v>
      </c>
      <c r="F318" s="14" t="s">
        <v>26</v>
      </c>
      <c r="G318" s="305">
        <f>'OCT-18'!I312</f>
        <v>2172.3999999999996</v>
      </c>
      <c r="H318" s="51">
        <f>41</f>
        <v>41</v>
      </c>
      <c r="I318" s="17">
        <f t="shared" si="5"/>
        <v>1931.3999999999996</v>
      </c>
      <c r="J318" s="62"/>
      <c r="K318" s="320">
        <v>200</v>
      </c>
    </row>
    <row r="319" spans="1:11" ht="29.25">
      <c r="A319" s="11">
        <v>54111</v>
      </c>
      <c r="B319" s="54" t="s">
        <v>422</v>
      </c>
      <c r="C319" s="55" t="s">
        <v>1145</v>
      </c>
      <c r="D319" s="14" t="s">
        <v>11</v>
      </c>
      <c r="E319" s="14" t="s">
        <v>25</v>
      </c>
      <c r="F319" s="14" t="s">
        <v>26</v>
      </c>
      <c r="G319" s="305">
        <f>'OCT-18'!I313</f>
        <v>659.97999999999979</v>
      </c>
      <c r="H319" s="51"/>
      <c r="I319" s="17">
        <f t="shared" si="5"/>
        <v>659.97999999999979</v>
      </c>
      <c r="J319" s="108"/>
      <c r="K319" s="434"/>
    </row>
    <row r="320" spans="1:11" ht="29.25">
      <c r="A320" s="11">
        <v>54112</v>
      </c>
      <c r="B320" s="54" t="s">
        <v>423</v>
      </c>
      <c r="C320" s="55" t="s">
        <v>1145</v>
      </c>
      <c r="D320" s="14" t="s">
        <v>11</v>
      </c>
      <c r="E320" s="14" t="s">
        <v>25</v>
      </c>
      <c r="F320" s="14" t="s">
        <v>26</v>
      </c>
      <c r="G320" s="305">
        <f>'OCT-18'!I314</f>
        <v>1419.25</v>
      </c>
      <c r="H320" s="51"/>
      <c r="I320" s="17">
        <f t="shared" si="5"/>
        <v>1419.25</v>
      </c>
      <c r="J320" s="62"/>
      <c r="K320" s="320"/>
    </row>
    <row r="321" spans="1:11" ht="45">
      <c r="A321" s="11">
        <v>54118</v>
      </c>
      <c r="B321" s="54" t="s">
        <v>1223</v>
      </c>
      <c r="C321" s="55"/>
      <c r="D321" s="14" t="s">
        <v>11</v>
      </c>
      <c r="E321" s="14" t="s">
        <v>25</v>
      </c>
      <c r="F321" s="14" t="s">
        <v>27</v>
      </c>
      <c r="G321" s="305">
        <f>'OCT-18'!I315</f>
        <v>142</v>
      </c>
      <c r="H321" s="51"/>
      <c r="I321" s="17">
        <f t="shared" si="5"/>
        <v>142</v>
      </c>
      <c r="J321" s="108"/>
      <c r="K321" s="320"/>
    </row>
    <row r="322" spans="1:11" ht="29.25">
      <c r="A322" s="11">
        <v>54313</v>
      </c>
      <c r="B322" s="54" t="s">
        <v>424</v>
      </c>
      <c r="C322" s="55"/>
      <c r="D322" s="14" t="s">
        <v>11</v>
      </c>
      <c r="E322" s="14" t="s">
        <v>25</v>
      </c>
      <c r="F322" s="14" t="s">
        <v>26</v>
      </c>
      <c r="G322" s="305">
        <f>'OCT-18'!I316</f>
        <v>490</v>
      </c>
      <c r="H322" s="51"/>
      <c r="I322" s="17">
        <f t="shared" si="5"/>
        <v>490</v>
      </c>
      <c r="J322" s="62"/>
      <c r="K322" s="63"/>
    </row>
    <row r="323" spans="1:11" ht="29.25">
      <c r="A323" s="11">
        <v>54316</v>
      </c>
      <c r="B323" s="54" t="s">
        <v>425</v>
      </c>
      <c r="C323" s="55"/>
      <c r="D323" s="14" t="s">
        <v>11</v>
      </c>
      <c r="E323" s="14" t="s">
        <v>25</v>
      </c>
      <c r="F323" s="14" t="s">
        <v>26</v>
      </c>
      <c r="G323" s="305">
        <f>'OCT-18'!I317</f>
        <v>2080</v>
      </c>
      <c r="H323" s="51"/>
      <c r="I323" s="17">
        <f t="shared" si="5"/>
        <v>2080</v>
      </c>
      <c r="J323" s="408"/>
      <c r="K323" s="63"/>
    </row>
    <row r="324" spans="1:11" ht="30">
      <c r="A324" s="11">
        <v>54399</v>
      </c>
      <c r="B324" s="54" t="s">
        <v>399</v>
      </c>
      <c r="C324" s="55"/>
      <c r="D324" s="14" t="s">
        <v>11</v>
      </c>
      <c r="E324" s="14" t="s">
        <v>25</v>
      </c>
      <c r="F324" s="14" t="s">
        <v>26</v>
      </c>
      <c r="G324" s="305">
        <f>'OCT-18'!I318</f>
        <v>0</v>
      </c>
      <c r="H324" s="51"/>
      <c r="I324" s="17">
        <f t="shared" si="5"/>
        <v>0</v>
      </c>
      <c r="J324" s="62"/>
      <c r="K324" s="434"/>
    </row>
    <row r="325" spans="1:11">
      <c r="A325" s="11">
        <v>55603</v>
      </c>
      <c r="B325" s="54" t="s">
        <v>427</v>
      </c>
      <c r="C325" s="55"/>
      <c r="D325" s="14" t="s">
        <v>11</v>
      </c>
      <c r="E325" s="14" t="s">
        <v>25</v>
      </c>
      <c r="F325" s="14" t="s">
        <v>26</v>
      </c>
      <c r="G325" s="305">
        <f>'OCT-18'!I319</f>
        <v>1.1799999999999993</v>
      </c>
      <c r="H325" s="51"/>
      <c r="I325" s="17">
        <f t="shared" si="5"/>
        <v>1.1799999999999993</v>
      </c>
      <c r="J325" s="62"/>
      <c r="K325" s="63"/>
    </row>
    <row r="326" spans="1:11" ht="20.25" customHeight="1">
      <c r="A326" s="11">
        <v>55799</v>
      </c>
      <c r="B326" s="54" t="s">
        <v>428</v>
      </c>
      <c r="C326" s="55"/>
      <c r="D326" s="14" t="s">
        <v>11</v>
      </c>
      <c r="E326" s="14" t="s">
        <v>25</v>
      </c>
      <c r="F326" s="14" t="s">
        <v>26</v>
      </c>
      <c r="G326" s="305">
        <f>'OCT-18'!I320</f>
        <v>0</v>
      </c>
      <c r="H326" s="51"/>
      <c r="I326" s="17">
        <f t="shared" si="5"/>
        <v>0</v>
      </c>
      <c r="J326" s="62"/>
      <c r="K326" s="434"/>
    </row>
    <row r="327" spans="1:11" ht="77.25" customHeight="1">
      <c r="A327" s="144" t="s">
        <v>429</v>
      </c>
      <c r="B327" s="399" t="s">
        <v>430</v>
      </c>
      <c r="C327" s="343" t="s">
        <v>1102</v>
      </c>
      <c r="D327" s="14"/>
      <c r="E327" s="14"/>
      <c r="F327" s="14"/>
      <c r="G327" s="305">
        <f>'OCT-18'!I321</f>
        <v>0</v>
      </c>
      <c r="H327" s="51"/>
      <c r="I327" s="17"/>
      <c r="J327" s="62"/>
      <c r="K327" s="63"/>
    </row>
    <row r="328" spans="1:11" ht="33.75" customHeight="1">
      <c r="A328" s="148">
        <v>54199</v>
      </c>
      <c r="B328" s="54" t="s">
        <v>431</v>
      </c>
      <c r="C328" s="55" t="s">
        <v>1103</v>
      </c>
      <c r="D328" s="14" t="s">
        <v>11</v>
      </c>
      <c r="E328" s="14" t="s">
        <v>25</v>
      </c>
      <c r="F328" s="14" t="s">
        <v>26</v>
      </c>
      <c r="G328" s="305">
        <f>'OCT-18'!I322</f>
        <v>995</v>
      </c>
      <c r="H328" s="51">
        <f>560+1120</f>
        <v>1680</v>
      </c>
      <c r="I328" s="17">
        <f t="shared" si="5"/>
        <v>315</v>
      </c>
      <c r="J328" s="108">
        <v>1000</v>
      </c>
      <c r="K328" s="63"/>
    </row>
    <row r="329" spans="1:11" ht="73.5" customHeight="1">
      <c r="A329" s="148">
        <v>54314</v>
      </c>
      <c r="B329" s="179" t="s">
        <v>1202</v>
      </c>
      <c r="C329" s="55" t="s">
        <v>1103</v>
      </c>
      <c r="D329" s="14" t="s">
        <v>11</v>
      </c>
      <c r="E329" s="14" t="s">
        <v>25</v>
      </c>
      <c r="F329" s="14" t="s">
        <v>26</v>
      </c>
      <c r="G329" s="305">
        <f>'OCT-18'!I323</f>
        <v>6336.91</v>
      </c>
      <c r="H329" s="135">
        <f>200+150+500</f>
        <v>850</v>
      </c>
      <c r="I329" s="17">
        <f t="shared" si="5"/>
        <v>5486.91</v>
      </c>
      <c r="J329" s="62"/>
      <c r="K329" s="63"/>
    </row>
    <row r="330" spans="1:11" ht="30.75" customHeight="1">
      <c r="A330" s="148">
        <v>54399</v>
      </c>
      <c r="B330" s="54" t="s">
        <v>433</v>
      </c>
      <c r="C330" s="55"/>
      <c r="D330" s="14" t="s">
        <v>11</v>
      </c>
      <c r="E330" s="14" t="s">
        <v>25</v>
      </c>
      <c r="F330" s="14" t="s">
        <v>26</v>
      </c>
      <c r="G330" s="305">
        <f>'OCT-18'!I324</f>
        <v>5000</v>
      </c>
      <c r="H330" s="51"/>
      <c r="I330" s="17">
        <f t="shared" si="5"/>
        <v>4000</v>
      </c>
      <c r="J330" s="62"/>
      <c r="K330" s="108">
        <v>1000</v>
      </c>
    </row>
    <row r="331" spans="1:11" ht="33" customHeight="1">
      <c r="A331" s="148">
        <v>55603</v>
      </c>
      <c r="B331" s="54" t="s">
        <v>434</v>
      </c>
      <c r="C331" s="55"/>
      <c r="D331" s="14" t="s">
        <v>11</v>
      </c>
      <c r="E331" s="14" t="s">
        <v>25</v>
      </c>
      <c r="F331" s="14" t="s">
        <v>26</v>
      </c>
      <c r="G331" s="305">
        <f>'OCT-18'!I325</f>
        <v>4.169999999999999</v>
      </c>
      <c r="H331" s="51"/>
      <c r="I331" s="17">
        <f t="shared" si="5"/>
        <v>4.169999999999999</v>
      </c>
      <c r="J331" s="62"/>
      <c r="K331" s="63"/>
    </row>
    <row r="332" spans="1:11" ht="31.5" customHeight="1">
      <c r="A332" s="148">
        <v>56303</v>
      </c>
      <c r="B332" s="54" t="s">
        <v>986</v>
      </c>
      <c r="C332" s="55"/>
      <c r="D332" s="14" t="s">
        <v>11</v>
      </c>
      <c r="E332" s="14" t="s">
        <v>25</v>
      </c>
      <c r="F332" s="14" t="s">
        <v>26</v>
      </c>
      <c r="G332" s="305">
        <f>'OCT-18'!I326</f>
        <v>9990</v>
      </c>
      <c r="H332" s="108"/>
      <c r="I332" s="17">
        <f t="shared" si="5"/>
        <v>9990</v>
      </c>
      <c r="J332" s="62"/>
      <c r="K332" s="63"/>
    </row>
    <row r="333" spans="1:11" ht="77.25" customHeight="1">
      <c r="A333" s="144" t="s">
        <v>437</v>
      </c>
      <c r="B333" s="54" t="s">
        <v>436</v>
      </c>
      <c r="C333" s="55"/>
      <c r="D333" s="14" t="s">
        <v>11</v>
      </c>
      <c r="E333" s="14" t="s">
        <v>25</v>
      </c>
      <c r="F333" s="14" t="s">
        <v>26</v>
      </c>
      <c r="G333" s="305">
        <f>'OCT-18'!I327</f>
        <v>0</v>
      </c>
      <c r="H333" s="51"/>
      <c r="I333" s="17"/>
      <c r="J333" s="62"/>
      <c r="K333" s="63"/>
    </row>
    <row r="334" spans="1:11" ht="28.5" customHeight="1">
      <c r="A334" s="148">
        <v>54199</v>
      </c>
      <c r="B334" s="54" t="s">
        <v>438</v>
      </c>
      <c r="C334" s="55"/>
      <c r="D334" s="14" t="s">
        <v>11</v>
      </c>
      <c r="E334" s="14" t="s">
        <v>25</v>
      </c>
      <c r="F334" s="14" t="s">
        <v>26</v>
      </c>
      <c r="G334" s="305">
        <f>'OCT-18'!I328</f>
        <v>0</v>
      </c>
      <c r="H334" s="51"/>
      <c r="I334" s="17">
        <f t="shared" si="5"/>
        <v>0</v>
      </c>
      <c r="J334" s="62"/>
      <c r="K334" s="281"/>
    </row>
    <row r="335" spans="1:11" ht="15" customHeight="1">
      <c r="A335" s="148">
        <v>54314</v>
      </c>
      <c r="B335" s="54" t="s">
        <v>439</v>
      </c>
      <c r="C335" s="55"/>
      <c r="D335" s="14" t="s">
        <v>11</v>
      </c>
      <c r="E335" s="14" t="s">
        <v>25</v>
      </c>
      <c r="F335" s="14" t="s">
        <v>26</v>
      </c>
      <c r="G335" s="305">
        <f>'OCT-18'!I329</f>
        <v>0</v>
      </c>
      <c r="H335" s="51"/>
      <c r="I335" s="17">
        <f t="shared" si="5"/>
        <v>0</v>
      </c>
      <c r="J335" s="62"/>
      <c r="K335" s="281"/>
    </row>
    <row r="336" spans="1:11" ht="27.75" customHeight="1">
      <c r="A336" s="148">
        <v>54399</v>
      </c>
      <c r="B336" s="54" t="s">
        <v>440</v>
      </c>
      <c r="C336" s="55"/>
      <c r="D336" s="14" t="s">
        <v>11</v>
      </c>
      <c r="E336" s="14" t="s">
        <v>25</v>
      </c>
      <c r="F336" s="14" t="s">
        <v>26</v>
      </c>
      <c r="G336" s="305">
        <f>'OCT-18'!I330</f>
        <v>0</v>
      </c>
      <c r="H336" s="51"/>
      <c r="I336" s="17">
        <f t="shared" si="5"/>
        <v>0</v>
      </c>
      <c r="J336" s="62"/>
      <c r="K336" s="281"/>
    </row>
    <row r="337" spans="1:11" ht="29.25" customHeight="1">
      <c r="A337" s="148">
        <v>55603</v>
      </c>
      <c r="B337" s="54" t="s">
        <v>441</v>
      </c>
      <c r="C337" s="55"/>
      <c r="D337" s="14" t="s">
        <v>11</v>
      </c>
      <c r="E337" s="14" t="s">
        <v>25</v>
      </c>
      <c r="F337" s="14" t="s">
        <v>26</v>
      </c>
      <c r="G337" s="305">
        <f>'OCT-18'!I331</f>
        <v>0</v>
      </c>
      <c r="H337" s="51"/>
      <c r="I337" s="17">
        <f t="shared" si="5"/>
        <v>0</v>
      </c>
      <c r="J337" s="62"/>
      <c r="K337" s="281"/>
    </row>
    <row r="338" spans="1:11" ht="18" customHeight="1">
      <c r="A338" s="148">
        <v>55799</v>
      </c>
      <c r="B338" s="54" t="s">
        <v>442</v>
      </c>
      <c r="C338" s="55"/>
      <c r="D338" s="14" t="s">
        <v>11</v>
      </c>
      <c r="E338" s="14" t="s">
        <v>25</v>
      </c>
      <c r="F338" s="14" t="s">
        <v>26</v>
      </c>
      <c r="G338" s="305">
        <f>'OCT-18'!I332</f>
        <v>0</v>
      </c>
      <c r="H338" s="51"/>
      <c r="I338" s="17">
        <f t="shared" si="5"/>
        <v>0</v>
      </c>
      <c r="J338" s="62"/>
      <c r="K338" s="281"/>
    </row>
    <row r="339" spans="1:11" ht="68.25" customHeight="1">
      <c r="A339" s="144" t="s">
        <v>443</v>
      </c>
      <c r="B339" s="339" t="s">
        <v>1136</v>
      </c>
      <c r="C339" s="343" t="s">
        <v>1122</v>
      </c>
      <c r="D339" s="14"/>
      <c r="E339" s="14"/>
      <c r="F339" s="14"/>
      <c r="G339" s="305">
        <f>'OCT-18'!I333</f>
        <v>0</v>
      </c>
      <c r="H339" s="51"/>
      <c r="I339" s="17"/>
      <c r="J339" s="62"/>
      <c r="K339" s="63"/>
    </row>
    <row r="340" spans="1:11" ht="27.75" customHeight="1">
      <c r="A340" s="148">
        <v>54199</v>
      </c>
      <c r="B340" s="54" t="s">
        <v>445</v>
      </c>
      <c r="C340" s="55"/>
      <c r="D340" s="14" t="s">
        <v>11</v>
      </c>
      <c r="E340" s="14" t="s">
        <v>25</v>
      </c>
      <c r="F340" s="14" t="s">
        <v>26</v>
      </c>
      <c r="G340" s="305">
        <f>'OCT-18'!I334</f>
        <v>0</v>
      </c>
      <c r="H340" s="51"/>
      <c r="I340" s="17">
        <f t="shared" si="5"/>
        <v>0</v>
      </c>
      <c r="J340" s="62"/>
      <c r="K340" s="320"/>
    </row>
    <row r="341" spans="1:11" ht="24.75" customHeight="1">
      <c r="A341" s="148">
        <v>54314</v>
      </c>
      <c r="B341" s="54" t="s">
        <v>446</v>
      </c>
      <c r="C341" s="55"/>
      <c r="D341" s="14" t="s">
        <v>11</v>
      </c>
      <c r="E341" s="14" t="s">
        <v>25</v>
      </c>
      <c r="F341" s="14" t="s">
        <v>26</v>
      </c>
      <c r="G341" s="305">
        <f>'OCT-18'!I335</f>
        <v>2.7284841053187847E-12</v>
      </c>
      <c r="H341" s="51"/>
      <c r="I341" s="18">
        <f t="shared" si="5"/>
        <v>2.7284841053187847E-12</v>
      </c>
      <c r="J341" s="108"/>
      <c r="K341" s="320"/>
    </row>
    <row r="342" spans="1:11" ht="33.75" customHeight="1">
      <c r="A342" s="148">
        <v>54313</v>
      </c>
      <c r="B342" s="54" t="s">
        <v>447</v>
      </c>
      <c r="C342" s="55"/>
      <c r="D342" s="14" t="s">
        <v>11</v>
      </c>
      <c r="E342" s="14" t="s">
        <v>25</v>
      </c>
      <c r="F342" s="14" t="s">
        <v>26</v>
      </c>
      <c r="G342" s="305">
        <f>'OCT-18'!I336</f>
        <v>0</v>
      </c>
      <c r="H342" s="51"/>
      <c r="I342" s="17">
        <f t="shared" si="5"/>
        <v>0</v>
      </c>
      <c r="J342" s="62"/>
      <c r="K342" s="320"/>
    </row>
    <row r="343" spans="1:11" ht="28.5" customHeight="1">
      <c r="A343" s="148">
        <v>55399</v>
      </c>
      <c r="B343" s="149" t="s">
        <v>450</v>
      </c>
      <c r="C343" s="55"/>
      <c r="D343" s="14" t="s">
        <v>11</v>
      </c>
      <c r="E343" s="14" t="s">
        <v>25</v>
      </c>
      <c r="F343" s="14" t="s">
        <v>26</v>
      </c>
      <c r="G343" s="305">
        <f>'OCT-18'!I337</f>
        <v>0</v>
      </c>
      <c r="H343" s="51"/>
      <c r="I343" s="18">
        <f t="shared" si="5"/>
        <v>0</v>
      </c>
      <c r="J343" s="108"/>
      <c r="K343" s="320"/>
    </row>
    <row r="344" spans="1:11" ht="30.75" customHeight="1">
      <c r="A344" s="148">
        <v>55603</v>
      </c>
      <c r="B344" s="54" t="s">
        <v>448</v>
      </c>
      <c r="C344" s="55"/>
      <c r="D344" s="14" t="s">
        <v>11</v>
      </c>
      <c r="E344" s="14" t="s">
        <v>25</v>
      </c>
      <c r="F344" s="14" t="s">
        <v>26</v>
      </c>
      <c r="G344" s="305">
        <f>'OCT-18'!I338</f>
        <v>0</v>
      </c>
      <c r="H344" s="51"/>
      <c r="I344" s="17">
        <f t="shared" si="5"/>
        <v>0</v>
      </c>
      <c r="J344" s="62"/>
      <c r="K344" s="320"/>
    </row>
    <row r="345" spans="1:11" ht="31.5" customHeight="1">
      <c r="A345" s="148">
        <v>56303</v>
      </c>
      <c r="B345" s="54" t="s">
        <v>449</v>
      </c>
      <c r="C345" s="55"/>
      <c r="D345" s="14" t="s">
        <v>11</v>
      </c>
      <c r="E345" s="14" t="s">
        <v>25</v>
      </c>
      <c r="F345" s="14" t="s">
        <v>26</v>
      </c>
      <c r="G345" s="305">
        <f>'OCT-18'!I339</f>
        <v>0</v>
      </c>
      <c r="H345" s="51"/>
      <c r="I345" s="17">
        <f t="shared" si="5"/>
        <v>0</v>
      </c>
      <c r="J345" s="62"/>
      <c r="K345" s="320"/>
    </row>
    <row r="346" spans="1:11" ht="102.75" customHeight="1">
      <c r="A346" s="415" t="s">
        <v>451</v>
      </c>
      <c r="B346" s="54" t="s">
        <v>452</v>
      </c>
      <c r="C346" s="55"/>
      <c r="D346" s="14"/>
      <c r="E346" s="14"/>
      <c r="F346" s="14"/>
      <c r="G346" s="305">
        <f>'OCT-18'!I340</f>
        <v>0</v>
      </c>
      <c r="H346" s="51"/>
      <c r="I346" s="17"/>
      <c r="J346" s="52"/>
      <c r="K346" s="52"/>
    </row>
    <row r="347" spans="1:11" ht="27.75" customHeight="1">
      <c r="A347" s="271">
        <v>54110</v>
      </c>
      <c r="B347" s="54" t="s">
        <v>1238</v>
      </c>
      <c r="C347" s="55"/>
      <c r="D347" s="14" t="s">
        <v>11</v>
      </c>
      <c r="E347" s="14" t="s">
        <v>25</v>
      </c>
      <c r="F347" s="14" t="s">
        <v>26</v>
      </c>
      <c r="G347" s="305">
        <f>'OCT-18'!I340</f>
        <v>0</v>
      </c>
      <c r="H347" s="51">
        <f>500.08</f>
        <v>500.08</v>
      </c>
      <c r="I347" s="17">
        <f t="shared" si="5"/>
        <v>0</v>
      </c>
      <c r="J347" s="408">
        <v>500.08</v>
      </c>
      <c r="K347" s="52"/>
    </row>
    <row r="348" spans="1:11" ht="30.75" customHeight="1">
      <c r="A348" s="4">
        <v>54199</v>
      </c>
      <c r="B348" s="5" t="s">
        <v>453</v>
      </c>
      <c r="C348" s="10"/>
      <c r="D348" s="14" t="s">
        <v>11</v>
      </c>
      <c r="E348" s="14" t="s">
        <v>25</v>
      </c>
      <c r="F348" s="14" t="s">
        <v>26</v>
      </c>
      <c r="G348" s="305">
        <f>'OCT-18'!I341</f>
        <v>0</v>
      </c>
      <c r="H348" s="51"/>
      <c r="I348" s="17">
        <f t="shared" si="5"/>
        <v>0</v>
      </c>
      <c r="J348" s="425"/>
      <c r="K348" s="414"/>
    </row>
    <row r="349" spans="1:11" ht="40.5" customHeight="1">
      <c r="A349" s="11">
        <v>54314</v>
      </c>
      <c r="B349" s="150" t="s">
        <v>454</v>
      </c>
      <c r="C349" s="55"/>
      <c r="D349" s="14" t="s">
        <v>11</v>
      </c>
      <c r="E349" s="14" t="s">
        <v>25</v>
      </c>
      <c r="F349" s="14" t="s">
        <v>26</v>
      </c>
      <c r="G349" s="305">
        <f>'OCT-18'!I342</f>
        <v>1.1700000000003001</v>
      </c>
      <c r="H349" s="51"/>
      <c r="I349" s="17">
        <f t="shared" si="5"/>
        <v>3.0020430585864233E-13</v>
      </c>
      <c r="J349" s="108"/>
      <c r="K349" s="320">
        <v>1.17</v>
      </c>
    </row>
    <row r="350" spans="1:11" ht="44.25" customHeight="1">
      <c r="A350" s="11">
        <v>54304</v>
      </c>
      <c r="B350" s="150" t="s">
        <v>1210</v>
      </c>
      <c r="C350" s="55"/>
      <c r="D350" s="14" t="s">
        <v>11</v>
      </c>
      <c r="E350" s="14" t="s">
        <v>25</v>
      </c>
      <c r="F350" s="14" t="s">
        <v>26</v>
      </c>
      <c r="G350" s="305">
        <f>'OCT-18'!I343</f>
        <v>325.60000000000002</v>
      </c>
      <c r="H350" s="51"/>
      <c r="I350" s="17">
        <f t="shared" si="5"/>
        <v>0</v>
      </c>
      <c r="J350" s="108"/>
      <c r="K350" s="320">
        <v>325.60000000000002</v>
      </c>
    </row>
    <row r="351" spans="1:11" ht="43.5" customHeight="1">
      <c r="A351" s="11">
        <v>54399</v>
      </c>
      <c r="B351" s="429" t="s">
        <v>455</v>
      </c>
      <c r="C351" s="13"/>
      <c r="D351" s="14" t="s">
        <v>11</v>
      </c>
      <c r="E351" s="14" t="s">
        <v>25</v>
      </c>
      <c r="F351" s="14" t="s">
        <v>26</v>
      </c>
      <c r="G351" s="305">
        <f>'OCT-18'!I344</f>
        <v>0</v>
      </c>
      <c r="H351" s="51"/>
      <c r="I351" s="134">
        <f t="shared" si="5"/>
        <v>0</v>
      </c>
      <c r="J351" s="52"/>
      <c r="K351" s="301"/>
    </row>
    <row r="352" spans="1:11" ht="29.25">
      <c r="A352" s="4">
        <v>55603</v>
      </c>
      <c r="B352" s="150" t="s">
        <v>456</v>
      </c>
      <c r="C352" s="9"/>
      <c r="D352" s="14" t="s">
        <v>11</v>
      </c>
      <c r="E352" s="14" t="s">
        <v>25</v>
      </c>
      <c r="F352" s="14" t="s">
        <v>26</v>
      </c>
      <c r="G352" s="305">
        <f>'OCT-18'!I345</f>
        <v>4.3499999999999996</v>
      </c>
      <c r="H352" s="51"/>
      <c r="I352" s="17">
        <f t="shared" si="5"/>
        <v>0</v>
      </c>
      <c r="J352" s="44"/>
      <c r="K352" s="414">
        <v>4.3499999999999996</v>
      </c>
    </row>
    <row r="353" spans="1:11" ht="37.5" customHeight="1">
      <c r="A353" s="4">
        <v>55799</v>
      </c>
      <c r="B353" s="150" t="s">
        <v>457</v>
      </c>
      <c r="C353" s="9"/>
      <c r="D353" s="14" t="s">
        <v>11</v>
      </c>
      <c r="E353" s="14" t="s">
        <v>25</v>
      </c>
      <c r="F353" s="14" t="s">
        <v>26</v>
      </c>
      <c r="G353" s="305">
        <f>'OCT-18'!I346</f>
        <v>0</v>
      </c>
      <c r="H353" s="51"/>
      <c r="I353" s="17">
        <f t="shared" si="5"/>
        <v>0</v>
      </c>
      <c r="J353" s="44"/>
      <c r="K353" s="414"/>
    </row>
    <row r="354" spans="1:11" ht="68.25" customHeight="1">
      <c r="A354" s="144" t="s">
        <v>459</v>
      </c>
      <c r="B354" s="54" t="s">
        <v>458</v>
      </c>
      <c r="C354" s="9"/>
      <c r="D354" s="3"/>
      <c r="E354" s="3"/>
      <c r="F354" s="3"/>
      <c r="G354" s="305">
        <f>'OCT-18'!I347</f>
        <v>0</v>
      </c>
      <c r="H354" s="51"/>
      <c r="I354" s="17"/>
      <c r="J354" s="44"/>
      <c r="K354" s="44"/>
    </row>
    <row r="355" spans="1:11" ht="25.5" customHeight="1">
      <c r="A355" s="4">
        <v>54314</v>
      </c>
      <c r="B355" s="70" t="s">
        <v>460</v>
      </c>
      <c r="C355" s="5"/>
      <c r="D355" s="14" t="s">
        <v>11</v>
      </c>
      <c r="E355" s="14" t="s">
        <v>25</v>
      </c>
      <c r="F355" s="14" t="s">
        <v>26</v>
      </c>
      <c r="G355" s="305">
        <f>'OCT-18'!I348</f>
        <v>639.87999999999988</v>
      </c>
      <c r="H355" s="51"/>
      <c r="I355" s="17">
        <f>G355-H355+J355-K355</f>
        <v>0</v>
      </c>
      <c r="J355" s="44"/>
      <c r="K355" s="419">
        <v>639.88</v>
      </c>
    </row>
    <row r="356" spans="1:11" ht="63.75" customHeight="1">
      <c r="A356" s="144" t="s">
        <v>461</v>
      </c>
      <c r="B356" s="54" t="s">
        <v>470</v>
      </c>
      <c r="C356" s="55"/>
      <c r="D356" s="14"/>
      <c r="E356" s="14"/>
      <c r="F356" s="14"/>
      <c r="G356" s="305">
        <f>'OCT-18'!I349</f>
        <v>0</v>
      </c>
      <c r="H356" s="51"/>
      <c r="I356" s="17"/>
      <c r="J356" s="62"/>
      <c r="K356" s="63"/>
    </row>
    <row r="357" spans="1:11" ht="33" customHeight="1">
      <c r="A357" s="11">
        <v>54199</v>
      </c>
      <c r="B357" s="70" t="s">
        <v>462</v>
      </c>
      <c r="C357" s="55"/>
      <c r="D357" s="14" t="s">
        <v>11</v>
      </c>
      <c r="E357" s="14" t="s">
        <v>25</v>
      </c>
      <c r="F357" s="14" t="s">
        <v>26</v>
      </c>
      <c r="G357" s="305">
        <f>'OCT-18'!I350</f>
        <v>2000</v>
      </c>
      <c r="H357" s="51"/>
      <c r="I357" s="17">
        <f>G357-H357+J357-K357</f>
        <v>0</v>
      </c>
      <c r="J357" s="62"/>
      <c r="K357" s="419">
        <v>2000</v>
      </c>
    </row>
    <row r="358" spans="1:11" ht="36.75" customHeight="1">
      <c r="A358" s="11">
        <v>54314</v>
      </c>
      <c r="B358" s="151" t="s">
        <v>463</v>
      </c>
      <c r="C358" s="55"/>
      <c r="D358" s="14" t="s">
        <v>11</v>
      </c>
      <c r="E358" s="14" t="s">
        <v>25</v>
      </c>
      <c r="F358" s="14" t="s">
        <v>26</v>
      </c>
      <c r="G358" s="305">
        <f>'OCT-18'!I351</f>
        <v>22000</v>
      </c>
      <c r="H358" s="51"/>
      <c r="I358" s="17">
        <f t="shared" ref="I358:I424" si="6">G358-H358+J358-K358</f>
        <v>0</v>
      </c>
      <c r="J358" s="62"/>
      <c r="K358" s="419">
        <v>22000</v>
      </c>
    </row>
    <row r="359" spans="1:11" ht="39" customHeight="1">
      <c r="A359" s="11">
        <v>54313</v>
      </c>
      <c r="B359" s="151" t="s">
        <v>464</v>
      </c>
      <c r="C359" s="55"/>
      <c r="D359" s="14" t="s">
        <v>11</v>
      </c>
      <c r="E359" s="14" t="s">
        <v>25</v>
      </c>
      <c r="F359" s="14" t="s">
        <v>26</v>
      </c>
      <c r="G359" s="305">
        <f>'OCT-18'!I352</f>
        <v>5000</v>
      </c>
      <c r="H359" s="51"/>
      <c r="I359" s="17">
        <f t="shared" si="6"/>
        <v>0</v>
      </c>
      <c r="J359" s="62"/>
      <c r="K359" s="419">
        <v>5000</v>
      </c>
    </row>
    <row r="360" spans="1:11" ht="33.75" customHeight="1">
      <c r="A360" s="11">
        <v>54399</v>
      </c>
      <c r="B360" s="151" t="s">
        <v>465</v>
      </c>
      <c r="C360" s="13"/>
      <c r="D360" s="14" t="s">
        <v>11</v>
      </c>
      <c r="E360" s="14" t="s">
        <v>25</v>
      </c>
      <c r="F360" s="14" t="s">
        <v>26</v>
      </c>
      <c r="G360" s="305">
        <f>'OCT-18'!I353</f>
        <v>990</v>
      </c>
      <c r="H360" s="51"/>
      <c r="I360" s="17">
        <f t="shared" si="6"/>
        <v>0</v>
      </c>
      <c r="J360" s="52"/>
      <c r="K360" s="419">
        <v>990</v>
      </c>
    </row>
    <row r="361" spans="1:11" ht="35.25" customHeight="1">
      <c r="A361" s="11">
        <v>55603</v>
      </c>
      <c r="B361" s="151" t="s">
        <v>466</v>
      </c>
      <c r="C361" s="13"/>
      <c r="D361" s="14" t="s">
        <v>11</v>
      </c>
      <c r="E361" s="14" t="s">
        <v>25</v>
      </c>
      <c r="F361" s="14" t="s">
        <v>26</v>
      </c>
      <c r="G361" s="305">
        <f>'OCT-18'!I354</f>
        <v>10</v>
      </c>
      <c r="H361" s="51"/>
      <c r="I361" s="17">
        <f t="shared" si="6"/>
        <v>0</v>
      </c>
      <c r="J361" s="52"/>
      <c r="K361" s="419">
        <v>10</v>
      </c>
    </row>
    <row r="362" spans="1:11" ht="34.5" customHeight="1">
      <c r="A362" s="11">
        <v>56603</v>
      </c>
      <c r="B362" s="151" t="s">
        <v>467</v>
      </c>
      <c r="C362" s="61"/>
      <c r="D362" s="14" t="s">
        <v>11</v>
      </c>
      <c r="E362" s="14" t="s">
        <v>25</v>
      </c>
      <c r="F362" s="14" t="s">
        <v>26</v>
      </c>
      <c r="G362" s="305">
        <f>'OCT-18'!I355</f>
        <v>5000</v>
      </c>
      <c r="H362" s="51"/>
      <c r="I362" s="17">
        <f t="shared" si="6"/>
        <v>0</v>
      </c>
      <c r="J362" s="11"/>
      <c r="K362" s="419">
        <v>5000</v>
      </c>
    </row>
    <row r="363" spans="1:11" ht="68.25" customHeight="1">
      <c r="A363" s="144" t="s">
        <v>468</v>
      </c>
      <c r="B363" s="54" t="s">
        <v>987</v>
      </c>
      <c r="C363" s="344" t="s">
        <v>1115</v>
      </c>
      <c r="D363" s="14"/>
      <c r="E363" s="14"/>
      <c r="F363" s="14"/>
      <c r="G363" s="305">
        <f>'OCT-18'!I356</f>
        <v>0</v>
      </c>
      <c r="H363" s="51"/>
      <c r="I363" s="17"/>
      <c r="J363" s="52"/>
      <c r="K363" s="52"/>
    </row>
    <row r="364" spans="1:11" ht="33" customHeight="1">
      <c r="A364" s="11">
        <v>51202</v>
      </c>
      <c r="B364" s="70" t="s">
        <v>471</v>
      </c>
      <c r="C364" s="61"/>
      <c r="D364" s="14" t="s">
        <v>11</v>
      </c>
      <c r="E364" s="14" t="s">
        <v>25</v>
      </c>
      <c r="F364" s="14" t="s">
        <v>26</v>
      </c>
      <c r="G364" s="305">
        <f>'OCT-18'!I357</f>
        <v>-5.4001247917767614E-13</v>
      </c>
      <c r="H364" s="51"/>
      <c r="I364" s="17">
        <f t="shared" si="6"/>
        <v>-5.4001247917767614E-13</v>
      </c>
      <c r="J364" s="237"/>
      <c r="K364" s="392"/>
    </row>
    <row r="365" spans="1:11" ht="34.5" customHeight="1">
      <c r="A365" s="11">
        <v>54111</v>
      </c>
      <c r="B365" s="70" t="s">
        <v>472</v>
      </c>
      <c r="C365" s="61"/>
      <c r="D365" s="14" t="s">
        <v>11</v>
      </c>
      <c r="E365" s="14" t="s">
        <v>25</v>
      </c>
      <c r="F365" s="14" t="s">
        <v>26</v>
      </c>
      <c r="G365" s="305">
        <f>'OCT-18'!I358</f>
        <v>0</v>
      </c>
      <c r="H365" s="51"/>
      <c r="I365" s="17">
        <f t="shared" si="6"/>
        <v>0</v>
      </c>
      <c r="J365" s="44"/>
      <c r="K365" s="316"/>
    </row>
    <row r="366" spans="1:11" ht="41.25" customHeight="1">
      <c r="A366" s="11">
        <v>54112</v>
      </c>
      <c r="B366" s="70" t="s">
        <v>473</v>
      </c>
      <c r="C366" s="12"/>
      <c r="D366" s="14" t="s">
        <v>11</v>
      </c>
      <c r="E366" s="14" t="s">
        <v>25</v>
      </c>
      <c r="F366" s="14" t="s">
        <v>26</v>
      </c>
      <c r="G366" s="305">
        <f>'OCT-18'!I359</f>
        <v>0</v>
      </c>
      <c r="H366" s="51"/>
      <c r="I366" s="17">
        <f t="shared" si="6"/>
        <v>0</v>
      </c>
      <c r="J366" s="44"/>
      <c r="K366" s="316"/>
    </row>
    <row r="367" spans="1:11" ht="29.25">
      <c r="A367" s="11">
        <v>54118</v>
      </c>
      <c r="B367" s="151" t="s">
        <v>474</v>
      </c>
      <c r="C367" s="61"/>
      <c r="D367" s="14" t="s">
        <v>11</v>
      </c>
      <c r="E367" s="14" t="s">
        <v>25</v>
      </c>
      <c r="F367" s="14" t="s">
        <v>26</v>
      </c>
      <c r="G367" s="305">
        <f>'OCT-18'!I360</f>
        <v>0</v>
      </c>
      <c r="H367" s="51"/>
      <c r="I367" s="17">
        <f t="shared" si="6"/>
        <v>0</v>
      </c>
      <c r="J367" s="44"/>
      <c r="K367" s="316"/>
    </row>
    <row r="368" spans="1:11" ht="29.25">
      <c r="A368" s="11">
        <v>54313</v>
      </c>
      <c r="B368" s="151" t="s">
        <v>475</v>
      </c>
      <c r="C368" s="12"/>
      <c r="D368" s="14" t="s">
        <v>11</v>
      </c>
      <c r="E368" s="14" t="s">
        <v>25</v>
      </c>
      <c r="F368" s="14" t="s">
        <v>26</v>
      </c>
      <c r="G368" s="305">
        <f>'OCT-18'!I361</f>
        <v>0</v>
      </c>
      <c r="H368" s="51"/>
      <c r="I368" s="17">
        <f t="shared" si="6"/>
        <v>0</v>
      </c>
      <c r="J368" s="44"/>
      <c r="K368" s="316"/>
    </row>
    <row r="369" spans="1:11" ht="29.25">
      <c r="A369" s="152">
        <v>55603</v>
      </c>
      <c r="B369" s="151" t="s">
        <v>476</v>
      </c>
      <c r="C369" s="154"/>
      <c r="D369" s="14" t="s">
        <v>11</v>
      </c>
      <c r="E369" s="14" t="s">
        <v>25</v>
      </c>
      <c r="F369" s="14" t="s">
        <v>26</v>
      </c>
      <c r="G369" s="305">
        <f>'OCT-18'!I362</f>
        <v>0</v>
      </c>
      <c r="H369" s="157"/>
      <c r="I369" s="17">
        <f t="shared" si="6"/>
        <v>0</v>
      </c>
      <c r="J369" s="159"/>
      <c r="K369" s="381"/>
    </row>
    <row r="370" spans="1:11" ht="85.5">
      <c r="A370" s="144" t="s">
        <v>477</v>
      </c>
      <c r="B370" s="54" t="s">
        <v>1085</v>
      </c>
      <c r="C370" s="154"/>
      <c r="D370" s="155"/>
      <c r="E370" s="155"/>
      <c r="F370" s="155"/>
      <c r="G370" s="305">
        <f>'OCT-18'!I363</f>
        <v>0</v>
      </c>
      <c r="H370" s="157"/>
      <c r="I370" s="158"/>
      <c r="J370" s="159"/>
      <c r="K370" s="159"/>
    </row>
    <row r="371" spans="1:11" ht="29.25">
      <c r="A371" s="152">
        <v>51202</v>
      </c>
      <c r="B371" s="164" t="s">
        <v>479</v>
      </c>
      <c r="C371" s="154"/>
      <c r="D371" s="14" t="s">
        <v>11</v>
      </c>
      <c r="E371" s="14" t="s">
        <v>25</v>
      </c>
      <c r="F371" s="14" t="s">
        <v>26</v>
      </c>
      <c r="G371" s="305">
        <f>'OCT-18'!I364</f>
        <v>0</v>
      </c>
      <c r="H371" s="157"/>
      <c r="I371" s="17">
        <f t="shared" si="6"/>
        <v>0</v>
      </c>
      <c r="J371" s="159"/>
      <c r="K371" s="325"/>
    </row>
    <row r="372" spans="1:11" ht="44.25">
      <c r="A372" s="152">
        <v>54111</v>
      </c>
      <c r="B372" s="164" t="s">
        <v>480</v>
      </c>
      <c r="C372" s="154"/>
      <c r="D372" s="14" t="s">
        <v>11</v>
      </c>
      <c r="E372" s="14" t="s">
        <v>25</v>
      </c>
      <c r="F372" s="14" t="s">
        <v>26</v>
      </c>
      <c r="G372" s="305">
        <f>'OCT-18'!I365</f>
        <v>0</v>
      </c>
      <c r="H372" s="157"/>
      <c r="I372" s="17">
        <f t="shared" si="6"/>
        <v>0</v>
      </c>
      <c r="J372" s="159"/>
      <c r="K372" s="325"/>
    </row>
    <row r="373" spans="1:11" ht="30">
      <c r="A373" s="152">
        <v>54112</v>
      </c>
      <c r="B373" s="164" t="s">
        <v>481</v>
      </c>
      <c r="C373" s="154"/>
      <c r="D373" s="14" t="s">
        <v>11</v>
      </c>
      <c r="E373" s="14" t="s">
        <v>25</v>
      </c>
      <c r="F373" s="14" t="s">
        <v>26</v>
      </c>
      <c r="G373" s="305">
        <f>'OCT-18'!I366</f>
        <v>0</v>
      </c>
      <c r="H373" s="157"/>
      <c r="I373" s="17">
        <f t="shared" si="6"/>
        <v>0</v>
      </c>
      <c r="J373" s="159"/>
      <c r="K373" s="325"/>
    </row>
    <row r="374" spans="1:11" ht="29.25">
      <c r="A374" s="152">
        <v>54118</v>
      </c>
      <c r="B374" s="164" t="s">
        <v>482</v>
      </c>
      <c r="C374" s="154"/>
      <c r="D374" s="14" t="s">
        <v>11</v>
      </c>
      <c r="E374" s="14" t="s">
        <v>25</v>
      </c>
      <c r="F374" s="14" t="s">
        <v>26</v>
      </c>
      <c r="G374" s="305">
        <f>'OCT-18'!I367</f>
        <v>0</v>
      </c>
      <c r="H374" s="157"/>
      <c r="I374" s="17">
        <f t="shared" si="6"/>
        <v>0</v>
      </c>
      <c r="J374" s="159"/>
      <c r="K374" s="325"/>
    </row>
    <row r="375" spans="1:11" ht="30">
      <c r="A375" s="152">
        <v>54313</v>
      </c>
      <c r="B375" s="164" t="s">
        <v>483</v>
      </c>
      <c r="C375" s="154"/>
      <c r="D375" s="14" t="s">
        <v>11</v>
      </c>
      <c r="E375" s="14" t="s">
        <v>25</v>
      </c>
      <c r="F375" s="14" t="s">
        <v>26</v>
      </c>
      <c r="G375" s="305">
        <f>'OCT-18'!I368</f>
        <v>0</v>
      </c>
      <c r="H375" s="157"/>
      <c r="I375" s="17">
        <f t="shared" si="6"/>
        <v>0</v>
      </c>
      <c r="J375" s="159"/>
      <c r="K375" s="325"/>
    </row>
    <row r="376" spans="1:11" ht="30">
      <c r="A376" s="152">
        <v>54399</v>
      </c>
      <c r="B376" s="164" t="s">
        <v>484</v>
      </c>
      <c r="C376" s="154"/>
      <c r="D376" s="14" t="s">
        <v>11</v>
      </c>
      <c r="E376" s="14" t="s">
        <v>25</v>
      </c>
      <c r="F376" s="14" t="s">
        <v>26</v>
      </c>
      <c r="G376" s="305">
        <f>'OCT-18'!I369</f>
        <v>0</v>
      </c>
      <c r="H376" s="157"/>
      <c r="I376" s="17">
        <f t="shared" si="6"/>
        <v>0</v>
      </c>
      <c r="J376" s="159"/>
      <c r="K376" s="325"/>
    </row>
    <row r="377" spans="1:11" ht="29.25">
      <c r="A377" s="152">
        <v>55603</v>
      </c>
      <c r="B377" s="164" t="s">
        <v>485</v>
      </c>
      <c r="C377" s="154"/>
      <c r="D377" s="14" t="s">
        <v>11</v>
      </c>
      <c r="E377" s="14" t="s">
        <v>25</v>
      </c>
      <c r="F377" s="14" t="s">
        <v>26</v>
      </c>
      <c r="G377" s="305">
        <f>'OCT-18'!I370</f>
        <v>0</v>
      </c>
      <c r="H377" s="157"/>
      <c r="I377" s="17">
        <f t="shared" si="6"/>
        <v>0</v>
      </c>
      <c r="J377" s="159"/>
      <c r="K377" s="325"/>
    </row>
    <row r="378" spans="1:11" ht="80.25" customHeight="1">
      <c r="A378" s="144" t="s">
        <v>486</v>
      </c>
      <c r="B378" s="54" t="s">
        <v>487</v>
      </c>
      <c r="C378" s="154"/>
      <c r="D378" s="155"/>
      <c r="E378" s="155"/>
      <c r="F378" s="155"/>
      <c r="G378" s="305">
        <f>'OCT-18'!I371</f>
        <v>0</v>
      </c>
      <c r="H378" s="157"/>
      <c r="I378" s="158"/>
      <c r="J378" s="159"/>
      <c r="K378" s="159"/>
    </row>
    <row r="379" spans="1:11" ht="29.25">
      <c r="A379" s="152">
        <v>51202</v>
      </c>
      <c r="B379" s="164" t="s">
        <v>488</v>
      </c>
      <c r="C379" s="154"/>
      <c r="D379" s="14" t="s">
        <v>11</v>
      </c>
      <c r="E379" s="14" t="s">
        <v>25</v>
      </c>
      <c r="F379" s="14" t="s">
        <v>26</v>
      </c>
      <c r="G379" s="305">
        <f>'OCT-18'!I372</f>
        <v>8800</v>
      </c>
      <c r="H379" s="157"/>
      <c r="I379" s="17">
        <f t="shared" si="6"/>
        <v>0</v>
      </c>
      <c r="J379" s="326"/>
      <c r="K379" s="326">
        <f>3800+5000</f>
        <v>8800</v>
      </c>
    </row>
    <row r="380" spans="1:11" ht="29.25">
      <c r="A380" s="152">
        <v>51999</v>
      </c>
      <c r="B380" s="164" t="s">
        <v>489</v>
      </c>
      <c r="C380" s="154"/>
      <c r="D380" s="14" t="s">
        <v>11</v>
      </c>
      <c r="E380" s="14" t="s">
        <v>25</v>
      </c>
      <c r="F380" s="14" t="s">
        <v>26</v>
      </c>
      <c r="G380" s="305">
        <f>'OCT-18'!I373</f>
        <v>2000</v>
      </c>
      <c r="H380" s="157"/>
      <c r="I380" s="17">
        <f t="shared" si="6"/>
        <v>0</v>
      </c>
      <c r="J380" s="326"/>
      <c r="K380" s="326">
        <v>2000</v>
      </c>
    </row>
    <row r="381" spans="1:11" ht="29.25">
      <c r="A381" s="152">
        <v>54111</v>
      </c>
      <c r="B381" s="164" t="s">
        <v>490</v>
      </c>
      <c r="C381" s="154"/>
      <c r="D381" s="14" t="s">
        <v>11</v>
      </c>
      <c r="E381" s="14" t="s">
        <v>25</v>
      </c>
      <c r="F381" s="14" t="s">
        <v>26</v>
      </c>
      <c r="G381" s="305">
        <f>'OCT-18'!I374</f>
        <v>15000</v>
      </c>
      <c r="H381" s="157"/>
      <c r="I381" s="17">
        <f t="shared" si="6"/>
        <v>0</v>
      </c>
      <c r="J381" s="326"/>
      <c r="K381" s="326">
        <f>15000-3335.48+3335.48</f>
        <v>15000</v>
      </c>
    </row>
    <row r="382" spans="1:11" ht="29.25">
      <c r="A382" s="152">
        <v>54112</v>
      </c>
      <c r="B382" s="164" t="s">
        <v>491</v>
      </c>
      <c r="C382" s="154"/>
      <c r="D382" s="14" t="s">
        <v>11</v>
      </c>
      <c r="E382" s="14" t="s">
        <v>25</v>
      </c>
      <c r="F382" s="14" t="s">
        <v>26</v>
      </c>
      <c r="G382" s="305">
        <f>'OCT-18'!I375</f>
        <v>8990</v>
      </c>
      <c r="H382" s="157"/>
      <c r="I382" s="17">
        <f t="shared" si="6"/>
        <v>0</v>
      </c>
      <c r="J382" s="326"/>
      <c r="K382" s="326">
        <v>8990</v>
      </c>
    </row>
    <row r="383" spans="1:11" ht="29.25">
      <c r="A383" s="152">
        <v>54118</v>
      </c>
      <c r="B383" s="164" t="s">
        <v>492</v>
      </c>
      <c r="C383" s="154"/>
      <c r="D383" s="14" t="s">
        <v>11</v>
      </c>
      <c r="E383" s="14" t="s">
        <v>25</v>
      </c>
      <c r="F383" s="14" t="s">
        <v>26</v>
      </c>
      <c r="G383" s="305">
        <f>'OCT-18'!I376</f>
        <v>5000</v>
      </c>
      <c r="H383" s="157"/>
      <c r="I383" s="17">
        <f t="shared" si="6"/>
        <v>0</v>
      </c>
      <c r="J383" s="326"/>
      <c r="K383" s="326">
        <v>5000</v>
      </c>
    </row>
    <row r="384" spans="1:11" ht="29.25">
      <c r="A384" s="152">
        <v>54199</v>
      </c>
      <c r="B384" s="164" t="s">
        <v>493</v>
      </c>
      <c r="C384" s="154"/>
      <c r="D384" s="14" t="s">
        <v>11</v>
      </c>
      <c r="E384" s="14" t="s">
        <v>25</v>
      </c>
      <c r="F384" s="14" t="s">
        <v>26</v>
      </c>
      <c r="G384" s="305">
        <f>'OCT-18'!I377</f>
        <v>100</v>
      </c>
      <c r="H384" s="157"/>
      <c r="I384" s="17">
        <f t="shared" si="6"/>
        <v>0</v>
      </c>
      <c r="J384" s="326"/>
      <c r="K384" s="326">
        <v>100</v>
      </c>
    </row>
    <row r="385" spans="1:11" ht="29.25">
      <c r="A385" s="152">
        <v>54399</v>
      </c>
      <c r="B385" s="164" t="s">
        <v>494</v>
      </c>
      <c r="C385" s="154"/>
      <c r="D385" s="14" t="s">
        <v>11</v>
      </c>
      <c r="E385" s="14" t="s">
        <v>25</v>
      </c>
      <c r="F385" s="14" t="s">
        <v>26</v>
      </c>
      <c r="G385" s="305">
        <f>'OCT-18'!I378</f>
        <v>100</v>
      </c>
      <c r="H385" s="157"/>
      <c r="I385" s="17">
        <f t="shared" si="6"/>
        <v>0</v>
      </c>
      <c r="J385" s="326"/>
      <c r="K385" s="326">
        <v>100</v>
      </c>
    </row>
    <row r="386" spans="1:11" ht="29.25">
      <c r="A386" s="152">
        <v>55603</v>
      </c>
      <c r="B386" s="164" t="s">
        <v>495</v>
      </c>
      <c r="C386" s="154"/>
      <c r="D386" s="14" t="s">
        <v>11</v>
      </c>
      <c r="E386" s="14" t="s">
        <v>25</v>
      </c>
      <c r="F386" s="14" t="s">
        <v>26</v>
      </c>
      <c r="G386" s="305">
        <f>'OCT-18'!I379</f>
        <v>10</v>
      </c>
      <c r="H386" s="157"/>
      <c r="I386" s="17">
        <f t="shared" si="6"/>
        <v>0</v>
      </c>
      <c r="J386" s="326"/>
      <c r="K386" s="326">
        <v>10</v>
      </c>
    </row>
    <row r="387" spans="1:11" ht="55.5">
      <c r="A387" s="144" t="s">
        <v>504</v>
      </c>
      <c r="B387" s="54" t="s">
        <v>496</v>
      </c>
      <c r="C387" s="154" t="s">
        <v>1066</v>
      </c>
      <c r="D387" s="155"/>
      <c r="E387" s="155"/>
      <c r="F387" s="155"/>
      <c r="G387" s="305">
        <f>'OCT-18'!I380</f>
        <v>0</v>
      </c>
      <c r="H387" s="157"/>
      <c r="I387" s="158"/>
      <c r="J387" s="159"/>
      <c r="K387" s="159"/>
    </row>
    <row r="388" spans="1:11" ht="29.25">
      <c r="A388" s="152">
        <v>51202</v>
      </c>
      <c r="B388" s="164" t="s">
        <v>500</v>
      </c>
      <c r="C388" s="154"/>
      <c r="D388" s="14" t="s">
        <v>11</v>
      </c>
      <c r="E388" s="14" t="s">
        <v>25</v>
      </c>
      <c r="F388" s="14" t="s">
        <v>26</v>
      </c>
      <c r="G388" s="305">
        <f>'OCT-18'!I381</f>
        <v>0</v>
      </c>
      <c r="H388" s="157"/>
      <c r="I388" s="17">
        <f t="shared" si="6"/>
        <v>0</v>
      </c>
      <c r="J388" s="159"/>
      <c r="K388" s="326"/>
    </row>
    <row r="389" spans="1:11" ht="29.25">
      <c r="A389" s="152">
        <v>54111</v>
      </c>
      <c r="B389" s="164" t="s">
        <v>499</v>
      </c>
      <c r="C389" s="154" t="s">
        <v>1066</v>
      </c>
      <c r="D389" s="14" t="s">
        <v>11</v>
      </c>
      <c r="E389" s="14" t="s">
        <v>25</v>
      </c>
      <c r="F389" s="14" t="s">
        <v>26</v>
      </c>
      <c r="G389" s="305">
        <f>'OCT-18'!I382</f>
        <v>1026.1999999999998</v>
      </c>
      <c r="H389" s="157"/>
      <c r="I389" s="17">
        <f t="shared" si="6"/>
        <v>826.19999999999982</v>
      </c>
      <c r="J389" s="159"/>
      <c r="K389" s="326">
        <v>200</v>
      </c>
    </row>
    <row r="390" spans="1:11" ht="29.25">
      <c r="A390" s="152">
        <v>54112</v>
      </c>
      <c r="B390" s="164" t="s">
        <v>497</v>
      </c>
      <c r="C390" s="154" t="s">
        <v>1066</v>
      </c>
      <c r="D390" s="14" t="s">
        <v>11</v>
      </c>
      <c r="E390" s="14" t="s">
        <v>25</v>
      </c>
      <c r="F390" s="14" t="s">
        <v>26</v>
      </c>
      <c r="G390" s="305">
        <f>'OCT-18'!I383</f>
        <v>39.799999999999272</v>
      </c>
      <c r="H390" s="157">
        <f>198</f>
        <v>198</v>
      </c>
      <c r="I390" s="17">
        <f t="shared" si="6"/>
        <v>41.799999999999272</v>
      </c>
      <c r="J390" s="442">
        <v>200</v>
      </c>
      <c r="K390" s="327"/>
    </row>
    <row r="391" spans="1:11" ht="29.25">
      <c r="A391" s="152">
        <v>54118</v>
      </c>
      <c r="B391" s="164" t="s">
        <v>498</v>
      </c>
      <c r="C391" s="154"/>
      <c r="D391" s="14" t="s">
        <v>11</v>
      </c>
      <c r="E391" s="14" t="s">
        <v>25</v>
      </c>
      <c r="F391" s="14" t="s">
        <v>26</v>
      </c>
      <c r="G391" s="305">
        <f>'OCT-18'!I384</f>
        <v>0</v>
      </c>
      <c r="H391" s="157"/>
      <c r="I391" s="17">
        <f t="shared" si="6"/>
        <v>0</v>
      </c>
      <c r="J391" s="159"/>
      <c r="K391" s="327"/>
    </row>
    <row r="392" spans="1:11" ht="29.25">
      <c r="A392" s="152">
        <v>54313</v>
      </c>
      <c r="B392" s="164" t="s">
        <v>501</v>
      </c>
      <c r="C392" s="154"/>
      <c r="D392" s="14" t="s">
        <v>11</v>
      </c>
      <c r="E392" s="14" t="s">
        <v>25</v>
      </c>
      <c r="F392" s="14" t="s">
        <v>26</v>
      </c>
      <c r="G392" s="305">
        <f>'OCT-18'!I385</f>
        <v>0</v>
      </c>
      <c r="H392" s="157"/>
      <c r="I392" s="17">
        <f t="shared" si="6"/>
        <v>0</v>
      </c>
      <c r="J392" s="159"/>
      <c r="K392" s="326"/>
    </row>
    <row r="393" spans="1:11" ht="29.25">
      <c r="A393" s="152">
        <v>54399</v>
      </c>
      <c r="B393" s="164" t="s">
        <v>502</v>
      </c>
      <c r="C393" s="154"/>
      <c r="D393" s="14" t="s">
        <v>11</v>
      </c>
      <c r="E393" s="14" t="s">
        <v>25</v>
      </c>
      <c r="F393" s="14" t="s">
        <v>26</v>
      </c>
      <c r="G393" s="305">
        <f>'OCT-18'!I386</f>
        <v>0</v>
      </c>
      <c r="H393" s="157"/>
      <c r="I393" s="17">
        <f t="shared" si="6"/>
        <v>0</v>
      </c>
      <c r="J393" s="159"/>
      <c r="K393" s="326"/>
    </row>
    <row r="394" spans="1:11" ht="33.75" customHeight="1">
      <c r="A394" s="152">
        <v>55603</v>
      </c>
      <c r="B394" s="164" t="s">
        <v>503</v>
      </c>
      <c r="C394" s="154"/>
      <c r="D394" s="14" t="s">
        <v>11</v>
      </c>
      <c r="E394" s="14" t="s">
        <v>25</v>
      </c>
      <c r="F394" s="14" t="s">
        <v>26</v>
      </c>
      <c r="G394" s="305">
        <f>'OCT-18'!I387</f>
        <v>3.4399999999999995</v>
      </c>
      <c r="H394" s="157">
        <f>2.26</f>
        <v>2.2599999999999998</v>
      </c>
      <c r="I394" s="17">
        <f t="shared" si="6"/>
        <v>1.1799999999999997</v>
      </c>
      <c r="J394" s="159"/>
      <c r="K394" s="159"/>
    </row>
    <row r="395" spans="1:11" ht="84.75">
      <c r="A395" s="144" t="s">
        <v>505</v>
      </c>
      <c r="B395" s="53" t="s">
        <v>510</v>
      </c>
      <c r="C395" s="154"/>
      <c r="D395" s="155"/>
      <c r="E395" s="155"/>
      <c r="F395" s="155"/>
      <c r="G395" s="305">
        <f>'OCT-18'!I388</f>
        <v>0</v>
      </c>
      <c r="H395" s="157"/>
      <c r="I395" s="158"/>
      <c r="J395" s="159"/>
      <c r="K395" s="159"/>
    </row>
    <row r="396" spans="1:11" ht="29.25">
      <c r="A396" s="152">
        <v>51999</v>
      </c>
      <c r="B396" s="153" t="s">
        <v>506</v>
      </c>
      <c r="C396" s="154"/>
      <c r="D396" s="14" t="s">
        <v>11</v>
      </c>
      <c r="E396" s="14" t="s">
        <v>25</v>
      </c>
      <c r="F396" s="14" t="s">
        <v>26</v>
      </c>
      <c r="G396" s="305">
        <f>'OCT-18'!I389</f>
        <v>0</v>
      </c>
      <c r="H396" s="157"/>
      <c r="I396" s="17">
        <f t="shared" si="6"/>
        <v>0</v>
      </c>
      <c r="J396" s="159"/>
      <c r="K396" s="326"/>
    </row>
    <row r="397" spans="1:11" ht="29.25">
      <c r="A397" s="152">
        <v>54199</v>
      </c>
      <c r="B397" s="153" t="s">
        <v>507</v>
      </c>
      <c r="C397" s="154"/>
      <c r="D397" s="14" t="s">
        <v>11</v>
      </c>
      <c r="E397" s="14" t="s">
        <v>25</v>
      </c>
      <c r="F397" s="14" t="s">
        <v>26</v>
      </c>
      <c r="G397" s="305">
        <f>'OCT-18'!I390</f>
        <v>0</v>
      </c>
      <c r="H397" s="157"/>
      <c r="I397" s="17">
        <f t="shared" si="6"/>
        <v>0</v>
      </c>
      <c r="J397" s="159"/>
      <c r="K397" s="326"/>
    </row>
    <row r="398" spans="1:11" ht="43.5">
      <c r="A398" s="152">
        <v>54399</v>
      </c>
      <c r="B398" s="153" t="s">
        <v>508</v>
      </c>
      <c r="C398" s="154"/>
      <c r="D398" s="14" t="s">
        <v>11</v>
      </c>
      <c r="E398" s="14" t="s">
        <v>25</v>
      </c>
      <c r="F398" s="14" t="s">
        <v>26</v>
      </c>
      <c r="G398" s="305">
        <f>'OCT-18'!I391</f>
        <v>0</v>
      </c>
      <c r="H398" s="157"/>
      <c r="I398" s="17">
        <f t="shared" si="6"/>
        <v>0</v>
      </c>
      <c r="J398" s="159"/>
      <c r="K398" s="326"/>
    </row>
    <row r="399" spans="1:11" ht="29.25">
      <c r="A399" s="152">
        <v>55603</v>
      </c>
      <c r="B399" s="153" t="s">
        <v>509</v>
      </c>
      <c r="C399" s="154"/>
      <c r="D399" s="14" t="s">
        <v>11</v>
      </c>
      <c r="E399" s="14" t="s">
        <v>25</v>
      </c>
      <c r="F399" s="14" t="s">
        <v>26</v>
      </c>
      <c r="G399" s="305">
        <f>'OCT-18'!I392</f>
        <v>0</v>
      </c>
      <c r="H399" s="157"/>
      <c r="I399" s="17">
        <f t="shared" si="6"/>
        <v>0</v>
      </c>
      <c r="J399" s="159"/>
      <c r="K399" s="326"/>
    </row>
    <row r="400" spans="1:11" ht="94.5" customHeight="1">
      <c r="A400" s="384" t="s">
        <v>511</v>
      </c>
      <c r="B400" s="53" t="s">
        <v>512</v>
      </c>
      <c r="C400" s="154"/>
      <c r="D400" s="155"/>
      <c r="E400" s="155"/>
      <c r="F400" s="155"/>
      <c r="G400" s="305">
        <f>'OCT-18'!I393</f>
        <v>0</v>
      </c>
      <c r="H400" s="157"/>
      <c r="I400" s="158"/>
      <c r="J400" s="159"/>
      <c r="K400" s="159"/>
    </row>
    <row r="401" spans="1:11" ht="29.25">
      <c r="A401" s="152">
        <v>51999</v>
      </c>
      <c r="B401" s="164" t="s">
        <v>513</v>
      </c>
      <c r="C401" s="154"/>
      <c r="D401" s="14" t="s">
        <v>11</v>
      </c>
      <c r="E401" s="14" t="s">
        <v>25</v>
      </c>
      <c r="F401" s="14" t="s">
        <v>26</v>
      </c>
      <c r="G401" s="305">
        <f>'OCT-18'!I394</f>
        <v>1000</v>
      </c>
      <c r="H401" s="157"/>
      <c r="I401" s="17">
        <f t="shared" si="6"/>
        <v>1000</v>
      </c>
      <c r="J401" s="159"/>
      <c r="K401" s="159"/>
    </row>
    <row r="402" spans="1:11" ht="29.25">
      <c r="A402" s="152">
        <v>54115</v>
      </c>
      <c r="B402" s="164" t="s">
        <v>514</v>
      </c>
      <c r="C402" s="154"/>
      <c r="D402" s="14" t="s">
        <v>11</v>
      </c>
      <c r="E402" s="14" t="s">
        <v>25</v>
      </c>
      <c r="F402" s="14" t="s">
        <v>26</v>
      </c>
      <c r="G402" s="305">
        <f>'OCT-18'!I395</f>
        <v>490</v>
      </c>
      <c r="H402" s="157"/>
      <c r="I402" s="17">
        <f t="shared" si="6"/>
        <v>490</v>
      </c>
      <c r="J402" s="159"/>
      <c r="K402" s="426"/>
    </row>
    <row r="403" spans="1:11" ht="29.25">
      <c r="A403" s="152">
        <v>61104</v>
      </c>
      <c r="B403" s="164" t="s">
        <v>515</v>
      </c>
      <c r="C403" s="154"/>
      <c r="D403" s="14" t="s">
        <v>11</v>
      </c>
      <c r="E403" s="14" t="s">
        <v>25</v>
      </c>
      <c r="F403" s="14" t="s">
        <v>26</v>
      </c>
      <c r="G403" s="305">
        <f>'OCT-18'!I396</f>
        <v>74.5</v>
      </c>
      <c r="H403" s="157"/>
      <c r="I403" s="17">
        <f t="shared" si="6"/>
        <v>74.5</v>
      </c>
      <c r="J403" s="426"/>
      <c r="K403" s="159"/>
    </row>
    <row r="404" spans="1:11" ht="29.25">
      <c r="A404" s="152">
        <v>55603</v>
      </c>
      <c r="B404" s="164" t="s">
        <v>516</v>
      </c>
      <c r="C404" s="154"/>
      <c r="D404" s="14" t="s">
        <v>11</v>
      </c>
      <c r="E404" s="14" t="s">
        <v>25</v>
      </c>
      <c r="F404" s="14" t="s">
        <v>26</v>
      </c>
      <c r="G404" s="305">
        <f>'OCT-18'!I397</f>
        <v>8.59</v>
      </c>
      <c r="H404" s="157"/>
      <c r="I404" s="17">
        <f t="shared" si="6"/>
        <v>8.59</v>
      </c>
      <c r="J404" s="159"/>
      <c r="K404" s="159"/>
    </row>
    <row r="405" spans="1:11" ht="63" customHeight="1">
      <c r="A405" s="144" t="s">
        <v>517</v>
      </c>
      <c r="B405" s="53" t="s">
        <v>518</v>
      </c>
      <c r="C405" s="154"/>
      <c r="D405" s="155"/>
      <c r="E405" s="155"/>
      <c r="F405" s="155"/>
      <c r="G405" s="305">
        <f>'OCT-18'!I398</f>
        <v>0</v>
      </c>
      <c r="H405" s="157"/>
      <c r="I405" s="158"/>
      <c r="J405" s="159"/>
      <c r="K405" s="159"/>
    </row>
    <row r="406" spans="1:11" ht="29.25">
      <c r="A406" s="152">
        <v>51999</v>
      </c>
      <c r="B406" s="164" t="s">
        <v>519</v>
      </c>
      <c r="C406" s="154"/>
      <c r="D406" s="14" t="s">
        <v>11</v>
      </c>
      <c r="E406" s="14" t="s">
        <v>25</v>
      </c>
      <c r="F406" s="14" t="s">
        <v>26</v>
      </c>
      <c r="G406" s="305">
        <f>'OCT-18'!I399</f>
        <v>10000</v>
      </c>
      <c r="H406" s="157"/>
      <c r="I406" s="17">
        <f t="shared" si="6"/>
        <v>10000</v>
      </c>
      <c r="J406" s="159"/>
      <c r="K406" s="159"/>
    </row>
    <row r="407" spans="1:11" ht="30">
      <c r="A407" s="152">
        <v>54313</v>
      </c>
      <c r="B407" s="164" t="s">
        <v>520</v>
      </c>
      <c r="C407" s="154"/>
      <c r="D407" s="14" t="s">
        <v>11</v>
      </c>
      <c r="E407" s="14" t="s">
        <v>25</v>
      </c>
      <c r="F407" s="14" t="s">
        <v>26</v>
      </c>
      <c r="G407" s="305">
        <f>'OCT-18'!I400</f>
        <v>500</v>
      </c>
      <c r="H407" s="157"/>
      <c r="I407" s="17">
        <f t="shared" si="6"/>
        <v>500</v>
      </c>
      <c r="J407" s="159"/>
      <c r="K407" s="159"/>
    </row>
    <row r="408" spans="1:11" ht="30">
      <c r="A408" s="152">
        <v>54399</v>
      </c>
      <c r="B408" s="164" t="s">
        <v>521</v>
      </c>
      <c r="C408" s="154"/>
      <c r="D408" s="14" t="s">
        <v>11</v>
      </c>
      <c r="E408" s="14" t="s">
        <v>25</v>
      </c>
      <c r="F408" s="14" t="s">
        <v>26</v>
      </c>
      <c r="G408" s="305">
        <f>'OCT-18'!I401</f>
        <v>990</v>
      </c>
      <c r="H408" s="157"/>
      <c r="I408" s="17">
        <f t="shared" si="6"/>
        <v>990</v>
      </c>
      <c r="J408" s="159"/>
      <c r="K408" s="159"/>
    </row>
    <row r="409" spans="1:11" ht="29.25">
      <c r="A409" s="152">
        <v>54599</v>
      </c>
      <c r="B409" s="164" t="s">
        <v>522</v>
      </c>
      <c r="C409" s="154"/>
      <c r="D409" s="14" t="s">
        <v>11</v>
      </c>
      <c r="E409" s="14" t="s">
        <v>25</v>
      </c>
      <c r="F409" s="14" t="s">
        <v>26</v>
      </c>
      <c r="G409" s="305">
        <f>'OCT-18'!I402</f>
        <v>13500</v>
      </c>
      <c r="H409" s="157"/>
      <c r="I409" s="17">
        <f t="shared" si="6"/>
        <v>13500</v>
      </c>
      <c r="J409" s="159"/>
      <c r="K409" s="159"/>
    </row>
    <row r="410" spans="1:11" ht="29.25">
      <c r="A410" s="152">
        <v>55603</v>
      </c>
      <c r="B410" s="164" t="s">
        <v>523</v>
      </c>
      <c r="C410" s="154"/>
      <c r="D410" s="14" t="s">
        <v>11</v>
      </c>
      <c r="E410" s="14" t="s">
        <v>25</v>
      </c>
      <c r="F410" s="14" t="s">
        <v>26</v>
      </c>
      <c r="G410" s="305">
        <f>'OCT-18'!I403</f>
        <v>10</v>
      </c>
      <c r="H410" s="157"/>
      <c r="I410" s="17">
        <f t="shared" si="6"/>
        <v>10</v>
      </c>
      <c r="J410" s="159"/>
      <c r="K410" s="159"/>
    </row>
    <row r="411" spans="1:11" ht="69.75">
      <c r="A411" s="144" t="s">
        <v>524</v>
      </c>
      <c r="B411" s="53" t="s">
        <v>525</v>
      </c>
      <c r="C411" s="154"/>
      <c r="D411" s="14" t="s">
        <v>11</v>
      </c>
      <c r="E411" s="14" t="s">
        <v>25</v>
      </c>
      <c r="F411" s="14" t="s">
        <v>26</v>
      </c>
      <c r="G411" s="305">
        <f>'OCT-18'!I404</f>
        <v>0</v>
      </c>
      <c r="H411" s="157"/>
      <c r="I411" s="158">
        <f t="shared" si="6"/>
        <v>0</v>
      </c>
      <c r="J411" s="159"/>
      <c r="K411" s="328"/>
    </row>
    <row r="412" spans="1:11" ht="44.25">
      <c r="A412" s="144" t="s">
        <v>526</v>
      </c>
      <c r="B412" s="53" t="s">
        <v>527</v>
      </c>
      <c r="C412" s="154"/>
      <c r="D412" s="14" t="s">
        <v>11</v>
      </c>
      <c r="E412" s="14" t="s">
        <v>25</v>
      </c>
      <c r="F412" s="14" t="s">
        <v>26</v>
      </c>
      <c r="G412" s="305">
        <f>'OCT-18'!I405</f>
        <v>15000</v>
      </c>
      <c r="H412" s="157"/>
      <c r="I412" s="158">
        <f t="shared" si="6"/>
        <v>0</v>
      </c>
      <c r="J412" s="381"/>
      <c r="K412" s="329">
        <v>15000</v>
      </c>
    </row>
    <row r="413" spans="1:11" ht="39.75">
      <c r="A413" s="144" t="s">
        <v>528</v>
      </c>
      <c r="B413" s="53" t="s">
        <v>529</v>
      </c>
      <c r="C413" s="154"/>
      <c r="D413" s="14" t="s">
        <v>11</v>
      </c>
      <c r="E413" s="14" t="s">
        <v>25</v>
      </c>
      <c r="F413" s="14" t="s">
        <v>26</v>
      </c>
      <c r="G413" s="305">
        <f>'OCT-18'!I406</f>
        <v>8000</v>
      </c>
      <c r="H413" s="157"/>
      <c r="I413" s="158">
        <f t="shared" si="6"/>
        <v>0</v>
      </c>
      <c r="J413" s="381"/>
      <c r="K413" s="329">
        <v>8000</v>
      </c>
    </row>
    <row r="414" spans="1:11" ht="39.75">
      <c r="A414" s="144" t="s">
        <v>530</v>
      </c>
      <c r="B414" s="53" t="s">
        <v>531</v>
      </c>
      <c r="C414" s="154"/>
      <c r="D414" s="14" t="s">
        <v>11</v>
      </c>
      <c r="E414" s="14" t="s">
        <v>25</v>
      </c>
      <c r="F414" s="14" t="s">
        <v>26</v>
      </c>
      <c r="G414" s="305">
        <f>'OCT-18'!I407</f>
        <v>15000</v>
      </c>
      <c r="H414" s="157"/>
      <c r="I414" s="158">
        <f t="shared" si="6"/>
        <v>0</v>
      </c>
      <c r="J414" s="381"/>
      <c r="K414" s="329">
        <v>15000</v>
      </c>
    </row>
    <row r="415" spans="1:11" ht="55.5">
      <c r="A415" s="144" t="s">
        <v>532</v>
      </c>
      <c r="B415" s="53" t="s">
        <v>533</v>
      </c>
      <c r="C415" s="154"/>
      <c r="D415" s="155"/>
      <c r="E415" s="155"/>
      <c r="F415" s="155"/>
      <c r="G415" s="305">
        <f>'OCT-18'!I408</f>
        <v>0</v>
      </c>
      <c r="H415" s="157"/>
      <c r="I415" s="158">
        <f t="shared" si="6"/>
        <v>0</v>
      </c>
      <c r="J415" s="159"/>
      <c r="K415" s="159"/>
    </row>
    <row r="416" spans="1:11">
      <c r="A416" s="152">
        <v>51202</v>
      </c>
      <c r="B416" s="153" t="s">
        <v>534</v>
      </c>
      <c r="C416" s="154"/>
      <c r="D416" s="14" t="s">
        <v>11</v>
      </c>
      <c r="E416" s="14" t="s">
        <v>25</v>
      </c>
      <c r="F416" s="14" t="s">
        <v>26</v>
      </c>
      <c r="G416" s="305">
        <f>'OCT-18'!I409</f>
        <v>8000</v>
      </c>
      <c r="H416" s="157"/>
      <c r="I416" s="158">
        <f t="shared" si="6"/>
        <v>8000</v>
      </c>
      <c r="J416" s="159"/>
      <c r="K416" s="159"/>
    </row>
    <row r="417" spans="1:27" ht="29.25">
      <c r="A417" s="152">
        <v>54111</v>
      </c>
      <c r="B417" s="153" t="s">
        <v>535</v>
      </c>
      <c r="C417" s="154"/>
      <c r="D417" s="14" t="s">
        <v>11</v>
      </c>
      <c r="E417" s="14" t="s">
        <v>25</v>
      </c>
      <c r="F417" s="14" t="s">
        <v>26</v>
      </c>
      <c r="G417" s="305">
        <f>'OCT-18'!I410</f>
        <v>5500</v>
      </c>
      <c r="H417" s="157"/>
      <c r="I417" s="158">
        <f t="shared" si="6"/>
        <v>5500</v>
      </c>
      <c r="J417" s="159"/>
      <c r="K417" s="159"/>
    </row>
    <row r="418" spans="1:27" ht="29.25">
      <c r="A418" s="152">
        <v>54112</v>
      </c>
      <c r="B418" s="153" t="s">
        <v>536</v>
      </c>
      <c r="C418" s="154"/>
      <c r="D418" s="14" t="s">
        <v>11</v>
      </c>
      <c r="E418" s="14" t="s">
        <v>25</v>
      </c>
      <c r="F418" s="14" t="s">
        <v>26</v>
      </c>
      <c r="G418" s="305">
        <f>'OCT-18'!I411</f>
        <v>5000</v>
      </c>
      <c r="H418" s="157"/>
      <c r="I418" s="158">
        <f t="shared" si="6"/>
        <v>5000</v>
      </c>
      <c r="J418" s="159"/>
      <c r="K418" s="159"/>
    </row>
    <row r="419" spans="1:27" ht="30">
      <c r="A419" s="152">
        <v>54313</v>
      </c>
      <c r="B419" s="153" t="s">
        <v>537</v>
      </c>
      <c r="C419" s="154"/>
      <c r="D419" s="14" t="s">
        <v>11</v>
      </c>
      <c r="E419" s="14" t="s">
        <v>25</v>
      </c>
      <c r="F419" s="14" t="s">
        <v>26</v>
      </c>
      <c r="G419" s="305">
        <f>'OCT-18'!I412</f>
        <v>500</v>
      </c>
      <c r="H419" s="157"/>
      <c r="I419" s="158">
        <f t="shared" si="6"/>
        <v>500</v>
      </c>
      <c r="J419" s="159"/>
      <c r="K419" s="159"/>
    </row>
    <row r="420" spans="1:27" ht="30">
      <c r="A420" s="152">
        <v>54399</v>
      </c>
      <c r="B420" s="153" t="s">
        <v>538</v>
      </c>
      <c r="C420" s="154"/>
      <c r="D420" s="14" t="s">
        <v>11</v>
      </c>
      <c r="E420" s="14" t="s">
        <v>25</v>
      </c>
      <c r="F420" s="14" t="s">
        <v>26</v>
      </c>
      <c r="G420" s="305">
        <f>'OCT-18'!I413</f>
        <v>990</v>
      </c>
      <c r="H420" s="157"/>
      <c r="I420" s="158">
        <f t="shared" si="6"/>
        <v>990</v>
      </c>
      <c r="J420" s="159"/>
      <c r="K420" s="159"/>
    </row>
    <row r="421" spans="1:27" ht="29.25">
      <c r="A421" s="152">
        <v>55603</v>
      </c>
      <c r="B421" s="153" t="s">
        <v>539</v>
      </c>
      <c r="C421" s="154"/>
      <c r="D421" s="14" t="s">
        <v>11</v>
      </c>
      <c r="E421" s="14" t="s">
        <v>25</v>
      </c>
      <c r="F421" s="14" t="s">
        <v>26</v>
      </c>
      <c r="G421" s="305">
        <f>'OCT-18'!I414</f>
        <v>10</v>
      </c>
      <c r="H421" s="157"/>
      <c r="I421" s="158">
        <f t="shared" si="6"/>
        <v>10</v>
      </c>
      <c r="J421" s="159"/>
      <c r="K421" s="159"/>
    </row>
    <row r="422" spans="1:27" ht="55.5">
      <c r="A422" s="384" t="s">
        <v>540</v>
      </c>
      <c r="B422" s="53" t="s">
        <v>541</v>
      </c>
      <c r="C422" s="154"/>
      <c r="D422" s="155"/>
      <c r="E422" s="155"/>
      <c r="F422" s="155"/>
      <c r="G422" s="305">
        <f>'OCT-18'!I415</f>
        <v>0</v>
      </c>
      <c r="H422" s="157"/>
      <c r="I422" s="158"/>
      <c r="J422" s="159"/>
      <c r="K422" s="159"/>
    </row>
    <row r="423" spans="1:27" ht="29.25">
      <c r="A423" s="152">
        <v>51202</v>
      </c>
      <c r="B423" s="153" t="s">
        <v>542</v>
      </c>
      <c r="C423" s="154"/>
      <c r="D423" s="14" t="s">
        <v>11</v>
      </c>
      <c r="E423" s="14" t="s">
        <v>25</v>
      </c>
      <c r="F423" s="14" t="s">
        <v>26</v>
      </c>
      <c r="G423" s="305">
        <f>'OCT-18'!I416</f>
        <v>0</v>
      </c>
      <c r="H423" s="157"/>
      <c r="I423" s="158">
        <f t="shared" si="6"/>
        <v>0</v>
      </c>
      <c r="J423" s="159"/>
      <c r="K423" s="326"/>
    </row>
    <row r="424" spans="1:27" ht="46.5" customHeight="1">
      <c r="A424" s="152">
        <v>54111</v>
      </c>
      <c r="B424" s="153" t="s">
        <v>543</v>
      </c>
      <c r="C424" s="154"/>
      <c r="D424" s="14" t="s">
        <v>11</v>
      </c>
      <c r="E424" s="14" t="s">
        <v>25</v>
      </c>
      <c r="F424" s="14" t="s">
        <v>26</v>
      </c>
      <c r="G424" s="305">
        <f>'OCT-18'!I417</f>
        <v>0</v>
      </c>
      <c r="H424" s="157"/>
      <c r="I424" s="158">
        <f t="shared" si="6"/>
        <v>0</v>
      </c>
      <c r="J424" s="159"/>
      <c r="K424" s="326"/>
    </row>
    <row r="425" spans="1:27" ht="35.25" customHeight="1">
      <c r="A425" s="152">
        <v>54112</v>
      </c>
      <c r="B425" s="153" t="s">
        <v>544</v>
      </c>
      <c r="C425" s="154"/>
      <c r="D425" s="14" t="s">
        <v>11</v>
      </c>
      <c r="E425" s="14" t="s">
        <v>25</v>
      </c>
      <c r="F425" s="14" t="s">
        <v>26</v>
      </c>
      <c r="G425" s="305">
        <f>'OCT-18'!I418</f>
        <v>0</v>
      </c>
      <c r="H425" s="157"/>
      <c r="I425" s="158">
        <f t="shared" ref="I425:I440" si="7">G425-H425+J425-K425</f>
        <v>0</v>
      </c>
      <c r="J425" s="159"/>
      <c r="K425" s="326"/>
    </row>
    <row r="426" spans="1:27" ht="36.75" customHeight="1">
      <c r="A426" s="152">
        <v>54313</v>
      </c>
      <c r="B426" s="153" t="s">
        <v>545</v>
      </c>
      <c r="C426" s="154"/>
      <c r="D426" s="14" t="s">
        <v>11</v>
      </c>
      <c r="E426" s="14" t="s">
        <v>25</v>
      </c>
      <c r="F426" s="14" t="s">
        <v>26</v>
      </c>
      <c r="G426" s="305">
        <f>'OCT-18'!I419</f>
        <v>0</v>
      </c>
      <c r="H426" s="157"/>
      <c r="I426" s="158">
        <f t="shared" si="7"/>
        <v>0</v>
      </c>
      <c r="J426" s="159"/>
      <c r="K426" s="326"/>
      <c r="M426" s="167"/>
      <c r="N426" s="167"/>
      <c r="O426" s="167"/>
      <c r="P426" s="167"/>
      <c r="Q426" s="167"/>
    </row>
    <row r="427" spans="1:27" ht="34.5" customHeight="1">
      <c r="A427" s="152">
        <v>54399</v>
      </c>
      <c r="B427" s="153" t="s">
        <v>546</v>
      </c>
      <c r="C427" s="154"/>
      <c r="D427" s="14" t="s">
        <v>11</v>
      </c>
      <c r="E427" s="14" t="s">
        <v>25</v>
      </c>
      <c r="F427" s="14" t="s">
        <v>26</v>
      </c>
      <c r="G427" s="305">
        <f>'OCT-18'!I420</f>
        <v>0</v>
      </c>
      <c r="H427" s="157"/>
      <c r="I427" s="158">
        <f t="shared" si="7"/>
        <v>0</v>
      </c>
      <c r="J427" s="159"/>
      <c r="K427" s="326"/>
      <c r="M427" s="167"/>
      <c r="N427" s="167"/>
      <c r="O427" s="167"/>
      <c r="P427" s="167"/>
      <c r="Q427" s="167"/>
    </row>
    <row r="428" spans="1:27" s="47" customFormat="1" ht="29.25">
      <c r="A428" s="11">
        <v>55603</v>
      </c>
      <c r="B428" s="153" t="s">
        <v>547</v>
      </c>
      <c r="C428" s="12"/>
      <c r="D428" s="14" t="s">
        <v>11</v>
      </c>
      <c r="E428" s="14" t="s">
        <v>25</v>
      </c>
      <c r="F428" s="14" t="s">
        <v>26</v>
      </c>
      <c r="G428" s="305">
        <f>'OCT-18'!I421</f>
        <v>0</v>
      </c>
      <c r="H428" s="51"/>
      <c r="I428" s="158">
        <f t="shared" si="7"/>
        <v>0</v>
      </c>
      <c r="J428" s="44"/>
      <c r="K428" s="330"/>
      <c r="L428" s="167"/>
      <c r="M428" s="167"/>
      <c r="N428" s="167"/>
      <c r="O428" s="167"/>
      <c r="P428" s="167"/>
      <c r="Q428" s="167"/>
      <c r="R428" s="167"/>
      <c r="S428" s="167"/>
      <c r="T428" s="167"/>
      <c r="U428" s="167"/>
      <c r="V428" s="167"/>
      <c r="W428" s="167"/>
      <c r="X428" s="167"/>
      <c r="Y428" s="167"/>
      <c r="Z428" s="167"/>
      <c r="AA428" s="166"/>
    </row>
    <row r="429" spans="1:27" s="47" customFormat="1" ht="28.5">
      <c r="A429" s="144" t="s">
        <v>548</v>
      </c>
      <c r="B429" s="53" t="s">
        <v>549</v>
      </c>
      <c r="C429" s="12"/>
      <c r="D429" s="14" t="s">
        <v>11</v>
      </c>
      <c r="E429" s="14" t="s">
        <v>25</v>
      </c>
      <c r="F429" s="14" t="s">
        <v>26</v>
      </c>
      <c r="G429" s="305">
        <f>'OCT-18'!I422</f>
        <v>5000</v>
      </c>
      <c r="H429" s="51"/>
      <c r="I429" s="17">
        <f t="shared" si="7"/>
        <v>5000</v>
      </c>
      <c r="J429" s="44"/>
      <c r="K429" s="44"/>
      <c r="L429" s="167"/>
      <c r="M429" s="167"/>
      <c r="N429" s="167"/>
      <c r="O429" s="167"/>
      <c r="P429" s="167"/>
      <c r="Q429" s="167"/>
      <c r="R429" s="167"/>
      <c r="S429" s="167"/>
      <c r="T429" s="167"/>
      <c r="U429" s="167"/>
      <c r="V429" s="167"/>
      <c r="W429" s="167"/>
      <c r="X429" s="167"/>
      <c r="Y429" s="167"/>
      <c r="Z429" s="167"/>
      <c r="AA429" s="166"/>
    </row>
    <row r="430" spans="1:27" s="47" customFormat="1" ht="40.5">
      <c r="A430" s="144" t="s">
        <v>550</v>
      </c>
      <c r="B430" s="53" t="s">
        <v>1026</v>
      </c>
      <c r="C430" s="12"/>
      <c r="D430" s="3"/>
      <c r="E430" s="3"/>
      <c r="F430" s="3"/>
      <c r="G430" s="305">
        <f>'OCT-18'!I423</f>
        <v>0</v>
      </c>
      <c r="H430" s="51"/>
      <c r="I430" s="17"/>
      <c r="J430" s="44"/>
      <c r="K430" s="52"/>
      <c r="L430" s="167"/>
      <c r="M430" s="167"/>
      <c r="N430" s="167"/>
      <c r="O430" s="167"/>
      <c r="P430" s="167"/>
      <c r="Q430" s="167"/>
      <c r="R430" s="167"/>
      <c r="S430" s="167"/>
      <c r="T430" s="167"/>
      <c r="U430" s="167"/>
      <c r="V430" s="167"/>
      <c r="W430" s="167"/>
      <c r="X430" s="167"/>
      <c r="Y430" s="167"/>
      <c r="Z430" s="167"/>
      <c r="AA430" s="166"/>
    </row>
    <row r="431" spans="1:27" s="47" customFormat="1" ht="20.25" customHeight="1">
      <c r="A431" s="11">
        <v>51999</v>
      </c>
      <c r="B431" s="70" t="s">
        <v>552</v>
      </c>
      <c r="C431" s="12"/>
      <c r="D431" s="14" t="s">
        <v>11</v>
      </c>
      <c r="E431" s="14" t="s">
        <v>25</v>
      </c>
      <c r="F431" s="14" t="s">
        <v>26</v>
      </c>
      <c r="G431" s="305">
        <f>'OCT-18'!I424</f>
        <v>0</v>
      </c>
      <c r="H431" s="51"/>
      <c r="I431" s="17">
        <f t="shared" si="7"/>
        <v>0</v>
      </c>
      <c r="J431" s="44"/>
      <c r="K431" s="266"/>
      <c r="L431" s="167"/>
      <c r="M431" s="167"/>
      <c r="N431" s="167"/>
      <c r="O431" s="167"/>
      <c r="P431" s="167"/>
      <c r="Q431" s="167"/>
      <c r="R431" s="167"/>
      <c r="S431" s="167"/>
      <c r="T431" s="167"/>
      <c r="U431" s="167"/>
      <c r="V431" s="167"/>
      <c r="W431" s="167"/>
      <c r="X431" s="167"/>
      <c r="Y431" s="167"/>
      <c r="Z431" s="167"/>
    </row>
    <row r="432" spans="1:27" s="47" customFormat="1" ht="23.25" customHeight="1">
      <c r="A432" s="11">
        <v>54399</v>
      </c>
      <c r="B432" s="70" t="s">
        <v>553</v>
      </c>
      <c r="C432" s="12"/>
      <c r="D432" s="14" t="s">
        <v>11</v>
      </c>
      <c r="E432" s="14" t="s">
        <v>25</v>
      </c>
      <c r="F432" s="14" t="s">
        <v>26</v>
      </c>
      <c r="G432" s="305">
        <f>'OCT-18'!I425</f>
        <v>0</v>
      </c>
      <c r="H432" s="51"/>
      <c r="I432" s="17">
        <f t="shared" si="7"/>
        <v>0</v>
      </c>
      <c r="J432" s="44"/>
      <c r="K432" s="266"/>
      <c r="L432" s="167"/>
      <c r="M432" s="167"/>
      <c r="N432" s="167"/>
      <c r="O432" s="167"/>
      <c r="P432" s="167"/>
      <c r="Q432" s="167"/>
      <c r="R432" s="167"/>
      <c r="S432" s="167"/>
      <c r="T432" s="167"/>
      <c r="U432" s="167"/>
      <c r="V432" s="167"/>
      <c r="W432" s="167"/>
      <c r="X432" s="167"/>
      <c r="Y432" s="167"/>
      <c r="Z432" s="167"/>
    </row>
    <row r="433" spans="1:26" s="47" customFormat="1" ht="20.25" customHeight="1">
      <c r="A433" s="11">
        <v>54599</v>
      </c>
      <c r="B433" s="70" t="s">
        <v>554</v>
      </c>
      <c r="C433" s="12"/>
      <c r="D433" s="14" t="s">
        <v>11</v>
      </c>
      <c r="E433" s="14" t="s">
        <v>25</v>
      </c>
      <c r="F433" s="14" t="s">
        <v>26</v>
      </c>
      <c r="G433" s="305">
        <f>'OCT-18'!I426</f>
        <v>0</v>
      </c>
      <c r="H433" s="51"/>
      <c r="I433" s="17">
        <f t="shared" si="7"/>
        <v>0</v>
      </c>
      <c r="J433" s="44"/>
      <c r="K433" s="266"/>
      <c r="L433" s="167"/>
      <c r="M433" s="167"/>
      <c r="N433" s="167"/>
      <c r="O433" s="167"/>
      <c r="P433" s="167"/>
      <c r="Q433" s="167"/>
      <c r="R433" s="167"/>
      <c r="S433" s="167"/>
      <c r="T433" s="167"/>
      <c r="U433" s="167"/>
      <c r="V433" s="167"/>
      <c r="W433" s="167"/>
      <c r="X433" s="167"/>
      <c r="Y433" s="167"/>
      <c r="Z433" s="167"/>
    </row>
    <row r="434" spans="1:26" s="47" customFormat="1" ht="44.25" customHeight="1">
      <c r="A434" s="144" t="s">
        <v>909</v>
      </c>
      <c r="B434" s="349" t="s">
        <v>1089</v>
      </c>
      <c r="C434" s="12"/>
      <c r="D434" s="14"/>
      <c r="E434" s="14"/>
      <c r="F434" s="14"/>
      <c r="G434" s="305">
        <f>'OCT-18'!I427</f>
        <v>0</v>
      </c>
      <c r="H434" s="51"/>
      <c r="I434" s="17"/>
      <c r="J434" s="44"/>
      <c r="K434" s="266"/>
      <c r="L434" s="167"/>
      <c r="M434" s="167"/>
      <c r="N434" s="167"/>
      <c r="O434" s="167"/>
      <c r="P434" s="167"/>
      <c r="Q434" s="167"/>
      <c r="R434" s="167"/>
      <c r="S434" s="167"/>
      <c r="T434" s="167"/>
      <c r="U434" s="167"/>
      <c r="V434" s="167"/>
      <c r="W434" s="167"/>
      <c r="X434" s="167"/>
      <c r="Y434" s="167"/>
      <c r="Z434" s="167"/>
    </row>
    <row r="435" spans="1:26" s="47" customFormat="1" ht="45" customHeight="1">
      <c r="A435" s="11">
        <v>54314</v>
      </c>
      <c r="B435" s="70" t="s">
        <v>1125</v>
      </c>
      <c r="C435" s="12"/>
      <c r="D435" s="14" t="s">
        <v>11</v>
      </c>
      <c r="E435" s="14" t="s">
        <v>25</v>
      </c>
      <c r="F435" s="14" t="s">
        <v>26</v>
      </c>
      <c r="G435" s="305">
        <f>'OCT-18'!I428</f>
        <v>0</v>
      </c>
      <c r="H435" s="51"/>
      <c r="I435" s="17">
        <f t="shared" si="7"/>
        <v>0</v>
      </c>
      <c r="J435" s="347"/>
      <c r="K435" s="266"/>
      <c r="L435" s="167"/>
      <c r="M435" s="167"/>
      <c r="N435" s="167"/>
      <c r="O435" s="167"/>
      <c r="P435" s="167"/>
      <c r="Q435" s="167"/>
      <c r="R435" s="167"/>
      <c r="S435" s="167"/>
      <c r="T435" s="167"/>
      <c r="U435" s="167"/>
      <c r="V435" s="167"/>
      <c r="W435" s="167"/>
      <c r="X435" s="167"/>
      <c r="Y435" s="167"/>
      <c r="Z435" s="167"/>
    </row>
    <row r="436" spans="1:26" s="47" customFormat="1" ht="30">
      <c r="A436" s="47">
        <v>55603</v>
      </c>
      <c r="B436" s="5" t="s">
        <v>1091</v>
      </c>
      <c r="C436" s="12"/>
      <c r="D436" s="14" t="s">
        <v>11</v>
      </c>
      <c r="E436" s="14" t="s">
        <v>25</v>
      </c>
      <c r="F436" s="14" t="s">
        <v>26</v>
      </c>
      <c r="G436" s="305">
        <f>'OCT-18'!I429</f>
        <v>0</v>
      </c>
      <c r="H436" s="375"/>
      <c r="I436" s="17">
        <f t="shared" si="7"/>
        <v>0</v>
      </c>
      <c r="J436" s="316"/>
      <c r="K436" s="44"/>
      <c r="L436" s="167"/>
      <c r="M436" s="167"/>
      <c r="N436" s="167"/>
      <c r="O436" s="167"/>
      <c r="P436" s="167"/>
      <c r="Q436" s="167"/>
      <c r="R436" s="167"/>
      <c r="S436" s="167"/>
      <c r="T436" s="167"/>
      <c r="U436" s="167"/>
      <c r="V436" s="167"/>
      <c r="W436" s="167"/>
      <c r="X436" s="167"/>
      <c r="Y436" s="167"/>
      <c r="Z436" s="167"/>
    </row>
    <row r="437" spans="1:26" s="47" customFormat="1">
      <c r="B437" s="5"/>
      <c r="C437" s="12"/>
      <c r="D437" s="14"/>
      <c r="E437" s="14"/>
      <c r="F437" s="14"/>
      <c r="G437" s="305">
        <f>'OCT-18'!I430</f>
        <v>0</v>
      </c>
      <c r="H437" s="51"/>
      <c r="I437" s="17"/>
      <c r="J437" s="316"/>
      <c r="K437" s="44"/>
      <c r="L437" s="167"/>
      <c r="M437" s="167"/>
      <c r="N437" s="167"/>
      <c r="O437" s="167"/>
      <c r="P437" s="167"/>
      <c r="Q437" s="167"/>
      <c r="R437" s="167"/>
      <c r="S437" s="167"/>
      <c r="T437" s="167"/>
      <c r="U437" s="167"/>
      <c r="V437" s="167"/>
      <c r="W437" s="167"/>
      <c r="X437" s="167"/>
      <c r="Y437" s="167"/>
      <c r="Z437" s="167"/>
    </row>
    <row r="438" spans="1:26" s="47" customFormat="1" ht="75" customHeight="1">
      <c r="A438" s="317" t="s">
        <v>1149</v>
      </c>
      <c r="B438" s="338" t="s">
        <v>1186</v>
      </c>
      <c r="C438" s="318"/>
      <c r="D438" s="14" t="s">
        <v>11</v>
      </c>
      <c r="E438" s="14" t="s">
        <v>25</v>
      </c>
      <c r="F438" s="14" t="s">
        <v>26</v>
      </c>
      <c r="G438" s="305">
        <f>'OCT-18'!I431</f>
        <v>15228.960000000014</v>
      </c>
      <c r="H438" s="51">
        <f>937.25+3678.1+937.25</f>
        <v>5552.6</v>
      </c>
      <c r="I438" s="17">
        <f t="shared" si="7"/>
        <v>9676.3600000000133</v>
      </c>
      <c r="J438" s="316"/>
      <c r="K438" s="388"/>
      <c r="L438" s="167"/>
      <c r="M438" s="167"/>
      <c r="N438" s="167"/>
      <c r="O438" s="167"/>
      <c r="P438" s="167"/>
      <c r="Q438" s="167"/>
      <c r="R438" s="167"/>
      <c r="S438" s="167"/>
      <c r="T438" s="167"/>
      <c r="U438" s="167"/>
      <c r="V438" s="167"/>
      <c r="W438" s="167"/>
      <c r="X438" s="167"/>
      <c r="Y438" s="167"/>
      <c r="Z438" s="167"/>
    </row>
    <row r="439" spans="1:26" s="47" customFormat="1" ht="86.25" customHeight="1">
      <c r="A439" s="47">
        <v>61599</v>
      </c>
      <c r="B439" s="179" t="s">
        <v>1187</v>
      </c>
      <c r="C439" s="12"/>
      <c r="D439" s="14" t="s">
        <v>11</v>
      </c>
      <c r="E439" s="14" t="s">
        <v>25</v>
      </c>
      <c r="F439" s="14" t="s">
        <v>1181</v>
      </c>
      <c r="G439" s="305">
        <f>'OCT-18'!I432</f>
        <v>0</v>
      </c>
      <c r="H439" s="51"/>
      <c r="I439" s="386">
        <f t="shared" si="7"/>
        <v>0</v>
      </c>
      <c r="J439" s="389"/>
      <c r="K439" s="347"/>
      <c r="L439" s="167"/>
      <c r="M439" s="167"/>
      <c r="N439" s="167"/>
      <c r="O439" s="167"/>
      <c r="P439" s="167"/>
      <c r="Q439" s="167"/>
      <c r="R439" s="167"/>
      <c r="S439" s="167"/>
      <c r="T439" s="167"/>
      <c r="U439" s="167"/>
      <c r="V439" s="167"/>
      <c r="W439" s="167"/>
      <c r="X439" s="167"/>
      <c r="Y439" s="167"/>
      <c r="Z439" s="167"/>
    </row>
    <row r="440" spans="1:26" s="47" customFormat="1" ht="57" customHeight="1">
      <c r="A440" s="47" t="s">
        <v>1150</v>
      </c>
      <c r="B440" s="340" t="s">
        <v>1116</v>
      </c>
      <c r="C440" s="319"/>
      <c r="D440" s="14" t="s">
        <v>11</v>
      </c>
      <c r="E440" s="14" t="s">
        <v>25</v>
      </c>
      <c r="F440" s="14" t="s">
        <v>26</v>
      </c>
      <c r="G440" s="305">
        <f>'OCT-18'!I433</f>
        <v>15036.950000000004</v>
      </c>
      <c r="H440" s="51">
        <f>14236.95</f>
        <v>14236.95</v>
      </c>
      <c r="I440" s="17">
        <f t="shared" si="7"/>
        <v>800.00000000000364</v>
      </c>
      <c r="J440" s="347"/>
      <c r="K440" s="389"/>
      <c r="L440" s="167"/>
      <c r="M440" s="167"/>
      <c r="N440" s="167"/>
      <c r="O440" s="167"/>
      <c r="P440" s="167"/>
      <c r="Q440" s="167"/>
      <c r="R440" s="167"/>
      <c r="S440" s="167"/>
      <c r="T440" s="167"/>
      <c r="U440" s="167"/>
      <c r="V440" s="167"/>
      <c r="W440" s="167"/>
      <c r="X440" s="167"/>
      <c r="Y440" s="167"/>
      <c r="Z440" s="167"/>
    </row>
    <row r="441" spans="1:26" s="47" customFormat="1" ht="51.75" customHeight="1">
      <c r="A441" s="47">
        <v>54107</v>
      </c>
      <c r="B441" s="5" t="s">
        <v>1148</v>
      </c>
      <c r="C441" s="12"/>
      <c r="D441" s="14"/>
      <c r="E441" s="14"/>
      <c r="F441" s="14"/>
      <c r="G441" s="305">
        <f>'OCT-18'!I434</f>
        <v>0</v>
      </c>
      <c r="H441" s="51"/>
      <c r="I441" s="17"/>
      <c r="J441" s="316"/>
      <c r="K441" s="44"/>
      <c r="L441" s="167"/>
      <c r="M441" s="167"/>
      <c r="N441" s="167"/>
      <c r="O441" s="167"/>
      <c r="P441" s="167"/>
      <c r="Q441" s="167"/>
      <c r="R441" s="167"/>
      <c r="S441" s="167"/>
      <c r="T441" s="167"/>
      <c r="U441" s="167"/>
      <c r="V441" s="167"/>
      <c r="W441" s="167"/>
      <c r="X441" s="167"/>
      <c r="Y441" s="167"/>
      <c r="Z441" s="167"/>
    </row>
    <row r="442" spans="1:26" s="47" customFormat="1" ht="81.75">
      <c r="A442" s="379" t="s">
        <v>1151</v>
      </c>
      <c r="B442" s="53" t="s">
        <v>1170</v>
      </c>
      <c r="C442" s="344" t="s">
        <v>1157</v>
      </c>
      <c r="D442" s="14"/>
      <c r="E442" s="14"/>
      <c r="F442" s="14"/>
      <c r="G442" s="305">
        <f>'OCT-18'!I435</f>
        <v>0</v>
      </c>
      <c r="H442" s="51"/>
      <c r="I442" s="17"/>
      <c r="J442" s="316"/>
      <c r="K442" s="44"/>
      <c r="L442" s="167"/>
      <c r="M442" s="167"/>
      <c r="N442" s="167"/>
      <c r="O442" s="167"/>
      <c r="P442" s="167"/>
      <c r="Q442" s="167"/>
      <c r="R442" s="167"/>
      <c r="S442" s="167"/>
      <c r="T442" s="167"/>
      <c r="U442" s="167"/>
      <c r="V442" s="167"/>
      <c r="W442" s="167"/>
      <c r="X442" s="167"/>
      <c r="Y442" s="167"/>
      <c r="Z442" s="167"/>
    </row>
    <row r="443" spans="1:26" s="47" customFormat="1" ht="29.25">
      <c r="A443" s="152">
        <v>51202</v>
      </c>
      <c r="B443" s="153" t="s">
        <v>1152</v>
      </c>
      <c r="C443" s="12" t="s">
        <v>1158</v>
      </c>
      <c r="D443" s="14" t="s">
        <v>11</v>
      </c>
      <c r="E443" s="14" t="s">
        <v>25</v>
      </c>
      <c r="F443" s="14" t="s">
        <v>26</v>
      </c>
      <c r="G443" s="305">
        <f>'OCT-18'!I436</f>
        <v>2167.1999999999998</v>
      </c>
      <c r="H443" s="51">
        <f>126</f>
        <v>126</v>
      </c>
      <c r="I443" s="17">
        <f t="shared" ref="I443:I463" si="8">G443-H443+J443-K443</f>
        <v>2041.1999999999998</v>
      </c>
      <c r="J443" s="347"/>
      <c r="K443" s="44"/>
      <c r="L443" s="167"/>
      <c r="M443" s="167"/>
      <c r="N443" s="167"/>
      <c r="O443" s="167"/>
      <c r="P443" s="167"/>
      <c r="Q443" s="167"/>
      <c r="R443" s="167"/>
      <c r="S443" s="167"/>
      <c r="T443" s="167"/>
      <c r="U443" s="167"/>
      <c r="V443" s="167"/>
      <c r="W443" s="167"/>
      <c r="X443" s="167"/>
      <c r="Y443" s="167"/>
      <c r="Z443" s="167"/>
    </row>
    <row r="444" spans="1:26" s="47" customFormat="1" ht="57.75">
      <c r="A444" s="152">
        <v>51999</v>
      </c>
      <c r="B444" s="153" t="s">
        <v>1220</v>
      </c>
      <c r="C444" s="12"/>
      <c r="D444" s="14" t="s">
        <v>11</v>
      </c>
      <c r="E444" s="14" t="s">
        <v>25</v>
      </c>
      <c r="F444" s="14" t="s">
        <v>27</v>
      </c>
      <c r="G444" s="305">
        <f>'OCT-18'!I437</f>
        <v>63</v>
      </c>
      <c r="H444" s="51"/>
      <c r="I444" s="17">
        <f t="shared" si="8"/>
        <v>63</v>
      </c>
      <c r="J444" s="347"/>
      <c r="K444" s="44"/>
      <c r="L444" s="167"/>
      <c r="M444" s="167"/>
      <c r="N444" s="167"/>
      <c r="O444" s="167"/>
      <c r="P444" s="167"/>
      <c r="Q444" s="167"/>
      <c r="R444" s="167"/>
      <c r="S444" s="167"/>
      <c r="T444" s="167"/>
      <c r="U444" s="167"/>
      <c r="V444" s="167"/>
      <c r="W444" s="167"/>
      <c r="X444" s="167"/>
      <c r="Y444" s="167"/>
      <c r="Z444" s="167"/>
    </row>
    <row r="445" spans="1:26" s="47" customFormat="1" ht="59.25">
      <c r="A445" s="152">
        <v>54107</v>
      </c>
      <c r="B445" s="164" t="s">
        <v>1188</v>
      </c>
      <c r="C445" s="12"/>
      <c r="D445" s="14" t="s">
        <v>11</v>
      </c>
      <c r="E445" s="14" t="s">
        <v>25</v>
      </c>
      <c r="F445" s="14" t="s">
        <v>1181</v>
      </c>
      <c r="G445" s="305">
        <f>'OCT-18'!I438</f>
        <v>0</v>
      </c>
      <c r="H445" s="51"/>
      <c r="I445" s="35">
        <f t="shared" si="8"/>
        <v>0</v>
      </c>
      <c r="J445" s="347"/>
      <c r="K445" s="44"/>
      <c r="L445" s="167"/>
      <c r="M445" s="167"/>
      <c r="N445" s="167"/>
      <c r="O445" s="167"/>
      <c r="P445" s="167"/>
      <c r="Q445" s="167"/>
      <c r="R445" s="167"/>
      <c r="S445" s="167"/>
      <c r="T445" s="167"/>
      <c r="U445" s="167"/>
      <c r="V445" s="167"/>
      <c r="W445" s="167"/>
      <c r="X445" s="167"/>
      <c r="Y445" s="167"/>
      <c r="Z445" s="167"/>
    </row>
    <row r="446" spans="1:26" s="47" customFormat="1" ht="30">
      <c r="A446" s="152">
        <v>54110</v>
      </c>
      <c r="B446" s="164" t="s">
        <v>1239</v>
      </c>
      <c r="C446" s="12"/>
      <c r="D446" s="14"/>
      <c r="E446" s="14"/>
      <c r="F446" s="14"/>
      <c r="G446" s="305"/>
      <c r="H446" s="51">
        <f>51.02</f>
        <v>51.02</v>
      </c>
      <c r="I446" s="134">
        <f t="shared" si="8"/>
        <v>8.9799999999999969</v>
      </c>
      <c r="J446" s="414">
        <v>60</v>
      </c>
      <c r="K446" s="44"/>
      <c r="L446" s="167"/>
      <c r="M446" s="167"/>
      <c r="N446" s="167"/>
      <c r="O446" s="167"/>
      <c r="P446" s="167"/>
      <c r="Q446" s="167"/>
      <c r="R446" s="167"/>
      <c r="S446" s="167"/>
      <c r="T446" s="167"/>
      <c r="U446" s="167"/>
      <c r="V446" s="167"/>
      <c r="W446" s="167"/>
      <c r="X446" s="167"/>
      <c r="Y446" s="167"/>
      <c r="Z446" s="167"/>
    </row>
    <row r="447" spans="1:26" s="47" customFormat="1" ht="44.25">
      <c r="A447" s="152">
        <v>54111</v>
      </c>
      <c r="B447" s="153" t="s">
        <v>1154</v>
      </c>
      <c r="C447" s="12"/>
      <c r="D447" s="14" t="s">
        <v>11</v>
      </c>
      <c r="E447" s="14" t="s">
        <v>25</v>
      </c>
      <c r="F447" s="14" t="s">
        <v>26</v>
      </c>
      <c r="G447" s="305">
        <f>'OCT-18'!I439</f>
        <v>3030.3099999999995</v>
      </c>
      <c r="H447" s="51">
        <f>15.6+59+135.6</f>
        <v>210.2</v>
      </c>
      <c r="I447" s="17">
        <f t="shared" si="8"/>
        <v>2060.1099999999997</v>
      </c>
      <c r="J447" s="347"/>
      <c r="K447" s="347">
        <v>760</v>
      </c>
      <c r="L447" s="167"/>
      <c r="M447" s="167"/>
      <c r="N447" s="167"/>
      <c r="O447" s="167"/>
      <c r="P447" s="167"/>
      <c r="Q447" s="167"/>
      <c r="R447" s="167"/>
      <c r="S447" s="167"/>
      <c r="T447" s="167"/>
      <c r="U447" s="167"/>
      <c r="V447" s="167"/>
      <c r="W447" s="167"/>
      <c r="X447" s="167"/>
      <c r="Y447" s="167"/>
      <c r="Z447" s="167"/>
    </row>
    <row r="448" spans="1:26" s="47" customFormat="1" ht="44.25">
      <c r="A448" s="152">
        <v>54112</v>
      </c>
      <c r="B448" s="153" t="s">
        <v>1153</v>
      </c>
      <c r="C448" s="12"/>
      <c r="D448" s="14" t="s">
        <v>11</v>
      </c>
      <c r="E448" s="14" t="s">
        <v>25</v>
      </c>
      <c r="F448" s="14" t="s">
        <v>26</v>
      </c>
      <c r="G448" s="305">
        <f>'OCT-18'!I440</f>
        <v>1236.0699999999997</v>
      </c>
      <c r="H448" s="51">
        <f>2.5+107.4+25+564+201.5</f>
        <v>900.4</v>
      </c>
      <c r="I448" s="17">
        <f t="shared" si="8"/>
        <v>335.66999999999973</v>
      </c>
      <c r="J448" s="347"/>
      <c r="K448" s="44"/>
      <c r="L448" s="167"/>
      <c r="M448" s="167"/>
      <c r="N448" s="167"/>
      <c r="O448" s="167"/>
      <c r="P448" s="167"/>
      <c r="Q448" s="167"/>
      <c r="R448" s="167"/>
      <c r="S448" s="167"/>
      <c r="T448" s="167"/>
      <c r="U448" s="167"/>
      <c r="V448" s="167"/>
      <c r="W448" s="167"/>
      <c r="X448" s="167"/>
      <c r="Y448" s="167"/>
      <c r="Z448" s="167"/>
    </row>
    <row r="449" spans="1:26" s="47" customFormat="1" ht="43.5">
      <c r="A449" s="152">
        <v>54118</v>
      </c>
      <c r="B449" s="153" t="s">
        <v>1155</v>
      </c>
      <c r="C449" s="12"/>
      <c r="D449" s="14" t="s">
        <v>11</v>
      </c>
      <c r="E449" s="14" t="s">
        <v>25</v>
      </c>
      <c r="F449" s="14" t="s">
        <v>26</v>
      </c>
      <c r="G449" s="305">
        <f>'OCT-18'!I441</f>
        <v>1967.9099999999999</v>
      </c>
      <c r="H449" s="51">
        <f>47.4+549.6+9</f>
        <v>606</v>
      </c>
      <c r="I449" s="17">
        <f t="shared" si="8"/>
        <v>361.90999999999985</v>
      </c>
      <c r="J449" s="347"/>
      <c r="K449" s="390">
        <v>1000</v>
      </c>
      <c r="L449" s="167"/>
      <c r="M449" s="167"/>
      <c r="N449" s="167"/>
      <c r="O449" s="167"/>
      <c r="P449" s="167"/>
      <c r="Q449" s="167"/>
      <c r="R449" s="167"/>
      <c r="S449" s="167"/>
      <c r="T449" s="167"/>
      <c r="U449" s="167"/>
      <c r="V449" s="167"/>
      <c r="W449" s="167"/>
      <c r="X449" s="167"/>
      <c r="Y449" s="167"/>
      <c r="Z449" s="167"/>
    </row>
    <row r="450" spans="1:26" s="47" customFormat="1" ht="30.75" customHeight="1">
      <c r="A450" s="152">
        <v>54119</v>
      </c>
      <c r="B450" s="153" t="s">
        <v>1240</v>
      </c>
      <c r="C450" s="12"/>
      <c r="D450" s="14" t="s">
        <v>11</v>
      </c>
      <c r="E450" s="14" t="s">
        <v>25</v>
      </c>
      <c r="F450" s="14" t="s">
        <v>26</v>
      </c>
      <c r="G450" s="305"/>
      <c r="H450" s="51">
        <f>1631.4+18</f>
        <v>1649.4</v>
      </c>
      <c r="I450" s="17">
        <f t="shared" si="8"/>
        <v>50.599999999999909</v>
      </c>
      <c r="J450" s="347">
        <v>1700</v>
      </c>
      <c r="K450" s="390"/>
      <c r="L450" s="167"/>
      <c r="M450" s="167"/>
      <c r="N450" s="167"/>
      <c r="O450" s="167"/>
      <c r="P450" s="167"/>
      <c r="Q450" s="167"/>
      <c r="R450" s="167"/>
      <c r="S450" s="167"/>
      <c r="T450" s="167"/>
      <c r="U450" s="167"/>
      <c r="V450" s="167"/>
      <c r="W450" s="167"/>
      <c r="X450" s="167"/>
      <c r="Y450" s="167"/>
      <c r="Z450" s="167"/>
    </row>
    <row r="451" spans="1:26" s="47" customFormat="1" ht="29.25">
      <c r="A451" s="152">
        <v>55603</v>
      </c>
      <c r="B451" s="153" t="s">
        <v>1156</v>
      </c>
      <c r="C451" s="12"/>
      <c r="D451" s="14" t="s">
        <v>11</v>
      </c>
      <c r="E451" s="14" t="s">
        <v>25</v>
      </c>
      <c r="F451" s="14" t="s">
        <v>26</v>
      </c>
      <c r="G451" s="305">
        <f>'OCT-18'!I442</f>
        <v>5.8699999999999992</v>
      </c>
      <c r="H451" s="51"/>
      <c r="I451" s="17">
        <f t="shared" si="8"/>
        <v>5.8699999999999992</v>
      </c>
      <c r="J451" s="347"/>
      <c r="K451" s="44"/>
      <c r="L451" s="167"/>
      <c r="M451" s="167"/>
      <c r="N451" s="167"/>
      <c r="O451" s="167"/>
      <c r="P451" s="167"/>
      <c r="Q451" s="167"/>
      <c r="R451" s="167"/>
      <c r="S451" s="167"/>
      <c r="T451" s="167"/>
      <c r="U451" s="167"/>
      <c r="V451" s="167"/>
      <c r="W451" s="167"/>
      <c r="X451" s="167"/>
      <c r="Y451" s="167"/>
      <c r="Z451" s="167"/>
    </row>
    <row r="452" spans="1:26" s="47" customFormat="1" ht="67.5">
      <c r="A452" s="379" t="s">
        <v>1190</v>
      </c>
      <c r="B452" s="53" t="s">
        <v>1191</v>
      </c>
      <c r="C452" s="12"/>
      <c r="D452" s="14"/>
      <c r="E452" s="14"/>
      <c r="F452" s="14"/>
      <c r="G452" s="305">
        <f>'OCT-18'!I443</f>
        <v>0</v>
      </c>
      <c r="H452" s="51"/>
      <c r="I452" s="17"/>
      <c r="J452" s="347"/>
      <c r="K452" s="44"/>
      <c r="L452" s="167"/>
      <c r="M452" s="167"/>
      <c r="N452" s="167"/>
      <c r="O452" s="167"/>
      <c r="P452" s="167"/>
      <c r="Q452" s="167"/>
      <c r="R452" s="167"/>
      <c r="S452" s="167"/>
      <c r="T452" s="167"/>
      <c r="U452" s="167"/>
      <c r="V452" s="167"/>
      <c r="W452" s="167"/>
      <c r="X452" s="167"/>
      <c r="Y452" s="167"/>
      <c r="Z452" s="167"/>
    </row>
    <row r="453" spans="1:26" s="47" customFormat="1" ht="29.25">
      <c r="A453" s="152">
        <v>51202</v>
      </c>
      <c r="B453" s="153" t="s">
        <v>1192</v>
      </c>
      <c r="C453" s="12"/>
      <c r="D453" s="14" t="s">
        <v>11</v>
      </c>
      <c r="E453" s="14" t="s">
        <v>25</v>
      </c>
      <c r="F453" s="14" t="s">
        <v>26</v>
      </c>
      <c r="G453" s="305">
        <f>'OCT-18'!I444</f>
        <v>1613</v>
      </c>
      <c r="H453" s="51">
        <f>150+90+40</f>
        <v>280</v>
      </c>
      <c r="I453" s="17">
        <f t="shared" si="8"/>
        <v>1333</v>
      </c>
      <c r="J453" s="347"/>
      <c r="K453" s="44"/>
      <c r="L453" s="167"/>
      <c r="M453" s="167"/>
      <c r="N453" s="167"/>
      <c r="O453" s="167"/>
      <c r="P453" s="167"/>
      <c r="Q453" s="167"/>
      <c r="R453" s="167"/>
      <c r="S453" s="167"/>
      <c r="T453" s="167"/>
      <c r="U453" s="167"/>
      <c r="V453" s="167"/>
      <c r="W453" s="167"/>
      <c r="X453" s="167"/>
      <c r="Y453" s="167"/>
      <c r="Z453" s="167"/>
    </row>
    <row r="454" spans="1:26" s="47" customFormat="1" ht="44.25">
      <c r="A454" s="152">
        <v>54111</v>
      </c>
      <c r="B454" s="153" t="s">
        <v>1193</v>
      </c>
      <c r="C454" s="12"/>
      <c r="D454" s="14" t="s">
        <v>11</v>
      </c>
      <c r="E454" s="14" t="s">
        <v>25</v>
      </c>
      <c r="F454" s="14" t="s">
        <v>26</v>
      </c>
      <c r="G454" s="305">
        <f>'OCT-18'!I445</f>
        <v>1284.2</v>
      </c>
      <c r="H454" s="51">
        <f>220.35+33.1+67.75</f>
        <v>321.2</v>
      </c>
      <c r="I454" s="17">
        <f t="shared" si="8"/>
        <v>963</v>
      </c>
      <c r="J454" s="347"/>
      <c r="K454" s="44"/>
      <c r="L454" s="167"/>
      <c r="M454" s="167"/>
      <c r="N454" s="167"/>
      <c r="O454" s="167"/>
      <c r="P454" s="167"/>
      <c r="Q454" s="167"/>
      <c r="R454" s="167"/>
      <c r="S454" s="167"/>
      <c r="T454" s="167"/>
      <c r="U454" s="167"/>
      <c r="V454" s="167"/>
      <c r="W454" s="167"/>
      <c r="X454" s="167"/>
      <c r="Y454" s="167"/>
      <c r="Z454" s="167"/>
    </row>
    <row r="455" spans="1:26" s="47" customFormat="1" ht="44.25">
      <c r="A455" s="152">
        <v>54112</v>
      </c>
      <c r="B455" s="153" t="s">
        <v>1194</v>
      </c>
      <c r="C455" s="12"/>
      <c r="D455" s="14" t="s">
        <v>11</v>
      </c>
      <c r="E455" s="14" t="s">
        <v>25</v>
      </c>
      <c r="F455" s="14" t="s">
        <v>26</v>
      </c>
      <c r="G455" s="305">
        <f>'OCT-18'!I446</f>
        <v>1389</v>
      </c>
      <c r="H455" s="51">
        <f>298.9+66</f>
        <v>364.9</v>
      </c>
      <c r="I455" s="17">
        <f t="shared" si="8"/>
        <v>1024.0999999999999</v>
      </c>
      <c r="J455" s="347"/>
      <c r="K455" s="44"/>
      <c r="L455" s="167"/>
      <c r="M455" s="167"/>
      <c r="N455" s="167"/>
      <c r="O455" s="167"/>
      <c r="P455" s="167"/>
      <c r="Q455" s="167"/>
      <c r="R455" s="167"/>
      <c r="S455" s="167"/>
      <c r="T455" s="167"/>
      <c r="U455" s="167"/>
      <c r="V455" s="167"/>
      <c r="W455" s="167"/>
      <c r="X455" s="167"/>
      <c r="Y455" s="167"/>
      <c r="Z455" s="167"/>
    </row>
    <row r="456" spans="1:26" s="47" customFormat="1" ht="29.25">
      <c r="A456" s="152">
        <v>54118</v>
      </c>
      <c r="B456" s="153" t="s">
        <v>1195</v>
      </c>
      <c r="C456" s="12"/>
      <c r="D456" s="14" t="s">
        <v>11</v>
      </c>
      <c r="E456" s="14" t="s">
        <v>25</v>
      </c>
      <c r="F456" s="14" t="s">
        <v>26</v>
      </c>
      <c r="G456" s="305">
        <f>'OCT-18'!I447</f>
        <v>1485.63</v>
      </c>
      <c r="H456" s="51"/>
      <c r="I456" s="17">
        <f t="shared" si="8"/>
        <v>1485.63</v>
      </c>
      <c r="J456" s="347"/>
      <c r="K456" s="44"/>
      <c r="L456" s="167"/>
      <c r="M456" s="167"/>
      <c r="N456" s="167"/>
      <c r="O456" s="167"/>
      <c r="P456" s="167"/>
      <c r="Q456" s="167"/>
      <c r="R456" s="167"/>
      <c r="S456" s="167"/>
      <c r="T456" s="167"/>
      <c r="U456" s="167"/>
      <c r="V456" s="167"/>
      <c r="W456" s="167"/>
      <c r="X456" s="167"/>
      <c r="Y456" s="167"/>
      <c r="Z456" s="167"/>
    </row>
    <row r="457" spans="1:26" s="47" customFormat="1" ht="29.25">
      <c r="A457" s="152">
        <v>55603</v>
      </c>
      <c r="B457" s="153" t="s">
        <v>1196</v>
      </c>
      <c r="C457" s="12"/>
      <c r="D457" s="14" t="s">
        <v>11</v>
      </c>
      <c r="E457" s="14" t="s">
        <v>25</v>
      </c>
      <c r="F457" s="14" t="s">
        <v>26</v>
      </c>
      <c r="G457" s="305">
        <f>'OCT-18'!I448</f>
        <v>5.2</v>
      </c>
      <c r="H457" s="51"/>
      <c r="I457" s="17">
        <f t="shared" si="8"/>
        <v>5.2</v>
      </c>
      <c r="J457" s="347"/>
      <c r="K457" s="44"/>
      <c r="L457" s="167"/>
      <c r="M457" s="167"/>
      <c r="N457" s="167"/>
      <c r="O457" s="167"/>
      <c r="P457" s="167"/>
      <c r="Q457" s="167"/>
      <c r="R457" s="167"/>
      <c r="S457" s="167"/>
      <c r="T457" s="167"/>
      <c r="U457" s="167"/>
      <c r="V457" s="167"/>
      <c r="W457" s="167"/>
      <c r="X457" s="167"/>
      <c r="Y457" s="167"/>
      <c r="Z457" s="167"/>
    </row>
    <row r="458" spans="1:26" s="47" customFormat="1" ht="92.25">
      <c r="A458" s="152"/>
      <c r="B458" s="53" t="s">
        <v>1258</v>
      </c>
      <c r="C458" s="12"/>
      <c r="D458" s="14"/>
      <c r="E458" s="14"/>
      <c r="F458" s="14"/>
      <c r="G458" s="305"/>
      <c r="H458" s="51"/>
      <c r="I458" s="17"/>
      <c r="J458" s="347"/>
      <c r="K458" s="44"/>
      <c r="L458" s="167"/>
      <c r="M458" s="167"/>
      <c r="N458" s="167"/>
      <c r="O458" s="167"/>
      <c r="P458" s="167"/>
      <c r="Q458" s="167"/>
      <c r="R458" s="167"/>
      <c r="S458" s="167"/>
      <c r="T458" s="167"/>
      <c r="U458" s="167"/>
      <c r="V458" s="167"/>
      <c r="W458" s="167"/>
      <c r="X458" s="167"/>
      <c r="Y458" s="167"/>
      <c r="Z458" s="167"/>
    </row>
    <row r="459" spans="1:26" s="47" customFormat="1" ht="28.5">
      <c r="A459" s="152">
        <v>54199</v>
      </c>
      <c r="B459" s="153" t="s">
        <v>1253</v>
      </c>
      <c r="C459" s="12"/>
      <c r="D459" s="14" t="s">
        <v>11</v>
      </c>
      <c r="E459" s="14" t="s">
        <v>25</v>
      </c>
      <c r="F459" s="14" t="s">
        <v>26</v>
      </c>
      <c r="G459" s="305"/>
      <c r="H459" s="51"/>
      <c r="I459" s="17">
        <f t="shared" si="8"/>
        <v>6000</v>
      </c>
      <c r="J459" s="347">
        <v>6000</v>
      </c>
      <c r="K459" s="44"/>
      <c r="L459" s="167"/>
      <c r="M459" s="167"/>
      <c r="N459" s="167"/>
      <c r="O459" s="167"/>
      <c r="P459" s="167"/>
      <c r="Q459" s="167"/>
      <c r="R459" s="167"/>
      <c r="S459" s="167"/>
      <c r="T459" s="167"/>
      <c r="U459" s="167"/>
      <c r="V459" s="167"/>
      <c r="W459" s="167"/>
      <c r="X459" s="167"/>
      <c r="Y459" s="167"/>
      <c r="Z459" s="167"/>
    </row>
    <row r="460" spans="1:26" s="47" customFormat="1" ht="28.5">
      <c r="A460" s="152">
        <v>54314</v>
      </c>
      <c r="B460" s="153" t="s">
        <v>1254</v>
      </c>
      <c r="C460" s="12"/>
      <c r="D460" s="14" t="s">
        <v>11</v>
      </c>
      <c r="E460" s="14" t="s">
        <v>25</v>
      </c>
      <c r="F460" s="14" t="s">
        <v>26</v>
      </c>
      <c r="G460" s="305"/>
      <c r="H460" s="51"/>
      <c r="I460" s="17">
        <f t="shared" si="8"/>
        <v>23000</v>
      </c>
      <c r="J460" s="347">
        <v>23000</v>
      </c>
      <c r="K460" s="44"/>
      <c r="L460" s="167"/>
      <c r="M460" s="167"/>
      <c r="N460" s="167"/>
      <c r="O460" s="167"/>
      <c r="P460" s="167"/>
      <c r="Q460" s="167"/>
      <c r="R460" s="167"/>
      <c r="S460" s="167"/>
      <c r="T460" s="167"/>
      <c r="U460" s="167"/>
      <c r="V460" s="167"/>
      <c r="W460" s="167"/>
      <c r="X460" s="167"/>
      <c r="Y460" s="167"/>
      <c r="Z460" s="167"/>
    </row>
    <row r="461" spans="1:26" s="47" customFormat="1" ht="28.5">
      <c r="A461" s="152">
        <v>54316</v>
      </c>
      <c r="B461" s="153" t="s">
        <v>1255</v>
      </c>
      <c r="C461" s="12"/>
      <c r="D461" s="14" t="s">
        <v>11</v>
      </c>
      <c r="E461" s="14" t="s">
        <v>25</v>
      </c>
      <c r="F461" s="14" t="s">
        <v>26</v>
      </c>
      <c r="G461" s="305"/>
      <c r="H461" s="51"/>
      <c r="I461" s="17">
        <f t="shared" si="8"/>
        <v>13000</v>
      </c>
      <c r="J461" s="347">
        <v>13000</v>
      </c>
      <c r="K461" s="44"/>
      <c r="L461" s="167"/>
      <c r="M461" s="167"/>
      <c r="N461" s="167"/>
      <c r="O461" s="167"/>
      <c r="P461" s="167"/>
      <c r="Q461" s="167"/>
      <c r="R461" s="167"/>
      <c r="S461" s="167"/>
      <c r="T461" s="167"/>
      <c r="U461" s="167"/>
      <c r="V461" s="167"/>
      <c r="W461" s="167"/>
      <c r="X461" s="167"/>
      <c r="Y461" s="167"/>
      <c r="Z461" s="167"/>
    </row>
    <row r="462" spans="1:26" s="47" customFormat="1" ht="28.5">
      <c r="A462" s="152">
        <v>55603</v>
      </c>
      <c r="B462" s="153" t="s">
        <v>1257</v>
      </c>
      <c r="C462" s="12"/>
      <c r="D462" s="14" t="s">
        <v>11</v>
      </c>
      <c r="E462" s="14" t="s">
        <v>25</v>
      </c>
      <c r="F462" s="14" t="s">
        <v>26</v>
      </c>
      <c r="G462" s="305"/>
      <c r="H462" s="51"/>
      <c r="I462" s="17">
        <f t="shared" si="8"/>
        <v>5</v>
      </c>
      <c r="J462" s="347">
        <v>5</v>
      </c>
      <c r="K462" s="44"/>
      <c r="L462" s="167"/>
      <c r="M462" s="167"/>
      <c r="N462" s="167"/>
      <c r="O462" s="167"/>
      <c r="P462" s="167"/>
      <c r="Q462" s="167"/>
      <c r="R462" s="167"/>
      <c r="S462" s="167"/>
      <c r="T462" s="167"/>
      <c r="U462" s="167"/>
      <c r="V462" s="167"/>
      <c r="W462" s="167"/>
      <c r="X462" s="167"/>
      <c r="Y462" s="167"/>
      <c r="Z462" s="167"/>
    </row>
    <row r="463" spans="1:26" s="47" customFormat="1" ht="42.75">
      <c r="A463" s="152">
        <v>56303</v>
      </c>
      <c r="B463" s="153" t="s">
        <v>1256</v>
      </c>
      <c r="C463" s="12"/>
      <c r="D463" s="14" t="s">
        <v>11</v>
      </c>
      <c r="E463" s="14" t="s">
        <v>25</v>
      </c>
      <c r="F463" s="14" t="s">
        <v>26</v>
      </c>
      <c r="G463" s="305">
        <f>'OCT-18'!I449</f>
        <v>0</v>
      </c>
      <c r="H463" s="51"/>
      <c r="I463" s="17">
        <f t="shared" si="8"/>
        <v>2995</v>
      </c>
      <c r="J463" s="347">
        <v>2995</v>
      </c>
      <c r="K463" s="44"/>
      <c r="L463" s="167"/>
      <c r="M463" s="167"/>
      <c r="N463" s="167"/>
      <c r="O463" s="167"/>
      <c r="P463" s="167"/>
      <c r="Q463" s="167"/>
      <c r="R463" s="167"/>
      <c r="S463" s="167"/>
      <c r="T463" s="167"/>
      <c r="U463" s="167"/>
      <c r="V463" s="167"/>
      <c r="W463" s="167"/>
      <c r="X463" s="167"/>
      <c r="Y463" s="167"/>
      <c r="Z463" s="167"/>
    </row>
    <row r="464" spans="1:26" s="47" customFormat="1">
      <c r="B464" s="5"/>
      <c r="C464" s="12"/>
      <c r="D464" s="14"/>
      <c r="E464" s="14"/>
      <c r="F464" s="14"/>
      <c r="G464" s="305">
        <f>'OCT-18'!I450</f>
        <v>0</v>
      </c>
      <c r="H464" s="51"/>
      <c r="I464" s="17"/>
      <c r="J464" s="316"/>
      <c r="K464" s="44"/>
      <c r="L464" s="167"/>
      <c r="M464" s="167"/>
      <c r="N464" s="167"/>
      <c r="O464" s="167"/>
      <c r="P464" s="167"/>
      <c r="Q464" s="167"/>
      <c r="R464" s="167"/>
      <c r="S464" s="167"/>
      <c r="T464" s="167"/>
      <c r="U464" s="167"/>
      <c r="V464" s="167"/>
      <c r="W464" s="167"/>
      <c r="X464" s="167"/>
      <c r="Y464" s="167"/>
      <c r="Z464" s="167"/>
    </row>
    <row r="465" spans="1:26" s="47" customFormat="1">
      <c r="A465" s="11"/>
      <c r="B465" s="5"/>
      <c r="C465" s="12"/>
      <c r="D465" s="3"/>
      <c r="E465" s="3"/>
      <c r="F465" s="3"/>
      <c r="G465" s="305">
        <f>'OCT-18'!I451</f>
        <v>0</v>
      </c>
      <c r="H465" s="51"/>
      <c r="I465" s="17"/>
      <c r="J465" s="44"/>
      <c r="K465" s="44"/>
      <c r="L465" s="167"/>
      <c r="M465" s="167"/>
      <c r="N465" s="167"/>
      <c r="O465" s="167"/>
      <c r="P465" s="167"/>
      <c r="Q465" s="167"/>
      <c r="R465" s="167"/>
      <c r="S465" s="167"/>
      <c r="T465" s="167"/>
      <c r="U465" s="167"/>
      <c r="V465" s="167"/>
      <c r="W465" s="167"/>
      <c r="X465" s="167"/>
      <c r="Y465" s="167"/>
      <c r="Z465" s="167"/>
    </row>
    <row r="466" spans="1:26">
      <c r="A466" s="160"/>
      <c r="B466" s="161" t="s">
        <v>17</v>
      </c>
      <c r="C466" s="161"/>
      <c r="D466" s="161"/>
      <c r="E466" s="161"/>
      <c r="F466" s="161"/>
      <c r="G466" s="305">
        <f>'OCT-18'!I452</f>
        <v>431726.04000000015</v>
      </c>
      <c r="H466" s="163">
        <f>SUM(H160:H465)</f>
        <v>104295.51999999996</v>
      </c>
      <c r="I466" s="162">
        <f>SUM(I160:I465)</f>
        <v>266414.77</v>
      </c>
      <c r="J466" s="162">
        <f>SUM(J160:J465)</f>
        <v>114282.21</v>
      </c>
      <c r="K466" s="162">
        <f>SUM(K160:K465)</f>
        <v>175297.96</v>
      </c>
      <c r="M466" s="167"/>
      <c r="N466" s="167"/>
      <c r="O466" s="167"/>
      <c r="P466" s="167"/>
      <c r="Q466" s="167"/>
      <c r="R466" s="167"/>
      <c r="S466" s="167"/>
      <c r="T466" s="167"/>
      <c r="U466" s="167"/>
      <c r="V466" s="167"/>
      <c r="W466" s="167"/>
      <c r="X466" s="167"/>
      <c r="Y466" s="167"/>
      <c r="Z466" s="167"/>
    </row>
    <row r="467" spans="1:26" ht="58.5">
      <c r="A467" s="11" t="s">
        <v>555</v>
      </c>
      <c r="B467" s="57" t="s">
        <v>557</v>
      </c>
      <c r="C467" s="344" t="s">
        <v>1159</v>
      </c>
      <c r="D467" s="14" t="s">
        <v>18</v>
      </c>
      <c r="E467" s="14" t="s">
        <v>28</v>
      </c>
      <c r="F467" s="14" t="s">
        <v>26</v>
      </c>
      <c r="G467" s="305">
        <f>'OCT-18'!I453</f>
        <v>0</v>
      </c>
      <c r="H467" s="51"/>
      <c r="I467" s="17">
        <f t="shared" ref="I467:I538" si="9">G467-H467+J467-K467</f>
        <v>0</v>
      </c>
      <c r="J467" s="52"/>
      <c r="K467" s="143"/>
      <c r="M467" s="167"/>
      <c r="N467" s="167"/>
      <c r="O467" s="167"/>
      <c r="P467" s="167"/>
      <c r="Q467" s="167"/>
      <c r="R467" s="167"/>
      <c r="S467" s="167"/>
      <c r="T467" s="167"/>
      <c r="U467" s="167"/>
      <c r="V467" s="167"/>
      <c r="W467" s="167"/>
      <c r="X467" s="167"/>
      <c r="Y467" s="167"/>
      <c r="Z467" s="167"/>
    </row>
    <row r="468" spans="1:26" ht="58.5">
      <c r="A468" s="11" t="s">
        <v>556</v>
      </c>
      <c r="B468" s="57" t="s">
        <v>558</v>
      </c>
      <c r="C468" s="58"/>
      <c r="D468" s="14" t="s">
        <v>18</v>
      </c>
      <c r="E468" s="14" t="s">
        <v>28</v>
      </c>
      <c r="F468" s="14" t="s">
        <v>26</v>
      </c>
      <c r="G468" s="305">
        <f>'OCT-18'!I454</f>
        <v>-1.3820056210533949E-12</v>
      </c>
      <c r="H468" s="51"/>
      <c r="I468" s="17">
        <f t="shared" si="9"/>
        <v>-1.3820056210533949E-12</v>
      </c>
      <c r="J468" s="391"/>
      <c r="K468" s="266"/>
      <c r="M468" s="167"/>
      <c r="N468" s="167"/>
      <c r="O468" s="167"/>
      <c r="P468" s="167"/>
      <c r="Q468" s="167"/>
    </row>
    <row r="469" spans="1:26" ht="72.75">
      <c r="A469" s="11" t="s">
        <v>560</v>
      </c>
      <c r="B469" s="57" t="s">
        <v>559</v>
      </c>
      <c r="C469" s="59"/>
      <c r="D469" s="14" t="s">
        <v>18</v>
      </c>
      <c r="E469" s="14" t="s">
        <v>28</v>
      </c>
      <c r="F469" s="14" t="s">
        <v>26</v>
      </c>
      <c r="G469" s="305">
        <f>'OCT-18'!I455</f>
        <v>0</v>
      </c>
      <c r="H469" s="51"/>
      <c r="I469" s="17">
        <f t="shared" si="9"/>
        <v>0</v>
      </c>
      <c r="J469" s="52"/>
      <c r="K469" s="143"/>
    </row>
    <row r="470" spans="1:26" ht="72.75">
      <c r="A470" s="11" t="s">
        <v>561</v>
      </c>
      <c r="B470" s="57" t="s">
        <v>562</v>
      </c>
      <c r="C470" s="59"/>
      <c r="D470" s="14" t="s">
        <v>18</v>
      </c>
      <c r="E470" s="14" t="s">
        <v>28</v>
      </c>
      <c r="F470" s="14" t="s">
        <v>26</v>
      </c>
      <c r="G470" s="305">
        <f>'OCT-18'!I456</f>
        <v>0</v>
      </c>
      <c r="H470" s="51"/>
      <c r="I470" s="17">
        <f t="shared" si="9"/>
        <v>0</v>
      </c>
      <c r="J470" s="56"/>
      <c r="K470" s="391"/>
    </row>
    <row r="471" spans="1:26" ht="72.75">
      <c r="A471" s="11" t="s">
        <v>1160</v>
      </c>
      <c r="B471" s="57" t="s">
        <v>1161</v>
      </c>
      <c r="C471" s="59"/>
      <c r="D471" s="14" t="s">
        <v>18</v>
      </c>
      <c r="E471" s="14" t="s">
        <v>28</v>
      </c>
      <c r="F471" s="14" t="s">
        <v>26</v>
      </c>
      <c r="G471" s="305">
        <f>'OCT-18'!I457</f>
        <v>0</v>
      </c>
      <c r="H471" s="51"/>
      <c r="I471" s="17">
        <f t="shared" si="9"/>
        <v>0</v>
      </c>
      <c r="J471" s="137"/>
      <c r="K471" s="392"/>
    </row>
    <row r="472" spans="1:26" ht="72.75">
      <c r="A472" s="11" t="s">
        <v>564</v>
      </c>
      <c r="B472" s="57" t="s">
        <v>563</v>
      </c>
      <c r="C472" s="59"/>
      <c r="D472" s="14" t="s">
        <v>18</v>
      </c>
      <c r="E472" s="14" t="s">
        <v>28</v>
      </c>
      <c r="F472" s="14" t="s">
        <v>26</v>
      </c>
      <c r="G472" s="305">
        <f>'OCT-18'!I458</f>
        <v>0</v>
      </c>
      <c r="H472" s="51"/>
      <c r="I472" s="17">
        <f t="shared" si="9"/>
        <v>0</v>
      </c>
      <c r="J472" s="52"/>
      <c r="K472" s="391"/>
    </row>
    <row r="473" spans="1:26" ht="72.75">
      <c r="A473" s="11" t="s">
        <v>566</v>
      </c>
      <c r="B473" s="57" t="s">
        <v>567</v>
      </c>
      <c r="C473" s="380" t="s">
        <v>1162</v>
      </c>
      <c r="D473" s="14" t="s">
        <v>18</v>
      </c>
      <c r="E473" s="14" t="s">
        <v>28</v>
      </c>
      <c r="F473" s="14" t="s">
        <v>26</v>
      </c>
      <c r="G473" s="305">
        <f>'OCT-18'!I459</f>
        <v>4.3769432522822171E-12</v>
      </c>
      <c r="H473" s="51"/>
      <c r="I473" s="134">
        <f t="shared" si="9"/>
        <v>4.3769432522822171E-12</v>
      </c>
      <c r="J473" s="143"/>
      <c r="K473" s="392"/>
    </row>
    <row r="474" spans="1:26" ht="72.75">
      <c r="A474" s="11" t="s">
        <v>565</v>
      </c>
      <c r="B474" s="57" t="s">
        <v>568</v>
      </c>
      <c r="C474" s="59"/>
      <c r="D474" s="14" t="s">
        <v>18</v>
      </c>
      <c r="E474" s="14" t="s">
        <v>28</v>
      </c>
      <c r="F474" s="14" t="s">
        <v>26</v>
      </c>
      <c r="G474" s="305">
        <f>'OCT-18'!I460</f>
        <v>-4.5474735088646412E-13</v>
      </c>
      <c r="H474" s="51"/>
      <c r="I474" s="17">
        <f t="shared" si="9"/>
        <v>-4.5474735088646412E-13</v>
      </c>
      <c r="J474" s="52"/>
      <c r="K474" s="393"/>
    </row>
    <row r="475" spans="1:26" ht="87">
      <c r="A475" s="11" t="s">
        <v>1117</v>
      </c>
      <c r="B475" s="57" t="s">
        <v>1118</v>
      </c>
      <c r="C475" s="59"/>
      <c r="D475" s="14" t="s">
        <v>18</v>
      </c>
      <c r="E475" s="14" t="s">
        <v>28</v>
      </c>
      <c r="F475" s="14" t="s">
        <v>26</v>
      </c>
      <c r="G475" s="305">
        <f>'OCT-18'!I461</f>
        <v>0</v>
      </c>
      <c r="H475" s="51"/>
      <c r="I475" s="134">
        <f>G475-H475+J475-K475</f>
        <v>0</v>
      </c>
      <c r="J475" s="137"/>
      <c r="K475" s="393"/>
    </row>
    <row r="476" spans="1:26" ht="87">
      <c r="A476" s="11" t="s">
        <v>1163</v>
      </c>
      <c r="B476" s="57" t="s">
        <v>1164</v>
      </c>
      <c r="C476" s="59"/>
      <c r="D476" s="14" t="s">
        <v>18</v>
      </c>
      <c r="E476" s="14" t="s">
        <v>28</v>
      </c>
      <c r="F476" s="14" t="s">
        <v>26</v>
      </c>
      <c r="G476" s="305">
        <f>'OCT-18'!I462</f>
        <v>0</v>
      </c>
      <c r="H476" s="51"/>
      <c r="I476" s="134">
        <f>G476-H476+J476-K476</f>
        <v>0</v>
      </c>
      <c r="J476" s="137"/>
      <c r="K476" s="393"/>
    </row>
    <row r="477" spans="1:26" ht="72.75">
      <c r="A477" s="11" t="s">
        <v>569</v>
      </c>
      <c r="B477" s="57" t="s">
        <v>570</v>
      </c>
      <c r="C477" s="286" t="s">
        <v>1072</v>
      </c>
      <c r="D477" s="14" t="s">
        <v>18</v>
      </c>
      <c r="E477" s="14" t="s">
        <v>28</v>
      </c>
      <c r="F477" s="14" t="s">
        <v>26</v>
      </c>
      <c r="G477" s="305">
        <f>'OCT-18'!I463</f>
        <v>0</v>
      </c>
      <c r="H477" s="51"/>
      <c r="I477" s="17">
        <f t="shared" si="9"/>
        <v>0</v>
      </c>
      <c r="J477" s="52"/>
      <c r="K477" s="301"/>
    </row>
    <row r="478" spans="1:26" ht="72.75">
      <c r="A478" s="11" t="s">
        <v>571</v>
      </c>
      <c r="B478" s="57" t="s">
        <v>572</v>
      </c>
      <c r="C478" s="286"/>
      <c r="D478" s="14" t="s">
        <v>18</v>
      </c>
      <c r="E478" s="14" t="s">
        <v>28</v>
      </c>
      <c r="F478" s="14" t="s">
        <v>26</v>
      </c>
      <c r="G478" s="305">
        <f>'OCT-18'!I464</f>
        <v>11070.03</v>
      </c>
      <c r="H478" s="51">
        <f>12040</f>
        <v>12040</v>
      </c>
      <c r="I478" s="17">
        <f t="shared" si="9"/>
        <v>6.8212102632969618E-13</v>
      </c>
      <c r="J478" s="391">
        <v>969.97</v>
      </c>
      <c r="K478" s="137"/>
    </row>
    <row r="479" spans="1:26" ht="72.75">
      <c r="A479" s="11" t="s">
        <v>969</v>
      </c>
      <c r="B479" s="57" t="s">
        <v>970</v>
      </c>
      <c r="C479" s="59"/>
      <c r="D479" s="14" t="s">
        <v>18</v>
      </c>
      <c r="E479" s="14" t="s">
        <v>28</v>
      </c>
      <c r="F479" s="14" t="s">
        <v>26</v>
      </c>
      <c r="G479" s="305">
        <f>'OCT-18'!I465</f>
        <v>0</v>
      </c>
      <c r="H479" s="51"/>
      <c r="I479" s="17">
        <f t="shared" si="9"/>
        <v>0</v>
      </c>
      <c r="J479" s="137"/>
      <c r="K479" s="392"/>
    </row>
    <row r="480" spans="1:26" ht="39" customHeight="1">
      <c r="A480" s="11">
        <v>54109</v>
      </c>
      <c r="B480" s="54" t="s">
        <v>1180</v>
      </c>
      <c r="C480" s="13" t="s">
        <v>1165</v>
      </c>
      <c r="D480" s="14" t="s">
        <v>18</v>
      </c>
      <c r="E480" s="14" t="s">
        <v>28</v>
      </c>
      <c r="F480" s="14" t="s">
        <v>26</v>
      </c>
      <c r="G480" s="305">
        <f>'OCT-18'!I466</f>
        <v>1679.9799999999996</v>
      </c>
      <c r="H480" s="51">
        <f>496.16</f>
        <v>496.16</v>
      </c>
      <c r="I480" s="17">
        <f t="shared" si="9"/>
        <v>1183.8199999999995</v>
      </c>
      <c r="J480" s="52"/>
      <c r="K480" s="52"/>
    </row>
    <row r="481" spans="1:510" ht="60">
      <c r="A481" s="11" t="s">
        <v>574</v>
      </c>
      <c r="B481" s="54" t="s">
        <v>575</v>
      </c>
      <c r="C481" s="61" t="s">
        <v>1167</v>
      </c>
      <c r="D481" s="14" t="s">
        <v>18</v>
      </c>
      <c r="E481" s="14" t="s">
        <v>28</v>
      </c>
      <c r="F481" s="14" t="s">
        <v>26</v>
      </c>
      <c r="G481" s="305">
        <f>'OCT-18'!I467</f>
        <v>682.55000000000041</v>
      </c>
      <c r="H481" s="51">
        <f>16+24</f>
        <v>40</v>
      </c>
      <c r="I481" s="17">
        <f t="shared" si="9"/>
        <v>642.55000000000041</v>
      </c>
      <c r="J481" s="52"/>
      <c r="K481" s="300"/>
    </row>
    <row r="482" spans="1:510" ht="75">
      <c r="A482" s="11" t="s">
        <v>212</v>
      </c>
      <c r="B482" s="54" t="s">
        <v>576</v>
      </c>
      <c r="C482" s="61" t="s">
        <v>1167</v>
      </c>
      <c r="D482" s="14" t="s">
        <v>18</v>
      </c>
      <c r="E482" s="14" t="s">
        <v>28</v>
      </c>
      <c r="F482" s="14" t="s">
        <v>26</v>
      </c>
      <c r="G482" s="305">
        <f>'OCT-18'!I468</f>
        <v>3982.25</v>
      </c>
      <c r="H482" s="51">
        <f>132+439.75</f>
        <v>571.75</v>
      </c>
      <c r="I482" s="17">
        <f t="shared" si="9"/>
        <v>3410.5</v>
      </c>
      <c r="J482" s="52"/>
      <c r="K482" s="300"/>
    </row>
    <row r="483" spans="1:510" ht="75">
      <c r="A483" s="11" t="s">
        <v>577</v>
      </c>
      <c r="B483" s="54" t="s">
        <v>1094</v>
      </c>
      <c r="C483" s="13"/>
      <c r="D483" s="14" t="s">
        <v>18</v>
      </c>
      <c r="E483" s="14" t="s">
        <v>28</v>
      </c>
      <c r="F483" s="14" t="s">
        <v>26</v>
      </c>
      <c r="G483" s="305">
        <f>'OCT-18'!I469</f>
        <v>9979.8499999999985</v>
      </c>
      <c r="H483" s="51"/>
      <c r="I483" s="17">
        <f t="shared" si="9"/>
        <v>8025.6299999999983</v>
      </c>
      <c r="J483" s="56"/>
      <c r="K483" s="301">
        <v>1954.22</v>
      </c>
    </row>
    <row r="484" spans="1:510" s="220" customFormat="1" ht="30">
      <c r="A484" s="11" t="s">
        <v>218</v>
      </c>
      <c r="B484" s="54" t="s">
        <v>579</v>
      </c>
      <c r="C484" s="13"/>
      <c r="D484" s="14" t="s">
        <v>18</v>
      </c>
      <c r="E484" s="14" t="s">
        <v>28</v>
      </c>
      <c r="F484" s="14" t="s">
        <v>26</v>
      </c>
      <c r="G484" s="305">
        <f>'OCT-18'!I470</f>
        <v>2.87</v>
      </c>
      <c r="H484" s="51"/>
      <c r="I484" s="17">
        <f t="shared" si="9"/>
        <v>2.87</v>
      </c>
      <c r="J484" s="56"/>
      <c r="K484" s="56"/>
      <c r="L484" s="167"/>
      <c r="M484" s="167"/>
      <c r="N484" s="167"/>
      <c r="O484" s="167"/>
      <c r="P484" s="167"/>
      <c r="Q484" s="167"/>
      <c r="R484" s="167"/>
      <c r="S484" s="167"/>
      <c r="T484" s="167"/>
      <c r="U484" s="167"/>
      <c r="V484" s="167"/>
      <c r="W484" s="167"/>
      <c r="X484" s="167"/>
      <c r="Y484" s="167"/>
      <c r="Z484" s="167"/>
      <c r="AA484" s="167"/>
      <c r="AB484" s="167"/>
      <c r="AC484" s="167"/>
      <c r="AD484" s="167"/>
      <c r="AE484" s="167"/>
      <c r="AF484" s="167"/>
      <c r="AG484" s="167"/>
      <c r="AH484" s="167"/>
      <c r="AI484" s="167"/>
      <c r="AJ484" s="167"/>
      <c r="AK484" s="167"/>
      <c r="AL484" s="167"/>
      <c r="AM484" s="167"/>
      <c r="AN484" s="167"/>
      <c r="AO484" s="167"/>
      <c r="AP484" s="167"/>
      <c r="AQ484" s="167"/>
      <c r="AR484" s="167"/>
      <c r="AS484" s="167"/>
      <c r="AT484" s="167"/>
      <c r="AU484" s="167"/>
      <c r="AV484" s="167"/>
      <c r="AW484" s="167"/>
      <c r="AX484" s="167"/>
      <c r="AY484" s="167"/>
      <c r="AZ484" s="167"/>
      <c r="BA484" s="167"/>
      <c r="BB484" s="167"/>
      <c r="BC484" s="167"/>
      <c r="BD484" s="167"/>
      <c r="BE484" s="167"/>
      <c r="BF484" s="167"/>
      <c r="BG484" s="167"/>
      <c r="BH484" s="167"/>
      <c r="BI484" s="167"/>
      <c r="BJ484" s="167"/>
      <c r="BK484" s="167"/>
      <c r="BL484" s="167"/>
      <c r="BM484" s="167"/>
      <c r="BN484" s="167"/>
      <c r="BO484" s="167"/>
      <c r="BP484" s="167"/>
      <c r="BQ484" s="167"/>
      <c r="BR484" s="167"/>
      <c r="BS484" s="167"/>
      <c r="BT484" s="167"/>
      <c r="BU484" s="167"/>
      <c r="BV484" s="167"/>
      <c r="BW484" s="167"/>
      <c r="BX484" s="167"/>
      <c r="BY484" s="167"/>
      <c r="BZ484" s="167"/>
      <c r="CA484" s="167"/>
      <c r="CB484" s="167"/>
      <c r="CC484" s="167"/>
      <c r="CD484" s="167"/>
      <c r="CE484" s="167"/>
      <c r="CF484" s="167"/>
      <c r="CG484" s="167"/>
      <c r="CH484" s="167"/>
      <c r="CI484" s="167"/>
      <c r="CJ484" s="167"/>
      <c r="CK484" s="167"/>
      <c r="CL484" s="167"/>
      <c r="CM484" s="167"/>
      <c r="CN484" s="167"/>
      <c r="CO484" s="167"/>
      <c r="CP484" s="167"/>
      <c r="CQ484" s="167"/>
      <c r="CR484" s="167"/>
      <c r="CS484" s="167"/>
      <c r="CT484" s="167"/>
      <c r="CU484" s="167"/>
      <c r="CV484" s="167"/>
      <c r="CW484" s="167"/>
      <c r="CX484" s="167"/>
      <c r="CY484" s="167"/>
      <c r="CZ484" s="167"/>
      <c r="DA484" s="167"/>
      <c r="DB484" s="167"/>
      <c r="DC484" s="167"/>
      <c r="DD484" s="167"/>
      <c r="DE484" s="167"/>
      <c r="DF484" s="167"/>
      <c r="DG484" s="167"/>
      <c r="DH484" s="167"/>
      <c r="DI484" s="167"/>
      <c r="DJ484" s="167"/>
      <c r="DK484" s="167"/>
      <c r="DL484" s="167"/>
      <c r="DM484" s="167"/>
      <c r="DN484" s="167"/>
      <c r="DO484" s="167"/>
      <c r="DP484" s="167"/>
      <c r="DQ484" s="167"/>
      <c r="DR484" s="167"/>
      <c r="DS484" s="167"/>
      <c r="DT484" s="167"/>
      <c r="DU484" s="167"/>
      <c r="DV484" s="167"/>
      <c r="DW484" s="167"/>
      <c r="DX484" s="167"/>
      <c r="DY484" s="167"/>
      <c r="DZ484" s="167"/>
      <c r="EA484" s="167"/>
      <c r="EB484" s="167"/>
      <c r="EC484" s="167"/>
      <c r="ED484" s="167"/>
      <c r="EE484" s="167"/>
      <c r="EF484" s="167"/>
      <c r="EG484" s="167"/>
      <c r="EH484" s="167"/>
      <c r="EI484" s="167"/>
      <c r="EJ484" s="167"/>
      <c r="EK484" s="167"/>
      <c r="EL484" s="167"/>
      <c r="EM484" s="167"/>
      <c r="EN484" s="167"/>
      <c r="EO484" s="167"/>
      <c r="EP484" s="167"/>
      <c r="EQ484" s="167"/>
      <c r="ER484" s="167"/>
      <c r="ES484" s="167"/>
      <c r="ET484" s="167"/>
      <c r="EU484" s="167"/>
      <c r="EV484" s="167"/>
      <c r="EW484" s="167"/>
      <c r="EX484" s="167"/>
      <c r="EY484" s="167"/>
      <c r="EZ484" s="167"/>
      <c r="FA484" s="167"/>
      <c r="FB484" s="167"/>
      <c r="FC484" s="167"/>
      <c r="FD484" s="167"/>
      <c r="FE484" s="167"/>
      <c r="FF484" s="167"/>
      <c r="FG484" s="167"/>
      <c r="FH484" s="167"/>
      <c r="FI484" s="167"/>
      <c r="FJ484" s="167"/>
      <c r="FK484" s="167"/>
      <c r="FL484" s="167"/>
      <c r="FM484" s="167"/>
      <c r="FN484" s="167"/>
      <c r="FO484" s="167"/>
      <c r="FP484" s="167"/>
      <c r="FQ484" s="167"/>
      <c r="FR484" s="167"/>
      <c r="FS484" s="167"/>
      <c r="FT484" s="167"/>
      <c r="FU484" s="167"/>
      <c r="FV484" s="167"/>
      <c r="FW484" s="167"/>
      <c r="FX484" s="167"/>
      <c r="FY484" s="167"/>
      <c r="FZ484" s="167"/>
      <c r="GA484" s="167"/>
      <c r="GB484" s="167"/>
      <c r="GC484" s="167"/>
      <c r="GD484" s="167"/>
      <c r="GE484" s="167"/>
      <c r="GF484" s="167"/>
      <c r="GG484" s="167"/>
      <c r="GH484" s="167"/>
      <c r="GI484" s="167"/>
      <c r="GJ484" s="167"/>
      <c r="GK484" s="167"/>
      <c r="GL484" s="167"/>
      <c r="GM484" s="167"/>
      <c r="GN484" s="167"/>
      <c r="GO484" s="167"/>
      <c r="GP484" s="167"/>
      <c r="GQ484" s="167"/>
      <c r="GR484" s="167"/>
      <c r="GS484" s="167"/>
      <c r="GT484" s="167"/>
      <c r="GU484" s="167"/>
      <c r="GV484" s="167"/>
      <c r="GW484" s="167"/>
      <c r="GX484" s="167"/>
      <c r="GY484" s="167"/>
      <c r="GZ484" s="167"/>
      <c r="HA484" s="167"/>
      <c r="HB484" s="167"/>
      <c r="HC484" s="167"/>
      <c r="HD484" s="167"/>
      <c r="HE484" s="167"/>
      <c r="HF484" s="167"/>
      <c r="HG484" s="167"/>
      <c r="HH484" s="167"/>
      <c r="HI484" s="167"/>
      <c r="HJ484" s="167"/>
      <c r="HK484" s="167"/>
      <c r="HL484" s="167"/>
      <c r="HM484" s="167"/>
      <c r="HN484" s="167"/>
      <c r="HO484" s="167"/>
      <c r="HP484" s="167"/>
      <c r="HQ484" s="167"/>
      <c r="HR484" s="167"/>
      <c r="HS484" s="167"/>
      <c r="HT484" s="167"/>
      <c r="HU484" s="167"/>
      <c r="HV484" s="167"/>
      <c r="HW484" s="167"/>
      <c r="HX484" s="167"/>
      <c r="HY484" s="167"/>
      <c r="HZ484" s="167"/>
      <c r="IA484" s="167"/>
      <c r="IB484" s="167"/>
      <c r="IC484" s="167"/>
      <c r="ID484" s="167"/>
      <c r="IE484" s="167"/>
      <c r="IF484" s="167"/>
      <c r="IG484" s="167"/>
      <c r="IH484" s="167"/>
      <c r="II484" s="167"/>
      <c r="IJ484" s="167"/>
      <c r="IK484" s="167"/>
      <c r="IL484" s="167"/>
      <c r="IM484" s="167"/>
      <c r="IN484" s="167"/>
      <c r="IO484" s="167"/>
      <c r="IP484" s="167"/>
      <c r="IQ484" s="167"/>
      <c r="IR484" s="167"/>
      <c r="IS484" s="167"/>
      <c r="IT484" s="167"/>
      <c r="IU484" s="167"/>
      <c r="IV484" s="167"/>
      <c r="IW484" s="167"/>
      <c r="IX484" s="167"/>
      <c r="IY484" s="167"/>
      <c r="IZ484" s="167"/>
      <c r="JA484" s="167"/>
      <c r="JB484" s="167"/>
      <c r="JC484" s="167"/>
      <c r="JD484" s="167"/>
      <c r="JE484" s="167"/>
      <c r="JF484" s="167"/>
      <c r="JG484" s="167"/>
      <c r="JH484" s="167"/>
      <c r="JI484" s="167"/>
      <c r="JJ484" s="167"/>
      <c r="JK484" s="167"/>
      <c r="JL484" s="167"/>
      <c r="JM484" s="167"/>
      <c r="JN484" s="167"/>
      <c r="JO484" s="167"/>
      <c r="JP484" s="167"/>
      <c r="JQ484" s="167"/>
      <c r="JR484" s="167"/>
      <c r="JS484" s="167"/>
      <c r="JT484" s="167"/>
      <c r="JU484" s="167"/>
      <c r="JV484" s="167"/>
      <c r="JW484" s="167"/>
      <c r="JX484" s="167"/>
      <c r="JY484" s="167"/>
      <c r="JZ484" s="167"/>
      <c r="KA484" s="167"/>
      <c r="KB484" s="167"/>
      <c r="KC484" s="167"/>
      <c r="KD484" s="167"/>
      <c r="KE484" s="167"/>
      <c r="KF484" s="167"/>
      <c r="KG484" s="167"/>
      <c r="KH484" s="167"/>
      <c r="KI484" s="167"/>
      <c r="KJ484" s="167"/>
      <c r="KK484" s="167"/>
      <c r="KL484" s="167"/>
      <c r="KM484" s="167"/>
      <c r="KN484" s="167"/>
      <c r="KO484" s="167"/>
      <c r="KP484" s="167"/>
      <c r="KQ484" s="167"/>
      <c r="KR484" s="167"/>
      <c r="KS484" s="167"/>
      <c r="KT484" s="167"/>
      <c r="KU484" s="167"/>
      <c r="KV484" s="167"/>
      <c r="KW484" s="167"/>
      <c r="KX484" s="167"/>
      <c r="KY484" s="167"/>
      <c r="KZ484" s="167"/>
      <c r="LA484" s="167"/>
      <c r="LB484" s="167"/>
      <c r="LC484" s="167"/>
      <c r="LD484" s="167"/>
      <c r="LE484" s="167"/>
      <c r="LF484" s="167"/>
      <c r="LG484" s="167"/>
      <c r="LH484" s="167"/>
      <c r="LI484" s="167"/>
      <c r="LJ484" s="167"/>
      <c r="LK484" s="167"/>
      <c r="LL484" s="167"/>
      <c r="LM484" s="167"/>
      <c r="LN484" s="167"/>
      <c r="LO484" s="167"/>
      <c r="LP484" s="167"/>
      <c r="LQ484" s="167"/>
      <c r="LR484" s="167"/>
      <c r="LS484" s="167"/>
      <c r="LT484" s="167"/>
      <c r="LU484" s="167"/>
      <c r="LV484" s="167"/>
      <c r="LW484" s="167"/>
      <c r="LX484" s="167"/>
      <c r="LY484" s="167"/>
      <c r="LZ484" s="167"/>
      <c r="MA484" s="167"/>
      <c r="MB484" s="167"/>
      <c r="MC484" s="167"/>
      <c r="MD484" s="167"/>
      <c r="ME484" s="167"/>
      <c r="MF484" s="167"/>
      <c r="MG484" s="167"/>
      <c r="MH484" s="167"/>
      <c r="MI484" s="167"/>
      <c r="MJ484" s="167"/>
      <c r="MK484" s="167"/>
      <c r="ML484" s="167"/>
      <c r="MM484" s="167"/>
      <c r="MN484" s="167"/>
      <c r="MO484" s="167"/>
      <c r="MP484" s="167"/>
      <c r="MQ484" s="167"/>
      <c r="MR484" s="167"/>
      <c r="MS484" s="167"/>
      <c r="MT484" s="167"/>
      <c r="MU484" s="167"/>
      <c r="MV484" s="167"/>
      <c r="MW484" s="167"/>
      <c r="MX484" s="167"/>
      <c r="MY484" s="167"/>
      <c r="MZ484" s="167"/>
      <c r="NA484" s="167"/>
      <c r="NB484" s="167"/>
      <c r="NC484" s="167"/>
      <c r="ND484" s="167"/>
      <c r="NE484" s="167"/>
      <c r="NF484" s="167"/>
      <c r="NG484" s="167"/>
      <c r="NH484" s="167"/>
      <c r="NI484" s="167"/>
      <c r="NJ484" s="167"/>
      <c r="NK484" s="167"/>
      <c r="NL484" s="167"/>
      <c r="NM484" s="167"/>
      <c r="NN484" s="167"/>
      <c r="NO484" s="167"/>
      <c r="NP484" s="167"/>
      <c r="NQ484" s="167"/>
      <c r="NR484" s="167"/>
      <c r="NS484" s="167"/>
      <c r="NT484" s="167"/>
      <c r="NU484" s="167"/>
      <c r="NV484" s="167"/>
      <c r="NW484" s="167"/>
      <c r="NX484" s="167"/>
      <c r="NY484" s="167"/>
      <c r="NZ484" s="167"/>
      <c r="OA484" s="167"/>
      <c r="OB484" s="167"/>
      <c r="OC484" s="167"/>
      <c r="OD484" s="167"/>
      <c r="OE484" s="167"/>
      <c r="OF484" s="167"/>
      <c r="OG484" s="167"/>
      <c r="OH484" s="167"/>
      <c r="OI484" s="167"/>
      <c r="OJ484" s="167"/>
      <c r="OK484" s="167"/>
      <c r="OL484" s="167"/>
      <c r="OM484" s="167"/>
      <c r="ON484" s="167"/>
      <c r="OO484" s="167"/>
      <c r="OP484" s="167"/>
      <c r="OQ484" s="167"/>
      <c r="OR484" s="167"/>
      <c r="OS484" s="167"/>
      <c r="OT484" s="167"/>
      <c r="OU484" s="167"/>
      <c r="OV484" s="167"/>
      <c r="OW484" s="167"/>
      <c r="OX484" s="167"/>
      <c r="OY484" s="167"/>
      <c r="OZ484" s="167"/>
      <c r="PA484" s="167"/>
      <c r="PB484" s="167"/>
      <c r="PC484" s="167"/>
      <c r="PD484" s="167"/>
      <c r="PE484" s="167"/>
      <c r="PF484" s="167"/>
      <c r="PG484" s="167"/>
      <c r="PH484" s="167"/>
      <c r="PI484" s="167"/>
      <c r="PJ484" s="167"/>
      <c r="PK484" s="167"/>
      <c r="PL484" s="167"/>
      <c r="PM484" s="167"/>
      <c r="PN484" s="167"/>
      <c r="PO484" s="167"/>
      <c r="PP484" s="167"/>
      <c r="PQ484" s="167"/>
      <c r="PR484" s="167"/>
      <c r="PS484" s="167"/>
      <c r="PT484" s="167"/>
      <c r="PU484" s="167"/>
      <c r="PV484" s="167"/>
      <c r="PW484" s="167"/>
      <c r="PX484" s="167"/>
      <c r="PY484" s="167"/>
      <c r="PZ484" s="167"/>
      <c r="QA484" s="167"/>
      <c r="QB484" s="167"/>
      <c r="QC484" s="167"/>
      <c r="QD484" s="167"/>
      <c r="QE484" s="167"/>
      <c r="QF484" s="167"/>
      <c r="QG484" s="167"/>
      <c r="QH484" s="167"/>
      <c r="QI484" s="167"/>
      <c r="QJ484" s="167"/>
      <c r="QK484" s="167"/>
      <c r="QL484" s="167"/>
      <c r="QM484" s="167"/>
      <c r="QN484" s="167"/>
      <c r="QO484" s="167"/>
      <c r="QP484" s="167"/>
      <c r="QQ484" s="167"/>
      <c r="QR484" s="167"/>
      <c r="QS484" s="167"/>
      <c r="QT484" s="167"/>
      <c r="QU484" s="167"/>
      <c r="QV484" s="167"/>
      <c r="QW484" s="167"/>
      <c r="QX484" s="167"/>
      <c r="QY484" s="167"/>
      <c r="QZ484" s="167"/>
      <c r="RA484" s="167"/>
      <c r="RB484" s="167"/>
      <c r="RC484" s="167"/>
      <c r="RD484" s="167"/>
      <c r="RE484" s="167"/>
      <c r="RF484" s="167"/>
      <c r="RG484" s="167"/>
      <c r="RH484" s="167"/>
      <c r="RI484" s="167"/>
      <c r="RJ484" s="167"/>
      <c r="RK484" s="167"/>
      <c r="RL484" s="167"/>
      <c r="RM484" s="167"/>
      <c r="RN484" s="167"/>
      <c r="RO484" s="167"/>
      <c r="RP484" s="167"/>
      <c r="RQ484" s="167"/>
      <c r="RR484" s="167"/>
      <c r="RS484" s="167"/>
      <c r="RT484" s="167"/>
      <c r="RU484" s="167"/>
      <c r="RV484" s="167"/>
      <c r="RW484" s="167"/>
      <c r="RX484" s="167"/>
      <c r="RY484" s="167"/>
      <c r="RZ484" s="167"/>
      <c r="SA484" s="167"/>
      <c r="SB484" s="167"/>
      <c r="SC484" s="167"/>
      <c r="SD484" s="167"/>
      <c r="SE484" s="167"/>
      <c r="SF484" s="167"/>
      <c r="SG484" s="167"/>
      <c r="SH484" s="167"/>
      <c r="SI484" s="167"/>
      <c r="SJ484" s="167"/>
      <c r="SK484" s="167"/>
      <c r="SL484" s="167"/>
      <c r="SM484" s="167"/>
      <c r="SN484" s="167"/>
      <c r="SO484" s="167"/>
      <c r="SP484" s="167"/>
    </row>
    <row r="485" spans="1:510" s="229" customFormat="1" ht="9.75" customHeight="1">
      <c r="A485" s="221"/>
      <c r="B485" s="222"/>
      <c r="C485" s="223"/>
      <c r="D485" s="224"/>
      <c r="E485" s="224"/>
      <c r="F485" s="224"/>
      <c r="G485" s="305">
        <f>'OCT-18'!I471</f>
        <v>0</v>
      </c>
      <c r="H485" s="226"/>
      <c r="I485" s="227"/>
      <c r="J485" s="228"/>
      <c r="K485" s="397"/>
      <c r="L485" s="199"/>
      <c r="M485" s="199"/>
      <c r="N485" s="199"/>
      <c r="O485" s="199"/>
      <c r="P485" s="199"/>
      <c r="Q485" s="199"/>
      <c r="R485" s="199"/>
      <c r="S485" s="199"/>
      <c r="T485" s="199"/>
      <c r="U485" s="199"/>
      <c r="V485" s="199"/>
      <c r="W485" s="199"/>
      <c r="X485" s="199"/>
      <c r="Y485" s="199"/>
      <c r="Z485" s="199"/>
      <c r="AA485" s="199"/>
      <c r="AB485" s="199"/>
      <c r="AC485" s="199"/>
      <c r="AD485" s="199"/>
      <c r="AE485" s="199"/>
      <c r="AF485" s="199"/>
      <c r="AG485" s="199"/>
      <c r="AH485" s="199"/>
      <c r="AI485" s="199"/>
      <c r="AJ485" s="199"/>
      <c r="AK485" s="199"/>
      <c r="AL485" s="199"/>
      <c r="AM485" s="199"/>
      <c r="AN485" s="199"/>
      <c r="AO485" s="199"/>
      <c r="AP485" s="199"/>
      <c r="AQ485" s="199"/>
      <c r="AR485" s="199"/>
      <c r="AS485" s="199"/>
      <c r="AT485" s="199"/>
      <c r="AU485" s="199"/>
      <c r="AV485" s="199"/>
      <c r="AW485" s="199"/>
      <c r="AX485" s="199"/>
      <c r="AY485" s="199"/>
      <c r="AZ485" s="199"/>
      <c r="BA485" s="199"/>
      <c r="BB485" s="199"/>
      <c r="BC485" s="199"/>
      <c r="BD485" s="199"/>
      <c r="BE485" s="199"/>
      <c r="BF485" s="199"/>
      <c r="BG485" s="199"/>
      <c r="BH485" s="199"/>
      <c r="BI485" s="199"/>
      <c r="BJ485" s="199"/>
      <c r="BK485" s="199"/>
      <c r="BL485" s="199"/>
      <c r="BM485" s="199"/>
      <c r="BN485" s="199"/>
      <c r="BO485" s="199"/>
      <c r="BP485" s="199"/>
      <c r="BQ485" s="199"/>
      <c r="BR485" s="199"/>
      <c r="BS485" s="199"/>
      <c r="BT485" s="199"/>
      <c r="BU485" s="199"/>
      <c r="BV485" s="199"/>
      <c r="BW485" s="199"/>
      <c r="BX485" s="199"/>
      <c r="BY485" s="199"/>
      <c r="BZ485" s="199"/>
      <c r="CA485" s="199"/>
      <c r="CB485" s="199"/>
      <c r="CC485" s="199"/>
      <c r="CD485" s="199"/>
      <c r="CE485" s="199"/>
      <c r="CF485" s="199"/>
      <c r="CG485" s="199"/>
      <c r="CH485" s="199"/>
      <c r="CI485" s="199"/>
      <c r="CJ485" s="199"/>
      <c r="CK485" s="199"/>
      <c r="CL485" s="199"/>
      <c r="CM485" s="199"/>
      <c r="CN485" s="199"/>
      <c r="CO485" s="199"/>
      <c r="CP485" s="199"/>
      <c r="CQ485" s="199"/>
      <c r="CR485" s="199"/>
      <c r="CS485" s="199"/>
      <c r="CT485" s="199"/>
      <c r="CU485" s="199"/>
      <c r="CV485" s="199"/>
      <c r="CW485" s="199"/>
      <c r="CX485" s="199"/>
      <c r="CY485" s="199"/>
      <c r="CZ485" s="199"/>
      <c r="DA485" s="199"/>
      <c r="DB485" s="199"/>
      <c r="DC485" s="199"/>
      <c r="DD485" s="199"/>
      <c r="DE485" s="199"/>
      <c r="DF485" s="199"/>
      <c r="DG485" s="199"/>
      <c r="DH485" s="199"/>
      <c r="DI485" s="199"/>
      <c r="DJ485" s="199"/>
      <c r="DK485" s="199"/>
      <c r="DL485" s="199"/>
      <c r="DM485" s="199"/>
      <c r="DN485" s="199"/>
      <c r="DO485" s="199"/>
      <c r="DP485" s="199"/>
      <c r="DQ485" s="199"/>
      <c r="DR485" s="199"/>
      <c r="DS485" s="199"/>
      <c r="DT485" s="199"/>
      <c r="DU485" s="199"/>
      <c r="DV485" s="199"/>
      <c r="DW485" s="199"/>
      <c r="DX485" s="199"/>
      <c r="DY485" s="199"/>
      <c r="DZ485" s="199"/>
      <c r="EA485" s="199"/>
      <c r="EB485" s="199"/>
      <c r="EC485" s="199"/>
      <c r="ED485" s="199"/>
      <c r="EE485" s="199"/>
      <c r="EF485" s="199"/>
      <c r="EG485" s="199"/>
      <c r="EH485" s="199"/>
      <c r="EI485" s="199"/>
      <c r="EJ485" s="199"/>
      <c r="EK485" s="199"/>
      <c r="EL485" s="199"/>
      <c r="EM485" s="199"/>
      <c r="EN485" s="199"/>
      <c r="EO485" s="199"/>
      <c r="EP485" s="199"/>
      <c r="EQ485" s="199"/>
      <c r="ER485" s="199"/>
      <c r="ES485" s="199"/>
      <c r="ET485" s="199"/>
      <c r="EU485" s="199"/>
      <c r="EV485" s="199"/>
      <c r="EW485" s="199"/>
      <c r="EX485" s="199"/>
      <c r="EY485" s="199"/>
      <c r="EZ485" s="199"/>
      <c r="FA485" s="199"/>
      <c r="FB485" s="199"/>
      <c r="FC485" s="199"/>
      <c r="FD485" s="199"/>
      <c r="FE485" s="199"/>
      <c r="FF485" s="199"/>
      <c r="FG485" s="199"/>
      <c r="FH485" s="199"/>
      <c r="FI485" s="199"/>
      <c r="FJ485" s="199"/>
      <c r="FK485" s="199"/>
      <c r="FL485" s="199"/>
      <c r="FM485" s="199"/>
      <c r="FN485" s="199"/>
      <c r="FO485" s="199"/>
      <c r="FP485" s="199"/>
      <c r="FQ485" s="199"/>
      <c r="FR485" s="199"/>
      <c r="FS485" s="199"/>
      <c r="FT485" s="199"/>
      <c r="FU485" s="199"/>
      <c r="FV485" s="199"/>
      <c r="FW485" s="199"/>
      <c r="FX485" s="199"/>
      <c r="FY485" s="199"/>
      <c r="FZ485" s="199"/>
      <c r="GA485" s="199"/>
      <c r="GB485" s="199"/>
      <c r="GC485" s="199"/>
      <c r="GD485" s="199"/>
      <c r="GE485" s="199"/>
      <c r="GF485" s="199"/>
      <c r="GG485" s="199"/>
      <c r="GH485" s="199"/>
      <c r="GI485" s="199"/>
      <c r="GJ485" s="199"/>
      <c r="GK485" s="199"/>
      <c r="GL485" s="199"/>
      <c r="GM485" s="199"/>
      <c r="GN485" s="199"/>
      <c r="GO485" s="199"/>
      <c r="GP485" s="199"/>
      <c r="GQ485" s="199"/>
      <c r="GR485" s="199"/>
      <c r="GS485" s="199"/>
      <c r="GT485" s="199"/>
      <c r="GU485" s="199"/>
      <c r="GV485" s="199"/>
      <c r="GW485" s="199"/>
      <c r="GX485" s="199"/>
      <c r="GY485" s="199"/>
      <c r="GZ485" s="199"/>
      <c r="HA485" s="199"/>
      <c r="HB485" s="199"/>
      <c r="HC485" s="199"/>
      <c r="HD485" s="199"/>
      <c r="HE485" s="199"/>
      <c r="HF485" s="199"/>
      <c r="HG485" s="199"/>
      <c r="HH485" s="199"/>
      <c r="HI485" s="199"/>
      <c r="HJ485" s="199"/>
      <c r="HK485" s="199"/>
      <c r="HL485" s="199"/>
      <c r="HM485" s="199"/>
      <c r="HN485" s="199"/>
      <c r="HO485" s="199"/>
      <c r="HP485" s="199"/>
      <c r="HQ485" s="199"/>
      <c r="HR485" s="199"/>
      <c r="HS485" s="199"/>
      <c r="HT485" s="199"/>
      <c r="HU485" s="199"/>
      <c r="HV485" s="199"/>
      <c r="HW485" s="199"/>
      <c r="HX485" s="199"/>
      <c r="HY485" s="199"/>
      <c r="HZ485" s="199"/>
      <c r="IA485" s="199"/>
      <c r="IB485" s="199"/>
      <c r="IC485" s="199"/>
      <c r="ID485" s="199"/>
      <c r="IE485" s="199"/>
      <c r="IF485" s="199"/>
      <c r="IG485" s="199"/>
      <c r="IH485" s="199"/>
      <c r="II485" s="199"/>
      <c r="IJ485" s="199"/>
      <c r="IK485" s="199"/>
      <c r="IL485" s="199"/>
      <c r="IM485" s="199"/>
      <c r="IN485" s="199"/>
      <c r="IO485" s="199"/>
      <c r="IP485" s="199"/>
      <c r="IQ485" s="199"/>
      <c r="IR485" s="199"/>
      <c r="IS485" s="199"/>
      <c r="IT485" s="199"/>
      <c r="IU485" s="199"/>
      <c r="IV485" s="199"/>
      <c r="IW485" s="199"/>
      <c r="IX485" s="199"/>
      <c r="IY485" s="199"/>
      <c r="IZ485" s="199"/>
      <c r="JA485" s="199"/>
      <c r="JB485" s="199"/>
      <c r="JC485" s="199"/>
      <c r="JD485" s="199"/>
      <c r="JE485" s="199"/>
      <c r="JF485" s="199"/>
      <c r="JG485" s="199"/>
      <c r="JH485" s="199"/>
      <c r="JI485" s="199"/>
      <c r="JJ485" s="199"/>
      <c r="JK485" s="199"/>
      <c r="JL485" s="199"/>
      <c r="JM485" s="199"/>
      <c r="JN485" s="199"/>
      <c r="JO485" s="199"/>
      <c r="JP485" s="199"/>
      <c r="JQ485" s="199"/>
      <c r="JR485" s="199"/>
      <c r="JS485" s="199"/>
      <c r="JT485" s="199"/>
      <c r="JU485" s="199"/>
      <c r="JV485" s="199"/>
      <c r="JW485" s="199"/>
      <c r="JX485" s="199"/>
      <c r="JY485" s="199"/>
      <c r="JZ485" s="199"/>
      <c r="KA485" s="199"/>
      <c r="KB485" s="199"/>
      <c r="KC485" s="199"/>
      <c r="KD485" s="199"/>
      <c r="KE485" s="199"/>
      <c r="KF485" s="199"/>
      <c r="KG485" s="199"/>
      <c r="KH485" s="199"/>
      <c r="KI485" s="199"/>
      <c r="KJ485" s="199"/>
      <c r="KK485" s="199"/>
      <c r="KL485" s="199"/>
      <c r="KM485" s="199"/>
      <c r="KN485" s="199"/>
      <c r="KO485" s="199"/>
      <c r="KP485" s="199"/>
      <c r="KQ485" s="199"/>
      <c r="KR485" s="199"/>
      <c r="KS485" s="199"/>
      <c r="KT485" s="199"/>
      <c r="KU485" s="199"/>
      <c r="KV485" s="199"/>
      <c r="KW485" s="199"/>
      <c r="KX485" s="199"/>
      <c r="KY485" s="199"/>
      <c r="KZ485" s="199"/>
      <c r="LA485" s="199"/>
      <c r="LB485" s="199"/>
      <c r="LC485" s="199"/>
      <c r="LD485" s="199"/>
      <c r="LE485" s="199"/>
      <c r="LF485" s="199"/>
      <c r="LG485" s="199"/>
      <c r="LH485" s="199"/>
      <c r="LI485" s="199"/>
      <c r="LJ485" s="199"/>
      <c r="LK485" s="199"/>
      <c r="LL485" s="199"/>
      <c r="LM485" s="199"/>
      <c r="LN485" s="199"/>
      <c r="LO485" s="199"/>
      <c r="LP485" s="199"/>
      <c r="LQ485" s="199"/>
      <c r="LR485" s="199"/>
      <c r="LS485" s="199"/>
      <c r="LT485" s="199"/>
      <c r="LU485" s="199"/>
      <c r="LV485" s="199"/>
      <c r="LW485" s="199"/>
      <c r="LX485" s="199"/>
      <c r="LY485" s="199"/>
      <c r="LZ485" s="199"/>
      <c r="MA485" s="199"/>
      <c r="MB485" s="199"/>
      <c r="MC485" s="199"/>
      <c r="MD485" s="199"/>
      <c r="ME485" s="199"/>
      <c r="MF485" s="199"/>
      <c r="MG485" s="199"/>
      <c r="MH485" s="199"/>
      <c r="MI485" s="199"/>
      <c r="MJ485" s="199"/>
      <c r="MK485" s="199"/>
      <c r="ML485" s="199"/>
      <c r="MM485" s="199"/>
      <c r="MN485" s="199"/>
      <c r="MO485" s="199"/>
      <c r="MP485" s="199"/>
      <c r="MQ485" s="199"/>
      <c r="MR485" s="199"/>
      <c r="MS485" s="199"/>
      <c r="MT485" s="199"/>
      <c r="MU485" s="199"/>
      <c r="MV485" s="199"/>
      <c r="MW485" s="199"/>
      <c r="MX485" s="199"/>
      <c r="MY485" s="199"/>
      <c r="MZ485" s="199"/>
      <c r="NA485" s="199"/>
      <c r="NB485" s="199"/>
      <c r="NC485" s="199"/>
      <c r="ND485" s="199"/>
      <c r="NE485" s="199"/>
      <c r="NF485" s="199"/>
      <c r="NG485" s="199"/>
      <c r="NH485" s="199"/>
      <c r="NI485" s="199"/>
      <c r="NJ485" s="199"/>
      <c r="NK485" s="199"/>
      <c r="NL485" s="199"/>
      <c r="NM485" s="199"/>
      <c r="NN485" s="199"/>
      <c r="NO485" s="199"/>
      <c r="NP485" s="199"/>
      <c r="NQ485" s="199"/>
      <c r="NR485" s="199"/>
      <c r="NS485" s="199"/>
      <c r="NT485" s="199"/>
      <c r="NU485" s="199"/>
      <c r="NV485" s="199"/>
      <c r="NW485" s="199"/>
      <c r="NX485" s="199"/>
      <c r="NY485" s="199"/>
      <c r="NZ485" s="199"/>
      <c r="OA485" s="199"/>
      <c r="OB485" s="199"/>
      <c r="OC485" s="199"/>
      <c r="OD485" s="199"/>
      <c r="OE485" s="199"/>
      <c r="OF485" s="199"/>
      <c r="OG485" s="199"/>
      <c r="OH485" s="199"/>
      <c r="OI485" s="199"/>
      <c r="OJ485" s="199"/>
      <c r="OK485" s="199"/>
      <c r="OL485" s="199"/>
      <c r="OM485" s="199"/>
      <c r="ON485" s="199"/>
      <c r="OO485" s="199"/>
      <c r="OP485" s="199"/>
      <c r="OQ485" s="199"/>
      <c r="OR485" s="199"/>
      <c r="OS485" s="199"/>
      <c r="OT485" s="199"/>
      <c r="OU485" s="199"/>
      <c r="OV485" s="199"/>
      <c r="OW485" s="199"/>
      <c r="OX485" s="199"/>
      <c r="OY485" s="199"/>
      <c r="OZ485" s="199"/>
      <c r="PA485" s="199"/>
      <c r="PB485" s="199"/>
      <c r="PC485" s="199"/>
      <c r="PD485" s="199"/>
      <c r="PE485" s="199"/>
      <c r="PF485" s="199"/>
      <c r="PG485" s="199"/>
      <c r="PH485" s="199"/>
      <c r="PI485" s="199"/>
      <c r="PJ485" s="199"/>
      <c r="PK485" s="199"/>
      <c r="PL485" s="199"/>
      <c r="PM485" s="199"/>
      <c r="PN485" s="199"/>
      <c r="PO485" s="199"/>
      <c r="PP485" s="199"/>
      <c r="PQ485" s="199"/>
      <c r="PR485" s="199"/>
      <c r="PS485" s="199"/>
      <c r="PT485" s="199"/>
      <c r="PU485" s="199"/>
      <c r="PV485" s="199"/>
      <c r="PW485" s="199"/>
      <c r="PX485" s="199"/>
      <c r="PY485" s="199"/>
      <c r="PZ485" s="199"/>
      <c r="QA485" s="199"/>
      <c r="QB485" s="199"/>
      <c r="QC485" s="199"/>
      <c r="QD485" s="199"/>
      <c r="QE485" s="199"/>
      <c r="QF485" s="199"/>
      <c r="QG485" s="199"/>
      <c r="QH485" s="199"/>
      <c r="QI485" s="199"/>
      <c r="QJ485" s="199"/>
      <c r="QK485" s="199"/>
      <c r="QL485" s="199"/>
      <c r="QM485" s="199"/>
      <c r="QN485" s="199"/>
      <c r="QO485" s="199"/>
      <c r="QP485" s="199"/>
      <c r="QQ485" s="199"/>
      <c r="QR485" s="199"/>
      <c r="QS485" s="199"/>
      <c r="QT485" s="199"/>
      <c r="QU485" s="199"/>
      <c r="QV485" s="199"/>
      <c r="QW485" s="199"/>
      <c r="QX485" s="199"/>
      <c r="QY485" s="199"/>
      <c r="QZ485" s="199"/>
      <c r="RA485" s="199"/>
      <c r="RB485" s="199"/>
      <c r="RC485" s="199"/>
      <c r="RD485" s="199"/>
      <c r="RE485" s="199"/>
      <c r="RF485" s="199"/>
      <c r="RG485" s="199"/>
      <c r="RH485" s="199"/>
      <c r="RI485" s="199"/>
      <c r="RJ485" s="199"/>
      <c r="RK485" s="199"/>
      <c r="RL485" s="199"/>
      <c r="RM485" s="199"/>
      <c r="RN485" s="199"/>
      <c r="RO485" s="199"/>
      <c r="RP485" s="199"/>
      <c r="RQ485" s="199"/>
      <c r="RR485" s="199"/>
      <c r="RS485" s="199"/>
      <c r="RT485" s="199"/>
      <c r="RU485" s="199"/>
      <c r="RV485" s="199"/>
      <c r="RW485" s="199"/>
      <c r="RX485" s="199"/>
      <c r="RY485" s="199"/>
      <c r="RZ485" s="199"/>
      <c r="SA485" s="199"/>
      <c r="SB485" s="199"/>
      <c r="SC485" s="199"/>
      <c r="SD485" s="199"/>
      <c r="SE485" s="199"/>
      <c r="SF485" s="199"/>
      <c r="SG485" s="199"/>
      <c r="SH485" s="199"/>
      <c r="SI485" s="199"/>
      <c r="SJ485" s="199"/>
      <c r="SK485" s="199"/>
      <c r="SL485" s="199"/>
      <c r="SM485" s="199"/>
      <c r="SN485" s="199"/>
      <c r="SO485" s="199"/>
      <c r="SP485" s="199"/>
    </row>
    <row r="486" spans="1:510" ht="52.5">
      <c r="A486" s="214" t="s">
        <v>988</v>
      </c>
      <c r="B486" s="215" t="s">
        <v>581</v>
      </c>
      <c r="C486" s="344" t="s">
        <v>1104</v>
      </c>
      <c r="D486" s="187" t="s">
        <v>18</v>
      </c>
      <c r="E486" s="187" t="s">
        <v>28</v>
      </c>
      <c r="F486" s="187" t="s">
        <v>27</v>
      </c>
      <c r="G486" s="305">
        <f>'OCT-18'!I472</f>
        <v>2534.6200000000003</v>
      </c>
      <c r="H486" s="348">
        <f>1254.64+844.53</f>
        <v>2099.17</v>
      </c>
      <c r="I486" s="443">
        <f t="shared" si="9"/>
        <v>2435.4500000000003</v>
      </c>
      <c r="J486" s="448">
        <v>2000</v>
      </c>
      <c r="K486" s="219"/>
    </row>
    <row r="487" spans="1:510" ht="30">
      <c r="A487" s="11" t="s">
        <v>235</v>
      </c>
      <c r="B487" s="54" t="s">
        <v>582</v>
      </c>
      <c r="C487" s="13"/>
      <c r="D487" s="14" t="s">
        <v>18</v>
      </c>
      <c r="E487" s="14" t="s">
        <v>28</v>
      </c>
      <c r="F487" s="14" t="s">
        <v>27</v>
      </c>
      <c r="G487" s="305">
        <f>'OCT-18'!I473</f>
        <v>2.8699999999999992</v>
      </c>
      <c r="H487" s="276"/>
      <c r="I487" s="17">
        <f t="shared" si="9"/>
        <v>2.8699999999999992</v>
      </c>
      <c r="J487" s="56"/>
      <c r="K487" s="56"/>
    </row>
    <row r="488" spans="1:510" ht="96" customHeight="1">
      <c r="A488" s="11" t="s">
        <v>200</v>
      </c>
      <c r="B488" s="53" t="s">
        <v>584</v>
      </c>
      <c r="C488" s="61"/>
      <c r="D488" s="14"/>
      <c r="E488" s="14"/>
      <c r="F488" s="14"/>
      <c r="G488" s="305">
        <f>'OCT-18'!I474</f>
        <v>0</v>
      </c>
      <c r="H488" s="51"/>
      <c r="I488" s="17"/>
      <c r="J488" s="56"/>
      <c r="K488" s="56"/>
    </row>
    <row r="489" spans="1:510" ht="30">
      <c r="A489" s="11">
        <v>54111</v>
      </c>
      <c r="B489" s="54" t="s">
        <v>583</v>
      </c>
      <c r="C489" s="13"/>
      <c r="D489" s="14" t="s">
        <v>18</v>
      </c>
      <c r="E489" s="14" t="s">
        <v>28</v>
      </c>
      <c r="F489" s="14" t="s">
        <v>27</v>
      </c>
      <c r="G489" s="305">
        <f>'OCT-18'!I475</f>
        <v>0</v>
      </c>
      <c r="H489" s="51"/>
      <c r="I489" s="17">
        <f t="shared" si="9"/>
        <v>0</v>
      </c>
      <c r="J489" s="56"/>
      <c r="K489" s="300"/>
    </row>
    <row r="490" spans="1:510" ht="75">
      <c r="A490" s="141" t="s">
        <v>201</v>
      </c>
      <c r="B490" s="53" t="s">
        <v>585</v>
      </c>
      <c r="C490" s="13"/>
      <c r="D490" s="14"/>
      <c r="E490" s="14"/>
      <c r="F490" s="14"/>
      <c r="G490" s="305">
        <f>'OCT-18'!I476</f>
        <v>0</v>
      </c>
      <c r="H490" s="51"/>
      <c r="I490" s="17"/>
      <c r="J490" s="56"/>
      <c r="K490" s="56"/>
    </row>
    <row r="491" spans="1:510" ht="29.25">
      <c r="A491" s="11">
        <v>54110</v>
      </c>
      <c r="B491" s="54" t="s">
        <v>586</v>
      </c>
      <c r="C491" s="13"/>
      <c r="D491" s="14" t="s">
        <v>18</v>
      </c>
      <c r="E491" s="14" t="s">
        <v>28</v>
      </c>
      <c r="F491" s="14" t="s">
        <v>27</v>
      </c>
      <c r="G491" s="305">
        <f>'OCT-18'!I477</f>
        <v>0</v>
      </c>
      <c r="H491" s="51"/>
      <c r="I491" s="17">
        <f t="shared" si="9"/>
        <v>0</v>
      </c>
      <c r="J491" s="56"/>
      <c r="K491" s="300"/>
    </row>
    <row r="492" spans="1:510" ht="30">
      <c r="A492" s="11">
        <v>54111</v>
      </c>
      <c r="B492" s="54" t="s">
        <v>587</v>
      </c>
      <c r="C492" s="13"/>
      <c r="D492" s="14" t="s">
        <v>18</v>
      </c>
      <c r="E492" s="14" t="s">
        <v>28</v>
      </c>
      <c r="F492" s="14" t="s">
        <v>27</v>
      </c>
      <c r="G492" s="305">
        <f>'OCT-18'!I478</f>
        <v>0</v>
      </c>
      <c r="H492" s="51"/>
      <c r="I492" s="17">
        <f t="shared" si="9"/>
        <v>0</v>
      </c>
      <c r="J492" s="56"/>
      <c r="K492" s="300"/>
    </row>
    <row r="493" spans="1:510" ht="29.25">
      <c r="A493" s="11">
        <v>54112</v>
      </c>
      <c r="B493" s="54" t="s">
        <v>588</v>
      </c>
      <c r="C493" s="59"/>
      <c r="D493" s="14" t="s">
        <v>18</v>
      </c>
      <c r="E493" s="14" t="s">
        <v>28</v>
      </c>
      <c r="F493" s="14" t="s">
        <v>27</v>
      </c>
      <c r="G493" s="305">
        <f>'OCT-18'!I479</f>
        <v>0</v>
      </c>
      <c r="H493" s="51"/>
      <c r="I493" s="17">
        <f t="shared" si="9"/>
        <v>0</v>
      </c>
      <c r="J493" s="56"/>
      <c r="K493" s="300"/>
    </row>
    <row r="494" spans="1:510" ht="29.25">
      <c r="A494" s="11">
        <v>55603</v>
      </c>
      <c r="B494" s="54" t="s">
        <v>974</v>
      </c>
      <c r="C494" s="55"/>
      <c r="D494" s="14" t="s">
        <v>18</v>
      </c>
      <c r="E494" s="14" t="s">
        <v>28</v>
      </c>
      <c r="F494" s="14" t="s">
        <v>27</v>
      </c>
      <c r="G494" s="305">
        <f>'OCT-18'!I480</f>
        <v>0</v>
      </c>
      <c r="H494" s="51"/>
      <c r="I494" s="17">
        <f t="shared" si="9"/>
        <v>0</v>
      </c>
      <c r="J494" s="11"/>
      <c r="K494" s="129"/>
    </row>
    <row r="495" spans="1:510" ht="90">
      <c r="A495" s="11" t="s">
        <v>220</v>
      </c>
      <c r="B495" s="53" t="s">
        <v>966</v>
      </c>
      <c r="C495" s="55"/>
      <c r="D495" s="14"/>
      <c r="E495" s="14"/>
      <c r="F495" s="14"/>
      <c r="G495" s="305">
        <f>'OCT-18'!I481</f>
        <v>0</v>
      </c>
      <c r="H495" s="51"/>
      <c r="I495" s="17"/>
      <c r="J495" s="11"/>
      <c r="K495" s="54"/>
    </row>
    <row r="496" spans="1:510" ht="29.25">
      <c r="A496" s="11">
        <v>51202</v>
      </c>
      <c r="B496" s="54" t="s">
        <v>589</v>
      </c>
      <c r="C496" s="55"/>
      <c r="D496" s="14" t="s">
        <v>18</v>
      </c>
      <c r="E496" s="14" t="s">
        <v>28</v>
      </c>
      <c r="F496" s="14" t="s">
        <v>27</v>
      </c>
      <c r="G496" s="305">
        <f>'OCT-18'!I482</f>
        <v>0</v>
      </c>
      <c r="H496" s="51"/>
      <c r="I496" s="17">
        <f t="shared" si="9"/>
        <v>0</v>
      </c>
      <c r="J496" s="11"/>
      <c r="K496" s="251"/>
    </row>
    <row r="497" spans="1:11" ht="29.25" customHeight="1">
      <c r="A497" s="11">
        <v>54110</v>
      </c>
      <c r="B497" s="54" t="s">
        <v>590</v>
      </c>
      <c r="C497" s="55"/>
      <c r="D497" s="14" t="s">
        <v>18</v>
      </c>
      <c r="E497" s="14" t="s">
        <v>28</v>
      </c>
      <c r="F497" s="14" t="s">
        <v>27</v>
      </c>
      <c r="G497" s="305">
        <f>'OCT-18'!I483</f>
        <v>0</v>
      </c>
      <c r="H497" s="51"/>
      <c r="I497" s="17">
        <f t="shared" si="9"/>
        <v>0</v>
      </c>
      <c r="J497" s="11"/>
      <c r="K497" s="251"/>
    </row>
    <row r="498" spans="1:11" ht="30">
      <c r="A498" s="11">
        <v>54111</v>
      </c>
      <c r="B498" s="54" t="s">
        <v>591</v>
      </c>
      <c r="C498" s="55"/>
      <c r="D498" s="14" t="s">
        <v>18</v>
      </c>
      <c r="E498" s="14" t="s">
        <v>28</v>
      </c>
      <c r="F498" s="14" t="s">
        <v>27</v>
      </c>
      <c r="G498" s="305">
        <f>'OCT-18'!I484</f>
        <v>-6.3726801613483985E-14</v>
      </c>
      <c r="H498" s="51"/>
      <c r="I498" s="17">
        <f t="shared" si="9"/>
        <v>-6.3726801613483985E-14</v>
      </c>
      <c r="J498" s="252"/>
      <c r="K498" s="251"/>
    </row>
    <row r="499" spans="1:11" ht="29.25">
      <c r="A499" s="11">
        <v>54112</v>
      </c>
      <c r="B499" s="54" t="s">
        <v>592</v>
      </c>
      <c r="C499" s="55"/>
      <c r="D499" s="14" t="s">
        <v>18</v>
      </c>
      <c r="E499" s="14" t="s">
        <v>28</v>
      </c>
      <c r="F499" s="14" t="s">
        <v>27</v>
      </c>
      <c r="G499" s="305">
        <f>'OCT-18'!I485</f>
        <v>0</v>
      </c>
      <c r="H499" s="51"/>
      <c r="I499" s="17">
        <f t="shared" si="9"/>
        <v>0</v>
      </c>
      <c r="J499" s="11"/>
      <c r="K499" s="251"/>
    </row>
    <row r="500" spans="1:11" ht="29.25">
      <c r="A500" s="11">
        <v>54313</v>
      </c>
      <c r="B500" s="54" t="s">
        <v>593</v>
      </c>
      <c r="C500" s="55"/>
      <c r="D500" s="14" t="s">
        <v>18</v>
      </c>
      <c r="E500" s="14" t="s">
        <v>28</v>
      </c>
      <c r="F500" s="14" t="s">
        <v>27</v>
      </c>
      <c r="G500" s="305">
        <f>'OCT-18'!I486</f>
        <v>0</v>
      </c>
      <c r="H500" s="51"/>
      <c r="I500" s="17">
        <f t="shared" si="9"/>
        <v>0</v>
      </c>
      <c r="J500" s="11"/>
      <c r="K500" s="251"/>
    </row>
    <row r="501" spans="1:11" ht="105" customHeight="1">
      <c r="A501" s="11" t="s">
        <v>238</v>
      </c>
      <c r="B501" s="53" t="s">
        <v>595</v>
      </c>
      <c r="C501" s="343" t="s">
        <v>1105</v>
      </c>
      <c r="D501" s="14"/>
      <c r="E501" s="14"/>
      <c r="F501" s="14"/>
      <c r="G501" s="305">
        <f>'OCT-18'!I487</f>
        <v>0</v>
      </c>
      <c r="H501" s="51"/>
      <c r="I501" s="17"/>
      <c r="J501" s="11"/>
      <c r="K501" s="54"/>
    </row>
    <row r="502" spans="1:11" ht="29.25">
      <c r="A502" s="11">
        <v>51202</v>
      </c>
      <c r="B502" s="54" t="s">
        <v>594</v>
      </c>
      <c r="C502" s="55"/>
      <c r="D502" s="14" t="s">
        <v>18</v>
      </c>
      <c r="E502" s="14" t="s">
        <v>28</v>
      </c>
      <c r="F502" s="14" t="s">
        <v>27</v>
      </c>
      <c r="G502" s="305">
        <f>'OCT-18'!I488</f>
        <v>0</v>
      </c>
      <c r="H502" s="51"/>
      <c r="I502" s="17">
        <f t="shared" si="9"/>
        <v>0</v>
      </c>
      <c r="J502" s="272"/>
      <c r="K502" s="129"/>
    </row>
    <row r="503" spans="1:11" ht="29.25">
      <c r="A503" s="11">
        <v>54110</v>
      </c>
      <c r="B503" s="54" t="s">
        <v>596</v>
      </c>
      <c r="C503" s="55"/>
      <c r="D503" s="14" t="s">
        <v>18</v>
      </c>
      <c r="E503" s="14" t="s">
        <v>28</v>
      </c>
      <c r="F503" s="14" t="s">
        <v>27</v>
      </c>
      <c r="G503" s="305">
        <f>'OCT-18'!I489</f>
        <v>0</v>
      </c>
      <c r="H503" s="51"/>
      <c r="I503" s="17">
        <f t="shared" si="9"/>
        <v>0</v>
      </c>
      <c r="J503" s="272"/>
      <c r="K503" s="129"/>
    </row>
    <row r="504" spans="1:11" ht="29.25">
      <c r="A504" s="11">
        <v>54111</v>
      </c>
      <c r="B504" s="54" t="s">
        <v>597</v>
      </c>
      <c r="C504" s="55"/>
      <c r="D504" s="14" t="s">
        <v>18</v>
      </c>
      <c r="E504" s="14" t="s">
        <v>28</v>
      </c>
      <c r="F504" s="14" t="s">
        <v>27</v>
      </c>
      <c r="G504" s="305">
        <f>'OCT-18'!I490</f>
        <v>0</v>
      </c>
      <c r="H504" s="51"/>
      <c r="I504" s="17">
        <f t="shared" si="9"/>
        <v>0</v>
      </c>
      <c r="J504" s="128"/>
      <c r="K504" s="129"/>
    </row>
    <row r="505" spans="1:11" ht="29.25">
      <c r="A505" s="11">
        <v>54112</v>
      </c>
      <c r="B505" s="54" t="s">
        <v>598</v>
      </c>
      <c r="C505" s="55"/>
      <c r="D505" s="14" t="s">
        <v>18</v>
      </c>
      <c r="E505" s="14" t="s">
        <v>28</v>
      </c>
      <c r="F505" s="14" t="s">
        <v>27</v>
      </c>
      <c r="G505" s="305">
        <f>'OCT-18'!I491</f>
        <v>0</v>
      </c>
      <c r="H505" s="51"/>
      <c r="I505" s="17">
        <f t="shared" si="9"/>
        <v>0</v>
      </c>
      <c r="J505" s="128"/>
      <c r="K505" s="129"/>
    </row>
    <row r="506" spans="1:11" ht="29.25">
      <c r="A506" s="11">
        <v>54118</v>
      </c>
      <c r="B506" s="54" t="s">
        <v>599</v>
      </c>
      <c r="C506" s="55"/>
      <c r="D506" s="14" t="s">
        <v>18</v>
      </c>
      <c r="E506" s="14" t="s">
        <v>28</v>
      </c>
      <c r="F506" s="14" t="s">
        <v>27</v>
      </c>
      <c r="G506" s="305">
        <f>'OCT-18'!I492</f>
        <v>0</v>
      </c>
      <c r="H506" s="51"/>
      <c r="I506" s="17">
        <f t="shared" si="9"/>
        <v>0</v>
      </c>
      <c r="J506" s="142"/>
      <c r="K506" s="142"/>
    </row>
    <row r="507" spans="1:11" ht="29.25">
      <c r="A507" s="11">
        <v>54304</v>
      </c>
      <c r="B507" s="54" t="s">
        <v>600</v>
      </c>
      <c r="C507" s="55"/>
      <c r="D507" s="14" t="s">
        <v>18</v>
      </c>
      <c r="E507" s="14" t="s">
        <v>28</v>
      </c>
      <c r="F507" s="14" t="s">
        <v>27</v>
      </c>
      <c r="G507" s="305">
        <f>'OCT-18'!I493</f>
        <v>0</v>
      </c>
      <c r="H507" s="51"/>
      <c r="I507" s="17">
        <f t="shared" si="9"/>
        <v>0</v>
      </c>
      <c r="J507" s="56"/>
      <c r="K507" s="237"/>
    </row>
    <row r="508" spans="1:11" ht="29.25">
      <c r="A508" s="11">
        <v>54313</v>
      </c>
      <c r="B508" s="54" t="s">
        <v>601</v>
      </c>
      <c r="C508" s="55"/>
      <c r="D508" s="14" t="s">
        <v>18</v>
      </c>
      <c r="E508" s="14" t="s">
        <v>28</v>
      </c>
      <c r="F508" s="14" t="s">
        <v>27</v>
      </c>
      <c r="G508" s="305">
        <f>'OCT-18'!I494</f>
        <v>0</v>
      </c>
      <c r="H508" s="51"/>
      <c r="I508" s="17">
        <f t="shared" si="9"/>
        <v>0</v>
      </c>
      <c r="J508" s="56"/>
      <c r="K508" s="237"/>
    </row>
    <row r="509" spans="1:11" ht="57.75">
      <c r="A509" s="11">
        <v>54316</v>
      </c>
      <c r="B509" s="54" t="s">
        <v>1047</v>
      </c>
      <c r="C509" s="55"/>
      <c r="D509" s="14" t="s">
        <v>18</v>
      </c>
      <c r="E509" s="14" t="s">
        <v>28</v>
      </c>
      <c r="F509" s="14" t="s">
        <v>27</v>
      </c>
      <c r="G509" s="305">
        <f>'OCT-18'!I495</f>
        <v>0</v>
      </c>
      <c r="H509" s="51"/>
      <c r="I509" s="17">
        <f t="shared" si="9"/>
        <v>0</v>
      </c>
      <c r="J509" s="137"/>
      <c r="K509" s="237"/>
    </row>
    <row r="510" spans="1:11" ht="29.25">
      <c r="A510" s="11">
        <v>54399</v>
      </c>
      <c r="B510" s="54" t="s">
        <v>602</v>
      </c>
      <c r="C510" s="13"/>
      <c r="D510" s="14" t="s">
        <v>18</v>
      </c>
      <c r="E510" s="14" t="s">
        <v>28</v>
      </c>
      <c r="F510" s="14" t="s">
        <v>27</v>
      </c>
      <c r="G510" s="305">
        <f>'OCT-18'!I496</f>
        <v>0</v>
      </c>
      <c r="H510" s="51"/>
      <c r="I510" s="17">
        <f t="shared" si="9"/>
        <v>0</v>
      </c>
      <c r="J510" s="56"/>
      <c r="K510" s="300"/>
    </row>
    <row r="511" spans="1:11" ht="29.25">
      <c r="A511" s="11">
        <v>55603</v>
      </c>
      <c r="B511" s="54" t="s">
        <v>603</v>
      </c>
      <c r="C511" s="55"/>
      <c r="D511" s="14" t="s">
        <v>18</v>
      </c>
      <c r="E511" s="14" t="s">
        <v>28</v>
      </c>
      <c r="F511" s="14" t="s">
        <v>27</v>
      </c>
      <c r="G511" s="305">
        <f>'OCT-18'!I497</f>
        <v>0</v>
      </c>
      <c r="H511" s="51"/>
      <c r="I511" s="17">
        <f t="shared" si="9"/>
        <v>0</v>
      </c>
      <c r="J511" s="56"/>
      <c r="K511" s="300"/>
    </row>
    <row r="512" spans="1:11" ht="102.75" customHeight="1">
      <c r="A512" s="141" t="s">
        <v>256</v>
      </c>
      <c r="B512" s="53" t="s">
        <v>982</v>
      </c>
      <c r="C512" s="13"/>
      <c r="D512" s="14"/>
      <c r="E512" s="14"/>
      <c r="F512" s="14"/>
      <c r="G512" s="305">
        <f>'OCT-18'!I498</f>
        <v>0</v>
      </c>
      <c r="H512" s="51"/>
      <c r="I512" s="17"/>
      <c r="J512" s="56"/>
      <c r="K512" s="56"/>
    </row>
    <row r="513" spans="1:11" ht="29.25">
      <c r="A513" s="11">
        <v>51202</v>
      </c>
      <c r="B513" s="53" t="s">
        <v>605</v>
      </c>
      <c r="C513" s="13"/>
      <c r="D513" s="14" t="s">
        <v>18</v>
      </c>
      <c r="E513" s="14" t="s">
        <v>28</v>
      </c>
      <c r="F513" s="14" t="s">
        <v>27</v>
      </c>
      <c r="G513" s="305">
        <f>'OCT-18'!I499</f>
        <v>0</v>
      </c>
      <c r="H513" s="51"/>
      <c r="I513" s="17">
        <f t="shared" si="9"/>
        <v>0</v>
      </c>
      <c r="J513" s="237"/>
      <c r="K513" s="333"/>
    </row>
    <row r="514" spans="1:11" ht="29.25">
      <c r="A514" s="11">
        <v>54110</v>
      </c>
      <c r="B514" s="53" t="s">
        <v>606</v>
      </c>
      <c r="C514" s="13"/>
      <c r="D514" s="14" t="s">
        <v>18</v>
      </c>
      <c r="E514" s="14" t="s">
        <v>28</v>
      </c>
      <c r="F514" s="14" t="s">
        <v>27</v>
      </c>
      <c r="G514" s="305">
        <f>'OCT-18'!I500</f>
        <v>0</v>
      </c>
      <c r="H514" s="51"/>
      <c r="I514" s="17">
        <f t="shared" si="9"/>
        <v>0</v>
      </c>
      <c r="J514" s="237"/>
      <c r="K514" s="333"/>
    </row>
    <row r="515" spans="1:11" ht="30">
      <c r="A515" s="11">
        <v>54111</v>
      </c>
      <c r="B515" s="53" t="s">
        <v>607</v>
      </c>
      <c r="C515" s="13"/>
      <c r="D515" s="14" t="s">
        <v>18</v>
      </c>
      <c r="E515" s="14" t="s">
        <v>28</v>
      </c>
      <c r="F515" s="14" t="s">
        <v>27</v>
      </c>
      <c r="G515" s="305">
        <f>'OCT-18'!I501</f>
        <v>0</v>
      </c>
      <c r="H515" s="212"/>
      <c r="I515" s="17">
        <f t="shared" si="9"/>
        <v>0</v>
      </c>
      <c r="J515" s="253"/>
      <c r="K515" s="333"/>
    </row>
    <row r="516" spans="1:11" ht="29.25">
      <c r="A516" s="11">
        <v>54112</v>
      </c>
      <c r="B516" s="53" t="s">
        <v>608</v>
      </c>
      <c r="C516" s="13"/>
      <c r="D516" s="14" t="s">
        <v>18</v>
      </c>
      <c r="E516" s="14" t="s">
        <v>28</v>
      </c>
      <c r="F516" s="14" t="s">
        <v>27</v>
      </c>
      <c r="G516" s="305">
        <f>'OCT-18'!I502</f>
        <v>0</v>
      </c>
      <c r="H516" s="51"/>
      <c r="I516" s="17">
        <f t="shared" si="9"/>
        <v>0</v>
      </c>
      <c r="J516" s="237"/>
      <c r="K516" s="334"/>
    </row>
    <row r="517" spans="1:11" ht="29.25">
      <c r="A517" s="11">
        <v>54118</v>
      </c>
      <c r="B517" s="53" t="s">
        <v>609</v>
      </c>
      <c r="C517" s="13"/>
      <c r="D517" s="14" t="s">
        <v>18</v>
      </c>
      <c r="E517" s="14" t="s">
        <v>28</v>
      </c>
      <c r="F517" s="14" t="s">
        <v>27</v>
      </c>
      <c r="G517" s="305">
        <f>'OCT-18'!I503</f>
        <v>0</v>
      </c>
      <c r="H517" s="51"/>
      <c r="I517" s="17">
        <f t="shared" si="9"/>
        <v>0</v>
      </c>
      <c r="J517" s="237"/>
      <c r="K517" s="333"/>
    </row>
    <row r="518" spans="1:11" ht="29.25">
      <c r="A518" s="11">
        <v>54304</v>
      </c>
      <c r="B518" s="53" t="s">
        <v>610</v>
      </c>
      <c r="C518" s="13"/>
      <c r="D518" s="14" t="s">
        <v>18</v>
      </c>
      <c r="E518" s="14" t="s">
        <v>28</v>
      </c>
      <c r="F518" s="14" t="s">
        <v>27</v>
      </c>
      <c r="G518" s="305">
        <f>'OCT-18'!I504</f>
        <v>0</v>
      </c>
      <c r="H518" s="51"/>
      <c r="I518" s="17">
        <f t="shared" si="9"/>
        <v>0</v>
      </c>
      <c r="J518" s="56"/>
      <c r="K518" s="300"/>
    </row>
    <row r="519" spans="1:11" ht="29.25">
      <c r="A519" s="11">
        <v>54313</v>
      </c>
      <c r="B519" s="53" t="s">
        <v>611</v>
      </c>
      <c r="C519" s="13"/>
      <c r="D519" s="14" t="s">
        <v>18</v>
      </c>
      <c r="E519" s="14" t="s">
        <v>28</v>
      </c>
      <c r="F519" s="14" t="s">
        <v>27</v>
      </c>
      <c r="G519" s="305">
        <f>'OCT-18'!I505</f>
        <v>0</v>
      </c>
      <c r="H519" s="51"/>
      <c r="I519" s="17">
        <f t="shared" si="9"/>
        <v>0</v>
      </c>
      <c r="J519" s="56"/>
      <c r="K519" s="300"/>
    </row>
    <row r="520" spans="1:11" ht="105">
      <c r="A520" s="141" t="s">
        <v>264</v>
      </c>
      <c r="B520" s="53" t="s">
        <v>981</v>
      </c>
      <c r="C520" s="13"/>
      <c r="D520" s="14"/>
      <c r="E520" s="14"/>
      <c r="F520" s="14"/>
      <c r="G520" s="305">
        <f>'OCT-18'!I506</f>
        <v>0</v>
      </c>
      <c r="H520" s="51"/>
      <c r="I520" s="17"/>
      <c r="J520" s="56"/>
      <c r="K520" s="331"/>
    </row>
    <row r="521" spans="1:11" ht="29.25">
      <c r="A521" s="11">
        <v>51202</v>
      </c>
      <c r="B521" s="53" t="s">
        <v>613</v>
      </c>
      <c r="C521" s="13"/>
      <c r="D521" s="14" t="s">
        <v>18</v>
      </c>
      <c r="E521" s="14" t="s">
        <v>28</v>
      </c>
      <c r="F521" s="14" t="s">
        <v>27</v>
      </c>
      <c r="G521" s="305">
        <f>'OCT-18'!I507</f>
        <v>0</v>
      </c>
      <c r="H521" s="51"/>
      <c r="I521" s="17">
        <f t="shared" si="9"/>
        <v>0</v>
      </c>
      <c r="J521" s="56"/>
      <c r="K521" s="335"/>
    </row>
    <row r="522" spans="1:11" ht="29.25">
      <c r="A522" s="11">
        <v>54110</v>
      </c>
      <c r="B522" s="53" t="s">
        <v>614</v>
      </c>
      <c r="C522" s="13"/>
      <c r="D522" s="14" t="s">
        <v>18</v>
      </c>
      <c r="E522" s="14" t="s">
        <v>28</v>
      </c>
      <c r="F522" s="14" t="s">
        <v>27</v>
      </c>
      <c r="G522" s="305">
        <f>'OCT-18'!I508</f>
        <v>0</v>
      </c>
      <c r="H522" s="51"/>
      <c r="I522" s="17">
        <f t="shared" si="9"/>
        <v>0</v>
      </c>
      <c r="J522" s="56"/>
      <c r="K522" s="336"/>
    </row>
    <row r="523" spans="1:11" ht="43.5">
      <c r="A523" s="11">
        <v>54111</v>
      </c>
      <c r="B523" s="53" t="s">
        <v>615</v>
      </c>
      <c r="C523" s="13"/>
      <c r="D523" s="14" t="s">
        <v>18</v>
      </c>
      <c r="E523" s="14" t="s">
        <v>28</v>
      </c>
      <c r="F523" s="14" t="s">
        <v>27</v>
      </c>
      <c r="G523" s="305">
        <f>'OCT-18'!I509</f>
        <v>0</v>
      </c>
      <c r="H523" s="51"/>
      <c r="I523" s="17">
        <f t="shared" si="9"/>
        <v>0</v>
      </c>
      <c r="J523" s="239"/>
      <c r="K523" s="333"/>
    </row>
    <row r="524" spans="1:11" ht="43.5">
      <c r="A524" s="11">
        <v>54112</v>
      </c>
      <c r="B524" s="53" t="s">
        <v>616</v>
      </c>
      <c r="C524" s="13"/>
      <c r="D524" s="14" t="s">
        <v>18</v>
      </c>
      <c r="E524" s="14" t="s">
        <v>28</v>
      </c>
      <c r="F524" s="14" t="s">
        <v>27</v>
      </c>
      <c r="G524" s="305">
        <f>'OCT-18'!I510</f>
        <v>0</v>
      </c>
      <c r="H524" s="51"/>
      <c r="I524" s="17">
        <f t="shared" si="9"/>
        <v>0</v>
      </c>
      <c r="J524" s="56"/>
      <c r="K524" s="336"/>
    </row>
    <row r="525" spans="1:11" ht="43.5">
      <c r="A525" s="11">
        <v>54118</v>
      </c>
      <c r="B525" s="53" t="s">
        <v>617</v>
      </c>
      <c r="C525" s="13"/>
      <c r="D525" s="14" t="s">
        <v>18</v>
      </c>
      <c r="E525" s="14" t="s">
        <v>28</v>
      </c>
      <c r="F525" s="14" t="s">
        <v>27</v>
      </c>
      <c r="G525" s="305">
        <f>'OCT-18'!I511</f>
        <v>-9.9920072216264089E-16</v>
      </c>
      <c r="H525" s="51"/>
      <c r="I525" s="17">
        <f t="shared" si="9"/>
        <v>-9.9920072216264089E-16</v>
      </c>
      <c r="J525" s="56"/>
      <c r="K525" s="301"/>
    </row>
    <row r="526" spans="1:11" ht="43.5">
      <c r="A526" s="11">
        <v>54304</v>
      </c>
      <c r="B526" s="53" t="s">
        <v>618</v>
      </c>
      <c r="C526" s="13"/>
      <c r="D526" s="14" t="s">
        <v>18</v>
      </c>
      <c r="E526" s="14" t="s">
        <v>28</v>
      </c>
      <c r="F526" s="14" t="s">
        <v>27</v>
      </c>
      <c r="G526" s="305">
        <f>'OCT-18'!I512</f>
        <v>0</v>
      </c>
      <c r="H526" s="51"/>
      <c r="I526" s="17">
        <f t="shared" si="9"/>
        <v>0</v>
      </c>
      <c r="J526" s="56"/>
      <c r="K526" s="142"/>
    </row>
    <row r="527" spans="1:11" ht="43.5">
      <c r="A527" s="11">
        <v>54313</v>
      </c>
      <c r="B527" s="53" t="s">
        <v>619</v>
      </c>
      <c r="C527" s="13"/>
      <c r="D527" s="14" t="s">
        <v>18</v>
      </c>
      <c r="E527" s="14" t="s">
        <v>28</v>
      </c>
      <c r="F527" s="14" t="s">
        <v>27</v>
      </c>
      <c r="G527" s="305">
        <f>'OCT-18'!I513</f>
        <v>0</v>
      </c>
      <c r="H527" s="51"/>
      <c r="I527" s="17">
        <f t="shared" si="9"/>
        <v>0</v>
      </c>
      <c r="J527" s="237"/>
      <c r="K527" s="137"/>
    </row>
    <row r="528" spans="1:11" ht="105">
      <c r="A528" s="144" t="s">
        <v>269</v>
      </c>
      <c r="B528" s="53" t="s">
        <v>983</v>
      </c>
      <c r="C528" s="13"/>
      <c r="D528" s="14"/>
      <c r="E528" s="14"/>
      <c r="F528" s="14"/>
      <c r="G528" s="305">
        <f>'OCT-18'!I514</f>
        <v>0</v>
      </c>
      <c r="H528" s="51"/>
      <c r="I528" s="17"/>
      <c r="J528" s="331"/>
      <c r="K528" s="56"/>
    </row>
    <row r="529" spans="1:11" ht="29.25">
      <c r="A529" s="11">
        <v>51202</v>
      </c>
      <c r="B529" s="54" t="s">
        <v>620</v>
      </c>
      <c r="C529" s="13"/>
      <c r="D529" s="14" t="s">
        <v>18</v>
      </c>
      <c r="E529" s="14" t="s">
        <v>28</v>
      </c>
      <c r="F529" s="14" t="s">
        <v>27</v>
      </c>
      <c r="G529" s="305">
        <f>'OCT-18'!I515</f>
        <v>6000</v>
      </c>
      <c r="H529" s="51"/>
      <c r="I529" s="17">
        <f t="shared" si="9"/>
        <v>6000</v>
      </c>
      <c r="J529" s="142"/>
      <c r="K529" s="300"/>
    </row>
    <row r="530" spans="1:11" ht="35.25" customHeight="1">
      <c r="A530" s="11">
        <v>54110</v>
      </c>
      <c r="B530" s="54" t="s">
        <v>622</v>
      </c>
      <c r="C530" s="13"/>
      <c r="D530" s="14" t="s">
        <v>18</v>
      </c>
      <c r="E530" s="14" t="s">
        <v>28</v>
      </c>
      <c r="F530" s="14" t="s">
        <v>27</v>
      </c>
      <c r="G530" s="305">
        <f>'OCT-18'!I516</f>
        <v>300</v>
      </c>
      <c r="H530" s="51"/>
      <c r="I530" s="17">
        <f t="shared" si="9"/>
        <v>300</v>
      </c>
      <c r="J530" s="142"/>
      <c r="K530" s="300"/>
    </row>
    <row r="531" spans="1:11" ht="43.5">
      <c r="A531" s="11">
        <v>54111</v>
      </c>
      <c r="B531" s="54" t="s">
        <v>621</v>
      </c>
      <c r="C531" s="13"/>
      <c r="D531" s="14" t="s">
        <v>18</v>
      </c>
      <c r="E531" s="14" t="s">
        <v>28</v>
      </c>
      <c r="F531" s="14" t="s">
        <v>27</v>
      </c>
      <c r="G531" s="305">
        <f>'OCT-18'!I517</f>
        <v>7095.87</v>
      </c>
      <c r="H531" s="51"/>
      <c r="I531" s="17">
        <f t="shared" si="9"/>
        <v>7095.87</v>
      </c>
      <c r="J531" s="142"/>
      <c r="K531" s="300"/>
    </row>
    <row r="532" spans="1:11" ht="43.5">
      <c r="A532" s="11">
        <v>54112</v>
      </c>
      <c r="B532" s="54" t="s">
        <v>623</v>
      </c>
      <c r="C532" s="13"/>
      <c r="D532" s="14" t="s">
        <v>18</v>
      </c>
      <c r="E532" s="14" t="s">
        <v>28</v>
      </c>
      <c r="F532" s="14" t="s">
        <v>27</v>
      </c>
      <c r="G532" s="305">
        <f>'OCT-18'!I518</f>
        <v>5000</v>
      </c>
      <c r="H532" s="51"/>
      <c r="I532" s="17">
        <f t="shared" si="9"/>
        <v>5000</v>
      </c>
      <c r="J532" s="142"/>
      <c r="K532" s="300"/>
    </row>
    <row r="533" spans="1:11" ht="43.5">
      <c r="A533" s="11">
        <v>54118</v>
      </c>
      <c r="B533" s="54" t="s">
        <v>624</v>
      </c>
      <c r="C533" s="13"/>
      <c r="D533" s="14" t="s">
        <v>18</v>
      </c>
      <c r="E533" s="14" t="s">
        <v>28</v>
      </c>
      <c r="F533" s="14" t="s">
        <v>27</v>
      </c>
      <c r="G533" s="305">
        <f>'OCT-18'!I519</f>
        <v>1000</v>
      </c>
      <c r="H533" s="51"/>
      <c r="I533" s="17">
        <f t="shared" si="9"/>
        <v>1000</v>
      </c>
      <c r="J533" s="142"/>
      <c r="K533" s="300"/>
    </row>
    <row r="534" spans="1:11" ht="43.5">
      <c r="A534" s="11">
        <v>54304</v>
      </c>
      <c r="B534" s="54" t="s">
        <v>625</v>
      </c>
      <c r="C534" s="13"/>
      <c r="D534" s="14" t="s">
        <v>18</v>
      </c>
      <c r="E534" s="14" t="s">
        <v>28</v>
      </c>
      <c r="F534" s="14" t="s">
        <v>27</v>
      </c>
      <c r="G534" s="305">
        <f>'OCT-18'!I520</f>
        <v>300</v>
      </c>
      <c r="H534" s="51"/>
      <c r="I534" s="17">
        <f t="shared" si="9"/>
        <v>300</v>
      </c>
      <c r="J534" s="142"/>
      <c r="K534" s="300"/>
    </row>
    <row r="535" spans="1:11" ht="43.5">
      <c r="A535" s="11">
        <v>54313</v>
      </c>
      <c r="B535" s="54" t="s">
        <v>626</v>
      </c>
      <c r="C535" s="13"/>
      <c r="D535" s="14" t="s">
        <v>18</v>
      </c>
      <c r="E535" s="14" t="s">
        <v>28</v>
      </c>
      <c r="F535" s="14" t="s">
        <v>27</v>
      </c>
      <c r="G535" s="305">
        <f>'OCT-18'!I521</f>
        <v>300</v>
      </c>
      <c r="H535" s="51"/>
      <c r="I535" s="17">
        <f t="shared" si="9"/>
        <v>300</v>
      </c>
      <c r="J535" s="142"/>
      <c r="K535" s="300"/>
    </row>
    <row r="536" spans="1:11" ht="105">
      <c r="A536" s="144" t="s">
        <v>289</v>
      </c>
      <c r="B536" s="53" t="s">
        <v>984</v>
      </c>
      <c r="C536" s="13"/>
      <c r="D536" s="14"/>
      <c r="E536" s="14"/>
      <c r="F536" s="14"/>
      <c r="G536" s="305">
        <f>'OCT-18'!I522</f>
        <v>0</v>
      </c>
      <c r="H536" s="51"/>
      <c r="I536" s="17"/>
      <c r="J536" s="56"/>
      <c r="K536" s="56"/>
    </row>
    <row r="537" spans="1:11" ht="29.25">
      <c r="A537" s="11">
        <v>51202</v>
      </c>
      <c r="B537" s="53" t="s">
        <v>628</v>
      </c>
      <c r="C537" s="13"/>
      <c r="D537" s="14" t="s">
        <v>18</v>
      </c>
      <c r="E537" s="14" t="s">
        <v>28</v>
      </c>
      <c r="F537" s="14" t="s">
        <v>27</v>
      </c>
      <c r="G537" s="305">
        <f>'OCT-18'!I523</f>
        <v>0</v>
      </c>
      <c r="H537" s="108"/>
      <c r="I537" s="17">
        <f t="shared" si="9"/>
        <v>0</v>
      </c>
      <c r="J537" s="56"/>
      <c r="K537" s="142"/>
    </row>
    <row r="538" spans="1:11" ht="29.25">
      <c r="A538" s="11">
        <v>54110</v>
      </c>
      <c r="B538" s="53" t="s">
        <v>629</v>
      </c>
      <c r="C538" s="13"/>
      <c r="D538" s="14" t="s">
        <v>18</v>
      </c>
      <c r="E538" s="14" t="s">
        <v>28</v>
      </c>
      <c r="F538" s="14" t="s">
        <v>27</v>
      </c>
      <c r="G538" s="305">
        <f>'OCT-18'!I524</f>
        <v>0</v>
      </c>
      <c r="H538" s="51"/>
      <c r="I538" s="17">
        <f t="shared" si="9"/>
        <v>0</v>
      </c>
      <c r="J538" s="56"/>
      <c r="K538" s="142"/>
    </row>
    <row r="539" spans="1:11" ht="29.25">
      <c r="A539" s="11">
        <v>54111</v>
      </c>
      <c r="B539" s="53" t="s">
        <v>630</v>
      </c>
      <c r="C539" s="13"/>
      <c r="D539" s="14" t="s">
        <v>18</v>
      </c>
      <c r="E539" s="14" t="s">
        <v>28</v>
      </c>
      <c r="F539" s="14" t="s">
        <v>27</v>
      </c>
      <c r="G539" s="305">
        <f>'OCT-18'!I525</f>
        <v>0</v>
      </c>
      <c r="H539" s="51"/>
      <c r="I539" s="17">
        <f t="shared" ref="I539:I602" si="10">G539-H539+J539-K539</f>
        <v>0</v>
      </c>
      <c r="J539" s="142"/>
      <c r="K539" s="142"/>
    </row>
    <row r="540" spans="1:11" ht="29.25">
      <c r="A540" s="11">
        <v>54112</v>
      </c>
      <c r="B540" s="53" t="s">
        <v>631</v>
      </c>
      <c r="C540" s="13"/>
      <c r="D540" s="14" t="s">
        <v>18</v>
      </c>
      <c r="E540" s="14" t="s">
        <v>28</v>
      </c>
      <c r="F540" s="14" t="s">
        <v>27</v>
      </c>
      <c r="G540" s="305">
        <f>'OCT-18'!I526</f>
        <v>0</v>
      </c>
      <c r="H540" s="51"/>
      <c r="I540" s="17">
        <f t="shared" si="10"/>
        <v>0</v>
      </c>
      <c r="J540" s="56"/>
      <c r="K540" s="142"/>
    </row>
    <row r="541" spans="1:11" ht="29.25">
      <c r="A541" s="11">
        <v>54118</v>
      </c>
      <c r="B541" s="53" t="s">
        <v>632</v>
      </c>
      <c r="C541" s="13"/>
      <c r="D541" s="14" t="s">
        <v>18</v>
      </c>
      <c r="E541" s="14" t="s">
        <v>28</v>
      </c>
      <c r="F541" s="14" t="s">
        <v>27</v>
      </c>
      <c r="G541" s="305">
        <f>'OCT-18'!I527</f>
        <v>0</v>
      </c>
      <c r="H541" s="51"/>
      <c r="I541" s="17">
        <f t="shared" si="10"/>
        <v>0</v>
      </c>
      <c r="J541" s="56"/>
      <c r="K541" s="137"/>
    </row>
    <row r="542" spans="1:11" ht="29.25">
      <c r="A542" s="11">
        <v>54304</v>
      </c>
      <c r="B542" s="53" t="s">
        <v>633</v>
      </c>
      <c r="C542" s="13"/>
      <c r="D542" s="14" t="s">
        <v>18</v>
      </c>
      <c r="E542" s="14" t="s">
        <v>28</v>
      </c>
      <c r="F542" s="14" t="s">
        <v>27</v>
      </c>
      <c r="G542" s="305">
        <f>'OCT-18'!I528</f>
        <v>0</v>
      </c>
      <c r="H542" s="51"/>
      <c r="I542" s="17">
        <f t="shared" si="10"/>
        <v>0</v>
      </c>
      <c r="J542" s="56"/>
      <c r="K542" s="137"/>
    </row>
    <row r="543" spans="1:11" ht="29.25">
      <c r="A543" s="11">
        <v>54313</v>
      </c>
      <c r="B543" s="53" t="s">
        <v>634</v>
      </c>
      <c r="C543" s="13"/>
      <c r="D543" s="14" t="s">
        <v>18</v>
      </c>
      <c r="E543" s="14" t="s">
        <v>28</v>
      </c>
      <c r="F543" s="14" t="s">
        <v>27</v>
      </c>
      <c r="G543" s="305">
        <f>'OCT-18'!I529</f>
        <v>0</v>
      </c>
      <c r="H543" s="51"/>
      <c r="I543" s="17">
        <f t="shared" si="10"/>
        <v>0</v>
      </c>
      <c r="J543" s="56"/>
      <c r="K543" s="142"/>
    </row>
    <row r="544" spans="1:11" ht="90">
      <c r="A544" s="141" t="s">
        <v>300</v>
      </c>
      <c r="B544" s="53" t="s">
        <v>635</v>
      </c>
      <c r="C544" s="13"/>
      <c r="D544" s="14"/>
      <c r="E544" s="14"/>
      <c r="F544" s="14"/>
      <c r="G544" s="305">
        <f>'OCT-18'!I530</f>
        <v>0</v>
      </c>
      <c r="H544" s="51"/>
      <c r="I544" s="17"/>
      <c r="J544" s="56"/>
      <c r="K544" s="56"/>
    </row>
    <row r="545" spans="1:11" ht="29.25">
      <c r="A545" s="11">
        <v>51202</v>
      </c>
      <c r="B545" s="53" t="s">
        <v>636</v>
      </c>
      <c r="C545" s="13"/>
      <c r="D545" s="14" t="s">
        <v>18</v>
      </c>
      <c r="E545" s="14" t="s">
        <v>28</v>
      </c>
      <c r="F545" s="14" t="s">
        <v>27</v>
      </c>
      <c r="G545" s="305">
        <f>'OCT-18'!I531</f>
        <v>0</v>
      </c>
      <c r="H545" s="51"/>
      <c r="I545" s="17">
        <f t="shared" si="10"/>
        <v>0</v>
      </c>
      <c r="J545" s="56"/>
      <c r="K545" s="142"/>
    </row>
    <row r="546" spans="1:11" ht="29.25">
      <c r="A546" s="11">
        <v>54110</v>
      </c>
      <c r="B546" s="53" t="s">
        <v>637</v>
      </c>
      <c r="C546" s="13"/>
      <c r="D546" s="14" t="s">
        <v>18</v>
      </c>
      <c r="E546" s="14" t="s">
        <v>28</v>
      </c>
      <c r="F546" s="14" t="s">
        <v>27</v>
      </c>
      <c r="G546" s="305">
        <f>'OCT-18'!I532</f>
        <v>0</v>
      </c>
      <c r="H546" s="51"/>
      <c r="I546" s="17">
        <f t="shared" si="10"/>
        <v>0</v>
      </c>
      <c r="J546" s="56"/>
      <c r="K546" s="142"/>
    </row>
    <row r="547" spans="1:11" ht="29.25">
      <c r="A547" s="11">
        <v>54111</v>
      </c>
      <c r="B547" s="53" t="s">
        <v>638</v>
      </c>
      <c r="C547" s="13"/>
      <c r="D547" s="14" t="s">
        <v>18</v>
      </c>
      <c r="E547" s="14" t="s">
        <v>28</v>
      </c>
      <c r="F547" s="14" t="s">
        <v>27</v>
      </c>
      <c r="G547" s="305">
        <f>'OCT-18'!I533</f>
        <v>1.8207657603852567E-13</v>
      </c>
      <c r="H547" s="211"/>
      <c r="I547" s="17">
        <f t="shared" si="10"/>
        <v>1.8207657603852567E-13</v>
      </c>
      <c r="J547" s="142"/>
      <c r="K547" s="137"/>
    </row>
    <row r="548" spans="1:11" ht="29.25">
      <c r="A548" s="11">
        <v>54304</v>
      </c>
      <c r="B548" s="53" t="s">
        <v>639</v>
      </c>
      <c r="C548" s="55"/>
      <c r="D548" s="14" t="s">
        <v>18</v>
      </c>
      <c r="E548" s="14" t="s">
        <v>28</v>
      </c>
      <c r="F548" s="14" t="s">
        <v>27</v>
      </c>
      <c r="G548" s="305">
        <f>'OCT-18'!I534</f>
        <v>0</v>
      </c>
      <c r="H548" s="51"/>
      <c r="I548" s="17">
        <f t="shared" si="10"/>
        <v>0</v>
      </c>
      <c r="J548" s="56"/>
      <c r="K548" s="142"/>
    </row>
    <row r="549" spans="1:11" ht="38.25" customHeight="1">
      <c r="A549" s="11">
        <v>54313</v>
      </c>
      <c r="B549" s="53" t="s">
        <v>640</v>
      </c>
      <c r="C549" s="60"/>
      <c r="D549" s="14" t="s">
        <v>18</v>
      </c>
      <c r="E549" s="14" t="s">
        <v>28</v>
      </c>
      <c r="F549" s="14" t="s">
        <v>27</v>
      </c>
      <c r="G549" s="305">
        <f>'OCT-18'!I535</f>
        <v>0</v>
      </c>
      <c r="H549" s="51"/>
      <c r="I549" s="17">
        <f t="shared" si="10"/>
        <v>0</v>
      </c>
      <c r="J549" s="56"/>
      <c r="K549" s="142"/>
    </row>
    <row r="550" spans="1:11" ht="106.5" customHeight="1">
      <c r="A550" s="141" t="s">
        <v>316</v>
      </c>
      <c r="B550" s="53" t="s">
        <v>641</v>
      </c>
      <c r="C550" s="60" t="s">
        <v>1013</v>
      </c>
      <c r="D550" s="14"/>
      <c r="E550" s="14"/>
      <c r="F550" s="14"/>
      <c r="G550" s="305">
        <f>'OCT-18'!I536</f>
        <v>0</v>
      </c>
      <c r="H550" s="51"/>
      <c r="I550" s="17"/>
      <c r="J550" s="56"/>
      <c r="K550" s="56"/>
    </row>
    <row r="551" spans="1:11" ht="38.25" customHeight="1">
      <c r="A551" s="11">
        <v>51202</v>
      </c>
      <c r="B551" s="53" t="s">
        <v>642</v>
      </c>
      <c r="C551" s="60"/>
      <c r="D551" s="14" t="s">
        <v>18</v>
      </c>
      <c r="E551" s="14" t="s">
        <v>28</v>
      </c>
      <c r="F551" s="14" t="s">
        <v>27</v>
      </c>
      <c r="G551" s="305">
        <f>'OCT-18'!I537</f>
        <v>7.2830630415410269E-14</v>
      </c>
      <c r="H551" s="51"/>
      <c r="I551" s="17">
        <f t="shared" si="10"/>
        <v>7.2830630415410269E-14</v>
      </c>
      <c r="J551" s="56"/>
      <c r="K551" s="142"/>
    </row>
    <row r="552" spans="1:11" ht="38.25" customHeight="1">
      <c r="A552" s="11">
        <v>54110</v>
      </c>
      <c r="B552" s="53" t="s">
        <v>643</v>
      </c>
      <c r="C552" s="60"/>
      <c r="D552" s="14" t="s">
        <v>18</v>
      </c>
      <c r="E552" s="14" t="s">
        <v>28</v>
      </c>
      <c r="F552" s="14" t="s">
        <v>27</v>
      </c>
      <c r="G552" s="305">
        <f>'OCT-18'!I538</f>
        <v>0</v>
      </c>
      <c r="H552" s="51"/>
      <c r="I552" s="17">
        <f t="shared" si="10"/>
        <v>0</v>
      </c>
      <c r="J552" s="56"/>
      <c r="K552" s="142"/>
    </row>
    <row r="553" spans="1:11" ht="38.25" customHeight="1">
      <c r="A553" s="11">
        <v>54111</v>
      </c>
      <c r="B553" s="53" t="s">
        <v>644</v>
      </c>
      <c r="C553" s="60"/>
      <c r="D553" s="14" t="s">
        <v>18</v>
      </c>
      <c r="E553" s="14" t="s">
        <v>28</v>
      </c>
      <c r="F553" s="14" t="s">
        <v>27</v>
      </c>
      <c r="G553" s="305">
        <f>'OCT-18'!I539</f>
        <v>2.2737367544323206E-13</v>
      </c>
      <c r="H553" s="51"/>
      <c r="I553" s="17">
        <f t="shared" si="10"/>
        <v>2.2737367544323206E-13</v>
      </c>
      <c r="J553" s="137"/>
      <c r="K553" s="142"/>
    </row>
    <row r="554" spans="1:11" ht="38.25" customHeight="1">
      <c r="A554" s="11">
        <v>54304</v>
      </c>
      <c r="B554" s="53" t="s">
        <v>645</v>
      </c>
      <c r="C554" s="60"/>
      <c r="D554" s="14" t="s">
        <v>18</v>
      </c>
      <c r="E554" s="14" t="s">
        <v>28</v>
      </c>
      <c r="F554" s="14" t="s">
        <v>27</v>
      </c>
      <c r="G554" s="305">
        <f>'OCT-18'!I540</f>
        <v>0</v>
      </c>
      <c r="H554" s="51"/>
      <c r="I554" s="17">
        <f t="shared" si="10"/>
        <v>0</v>
      </c>
      <c r="J554" s="56"/>
      <c r="K554" s="142"/>
    </row>
    <row r="555" spans="1:11" ht="38.25" customHeight="1">
      <c r="A555" s="11">
        <v>54313</v>
      </c>
      <c r="B555" s="53" t="s">
        <v>646</v>
      </c>
      <c r="C555" s="60"/>
      <c r="D555" s="14" t="s">
        <v>18</v>
      </c>
      <c r="E555" s="14" t="s">
        <v>28</v>
      </c>
      <c r="F555" s="14" t="s">
        <v>27</v>
      </c>
      <c r="G555" s="305">
        <f>'OCT-18'!I541</f>
        <v>0</v>
      </c>
      <c r="H555" s="51"/>
      <c r="I555" s="17">
        <f t="shared" si="10"/>
        <v>0</v>
      </c>
      <c r="J555" s="56"/>
      <c r="K555" s="142"/>
    </row>
    <row r="556" spans="1:11" ht="99" customHeight="1">
      <c r="A556" s="240" t="s">
        <v>326</v>
      </c>
      <c r="B556" s="53" t="s">
        <v>647</v>
      </c>
      <c r="C556" s="345" t="s">
        <v>1106</v>
      </c>
      <c r="D556" s="14"/>
      <c r="E556" s="14"/>
      <c r="F556" s="14"/>
      <c r="G556" s="305">
        <f>'OCT-18'!I542</f>
        <v>0</v>
      </c>
      <c r="H556" s="51"/>
      <c r="I556" s="17"/>
      <c r="J556" s="56"/>
      <c r="K556" s="56"/>
    </row>
    <row r="557" spans="1:11" ht="38.25" customHeight="1">
      <c r="A557" s="11">
        <v>51202</v>
      </c>
      <c r="B557" s="53" t="s">
        <v>648</v>
      </c>
      <c r="C557" s="60"/>
      <c r="D557" s="14" t="s">
        <v>18</v>
      </c>
      <c r="E557" s="14" t="s">
        <v>28</v>
      </c>
      <c r="F557" s="14" t="s">
        <v>27</v>
      </c>
      <c r="G557" s="305">
        <f>'OCT-18'!I543</f>
        <v>0</v>
      </c>
      <c r="H557" s="51"/>
      <c r="I557" s="17">
        <f t="shared" si="10"/>
        <v>0</v>
      </c>
      <c r="J557" s="301"/>
      <c r="K557" s="237"/>
    </row>
    <row r="558" spans="1:11" ht="38.25" customHeight="1">
      <c r="A558" s="11">
        <v>54110</v>
      </c>
      <c r="B558" s="53" t="s">
        <v>649</v>
      </c>
      <c r="C558" s="60"/>
      <c r="D558" s="14" t="s">
        <v>18</v>
      </c>
      <c r="E558" s="14" t="s">
        <v>28</v>
      </c>
      <c r="F558" s="14" t="s">
        <v>27</v>
      </c>
      <c r="G558" s="305">
        <f>'OCT-18'!I544</f>
        <v>0</v>
      </c>
      <c r="H558" s="51"/>
      <c r="I558" s="17">
        <f t="shared" si="10"/>
        <v>0</v>
      </c>
      <c r="J558" s="237"/>
      <c r="K558" s="237"/>
    </row>
    <row r="559" spans="1:11" ht="38.25" customHeight="1">
      <c r="A559" s="11">
        <v>54111</v>
      </c>
      <c r="B559" s="53" t="s">
        <v>650</v>
      </c>
      <c r="C559" s="60" t="s">
        <v>1107</v>
      </c>
      <c r="D559" s="14" t="s">
        <v>18</v>
      </c>
      <c r="E559" s="14" t="s">
        <v>28</v>
      </c>
      <c r="F559" s="14" t="s">
        <v>27</v>
      </c>
      <c r="G559" s="305">
        <f>'OCT-18'!I545</f>
        <v>0</v>
      </c>
      <c r="H559" s="51"/>
      <c r="I559" s="134">
        <f t="shared" si="10"/>
        <v>0</v>
      </c>
      <c r="J559" s="346"/>
      <c r="K559" s="237"/>
    </row>
    <row r="560" spans="1:11" ht="29.25">
      <c r="A560" s="11">
        <v>54112</v>
      </c>
      <c r="B560" s="53" t="s">
        <v>651</v>
      </c>
      <c r="C560" s="13"/>
      <c r="D560" s="14" t="s">
        <v>18</v>
      </c>
      <c r="E560" s="14" t="s">
        <v>28</v>
      </c>
      <c r="F560" s="14" t="s">
        <v>27</v>
      </c>
      <c r="G560" s="305">
        <f>'OCT-18'!I546</f>
        <v>0</v>
      </c>
      <c r="H560" s="51"/>
      <c r="I560" s="17">
        <f t="shared" si="10"/>
        <v>0</v>
      </c>
      <c r="J560" s="237"/>
      <c r="K560" s="237"/>
    </row>
    <row r="561" spans="1:11" ht="29.25">
      <c r="A561" s="11">
        <v>54118</v>
      </c>
      <c r="B561" s="53" t="s">
        <v>652</v>
      </c>
      <c r="C561" s="13"/>
      <c r="D561" s="14" t="s">
        <v>18</v>
      </c>
      <c r="E561" s="14" t="s">
        <v>28</v>
      </c>
      <c r="F561" s="14" t="s">
        <v>27</v>
      </c>
      <c r="G561" s="305">
        <f>'OCT-18'!I547</f>
        <v>0</v>
      </c>
      <c r="H561" s="51"/>
      <c r="I561" s="17">
        <f t="shared" si="10"/>
        <v>0</v>
      </c>
      <c r="J561" s="237"/>
      <c r="K561" s="237"/>
    </row>
    <row r="562" spans="1:11" ht="29.25">
      <c r="A562" s="11">
        <v>54304</v>
      </c>
      <c r="B562" s="53" t="s">
        <v>653</v>
      </c>
      <c r="C562" s="13"/>
      <c r="D562" s="14" t="s">
        <v>18</v>
      </c>
      <c r="E562" s="14" t="s">
        <v>28</v>
      </c>
      <c r="F562" s="14" t="s">
        <v>27</v>
      </c>
      <c r="G562" s="305">
        <f>'OCT-18'!I548</f>
        <v>0</v>
      </c>
      <c r="H562" s="51"/>
      <c r="I562" s="17">
        <f t="shared" si="10"/>
        <v>0</v>
      </c>
      <c r="J562" s="237"/>
      <c r="K562" s="237"/>
    </row>
    <row r="563" spans="1:11" ht="29.25">
      <c r="A563" s="11">
        <v>54313</v>
      </c>
      <c r="B563" s="53" t="s">
        <v>654</v>
      </c>
      <c r="C563" s="13"/>
      <c r="D563" s="14" t="s">
        <v>18</v>
      </c>
      <c r="E563" s="14" t="s">
        <v>28</v>
      </c>
      <c r="F563" s="14" t="s">
        <v>27</v>
      </c>
      <c r="G563" s="305">
        <f>'OCT-18'!I549</f>
        <v>0</v>
      </c>
      <c r="H563" s="51"/>
      <c r="I563" s="17">
        <f t="shared" si="10"/>
        <v>0</v>
      </c>
      <c r="J563" s="237"/>
      <c r="K563" s="346"/>
    </row>
    <row r="564" spans="1:11" ht="29.25">
      <c r="A564" s="11">
        <v>54399</v>
      </c>
      <c r="B564" s="53" t="s">
        <v>655</v>
      </c>
      <c r="C564" s="13"/>
      <c r="D564" s="14" t="s">
        <v>18</v>
      </c>
      <c r="E564" s="14" t="s">
        <v>28</v>
      </c>
      <c r="F564" s="14" t="s">
        <v>27</v>
      </c>
      <c r="G564" s="305">
        <f>'OCT-18'!I550</f>
        <v>0</v>
      </c>
      <c r="H564" s="51"/>
      <c r="I564" s="17">
        <f t="shared" si="10"/>
        <v>0</v>
      </c>
      <c r="J564" s="237"/>
      <c r="K564" s="237"/>
    </row>
    <row r="565" spans="1:11" ht="75">
      <c r="A565" s="141" t="s">
        <v>338</v>
      </c>
      <c r="B565" s="53" t="s">
        <v>656</v>
      </c>
      <c r="C565" s="13"/>
      <c r="D565" s="14"/>
      <c r="E565" s="14"/>
      <c r="F565" s="14"/>
      <c r="G565" s="305">
        <f>'OCT-18'!I551</f>
        <v>0</v>
      </c>
      <c r="H565" s="51"/>
      <c r="I565" s="17"/>
      <c r="J565" s="56"/>
      <c r="K565" s="56"/>
    </row>
    <row r="566" spans="1:11" ht="29.25">
      <c r="A566" s="11">
        <v>51202</v>
      </c>
      <c r="B566" s="54" t="s">
        <v>657</v>
      </c>
      <c r="C566" s="13"/>
      <c r="D566" s="14" t="s">
        <v>18</v>
      </c>
      <c r="E566" s="14" t="s">
        <v>28</v>
      </c>
      <c r="F566" s="14" t="s">
        <v>27</v>
      </c>
      <c r="G566" s="305">
        <f>'OCT-18'!I552</f>
        <v>0</v>
      </c>
      <c r="H566" s="51"/>
      <c r="I566" s="17">
        <f t="shared" si="10"/>
        <v>0</v>
      </c>
      <c r="J566" s="56"/>
      <c r="K566" s="137"/>
    </row>
    <row r="567" spans="1:11" ht="29.25">
      <c r="A567" s="11">
        <v>54110</v>
      </c>
      <c r="B567" s="54" t="s">
        <v>658</v>
      </c>
      <c r="C567" s="13"/>
      <c r="D567" s="14" t="s">
        <v>18</v>
      </c>
      <c r="E567" s="14" t="s">
        <v>28</v>
      </c>
      <c r="F567" s="14" t="s">
        <v>27</v>
      </c>
      <c r="G567" s="305">
        <f>'OCT-18'!I553</f>
        <v>0</v>
      </c>
      <c r="H567" s="51"/>
      <c r="I567" s="17">
        <f t="shared" si="10"/>
        <v>0</v>
      </c>
      <c r="J567" s="56"/>
      <c r="K567" s="137"/>
    </row>
    <row r="568" spans="1:11" ht="44.25">
      <c r="A568" s="11">
        <v>54111</v>
      </c>
      <c r="B568" s="54" t="s">
        <v>659</v>
      </c>
      <c r="C568" s="13"/>
      <c r="D568" s="14" t="s">
        <v>18</v>
      </c>
      <c r="E568" s="14" t="s">
        <v>28</v>
      </c>
      <c r="F568" s="14" t="s">
        <v>27</v>
      </c>
      <c r="G568" s="305">
        <f>'OCT-18'!I554</f>
        <v>0</v>
      </c>
      <c r="H568" s="51"/>
      <c r="I568" s="17">
        <f t="shared" si="10"/>
        <v>0</v>
      </c>
      <c r="J568" s="56"/>
      <c r="K568" s="137"/>
    </row>
    <row r="569" spans="1:11" ht="44.25">
      <c r="A569" s="11">
        <v>54112</v>
      </c>
      <c r="B569" s="54" t="s">
        <v>660</v>
      </c>
      <c r="C569" s="13"/>
      <c r="D569" s="14" t="s">
        <v>18</v>
      </c>
      <c r="E569" s="14" t="s">
        <v>28</v>
      </c>
      <c r="F569" s="14" t="s">
        <v>27</v>
      </c>
      <c r="G569" s="305">
        <f>'OCT-18'!I555</f>
        <v>0</v>
      </c>
      <c r="H569" s="51"/>
      <c r="I569" s="17">
        <f t="shared" si="10"/>
        <v>0</v>
      </c>
      <c r="J569" s="56"/>
      <c r="K569" s="137"/>
    </row>
    <row r="570" spans="1:11" ht="44.25">
      <c r="A570" s="11">
        <v>54304</v>
      </c>
      <c r="B570" s="54" t="s">
        <v>661</v>
      </c>
      <c r="C570" s="13"/>
      <c r="D570" s="14" t="s">
        <v>18</v>
      </c>
      <c r="E570" s="14" t="s">
        <v>28</v>
      </c>
      <c r="F570" s="14" t="s">
        <v>27</v>
      </c>
      <c r="G570" s="305">
        <f>'OCT-18'!I556</f>
        <v>0</v>
      </c>
      <c r="H570" s="51"/>
      <c r="I570" s="17">
        <f t="shared" si="10"/>
        <v>0</v>
      </c>
      <c r="J570" s="56"/>
      <c r="K570" s="137"/>
    </row>
    <row r="571" spans="1:11" ht="44.25">
      <c r="A571" s="11">
        <v>54313</v>
      </c>
      <c r="B571" s="54" t="s">
        <v>662</v>
      </c>
      <c r="C571" s="13"/>
      <c r="D571" s="14" t="s">
        <v>18</v>
      </c>
      <c r="E571" s="14" t="s">
        <v>28</v>
      </c>
      <c r="F571" s="14" t="s">
        <v>27</v>
      </c>
      <c r="G571" s="305">
        <f>'OCT-18'!I557</f>
        <v>0</v>
      </c>
      <c r="H571" s="51"/>
      <c r="I571" s="17">
        <f t="shared" si="10"/>
        <v>0</v>
      </c>
      <c r="J571" s="56"/>
      <c r="K571" s="137"/>
    </row>
    <row r="572" spans="1:11" ht="44.25">
      <c r="A572" s="11">
        <v>54399</v>
      </c>
      <c r="B572" s="54" t="s">
        <v>663</v>
      </c>
      <c r="C572" s="13"/>
      <c r="D572" s="14" t="s">
        <v>18</v>
      </c>
      <c r="E572" s="14" t="s">
        <v>28</v>
      </c>
      <c r="F572" s="14" t="s">
        <v>27</v>
      </c>
      <c r="G572" s="305">
        <f>'OCT-18'!I558</f>
        <v>0</v>
      </c>
      <c r="H572" s="51"/>
      <c r="I572" s="17">
        <f t="shared" si="10"/>
        <v>0</v>
      </c>
      <c r="J572" s="56"/>
      <c r="K572" s="137"/>
    </row>
    <row r="573" spans="1:11" ht="29.25">
      <c r="A573" s="11">
        <v>55603</v>
      </c>
      <c r="B573" s="54" t="s">
        <v>664</v>
      </c>
      <c r="C573" s="13"/>
      <c r="D573" s="14" t="s">
        <v>18</v>
      </c>
      <c r="E573" s="14" t="s">
        <v>28</v>
      </c>
      <c r="F573" s="14" t="s">
        <v>27</v>
      </c>
      <c r="G573" s="305">
        <f>'OCT-18'!I559</f>
        <v>0</v>
      </c>
      <c r="H573" s="51"/>
      <c r="I573" s="17">
        <f t="shared" si="10"/>
        <v>0</v>
      </c>
      <c r="J573" s="56"/>
      <c r="K573" s="137"/>
    </row>
    <row r="574" spans="1:11" ht="90">
      <c r="A574" s="141" t="s">
        <v>348</v>
      </c>
      <c r="B574" s="53" t="s">
        <v>665</v>
      </c>
      <c r="C574" s="13"/>
      <c r="D574" s="14"/>
      <c r="E574" s="14"/>
      <c r="F574" s="14"/>
      <c r="G574" s="305">
        <f>'OCT-18'!I560</f>
        <v>0</v>
      </c>
      <c r="H574" s="51"/>
      <c r="I574" s="17"/>
      <c r="J574" s="56"/>
      <c r="K574" s="56"/>
    </row>
    <row r="575" spans="1:11" ht="29.25">
      <c r="A575" s="11">
        <v>51202</v>
      </c>
      <c r="B575" s="54" t="s">
        <v>666</v>
      </c>
      <c r="C575" s="13"/>
      <c r="D575" s="14" t="s">
        <v>18</v>
      </c>
      <c r="E575" s="14" t="s">
        <v>28</v>
      </c>
      <c r="F575" s="14" t="s">
        <v>27</v>
      </c>
      <c r="G575" s="305">
        <f>'OCT-18'!I561</f>
        <v>0</v>
      </c>
      <c r="H575" s="51"/>
      <c r="I575" s="17">
        <f t="shared" si="10"/>
        <v>0</v>
      </c>
      <c r="J575" s="56"/>
      <c r="K575" s="300"/>
    </row>
    <row r="576" spans="1:11" ht="29.25">
      <c r="A576" s="11">
        <v>54110</v>
      </c>
      <c r="B576" s="54" t="s">
        <v>667</v>
      </c>
      <c r="C576" s="13"/>
      <c r="D576" s="14" t="s">
        <v>18</v>
      </c>
      <c r="E576" s="14" t="s">
        <v>28</v>
      </c>
      <c r="F576" s="14" t="s">
        <v>27</v>
      </c>
      <c r="G576" s="305">
        <f>'OCT-18'!I562</f>
        <v>0</v>
      </c>
      <c r="H576" s="51"/>
      <c r="I576" s="17">
        <f t="shared" si="10"/>
        <v>0</v>
      </c>
      <c r="J576" s="56"/>
      <c r="K576" s="300"/>
    </row>
    <row r="577" spans="1:11" ht="44.25">
      <c r="A577" s="11">
        <v>54111</v>
      </c>
      <c r="B577" s="54" t="s">
        <v>668</v>
      </c>
      <c r="C577" s="13"/>
      <c r="D577" s="14" t="s">
        <v>18</v>
      </c>
      <c r="E577" s="14" t="s">
        <v>28</v>
      </c>
      <c r="F577" s="14" t="s">
        <v>27</v>
      </c>
      <c r="G577" s="305">
        <f>'OCT-18'!I563</f>
        <v>0</v>
      </c>
      <c r="H577" s="51"/>
      <c r="I577" s="17">
        <f t="shared" si="10"/>
        <v>0</v>
      </c>
      <c r="J577" s="56"/>
      <c r="K577" s="300"/>
    </row>
    <row r="578" spans="1:11" ht="44.25">
      <c r="A578" s="11">
        <v>54112</v>
      </c>
      <c r="B578" s="54" t="s">
        <v>669</v>
      </c>
      <c r="C578" s="13"/>
      <c r="D578" s="14" t="s">
        <v>18</v>
      </c>
      <c r="E578" s="14" t="s">
        <v>28</v>
      </c>
      <c r="F578" s="14" t="s">
        <v>27</v>
      </c>
      <c r="G578" s="305">
        <f>'OCT-18'!I564</f>
        <v>0</v>
      </c>
      <c r="H578" s="51"/>
      <c r="I578" s="17">
        <f t="shared" si="10"/>
        <v>0</v>
      </c>
      <c r="J578" s="56"/>
      <c r="K578" s="300"/>
    </row>
    <row r="579" spans="1:11" ht="44.25">
      <c r="A579" s="11">
        <v>54313</v>
      </c>
      <c r="B579" s="54" t="s">
        <v>670</v>
      </c>
      <c r="C579" s="13"/>
      <c r="D579" s="14" t="s">
        <v>18</v>
      </c>
      <c r="E579" s="14" t="s">
        <v>28</v>
      </c>
      <c r="F579" s="14" t="s">
        <v>27</v>
      </c>
      <c r="G579" s="305">
        <f>'OCT-18'!I565</f>
        <v>0</v>
      </c>
      <c r="H579" s="51"/>
      <c r="I579" s="17">
        <f t="shared" si="10"/>
        <v>0</v>
      </c>
      <c r="J579" s="56"/>
      <c r="K579" s="300"/>
    </row>
    <row r="580" spans="1:11" ht="44.25">
      <c r="A580" s="11">
        <v>54399</v>
      </c>
      <c r="B580" s="54" t="s">
        <v>671</v>
      </c>
      <c r="C580" s="13"/>
      <c r="D580" s="14" t="s">
        <v>18</v>
      </c>
      <c r="E580" s="14" t="s">
        <v>28</v>
      </c>
      <c r="F580" s="14" t="s">
        <v>27</v>
      </c>
      <c r="G580" s="305">
        <f>'OCT-18'!I566</f>
        <v>0</v>
      </c>
      <c r="H580" s="51"/>
      <c r="I580" s="17">
        <f t="shared" si="10"/>
        <v>0</v>
      </c>
      <c r="J580" s="56"/>
      <c r="K580" s="300"/>
    </row>
    <row r="581" spans="1:11" ht="29.25">
      <c r="A581" s="11">
        <v>55603</v>
      </c>
      <c r="B581" s="54" t="s">
        <v>672</v>
      </c>
      <c r="C581" s="13"/>
      <c r="D581" s="14" t="s">
        <v>18</v>
      </c>
      <c r="E581" s="14" t="s">
        <v>28</v>
      </c>
      <c r="F581" s="14" t="s">
        <v>27</v>
      </c>
      <c r="G581" s="305">
        <f>'OCT-18'!I567</f>
        <v>0</v>
      </c>
      <c r="H581" s="51"/>
      <c r="I581" s="17">
        <f t="shared" si="10"/>
        <v>0</v>
      </c>
      <c r="J581" s="56"/>
      <c r="K581" s="300"/>
    </row>
    <row r="582" spans="1:11" ht="119.25" customHeight="1">
      <c r="A582" s="141" t="s">
        <v>358</v>
      </c>
      <c r="B582" s="53" t="s">
        <v>673</v>
      </c>
      <c r="C582" s="13"/>
      <c r="D582" s="14"/>
      <c r="E582" s="14"/>
      <c r="F582" s="14"/>
      <c r="G582" s="305">
        <f>'OCT-18'!I568</f>
        <v>0</v>
      </c>
      <c r="H582" s="51"/>
      <c r="I582" s="17"/>
      <c r="J582" s="56"/>
      <c r="K582" s="56"/>
    </row>
    <row r="583" spans="1:11" ht="29.25">
      <c r="A583" s="11">
        <v>51202</v>
      </c>
      <c r="B583" s="54" t="s">
        <v>674</v>
      </c>
      <c r="C583" s="13"/>
      <c r="D583" s="14" t="s">
        <v>18</v>
      </c>
      <c r="E583" s="14" t="s">
        <v>28</v>
      </c>
      <c r="F583" s="14" t="s">
        <v>27</v>
      </c>
      <c r="G583" s="305">
        <f>'OCT-18'!I569</f>
        <v>0</v>
      </c>
      <c r="H583" s="51"/>
      <c r="I583" s="17">
        <f t="shared" si="10"/>
        <v>0</v>
      </c>
      <c r="J583" s="56"/>
      <c r="K583" s="300"/>
    </row>
    <row r="584" spans="1:11" ht="29.25">
      <c r="A584" s="11">
        <v>54110</v>
      </c>
      <c r="B584" s="54" t="s">
        <v>675</v>
      </c>
      <c r="C584" s="13"/>
      <c r="D584" s="14" t="s">
        <v>18</v>
      </c>
      <c r="E584" s="14" t="s">
        <v>28</v>
      </c>
      <c r="F584" s="14" t="s">
        <v>27</v>
      </c>
      <c r="G584" s="305">
        <f>'OCT-18'!I570</f>
        <v>0</v>
      </c>
      <c r="H584" s="51"/>
      <c r="I584" s="17">
        <f t="shared" si="10"/>
        <v>0</v>
      </c>
      <c r="J584" s="56"/>
      <c r="K584" s="300"/>
    </row>
    <row r="585" spans="1:11" ht="29.25">
      <c r="A585" s="11">
        <v>54111</v>
      </c>
      <c r="B585" s="54" t="s">
        <v>677</v>
      </c>
      <c r="C585" s="13"/>
      <c r="D585" s="14" t="s">
        <v>18</v>
      </c>
      <c r="E585" s="14" t="s">
        <v>28</v>
      </c>
      <c r="F585" s="14" t="s">
        <v>27</v>
      </c>
      <c r="G585" s="305">
        <f>'OCT-18'!I571</f>
        <v>0</v>
      </c>
      <c r="H585" s="51"/>
      <c r="I585" s="17">
        <f t="shared" si="10"/>
        <v>0</v>
      </c>
      <c r="J585" s="56"/>
      <c r="K585" s="300"/>
    </row>
    <row r="586" spans="1:11" ht="29.25">
      <c r="A586" s="11">
        <v>54112</v>
      </c>
      <c r="B586" s="54" t="s">
        <v>676</v>
      </c>
      <c r="C586" s="13"/>
      <c r="D586" s="14" t="s">
        <v>18</v>
      </c>
      <c r="E586" s="14" t="s">
        <v>28</v>
      </c>
      <c r="F586" s="14" t="s">
        <v>27</v>
      </c>
      <c r="G586" s="305">
        <f>'OCT-18'!I572</f>
        <v>0</v>
      </c>
      <c r="H586" s="51"/>
      <c r="I586" s="17">
        <f t="shared" si="10"/>
        <v>0</v>
      </c>
      <c r="J586" s="56"/>
      <c r="K586" s="300"/>
    </row>
    <row r="587" spans="1:11" ht="29.25">
      <c r="A587" s="11">
        <v>54118</v>
      </c>
      <c r="B587" s="54" t="s">
        <v>678</v>
      </c>
      <c r="C587" s="13"/>
      <c r="D587" s="14" t="s">
        <v>18</v>
      </c>
      <c r="E587" s="14" t="s">
        <v>28</v>
      </c>
      <c r="F587" s="14" t="s">
        <v>27</v>
      </c>
      <c r="G587" s="305">
        <f>'OCT-18'!I573</f>
        <v>0</v>
      </c>
      <c r="H587" s="51"/>
      <c r="I587" s="17">
        <f t="shared" si="10"/>
        <v>0</v>
      </c>
      <c r="J587" s="56"/>
      <c r="K587" s="300"/>
    </row>
    <row r="588" spans="1:11" ht="29.25">
      <c r="A588" s="11">
        <v>54313</v>
      </c>
      <c r="B588" s="54" t="s">
        <v>679</v>
      </c>
      <c r="C588" s="13"/>
      <c r="D588" s="14" t="s">
        <v>18</v>
      </c>
      <c r="E588" s="14" t="s">
        <v>28</v>
      </c>
      <c r="F588" s="14" t="s">
        <v>27</v>
      </c>
      <c r="G588" s="305">
        <f>'OCT-18'!I574</f>
        <v>0</v>
      </c>
      <c r="H588" s="51"/>
      <c r="I588" s="17">
        <f t="shared" si="10"/>
        <v>0</v>
      </c>
      <c r="J588" s="56"/>
      <c r="K588" s="300"/>
    </row>
    <row r="589" spans="1:11" ht="36.75" customHeight="1">
      <c r="A589" s="11">
        <v>54399</v>
      </c>
      <c r="B589" s="54" t="s">
        <v>680</v>
      </c>
      <c r="C589" s="13"/>
      <c r="D589" s="14" t="s">
        <v>18</v>
      </c>
      <c r="E589" s="14" t="s">
        <v>28</v>
      </c>
      <c r="F589" s="14" t="s">
        <v>27</v>
      </c>
      <c r="G589" s="305">
        <f>'OCT-18'!I575</f>
        <v>0</v>
      </c>
      <c r="H589" s="51"/>
      <c r="I589" s="17">
        <f t="shared" si="10"/>
        <v>0</v>
      </c>
      <c r="J589" s="56"/>
      <c r="K589" s="300"/>
    </row>
    <row r="590" spans="1:11" ht="29.25">
      <c r="A590" s="11">
        <v>55603</v>
      </c>
      <c r="B590" s="54" t="s">
        <v>681</v>
      </c>
      <c r="C590" s="13"/>
      <c r="D590" s="14" t="s">
        <v>18</v>
      </c>
      <c r="E590" s="14" t="s">
        <v>28</v>
      </c>
      <c r="F590" s="14" t="s">
        <v>27</v>
      </c>
      <c r="G590" s="305">
        <f>'OCT-18'!I576</f>
        <v>0</v>
      </c>
      <c r="H590" s="51"/>
      <c r="I590" s="17">
        <f t="shared" si="10"/>
        <v>0</v>
      </c>
      <c r="J590" s="56"/>
      <c r="K590" s="300"/>
    </row>
    <row r="591" spans="1:11" ht="74.25">
      <c r="A591" s="141" t="s">
        <v>374</v>
      </c>
      <c r="B591" s="53" t="s">
        <v>690</v>
      </c>
      <c r="C591" s="13"/>
      <c r="D591" s="14"/>
      <c r="E591" s="14"/>
      <c r="F591" s="14"/>
      <c r="G591" s="305">
        <f>'OCT-18'!I577</f>
        <v>0</v>
      </c>
      <c r="H591" s="51"/>
      <c r="I591" s="17"/>
      <c r="J591" s="56"/>
      <c r="K591" s="56"/>
    </row>
    <row r="592" spans="1:11">
      <c r="A592" s="11">
        <v>51202</v>
      </c>
      <c r="B592" s="54" t="s">
        <v>682</v>
      </c>
      <c r="C592" s="13"/>
      <c r="D592" s="14" t="s">
        <v>18</v>
      </c>
      <c r="E592" s="14" t="s">
        <v>28</v>
      </c>
      <c r="F592" s="14" t="s">
        <v>27</v>
      </c>
      <c r="G592" s="305">
        <f>'OCT-18'!I578</f>
        <v>7000</v>
      </c>
      <c r="H592" s="51"/>
      <c r="I592" s="17">
        <f t="shared" si="10"/>
        <v>7000</v>
      </c>
      <c r="J592" s="142"/>
      <c r="K592" s="300"/>
    </row>
    <row r="593" spans="1:11" ht="29.25">
      <c r="A593" s="11">
        <v>54110</v>
      </c>
      <c r="B593" s="54" t="s">
        <v>683</v>
      </c>
      <c r="C593" s="13"/>
      <c r="D593" s="14" t="s">
        <v>18</v>
      </c>
      <c r="E593" s="14" t="s">
        <v>28</v>
      </c>
      <c r="F593" s="14" t="s">
        <v>27</v>
      </c>
      <c r="G593" s="305">
        <f>'OCT-18'!I579</f>
        <v>300</v>
      </c>
      <c r="H593" s="51"/>
      <c r="I593" s="17">
        <f t="shared" si="10"/>
        <v>300</v>
      </c>
      <c r="J593" s="142"/>
      <c r="K593" s="300"/>
    </row>
    <row r="594" spans="1:11" ht="30">
      <c r="A594" s="11">
        <v>54111</v>
      </c>
      <c r="B594" s="53" t="s">
        <v>689</v>
      </c>
      <c r="C594" s="13"/>
      <c r="D594" s="14" t="s">
        <v>18</v>
      </c>
      <c r="E594" s="14" t="s">
        <v>28</v>
      </c>
      <c r="F594" s="14" t="s">
        <v>27</v>
      </c>
      <c r="G594" s="305">
        <f>'OCT-18'!I580</f>
        <v>8000</v>
      </c>
      <c r="H594" s="51"/>
      <c r="I594" s="17">
        <f t="shared" si="10"/>
        <v>8000</v>
      </c>
      <c r="J594" s="142"/>
      <c r="K594" s="300"/>
    </row>
    <row r="595" spans="1:11" ht="29.25">
      <c r="A595" s="11">
        <v>54112</v>
      </c>
      <c r="B595" s="53" t="s">
        <v>684</v>
      </c>
      <c r="C595" s="13"/>
      <c r="D595" s="14" t="s">
        <v>18</v>
      </c>
      <c r="E595" s="14" t="s">
        <v>28</v>
      </c>
      <c r="F595" s="14" t="s">
        <v>27</v>
      </c>
      <c r="G595" s="305">
        <f>'OCT-18'!I581</f>
        <v>6000</v>
      </c>
      <c r="H595" s="51"/>
      <c r="I595" s="17">
        <f t="shared" si="10"/>
        <v>6000</v>
      </c>
      <c r="J595" s="142"/>
      <c r="K595" s="300"/>
    </row>
    <row r="596" spans="1:11" ht="29.25">
      <c r="A596" s="11">
        <v>54118</v>
      </c>
      <c r="B596" s="53" t="s">
        <v>685</v>
      </c>
      <c r="C596" s="13"/>
      <c r="D596" s="14" t="s">
        <v>18</v>
      </c>
      <c r="E596" s="14" t="s">
        <v>28</v>
      </c>
      <c r="F596" s="14" t="s">
        <v>27</v>
      </c>
      <c r="G596" s="305">
        <f>'OCT-18'!I582</f>
        <v>3000</v>
      </c>
      <c r="H596" s="51"/>
      <c r="I596" s="17">
        <f t="shared" si="10"/>
        <v>3000</v>
      </c>
      <c r="J596" s="142"/>
      <c r="K596" s="300"/>
    </row>
    <row r="597" spans="1:11" ht="29.25">
      <c r="A597" s="11">
        <v>54313</v>
      </c>
      <c r="B597" s="53" t="s">
        <v>686</v>
      </c>
      <c r="C597" s="13"/>
      <c r="D597" s="14" t="s">
        <v>18</v>
      </c>
      <c r="E597" s="14" t="s">
        <v>28</v>
      </c>
      <c r="F597" s="14" t="s">
        <v>27</v>
      </c>
      <c r="G597" s="305">
        <f>'OCT-18'!I583</f>
        <v>200</v>
      </c>
      <c r="H597" s="51"/>
      <c r="I597" s="17">
        <f t="shared" si="10"/>
        <v>200</v>
      </c>
      <c r="J597" s="142"/>
      <c r="K597" s="300"/>
    </row>
    <row r="598" spans="1:11" ht="29.25">
      <c r="A598" s="11">
        <v>54399</v>
      </c>
      <c r="B598" s="54" t="s">
        <v>687</v>
      </c>
      <c r="C598" s="13"/>
      <c r="D598" s="14" t="s">
        <v>18</v>
      </c>
      <c r="E598" s="14" t="s">
        <v>28</v>
      </c>
      <c r="F598" s="14" t="s">
        <v>27</v>
      </c>
      <c r="G598" s="305">
        <f>'OCT-18'!I584</f>
        <v>490</v>
      </c>
      <c r="H598" s="51"/>
      <c r="I598" s="17">
        <f t="shared" si="10"/>
        <v>490</v>
      </c>
      <c r="J598" s="142"/>
      <c r="K598" s="300"/>
    </row>
    <row r="599" spans="1:11" ht="29.25">
      <c r="A599" s="11">
        <v>55603</v>
      </c>
      <c r="B599" s="53" t="s">
        <v>688</v>
      </c>
      <c r="C599" s="13"/>
      <c r="D599" s="14" t="s">
        <v>18</v>
      </c>
      <c r="E599" s="14" t="s">
        <v>28</v>
      </c>
      <c r="F599" s="14" t="s">
        <v>27</v>
      </c>
      <c r="G599" s="305">
        <f>'OCT-18'!I585</f>
        <v>10</v>
      </c>
      <c r="H599" s="51"/>
      <c r="I599" s="17">
        <f t="shared" si="10"/>
        <v>10</v>
      </c>
      <c r="J599" s="142"/>
      <c r="K599" s="300"/>
    </row>
    <row r="600" spans="1:11" ht="60">
      <c r="A600" s="141" t="s">
        <v>388</v>
      </c>
      <c r="B600" s="53" t="s">
        <v>699</v>
      </c>
      <c r="C600" s="13"/>
      <c r="D600" s="14"/>
      <c r="E600" s="14"/>
      <c r="F600" s="14"/>
      <c r="G600" s="305">
        <f>'OCT-18'!I586</f>
        <v>0</v>
      </c>
      <c r="H600" s="51"/>
      <c r="I600" s="17"/>
      <c r="J600" s="56"/>
      <c r="K600" s="56"/>
    </row>
    <row r="601" spans="1:11" ht="29.25">
      <c r="A601" s="11">
        <v>51202</v>
      </c>
      <c r="B601" s="54" t="s">
        <v>691</v>
      </c>
      <c r="C601" s="13"/>
      <c r="D601" s="14" t="s">
        <v>18</v>
      </c>
      <c r="E601" s="14" t="s">
        <v>28</v>
      </c>
      <c r="F601" s="14" t="s">
        <v>27</v>
      </c>
      <c r="G601" s="305">
        <f>'OCT-18'!I587</f>
        <v>7000</v>
      </c>
      <c r="H601" s="51"/>
      <c r="I601" s="17">
        <f t="shared" si="10"/>
        <v>7000</v>
      </c>
      <c r="J601" s="142"/>
      <c r="K601" s="300"/>
    </row>
    <row r="602" spans="1:11" ht="29.25">
      <c r="A602" s="11">
        <v>54110</v>
      </c>
      <c r="B602" s="54" t="s">
        <v>692</v>
      </c>
      <c r="C602" s="13"/>
      <c r="D602" s="14" t="s">
        <v>18</v>
      </c>
      <c r="E602" s="14" t="s">
        <v>28</v>
      </c>
      <c r="F602" s="14" t="s">
        <v>27</v>
      </c>
      <c r="G602" s="305">
        <f>'OCT-18'!I588</f>
        <v>300</v>
      </c>
      <c r="H602" s="51"/>
      <c r="I602" s="17">
        <f t="shared" si="10"/>
        <v>300</v>
      </c>
      <c r="J602" s="142"/>
      <c r="K602" s="300"/>
    </row>
    <row r="603" spans="1:11" ht="44.25">
      <c r="A603" s="11">
        <v>54111</v>
      </c>
      <c r="B603" s="53" t="s">
        <v>693</v>
      </c>
      <c r="C603" s="13"/>
      <c r="D603" s="14" t="s">
        <v>18</v>
      </c>
      <c r="E603" s="14" t="s">
        <v>28</v>
      </c>
      <c r="F603" s="14" t="s">
        <v>27</v>
      </c>
      <c r="G603" s="305">
        <f>'OCT-18'!I589</f>
        <v>8000</v>
      </c>
      <c r="H603" s="51"/>
      <c r="I603" s="17">
        <f t="shared" ref="I603:I613" si="11">G603-H603+J603-K603</f>
        <v>8000</v>
      </c>
      <c r="J603" s="142"/>
      <c r="K603" s="300"/>
    </row>
    <row r="604" spans="1:11" ht="29.25">
      <c r="A604" s="11">
        <v>54112</v>
      </c>
      <c r="B604" s="54" t="s">
        <v>694</v>
      </c>
      <c r="C604" s="13"/>
      <c r="D604" s="14" t="s">
        <v>18</v>
      </c>
      <c r="E604" s="14" t="s">
        <v>28</v>
      </c>
      <c r="F604" s="14" t="s">
        <v>27</v>
      </c>
      <c r="G604" s="305">
        <f>'OCT-18'!I590</f>
        <v>7000</v>
      </c>
      <c r="H604" s="51"/>
      <c r="I604" s="17">
        <f t="shared" si="11"/>
        <v>7000</v>
      </c>
      <c r="J604" s="142"/>
      <c r="K604" s="300"/>
    </row>
    <row r="605" spans="1:11" ht="29.25">
      <c r="A605" s="11">
        <v>54118</v>
      </c>
      <c r="B605" s="54" t="s">
        <v>695</v>
      </c>
      <c r="C605" s="13"/>
      <c r="D605" s="14" t="s">
        <v>18</v>
      </c>
      <c r="E605" s="14" t="s">
        <v>28</v>
      </c>
      <c r="F605" s="14" t="s">
        <v>27</v>
      </c>
      <c r="G605" s="305">
        <f>'OCT-18'!I591</f>
        <v>2000</v>
      </c>
      <c r="H605" s="51"/>
      <c r="I605" s="17">
        <f t="shared" si="11"/>
        <v>2000</v>
      </c>
      <c r="J605" s="142"/>
      <c r="K605" s="300"/>
    </row>
    <row r="606" spans="1:11" ht="44.25">
      <c r="A606" s="11">
        <v>54313</v>
      </c>
      <c r="B606" s="53" t="s">
        <v>696</v>
      </c>
      <c r="C606" s="13"/>
      <c r="D606" s="14" t="s">
        <v>18</v>
      </c>
      <c r="E606" s="14" t="s">
        <v>28</v>
      </c>
      <c r="F606" s="14" t="s">
        <v>27</v>
      </c>
      <c r="G606" s="305">
        <f>'OCT-18'!I592</f>
        <v>300</v>
      </c>
      <c r="H606" s="51"/>
      <c r="I606" s="17">
        <f t="shared" si="11"/>
        <v>300</v>
      </c>
      <c r="J606" s="142"/>
      <c r="K606" s="300"/>
    </row>
    <row r="607" spans="1:11" ht="29.25">
      <c r="A607" s="11">
        <v>54399</v>
      </c>
      <c r="B607" s="54" t="s">
        <v>697</v>
      </c>
      <c r="C607" s="13"/>
      <c r="D607" s="14" t="s">
        <v>18</v>
      </c>
      <c r="E607" s="14" t="s">
        <v>28</v>
      </c>
      <c r="F607" s="14" t="s">
        <v>27</v>
      </c>
      <c r="G607" s="305">
        <f>'OCT-18'!I593</f>
        <v>390</v>
      </c>
      <c r="H607" s="51"/>
      <c r="I607" s="17">
        <f t="shared" si="11"/>
        <v>390</v>
      </c>
      <c r="J607" s="142"/>
      <c r="K607" s="300"/>
    </row>
    <row r="608" spans="1:11" ht="29.25">
      <c r="A608" s="11">
        <v>55603</v>
      </c>
      <c r="B608" s="54" t="s">
        <v>698</v>
      </c>
      <c r="C608" s="13"/>
      <c r="D608" s="14" t="s">
        <v>18</v>
      </c>
      <c r="E608" s="14" t="s">
        <v>28</v>
      </c>
      <c r="F608" s="14" t="s">
        <v>27</v>
      </c>
      <c r="G608" s="305">
        <f>'OCT-18'!I594</f>
        <v>10</v>
      </c>
      <c r="H608" s="51"/>
      <c r="I608" s="17">
        <f t="shared" si="11"/>
        <v>10</v>
      </c>
      <c r="J608" s="142"/>
      <c r="K608" s="300"/>
    </row>
    <row r="609" spans="1:11" ht="60">
      <c r="A609" s="141" t="s">
        <v>392</v>
      </c>
      <c r="B609" s="53" t="s">
        <v>700</v>
      </c>
      <c r="C609" s="13"/>
      <c r="D609" s="14"/>
      <c r="E609" s="14"/>
      <c r="F609" s="14"/>
      <c r="G609" s="305">
        <f>'OCT-18'!I595</f>
        <v>0</v>
      </c>
      <c r="H609" s="51"/>
      <c r="I609" s="17"/>
      <c r="J609" s="56"/>
      <c r="K609" s="56"/>
    </row>
    <row r="610" spans="1:11" ht="29.25">
      <c r="A610" s="11">
        <v>51202</v>
      </c>
      <c r="B610" s="54" t="s">
        <v>701</v>
      </c>
      <c r="C610" s="13"/>
      <c r="D610" s="14" t="s">
        <v>18</v>
      </c>
      <c r="E610" s="14" t="s">
        <v>28</v>
      </c>
      <c r="F610" s="14" t="s">
        <v>27</v>
      </c>
      <c r="G610" s="305">
        <f>'OCT-18'!I596</f>
        <v>0</v>
      </c>
      <c r="H610" s="51"/>
      <c r="I610" s="17">
        <f t="shared" si="11"/>
        <v>0</v>
      </c>
      <c r="J610" s="56"/>
      <c r="K610" s="332"/>
    </row>
    <row r="611" spans="1:11" ht="29.25">
      <c r="A611" s="11">
        <v>54110</v>
      </c>
      <c r="B611" s="53" t="s">
        <v>702</v>
      </c>
      <c r="C611" s="13"/>
      <c r="D611" s="14" t="s">
        <v>18</v>
      </c>
      <c r="E611" s="14" t="s">
        <v>28</v>
      </c>
      <c r="F611" s="14" t="s">
        <v>27</v>
      </c>
      <c r="G611" s="305">
        <f>'OCT-18'!I597</f>
        <v>0</v>
      </c>
      <c r="H611" s="51"/>
      <c r="I611" s="17">
        <f t="shared" si="11"/>
        <v>0</v>
      </c>
      <c r="J611" s="56"/>
      <c r="K611" s="332"/>
    </row>
    <row r="612" spans="1:11" ht="44.25">
      <c r="A612" s="11">
        <v>54111</v>
      </c>
      <c r="B612" s="53" t="s">
        <v>703</v>
      </c>
      <c r="C612" s="13"/>
      <c r="D612" s="14" t="s">
        <v>18</v>
      </c>
      <c r="E612" s="14" t="s">
        <v>28</v>
      </c>
      <c r="F612" s="14" t="s">
        <v>27</v>
      </c>
      <c r="G612" s="305">
        <f>'OCT-18'!I598</f>
        <v>0</v>
      </c>
      <c r="H612" s="51"/>
      <c r="I612" s="17">
        <f t="shared" si="11"/>
        <v>0</v>
      </c>
      <c r="J612" s="56"/>
      <c r="K612" s="332"/>
    </row>
    <row r="613" spans="1:11" ht="44.25">
      <c r="A613" s="11">
        <v>54313</v>
      </c>
      <c r="B613" s="53" t="s">
        <v>704</v>
      </c>
      <c r="C613" s="13"/>
      <c r="D613" s="14" t="s">
        <v>18</v>
      </c>
      <c r="E613" s="14" t="s">
        <v>28</v>
      </c>
      <c r="F613" s="14" t="s">
        <v>27</v>
      </c>
      <c r="G613" s="305">
        <f>'OCT-18'!I599</f>
        <v>0</v>
      </c>
      <c r="H613" s="51"/>
      <c r="I613" s="17">
        <f t="shared" si="11"/>
        <v>0</v>
      </c>
      <c r="J613" s="56"/>
      <c r="K613" s="332"/>
    </row>
    <row r="614" spans="1:11" ht="29.25">
      <c r="A614" s="11">
        <v>55603</v>
      </c>
      <c r="B614" s="53" t="s">
        <v>705</v>
      </c>
      <c r="C614" s="13"/>
      <c r="D614" s="14" t="s">
        <v>18</v>
      </c>
      <c r="E614" s="14" t="s">
        <v>28</v>
      </c>
      <c r="F614" s="14" t="s">
        <v>27</v>
      </c>
      <c r="G614" s="305">
        <f>'OCT-18'!I600</f>
        <v>0</v>
      </c>
      <c r="H614" s="51"/>
      <c r="I614" s="17">
        <f>G614-H614+J614-K614</f>
        <v>0</v>
      </c>
      <c r="J614" s="56"/>
      <c r="K614" s="332"/>
    </row>
    <row r="615" spans="1:11" ht="105">
      <c r="A615" s="141" t="s">
        <v>401</v>
      </c>
      <c r="B615" s="53" t="s">
        <v>706</v>
      </c>
      <c r="C615" s="13"/>
      <c r="D615" s="14"/>
      <c r="E615" s="14"/>
      <c r="F615" s="14"/>
      <c r="G615" s="305">
        <f>'OCT-18'!I601</f>
        <v>0</v>
      </c>
      <c r="H615" s="51"/>
      <c r="I615" s="17"/>
      <c r="J615" s="56"/>
      <c r="K615" s="56"/>
    </row>
    <row r="616" spans="1:11" ht="29.25">
      <c r="A616" s="11">
        <v>51202</v>
      </c>
      <c r="B616" s="54" t="s">
        <v>707</v>
      </c>
      <c r="C616" s="13"/>
      <c r="D616" s="14" t="s">
        <v>18</v>
      </c>
      <c r="E616" s="14" t="s">
        <v>28</v>
      </c>
      <c r="F616" s="14" t="s">
        <v>27</v>
      </c>
      <c r="G616" s="305">
        <f>'OCT-18'!I602</f>
        <v>6000</v>
      </c>
      <c r="H616" s="51"/>
      <c r="I616" s="17">
        <f>G616-H616+J616-K616</f>
        <v>6000</v>
      </c>
      <c r="J616" s="142"/>
      <c r="K616" s="300"/>
    </row>
    <row r="617" spans="1:11" ht="43.5">
      <c r="A617" s="11">
        <v>54110</v>
      </c>
      <c r="B617" s="54" t="s">
        <v>708</v>
      </c>
      <c r="C617" s="13"/>
      <c r="D617" s="14" t="s">
        <v>18</v>
      </c>
      <c r="E617" s="14" t="s">
        <v>28</v>
      </c>
      <c r="F617" s="14" t="s">
        <v>27</v>
      </c>
      <c r="G617" s="305">
        <f>'OCT-18'!I603</f>
        <v>300</v>
      </c>
      <c r="H617" s="51"/>
      <c r="I617" s="17">
        <f t="shared" ref="I617:I657" si="12">G617-H617+J617-K617</f>
        <v>300</v>
      </c>
      <c r="J617" s="142"/>
      <c r="K617" s="300"/>
    </row>
    <row r="618" spans="1:11" ht="44.25">
      <c r="A618" s="11">
        <v>54111</v>
      </c>
      <c r="B618" s="54" t="s">
        <v>709</v>
      </c>
      <c r="C618" s="13"/>
      <c r="D618" s="14" t="s">
        <v>18</v>
      </c>
      <c r="E618" s="14" t="s">
        <v>28</v>
      </c>
      <c r="F618" s="14" t="s">
        <v>27</v>
      </c>
      <c r="G618" s="305">
        <f>'OCT-18'!I604</f>
        <v>8000</v>
      </c>
      <c r="H618" s="51"/>
      <c r="I618" s="17">
        <f t="shared" si="12"/>
        <v>8000</v>
      </c>
      <c r="J618" s="142"/>
      <c r="K618" s="300"/>
    </row>
    <row r="619" spans="1:11" ht="43.5">
      <c r="A619" s="11">
        <v>54118</v>
      </c>
      <c r="B619" s="54" t="s">
        <v>710</v>
      </c>
      <c r="C619" s="13"/>
      <c r="D619" s="14" t="s">
        <v>18</v>
      </c>
      <c r="E619" s="14" t="s">
        <v>28</v>
      </c>
      <c r="F619" s="14" t="s">
        <v>27</v>
      </c>
      <c r="G619" s="305">
        <f>'OCT-18'!I605</f>
        <v>5000</v>
      </c>
      <c r="H619" s="51"/>
      <c r="I619" s="17">
        <f t="shared" si="12"/>
        <v>5000</v>
      </c>
      <c r="J619" s="142"/>
      <c r="K619" s="300"/>
    </row>
    <row r="620" spans="1:11" ht="43.5">
      <c r="A620" s="11">
        <v>54313</v>
      </c>
      <c r="B620" s="54" t="s">
        <v>711</v>
      </c>
      <c r="C620" s="13"/>
      <c r="D620" s="14" t="s">
        <v>18</v>
      </c>
      <c r="E620" s="14" t="s">
        <v>28</v>
      </c>
      <c r="F620" s="14" t="s">
        <v>27</v>
      </c>
      <c r="G620" s="305">
        <f>'OCT-18'!I606</f>
        <v>300</v>
      </c>
      <c r="H620" s="51"/>
      <c r="I620" s="17">
        <f t="shared" si="12"/>
        <v>300</v>
      </c>
      <c r="J620" s="142"/>
      <c r="K620" s="300"/>
    </row>
    <row r="621" spans="1:11" ht="44.25">
      <c r="A621" s="11">
        <v>54399</v>
      </c>
      <c r="B621" s="54" t="s">
        <v>712</v>
      </c>
      <c r="C621" s="13"/>
      <c r="D621" s="14" t="s">
        <v>18</v>
      </c>
      <c r="E621" s="14" t="s">
        <v>28</v>
      </c>
      <c r="F621" s="14" t="s">
        <v>27</v>
      </c>
      <c r="G621" s="305">
        <f>'OCT-18'!I607</f>
        <v>390</v>
      </c>
      <c r="H621" s="51"/>
      <c r="I621" s="17">
        <f t="shared" si="12"/>
        <v>390</v>
      </c>
      <c r="J621" s="142"/>
      <c r="K621" s="300"/>
    </row>
    <row r="622" spans="1:11" ht="43.5">
      <c r="A622" s="11">
        <v>55603</v>
      </c>
      <c r="B622" s="53" t="s">
        <v>713</v>
      </c>
      <c r="C622" s="13"/>
      <c r="D622" s="14" t="s">
        <v>18</v>
      </c>
      <c r="E622" s="14" t="s">
        <v>28</v>
      </c>
      <c r="F622" s="14" t="s">
        <v>27</v>
      </c>
      <c r="G622" s="305">
        <f>'OCT-18'!I608</f>
        <v>10</v>
      </c>
      <c r="H622" s="51"/>
      <c r="I622" s="17">
        <f t="shared" si="12"/>
        <v>10</v>
      </c>
      <c r="J622" s="142"/>
      <c r="K622" s="300"/>
    </row>
    <row r="623" spans="1:11" ht="59.25">
      <c r="A623" s="141" t="s">
        <v>408</v>
      </c>
      <c r="B623" s="53" t="s">
        <v>714</v>
      </c>
      <c r="C623" s="13"/>
      <c r="D623" s="14"/>
      <c r="E623" s="14"/>
      <c r="F623" s="14"/>
      <c r="G623" s="305">
        <f>'OCT-18'!I609</f>
        <v>0</v>
      </c>
      <c r="H623" s="51"/>
      <c r="I623" s="17"/>
      <c r="J623" s="56"/>
      <c r="K623" s="56"/>
    </row>
    <row r="624" spans="1:11" ht="29.25">
      <c r="A624" s="11">
        <v>51202</v>
      </c>
      <c r="B624" s="54" t="s">
        <v>715</v>
      </c>
      <c r="C624" s="13"/>
      <c r="D624" s="14" t="s">
        <v>18</v>
      </c>
      <c r="E624" s="14" t="s">
        <v>28</v>
      </c>
      <c r="F624" s="14" t="s">
        <v>27</v>
      </c>
      <c r="G624" s="305">
        <f>'OCT-18'!I610</f>
        <v>6000</v>
      </c>
      <c r="H624" s="51"/>
      <c r="I624" s="17">
        <f t="shared" si="12"/>
        <v>6000</v>
      </c>
      <c r="J624" s="142"/>
      <c r="K624" s="142"/>
    </row>
    <row r="625" spans="1:11" ht="29.25">
      <c r="A625" s="11">
        <v>54110</v>
      </c>
      <c r="B625" s="54" t="s">
        <v>716</v>
      </c>
      <c r="C625" s="13"/>
      <c r="D625" s="14" t="s">
        <v>18</v>
      </c>
      <c r="E625" s="14" t="s">
        <v>28</v>
      </c>
      <c r="F625" s="14" t="s">
        <v>27</v>
      </c>
      <c r="G625" s="305">
        <f>'OCT-18'!I611</f>
        <v>300</v>
      </c>
      <c r="H625" s="51"/>
      <c r="I625" s="17">
        <f t="shared" si="12"/>
        <v>300</v>
      </c>
      <c r="J625" s="142"/>
      <c r="K625" s="142"/>
    </row>
    <row r="626" spans="1:11" ht="44.25">
      <c r="A626" s="11">
        <v>54111</v>
      </c>
      <c r="B626" s="54" t="s">
        <v>717</v>
      </c>
      <c r="C626" s="13"/>
      <c r="D626" s="14" t="s">
        <v>18</v>
      </c>
      <c r="E626" s="14" t="s">
        <v>28</v>
      </c>
      <c r="F626" s="14" t="s">
        <v>27</v>
      </c>
      <c r="G626" s="305">
        <f>'OCT-18'!I612</f>
        <v>8000</v>
      </c>
      <c r="H626" s="51"/>
      <c r="I626" s="17">
        <f t="shared" si="12"/>
        <v>8000</v>
      </c>
      <c r="J626" s="142"/>
      <c r="K626" s="142"/>
    </row>
    <row r="627" spans="1:11" ht="43.5">
      <c r="A627" s="11">
        <v>54112</v>
      </c>
      <c r="B627" s="53" t="s">
        <v>718</v>
      </c>
      <c r="C627" s="13"/>
      <c r="D627" s="14" t="s">
        <v>18</v>
      </c>
      <c r="E627" s="14" t="s">
        <v>28</v>
      </c>
      <c r="F627" s="14" t="s">
        <v>27</v>
      </c>
      <c r="G627" s="305">
        <f>'OCT-18'!I613</f>
        <v>4500</v>
      </c>
      <c r="H627" s="51"/>
      <c r="I627" s="17">
        <f t="shared" si="12"/>
        <v>4500</v>
      </c>
      <c r="J627" s="142"/>
      <c r="K627" s="142"/>
    </row>
    <row r="628" spans="1:11" ht="29.25">
      <c r="A628" s="11">
        <v>54118</v>
      </c>
      <c r="B628" s="54" t="s">
        <v>719</v>
      </c>
      <c r="C628" s="13"/>
      <c r="D628" s="14" t="s">
        <v>18</v>
      </c>
      <c r="E628" s="14" t="s">
        <v>28</v>
      </c>
      <c r="F628" s="14" t="s">
        <v>27</v>
      </c>
      <c r="G628" s="305">
        <f>'OCT-18'!I614</f>
        <v>300</v>
      </c>
      <c r="H628" s="51"/>
      <c r="I628" s="17">
        <f t="shared" si="12"/>
        <v>300</v>
      </c>
      <c r="J628" s="142"/>
      <c r="K628" s="142"/>
    </row>
    <row r="629" spans="1:11" ht="44.25">
      <c r="A629" s="11">
        <v>54313</v>
      </c>
      <c r="B629" s="54" t="s">
        <v>720</v>
      </c>
      <c r="C629" s="13"/>
      <c r="D629" s="14" t="s">
        <v>18</v>
      </c>
      <c r="E629" s="14" t="s">
        <v>28</v>
      </c>
      <c r="F629" s="14" t="s">
        <v>27</v>
      </c>
      <c r="G629" s="305">
        <f>'OCT-18'!I615</f>
        <v>390</v>
      </c>
      <c r="H629" s="51"/>
      <c r="I629" s="17">
        <f t="shared" si="12"/>
        <v>390</v>
      </c>
      <c r="J629" s="142"/>
      <c r="K629" s="142"/>
    </row>
    <row r="630" spans="1:11" ht="44.25">
      <c r="A630" s="11">
        <v>54399</v>
      </c>
      <c r="B630" s="53" t="s">
        <v>721</v>
      </c>
      <c r="C630" s="13"/>
      <c r="D630" s="14" t="s">
        <v>18</v>
      </c>
      <c r="E630" s="14" t="s">
        <v>28</v>
      </c>
      <c r="F630" s="14" t="s">
        <v>27</v>
      </c>
      <c r="G630" s="305">
        <f>'OCT-18'!I616</f>
        <v>500</v>
      </c>
      <c r="H630" s="51"/>
      <c r="I630" s="17">
        <f t="shared" si="12"/>
        <v>500</v>
      </c>
      <c r="J630" s="142"/>
      <c r="K630" s="142"/>
    </row>
    <row r="631" spans="1:11" ht="29.25">
      <c r="A631" s="11">
        <v>55603</v>
      </c>
      <c r="B631" s="53" t="s">
        <v>722</v>
      </c>
      <c r="C631" s="13"/>
      <c r="D631" s="14" t="s">
        <v>18</v>
      </c>
      <c r="E631" s="14" t="s">
        <v>28</v>
      </c>
      <c r="F631" s="14" t="s">
        <v>27</v>
      </c>
      <c r="G631" s="305">
        <f>'OCT-18'!I617</f>
        <v>10</v>
      </c>
      <c r="H631" s="51"/>
      <c r="I631" s="17">
        <f t="shared" si="12"/>
        <v>10</v>
      </c>
      <c r="J631" s="142"/>
      <c r="K631" s="142"/>
    </row>
    <row r="632" spans="1:11" ht="89.25">
      <c r="A632" s="141" t="s">
        <v>418</v>
      </c>
      <c r="B632" s="53" t="s">
        <v>723</v>
      </c>
      <c r="C632" s="13"/>
      <c r="D632" s="14"/>
      <c r="E632" s="14"/>
      <c r="F632" s="14"/>
      <c r="G632" s="305">
        <f>'OCT-18'!I618</f>
        <v>0</v>
      </c>
      <c r="H632" s="51"/>
      <c r="I632" s="17"/>
      <c r="J632" s="56"/>
      <c r="K632" s="56"/>
    </row>
    <row r="633" spans="1:11" ht="29.25">
      <c r="A633" s="11">
        <v>51202</v>
      </c>
      <c r="B633" s="53" t="s">
        <v>724</v>
      </c>
      <c r="C633" s="13"/>
      <c r="D633" s="14" t="s">
        <v>18</v>
      </c>
      <c r="E633" s="14" t="s">
        <v>28</v>
      </c>
      <c r="F633" s="14" t="s">
        <v>27</v>
      </c>
      <c r="G633" s="305">
        <f>'OCT-18'!I619</f>
        <v>0</v>
      </c>
      <c r="H633" s="51"/>
      <c r="I633" s="17">
        <f t="shared" si="12"/>
        <v>0</v>
      </c>
      <c r="J633" s="56"/>
      <c r="K633" s="337"/>
    </row>
    <row r="634" spans="1:11" ht="29.25">
      <c r="A634" s="11">
        <v>54110</v>
      </c>
      <c r="B634" s="53" t="s">
        <v>725</v>
      </c>
      <c r="C634" s="13"/>
      <c r="D634" s="14" t="s">
        <v>18</v>
      </c>
      <c r="E634" s="14" t="s">
        <v>28</v>
      </c>
      <c r="F634" s="14" t="s">
        <v>27</v>
      </c>
      <c r="G634" s="305">
        <f>'OCT-18'!I620</f>
        <v>0</v>
      </c>
      <c r="H634" s="51"/>
      <c r="I634" s="17">
        <f t="shared" si="12"/>
        <v>0</v>
      </c>
      <c r="J634" s="56"/>
      <c r="K634" s="337"/>
    </row>
    <row r="635" spans="1:11" ht="29.25">
      <c r="A635" s="11">
        <v>54111</v>
      </c>
      <c r="B635" s="53" t="s">
        <v>726</v>
      </c>
      <c r="C635" s="13"/>
      <c r="D635" s="14" t="s">
        <v>18</v>
      </c>
      <c r="E635" s="14" t="s">
        <v>28</v>
      </c>
      <c r="F635" s="14" t="s">
        <v>27</v>
      </c>
      <c r="G635" s="305">
        <f>'OCT-18'!I621</f>
        <v>0</v>
      </c>
      <c r="H635" s="51"/>
      <c r="I635" s="17">
        <f t="shared" si="12"/>
        <v>0</v>
      </c>
      <c r="J635" s="56"/>
      <c r="K635" s="337"/>
    </row>
    <row r="636" spans="1:11" ht="29.25">
      <c r="A636" s="11">
        <v>54118</v>
      </c>
      <c r="B636" s="53" t="s">
        <v>727</v>
      </c>
      <c r="C636" s="13"/>
      <c r="D636" s="14" t="s">
        <v>18</v>
      </c>
      <c r="E636" s="14" t="s">
        <v>28</v>
      </c>
      <c r="F636" s="14" t="s">
        <v>27</v>
      </c>
      <c r="G636" s="305">
        <f>'OCT-18'!I622</f>
        <v>0</v>
      </c>
      <c r="H636" s="51"/>
      <c r="I636" s="17">
        <f t="shared" si="12"/>
        <v>0</v>
      </c>
      <c r="J636" s="56"/>
      <c r="K636" s="337"/>
    </row>
    <row r="637" spans="1:11" ht="29.25">
      <c r="A637" s="11">
        <v>54313</v>
      </c>
      <c r="B637" s="53" t="s">
        <v>728</v>
      </c>
      <c r="C637" s="13"/>
      <c r="D637" s="14" t="s">
        <v>18</v>
      </c>
      <c r="E637" s="14" t="s">
        <v>28</v>
      </c>
      <c r="F637" s="14" t="s">
        <v>27</v>
      </c>
      <c r="G637" s="305">
        <f>'OCT-18'!I623</f>
        <v>0</v>
      </c>
      <c r="H637" s="51"/>
      <c r="I637" s="17">
        <f t="shared" si="12"/>
        <v>0</v>
      </c>
      <c r="J637" s="56"/>
      <c r="K637" s="337"/>
    </row>
    <row r="638" spans="1:11" ht="30">
      <c r="A638" s="11">
        <v>54399</v>
      </c>
      <c r="B638" s="53" t="s">
        <v>729</v>
      </c>
      <c r="C638" s="13"/>
      <c r="D638" s="14" t="s">
        <v>18</v>
      </c>
      <c r="E638" s="14" t="s">
        <v>28</v>
      </c>
      <c r="F638" s="14" t="s">
        <v>27</v>
      </c>
      <c r="G638" s="305">
        <f>'OCT-18'!I624</f>
        <v>0</v>
      </c>
      <c r="H638" s="51"/>
      <c r="I638" s="17">
        <f t="shared" si="12"/>
        <v>0</v>
      </c>
      <c r="J638" s="56"/>
      <c r="K638" s="337"/>
    </row>
    <row r="639" spans="1:11" ht="29.25">
      <c r="A639" s="11">
        <v>55603</v>
      </c>
      <c r="B639" s="53" t="s">
        <v>730</v>
      </c>
      <c r="C639" s="13"/>
      <c r="D639" s="14" t="s">
        <v>18</v>
      </c>
      <c r="E639" s="14" t="s">
        <v>28</v>
      </c>
      <c r="F639" s="14" t="s">
        <v>27</v>
      </c>
      <c r="G639" s="305">
        <f>'OCT-18'!I625</f>
        <v>0</v>
      </c>
      <c r="H639" s="51"/>
      <c r="I639" s="17">
        <f t="shared" si="12"/>
        <v>0</v>
      </c>
      <c r="J639" s="56"/>
      <c r="K639" s="337"/>
    </row>
    <row r="640" spans="1:11" ht="90">
      <c r="A640" s="141" t="s">
        <v>429</v>
      </c>
      <c r="B640" s="53" t="s">
        <v>1176</v>
      </c>
      <c r="C640" s="13"/>
      <c r="D640" s="14"/>
      <c r="E640" s="14"/>
      <c r="F640" s="14"/>
      <c r="G640" s="305">
        <f>'OCT-18'!I626</f>
        <v>0</v>
      </c>
      <c r="H640" s="51"/>
      <c r="I640" s="17"/>
      <c r="J640" s="56"/>
      <c r="K640" s="56"/>
    </row>
    <row r="641" spans="1:11">
      <c r="A641" s="11">
        <v>51202</v>
      </c>
      <c r="B641" s="53" t="s">
        <v>732</v>
      </c>
      <c r="C641" s="13"/>
      <c r="D641" s="14" t="s">
        <v>18</v>
      </c>
      <c r="E641" s="14" t="s">
        <v>28</v>
      </c>
      <c r="F641" s="14" t="s">
        <v>27</v>
      </c>
      <c r="G641" s="305">
        <f>'OCT-18'!I627</f>
        <v>12190</v>
      </c>
      <c r="H641" s="51"/>
      <c r="I641" s="17">
        <f t="shared" si="12"/>
        <v>12190</v>
      </c>
      <c r="J641" s="56"/>
      <c r="K641" s="56"/>
    </row>
    <row r="642" spans="1:11" ht="29.25">
      <c r="A642" s="11">
        <v>54110</v>
      </c>
      <c r="B642" s="53" t="s">
        <v>733</v>
      </c>
      <c r="C642" s="13"/>
      <c r="D642" s="14" t="s">
        <v>18</v>
      </c>
      <c r="E642" s="14" t="s">
        <v>28</v>
      </c>
      <c r="F642" s="14" t="s">
        <v>27</v>
      </c>
      <c r="G642" s="305">
        <f>'OCT-18'!I628</f>
        <v>300</v>
      </c>
      <c r="H642" s="51"/>
      <c r="I642" s="17">
        <f t="shared" si="12"/>
        <v>300</v>
      </c>
      <c r="J642" s="56"/>
      <c r="K642" s="56"/>
    </row>
    <row r="643" spans="1:11" ht="29.25">
      <c r="A643" s="11">
        <v>54111</v>
      </c>
      <c r="B643" s="53" t="s">
        <v>734</v>
      </c>
      <c r="C643" s="13"/>
      <c r="D643" s="14" t="s">
        <v>18</v>
      </c>
      <c r="E643" s="14" t="s">
        <v>28</v>
      </c>
      <c r="F643" s="14" t="s">
        <v>27</v>
      </c>
      <c r="G643" s="305">
        <f>'OCT-18'!I629</f>
        <v>15000</v>
      </c>
      <c r="H643" s="51"/>
      <c r="I643" s="17">
        <f t="shared" si="12"/>
        <v>15000</v>
      </c>
      <c r="J643" s="56"/>
      <c r="K643" s="56"/>
    </row>
    <row r="644" spans="1:11" ht="29.25">
      <c r="A644" s="11">
        <v>54112</v>
      </c>
      <c r="B644" s="53" t="s">
        <v>735</v>
      </c>
      <c r="C644" s="13"/>
      <c r="D644" s="14" t="s">
        <v>18</v>
      </c>
      <c r="E644" s="14" t="s">
        <v>28</v>
      </c>
      <c r="F644" s="14" t="s">
        <v>27</v>
      </c>
      <c r="G644" s="305">
        <f>'OCT-18'!I630</f>
        <v>8000</v>
      </c>
      <c r="H644" s="51"/>
      <c r="I644" s="17">
        <f t="shared" si="12"/>
        <v>8000</v>
      </c>
      <c r="J644" s="56"/>
      <c r="K644" s="56"/>
    </row>
    <row r="645" spans="1:11" ht="29.25">
      <c r="A645" s="11">
        <v>54118</v>
      </c>
      <c r="B645" s="53" t="s">
        <v>736</v>
      </c>
      <c r="C645" s="13"/>
      <c r="D645" s="14" t="s">
        <v>18</v>
      </c>
      <c r="E645" s="14" t="s">
        <v>28</v>
      </c>
      <c r="F645" s="14" t="s">
        <v>27</v>
      </c>
      <c r="G645" s="305">
        <f>'OCT-18'!I631</f>
        <v>7000</v>
      </c>
      <c r="H645" s="51"/>
      <c r="I645" s="17">
        <f t="shared" si="12"/>
        <v>7000</v>
      </c>
      <c r="J645" s="56"/>
      <c r="K645" s="56"/>
    </row>
    <row r="646" spans="1:11" ht="29.25">
      <c r="A646" s="11">
        <v>54304</v>
      </c>
      <c r="B646" s="53" t="s">
        <v>737</v>
      </c>
      <c r="C646" s="13"/>
      <c r="D646" s="14" t="s">
        <v>18</v>
      </c>
      <c r="E646" s="14" t="s">
        <v>28</v>
      </c>
      <c r="F646" s="14" t="s">
        <v>27</v>
      </c>
      <c r="G646" s="305">
        <f>'OCT-18'!I632</f>
        <v>2000</v>
      </c>
      <c r="H646" s="51"/>
      <c r="I646" s="17">
        <f t="shared" si="12"/>
        <v>2000</v>
      </c>
      <c r="J646" s="56"/>
      <c r="K646" s="56"/>
    </row>
    <row r="647" spans="1:11" ht="30">
      <c r="A647" s="11">
        <v>54313</v>
      </c>
      <c r="B647" s="53" t="s">
        <v>738</v>
      </c>
      <c r="C647" s="13"/>
      <c r="D647" s="14" t="s">
        <v>18</v>
      </c>
      <c r="E647" s="14" t="s">
        <v>28</v>
      </c>
      <c r="F647" s="14" t="s">
        <v>27</v>
      </c>
      <c r="G647" s="305">
        <f>'OCT-18'!I633</f>
        <v>300</v>
      </c>
      <c r="H647" s="51"/>
      <c r="I647" s="17">
        <f t="shared" si="12"/>
        <v>300</v>
      </c>
      <c r="J647" s="56"/>
      <c r="K647" s="56"/>
    </row>
    <row r="648" spans="1:11" ht="29.25">
      <c r="A648" s="11">
        <v>54399</v>
      </c>
      <c r="B648" s="53" t="s">
        <v>739</v>
      </c>
      <c r="C648" s="13"/>
      <c r="D648" s="14" t="s">
        <v>18</v>
      </c>
      <c r="E648" s="14" t="s">
        <v>28</v>
      </c>
      <c r="F648" s="14" t="s">
        <v>27</v>
      </c>
      <c r="G648" s="305">
        <f>'OCT-18'!I634</f>
        <v>200</v>
      </c>
      <c r="H648" s="51"/>
      <c r="I648" s="17">
        <f t="shared" si="12"/>
        <v>200</v>
      </c>
      <c r="J648" s="56"/>
      <c r="K648" s="56"/>
    </row>
    <row r="649" spans="1:11" ht="29.25">
      <c r="A649" s="11">
        <v>55603</v>
      </c>
      <c r="B649" s="53" t="s">
        <v>740</v>
      </c>
      <c r="C649" s="13"/>
      <c r="D649" s="14" t="s">
        <v>18</v>
      </c>
      <c r="E649" s="14" t="s">
        <v>28</v>
      </c>
      <c r="F649" s="14" t="s">
        <v>27</v>
      </c>
      <c r="G649" s="305">
        <f>'OCT-18'!I635</f>
        <v>10</v>
      </c>
      <c r="H649" s="51"/>
      <c r="I649" s="17">
        <f t="shared" si="12"/>
        <v>10</v>
      </c>
      <c r="J649" s="56"/>
      <c r="K649" s="56"/>
    </row>
    <row r="650" spans="1:11" ht="75">
      <c r="A650" s="144" t="s">
        <v>437</v>
      </c>
      <c r="B650" s="53" t="s">
        <v>742</v>
      </c>
      <c r="C650" s="13"/>
      <c r="D650" s="14"/>
      <c r="E650" s="14"/>
      <c r="F650" s="14"/>
      <c r="G650" s="305">
        <f>'OCT-18'!I636</f>
        <v>0</v>
      </c>
      <c r="H650" s="51"/>
      <c r="I650" s="17"/>
      <c r="J650" s="56"/>
      <c r="K650" s="56"/>
    </row>
    <row r="651" spans="1:11" ht="29.25">
      <c r="A651" s="11">
        <v>51202</v>
      </c>
      <c r="B651" s="53" t="s">
        <v>743</v>
      </c>
      <c r="C651" s="13"/>
      <c r="D651" s="14" t="s">
        <v>18</v>
      </c>
      <c r="E651" s="14" t="s">
        <v>28</v>
      </c>
      <c r="F651" s="14" t="s">
        <v>27</v>
      </c>
      <c r="G651" s="305">
        <f>'OCT-18'!I637</f>
        <v>0</v>
      </c>
      <c r="H651" s="51"/>
      <c r="I651" s="17">
        <f t="shared" si="12"/>
        <v>0</v>
      </c>
      <c r="J651" s="56"/>
      <c r="K651" s="337"/>
    </row>
    <row r="652" spans="1:11" ht="29.25">
      <c r="A652" s="11">
        <v>54110</v>
      </c>
      <c r="B652" s="53" t="s">
        <v>744</v>
      </c>
      <c r="C652" s="13"/>
      <c r="D652" s="14" t="s">
        <v>18</v>
      </c>
      <c r="E652" s="14" t="s">
        <v>28</v>
      </c>
      <c r="F652" s="14" t="s">
        <v>27</v>
      </c>
      <c r="G652" s="305">
        <f>'OCT-18'!I638</f>
        <v>0</v>
      </c>
      <c r="H652" s="51"/>
      <c r="I652" s="17">
        <f t="shared" si="12"/>
        <v>0</v>
      </c>
      <c r="J652" s="56"/>
      <c r="K652" s="337"/>
    </row>
    <row r="653" spans="1:11" ht="43.5">
      <c r="A653" s="11">
        <v>54111</v>
      </c>
      <c r="B653" s="53" t="s">
        <v>745</v>
      </c>
      <c r="C653" s="13"/>
      <c r="D653" s="14" t="s">
        <v>18</v>
      </c>
      <c r="E653" s="14" t="s">
        <v>28</v>
      </c>
      <c r="F653" s="14" t="s">
        <v>27</v>
      </c>
      <c r="G653" s="305">
        <f>'OCT-18'!I639</f>
        <v>0</v>
      </c>
      <c r="H653" s="51"/>
      <c r="I653" s="17">
        <f t="shared" si="12"/>
        <v>0</v>
      </c>
      <c r="J653" s="56"/>
      <c r="K653" s="337"/>
    </row>
    <row r="654" spans="1:11" ht="43.5">
      <c r="A654" s="11">
        <v>54118</v>
      </c>
      <c r="B654" s="53" t="s">
        <v>746</v>
      </c>
      <c r="C654" s="13"/>
      <c r="D654" s="14" t="s">
        <v>18</v>
      </c>
      <c r="E654" s="14" t="s">
        <v>28</v>
      </c>
      <c r="F654" s="14" t="s">
        <v>27</v>
      </c>
      <c r="G654" s="305">
        <f>'OCT-18'!I640</f>
        <v>0</v>
      </c>
      <c r="H654" s="51"/>
      <c r="I654" s="17">
        <f t="shared" si="12"/>
        <v>0</v>
      </c>
      <c r="J654" s="56"/>
      <c r="K654" s="300"/>
    </row>
    <row r="655" spans="1:11" ht="43.5">
      <c r="A655" s="11">
        <v>54313</v>
      </c>
      <c r="B655" s="53" t="s">
        <v>747</v>
      </c>
      <c r="C655" s="13"/>
      <c r="D655" s="14" t="s">
        <v>18</v>
      </c>
      <c r="E655" s="14" t="s">
        <v>28</v>
      </c>
      <c r="F655" s="14" t="s">
        <v>27</v>
      </c>
      <c r="G655" s="305">
        <f>'OCT-18'!I641</f>
        <v>0</v>
      </c>
      <c r="H655" s="51"/>
      <c r="I655" s="17">
        <f t="shared" si="12"/>
        <v>0</v>
      </c>
      <c r="J655" s="56"/>
      <c r="K655" s="337"/>
    </row>
    <row r="656" spans="1:11" ht="44.25">
      <c r="A656" s="11">
        <v>54399</v>
      </c>
      <c r="B656" s="53" t="s">
        <v>748</v>
      </c>
      <c r="C656" s="13"/>
      <c r="D656" s="14" t="s">
        <v>18</v>
      </c>
      <c r="E656" s="14" t="s">
        <v>28</v>
      </c>
      <c r="F656" s="14" t="s">
        <v>27</v>
      </c>
      <c r="G656" s="305">
        <f>'OCT-18'!I642</f>
        <v>0</v>
      </c>
      <c r="H656" s="51"/>
      <c r="I656" s="17">
        <f t="shared" si="12"/>
        <v>0</v>
      </c>
      <c r="J656" s="56"/>
      <c r="K656" s="337"/>
    </row>
    <row r="657" spans="1:11" ht="29.25">
      <c r="A657" s="11">
        <v>55603</v>
      </c>
      <c r="B657" s="53" t="s">
        <v>749</v>
      </c>
      <c r="C657" s="13"/>
      <c r="D657" s="14" t="s">
        <v>18</v>
      </c>
      <c r="E657" s="14" t="s">
        <v>28</v>
      </c>
      <c r="F657" s="14" t="s">
        <v>27</v>
      </c>
      <c r="G657" s="305">
        <f>'OCT-18'!I643</f>
        <v>0</v>
      </c>
      <c r="H657" s="51"/>
      <c r="I657" s="17">
        <f t="shared" si="12"/>
        <v>0</v>
      </c>
      <c r="J657" s="56"/>
      <c r="K657" s="142"/>
    </row>
    <row r="658" spans="1:11">
      <c r="A658" s="11"/>
      <c r="B658" s="54"/>
      <c r="C658" s="13"/>
      <c r="D658" s="14"/>
      <c r="E658" s="14"/>
      <c r="F658" s="14"/>
      <c r="G658" s="305">
        <f>'OCT-18'!I644</f>
        <v>0</v>
      </c>
      <c r="H658" s="51"/>
      <c r="I658" s="17"/>
      <c r="J658" s="56"/>
      <c r="K658" s="56"/>
    </row>
    <row r="659" spans="1:11" ht="60">
      <c r="A659" s="141" t="s">
        <v>443</v>
      </c>
      <c r="B659" s="53" t="s">
        <v>750</v>
      </c>
      <c r="C659" s="13"/>
      <c r="D659" s="14"/>
      <c r="E659" s="14"/>
      <c r="F659" s="14"/>
      <c r="G659" s="305">
        <f>'OCT-18'!I645</f>
        <v>0</v>
      </c>
      <c r="H659" s="51"/>
      <c r="I659" s="17"/>
      <c r="J659" s="56"/>
      <c r="K659" s="56"/>
    </row>
    <row r="660" spans="1:11" ht="29.25">
      <c r="A660" s="11">
        <v>51202</v>
      </c>
      <c r="B660" s="53" t="s">
        <v>741</v>
      </c>
      <c r="C660" s="13"/>
      <c r="D660" s="14" t="s">
        <v>18</v>
      </c>
      <c r="E660" s="14" t="s">
        <v>28</v>
      </c>
      <c r="F660" s="14" t="s">
        <v>27</v>
      </c>
      <c r="G660" s="305">
        <f>'OCT-18'!I646</f>
        <v>3000</v>
      </c>
      <c r="H660" s="51"/>
      <c r="I660" s="17">
        <f t="shared" ref="I660:I726" si="13">G660-H660+J660-K660</f>
        <v>3000</v>
      </c>
      <c r="J660" s="56"/>
      <c r="K660" s="56"/>
    </row>
    <row r="661" spans="1:11" ht="29.25">
      <c r="A661" s="11">
        <v>54110</v>
      </c>
      <c r="B661" s="53" t="s">
        <v>751</v>
      </c>
      <c r="C661" s="13"/>
      <c r="D661" s="14" t="s">
        <v>18</v>
      </c>
      <c r="E661" s="14" t="s">
        <v>28</v>
      </c>
      <c r="F661" s="14" t="s">
        <v>27</v>
      </c>
      <c r="G661" s="305">
        <f>'OCT-18'!I647</f>
        <v>100</v>
      </c>
      <c r="H661" s="51"/>
      <c r="I661" s="17">
        <f t="shared" si="13"/>
        <v>100</v>
      </c>
      <c r="J661" s="56"/>
      <c r="K661" s="56"/>
    </row>
    <row r="662" spans="1:11" ht="43.5">
      <c r="A662" s="11">
        <v>54111</v>
      </c>
      <c r="B662" s="53" t="s">
        <v>752</v>
      </c>
      <c r="C662" s="13"/>
      <c r="D662" s="14" t="s">
        <v>18</v>
      </c>
      <c r="E662" s="14" t="s">
        <v>28</v>
      </c>
      <c r="F662" s="14" t="s">
        <v>27</v>
      </c>
      <c r="G662" s="305">
        <f>'OCT-18'!I648</f>
        <v>2000</v>
      </c>
      <c r="H662" s="51"/>
      <c r="I662" s="17">
        <f t="shared" si="13"/>
        <v>2000</v>
      </c>
      <c r="J662" s="56"/>
      <c r="K662" s="56"/>
    </row>
    <row r="663" spans="1:11" ht="29.25">
      <c r="A663" s="11">
        <v>54118</v>
      </c>
      <c r="B663" s="53" t="s">
        <v>753</v>
      </c>
      <c r="C663" s="13"/>
      <c r="D663" s="14" t="s">
        <v>18</v>
      </c>
      <c r="E663" s="14" t="s">
        <v>28</v>
      </c>
      <c r="F663" s="14" t="s">
        <v>27</v>
      </c>
      <c r="G663" s="305">
        <f>'OCT-18'!I649</f>
        <v>290</v>
      </c>
      <c r="H663" s="51"/>
      <c r="I663" s="17">
        <f t="shared" si="13"/>
        <v>290</v>
      </c>
      <c r="J663" s="56"/>
      <c r="K663" s="56"/>
    </row>
    <row r="664" spans="1:11" ht="29.25">
      <c r="A664" s="11">
        <v>54304</v>
      </c>
      <c r="B664" s="53" t="s">
        <v>754</v>
      </c>
      <c r="C664" s="13"/>
      <c r="D664" s="14" t="s">
        <v>18</v>
      </c>
      <c r="E664" s="14" t="s">
        <v>28</v>
      </c>
      <c r="F664" s="14" t="s">
        <v>27</v>
      </c>
      <c r="G664" s="305">
        <f>'OCT-18'!I650</f>
        <v>100</v>
      </c>
      <c r="H664" s="51"/>
      <c r="I664" s="17">
        <f t="shared" si="13"/>
        <v>100</v>
      </c>
      <c r="J664" s="56"/>
      <c r="K664" s="56"/>
    </row>
    <row r="665" spans="1:11" ht="29.25">
      <c r="A665" s="11">
        <v>54313</v>
      </c>
      <c r="B665" s="53" t="s">
        <v>755</v>
      </c>
      <c r="C665" s="13"/>
      <c r="D665" s="14" t="s">
        <v>18</v>
      </c>
      <c r="E665" s="14" t="s">
        <v>28</v>
      </c>
      <c r="F665" s="14" t="s">
        <v>27</v>
      </c>
      <c r="G665" s="305">
        <f>'OCT-18'!I651</f>
        <v>300</v>
      </c>
      <c r="H665" s="17"/>
      <c r="I665" s="17">
        <f t="shared" si="13"/>
        <v>300</v>
      </c>
      <c r="J665" s="56"/>
      <c r="K665" s="56"/>
    </row>
    <row r="666" spans="1:11" ht="43.5">
      <c r="A666" s="11">
        <v>54399</v>
      </c>
      <c r="B666" s="53" t="s">
        <v>756</v>
      </c>
      <c r="C666" s="13"/>
      <c r="D666" s="14" t="s">
        <v>18</v>
      </c>
      <c r="E666" s="14" t="s">
        <v>28</v>
      </c>
      <c r="F666" s="14" t="s">
        <v>27</v>
      </c>
      <c r="G666" s="305">
        <f>'OCT-18'!I652</f>
        <v>200</v>
      </c>
      <c r="H666" s="51"/>
      <c r="I666" s="17">
        <f t="shared" si="13"/>
        <v>200</v>
      </c>
      <c r="J666" s="56"/>
      <c r="K666" s="56"/>
    </row>
    <row r="667" spans="1:11" ht="29.25">
      <c r="A667" s="11">
        <v>55603</v>
      </c>
      <c r="B667" s="53" t="s">
        <v>757</v>
      </c>
      <c r="C667" s="13"/>
      <c r="D667" s="14" t="s">
        <v>18</v>
      </c>
      <c r="E667" s="14" t="s">
        <v>28</v>
      </c>
      <c r="F667" s="14" t="s">
        <v>27</v>
      </c>
      <c r="G667" s="305">
        <f>'OCT-18'!I653</f>
        <v>10</v>
      </c>
      <c r="H667" s="51"/>
      <c r="I667" s="17">
        <f t="shared" si="13"/>
        <v>10</v>
      </c>
      <c r="J667" s="56"/>
      <c r="K667" s="56"/>
    </row>
    <row r="668" spans="1:11" ht="60">
      <c r="A668" s="141" t="s">
        <v>451</v>
      </c>
      <c r="B668" s="53" t="s">
        <v>758</v>
      </c>
      <c r="C668" s="13"/>
      <c r="D668" s="14"/>
      <c r="E668" s="14"/>
      <c r="F668" s="14"/>
      <c r="G668" s="305">
        <f>'OCT-18'!I654</f>
        <v>0</v>
      </c>
      <c r="H668" s="51"/>
      <c r="I668" s="17"/>
      <c r="J668" s="56"/>
      <c r="K668" s="56"/>
    </row>
    <row r="669" spans="1:11" ht="29.25">
      <c r="A669" s="11">
        <v>51202</v>
      </c>
      <c r="B669" s="54" t="s">
        <v>759</v>
      </c>
      <c r="C669" s="13"/>
      <c r="D669" s="14" t="s">
        <v>18</v>
      </c>
      <c r="E669" s="14" t="s">
        <v>28</v>
      </c>
      <c r="F669" s="14" t="s">
        <v>27</v>
      </c>
      <c r="G669" s="305">
        <f>'OCT-18'!I655</f>
        <v>0</v>
      </c>
      <c r="H669" s="51"/>
      <c r="I669" s="17">
        <f t="shared" si="13"/>
        <v>0</v>
      </c>
      <c r="J669" s="56"/>
      <c r="K669" s="142"/>
    </row>
    <row r="670" spans="1:11" ht="29.25">
      <c r="A670" s="11">
        <v>54110</v>
      </c>
      <c r="B670" s="54" t="s">
        <v>760</v>
      </c>
      <c r="C670" s="13"/>
      <c r="D670" s="14" t="s">
        <v>18</v>
      </c>
      <c r="E670" s="14" t="s">
        <v>28</v>
      </c>
      <c r="F670" s="14" t="s">
        <v>27</v>
      </c>
      <c r="G670" s="305">
        <f>'OCT-18'!I656</f>
        <v>0</v>
      </c>
      <c r="H670" s="51"/>
      <c r="I670" s="17">
        <f t="shared" si="13"/>
        <v>0</v>
      </c>
      <c r="J670" s="56"/>
      <c r="K670" s="142"/>
    </row>
    <row r="671" spans="1:11" ht="41.25" customHeight="1">
      <c r="A671" s="11">
        <v>54111</v>
      </c>
      <c r="B671" s="54" t="s">
        <v>761</v>
      </c>
      <c r="C671" s="13"/>
      <c r="D671" s="14" t="s">
        <v>18</v>
      </c>
      <c r="E671" s="14" t="s">
        <v>28</v>
      </c>
      <c r="F671" s="14" t="s">
        <v>27</v>
      </c>
      <c r="G671" s="305">
        <f>'OCT-18'!I657</f>
        <v>0</v>
      </c>
      <c r="H671" s="51"/>
      <c r="I671" s="17">
        <f t="shared" si="13"/>
        <v>0</v>
      </c>
      <c r="J671" s="56"/>
      <c r="K671" s="142"/>
    </row>
    <row r="672" spans="1:11" ht="30" customHeight="1">
      <c r="A672" s="11">
        <v>54118</v>
      </c>
      <c r="B672" s="54" t="s">
        <v>762</v>
      </c>
      <c r="C672" s="13"/>
      <c r="D672" s="14" t="s">
        <v>18</v>
      </c>
      <c r="E672" s="14" t="s">
        <v>28</v>
      </c>
      <c r="F672" s="14" t="s">
        <v>27</v>
      </c>
      <c r="G672" s="305">
        <f>'OCT-18'!I658</f>
        <v>0</v>
      </c>
      <c r="H672" s="51"/>
      <c r="I672" s="17">
        <f t="shared" si="13"/>
        <v>0</v>
      </c>
      <c r="J672" s="56"/>
      <c r="K672" s="142"/>
    </row>
    <row r="673" spans="1:11" ht="29.25">
      <c r="A673" s="11">
        <v>54313</v>
      </c>
      <c r="B673" s="54" t="s">
        <v>763</v>
      </c>
      <c r="C673" s="13"/>
      <c r="D673" s="14" t="s">
        <v>18</v>
      </c>
      <c r="E673" s="14" t="s">
        <v>28</v>
      </c>
      <c r="F673" s="14" t="s">
        <v>27</v>
      </c>
      <c r="G673" s="305">
        <f>'OCT-18'!I659</f>
        <v>0</v>
      </c>
      <c r="H673" s="51"/>
      <c r="I673" s="17">
        <f t="shared" si="13"/>
        <v>0</v>
      </c>
      <c r="J673" s="56"/>
      <c r="K673" s="142"/>
    </row>
    <row r="674" spans="1:11" ht="44.25">
      <c r="A674" s="11">
        <v>54399</v>
      </c>
      <c r="B674" s="54" t="s">
        <v>764</v>
      </c>
      <c r="C674" s="13"/>
      <c r="D674" s="14" t="s">
        <v>18</v>
      </c>
      <c r="E674" s="14" t="s">
        <v>28</v>
      </c>
      <c r="F674" s="14" t="s">
        <v>27</v>
      </c>
      <c r="G674" s="305">
        <f>'OCT-18'!I660</f>
        <v>0</v>
      </c>
      <c r="H674" s="51"/>
      <c r="I674" s="17">
        <f t="shared" si="13"/>
        <v>0</v>
      </c>
      <c r="J674" s="56"/>
      <c r="K674" s="142"/>
    </row>
    <row r="675" spans="1:11" ht="29.25">
      <c r="A675" s="11">
        <v>55603</v>
      </c>
      <c r="B675" s="54" t="s">
        <v>765</v>
      </c>
      <c r="C675" s="13"/>
      <c r="D675" s="14" t="s">
        <v>18</v>
      </c>
      <c r="E675" s="14" t="s">
        <v>28</v>
      </c>
      <c r="F675" s="14" t="s">
        <v>27</v>
      </c>
      <c r="G675" s="305">
        <f>'OCT-18'!I661</f>
        <v>0</v>
      </c>
      <c r="H675" s="51"/>
      <c r="I675" s="17">
        <f t="shared" si="13"/>
        <v>0</v>
      </c>
      <c r="J675" s="56"/>
      <c r="K675" s="142"/>
    </row>
    <row r="676" spans="1:11" ht="78.75" customHeight="1">
      <c r="A676" s="141" t="s">
        <v>459</v>
      </c>
      <c r="B676" s="53" t="s">
        <v>766</v>
      </c>
      <c r="C676" s="13"/>
      <c r="D676" s="14"/>
      <c r="E676" s="14"/>
      <c r="F676" s="14"/>
      <c r="G676" s="305">
        <f>'OCT-18'!I662</f>
        <v>0</v>
      </c>
      <c r="H676" s="51"/>
      <c r="I676" s="17"/>
      <c r="J676" s="56"/>
      <c r="K676" s="56"/>
    </row>
    <row r="677" spans="1:11" ht="29.25">
      <c r="A677" s="11">
        <v>51202</v>
      </c>
      <c r="B677" s="54" t="s">
        <v>767</v>
      </c>
      <c r="C677" s="13"/>
      <c r="D677" s="14" t="s">
        <v>18</v>
      </c>
      <c r="E677" s="14" t="s">
        <v>28</v>
      </c>
      <c r="F677" s="14" t="s">
        <v>27</v>
      </c>
      <c r="G677" s="305">
        <f>'OCT-18'!I663</f>
        <v>0</v>
      </c>
      <c r="H677" s="51"/>
      <c r="I677" s="17">
        <f t="shared" si="13"/>
        <v>0</v>
      </c>
      <c r="J677" s="56"/>
      <c r="K677" s="137"/>
    </row>
    <row r="678" spans="1:11" ht="29.25">
      <c r="A678" s="11">
        <v>54110</v>
      </c>
      <c r="B678" s="54" t="s">
        <v>768</v>
      </c>
      <c r="C678" s="13"/>
      <c r="D678" s="14" t="s">
        <v>18</v>
      </c>
      <c r="E678" s="14" t="s">
        <v>28</v>
      </c>
      <c r="F678" s="14" t="s">
        <v>27</v>
      </c>
      <c r="G678" s="305">
        <f>'OCT-18'!I664</f>
        <v>0</v>
      </c>
      <c r="H678" s="51"/>
      <c r="I678" s="17">
        <f t="shared" si="13"/>
        <v>0</v>
      </c>
      <c r="J678" s="56"/>
      <c r="K678" s="137"/>
    </row>
    <row r="679" spans="1:11" ht="43.5">
      <c r="A679" s="11">
        <v>54111</v>
      </c>
      <c r="B679" s="54" t="s">
        <v>769</v>
      </c>
      <c r="C679" s="13"/>
      <c r="D679" s="14" t="s">
        <v>18</v>
      </c>
      <c r="E679" s="14" t="s">
        <v>28</v>
      </c>
      <c r="F679" s="14" t="s">
        <v>27</v>
      </c>
      <c r="G679" s="305">
        <f>'OCT-18'!I665</f>
        <v>0</v>
      </c>
      <c r="H679" s="51"/>
      <c r="I679" s="17">
        <f t="shared" si="13"/>
        <v>0</v>
      </c>
      <c r="J679" s="56"/>
      <c r="K679" s="137"/>
    </row>
    <row r="680" spans="1:11" ht="43.5">
      <c r="A680" s="11">
        <v>54118</v>
      </c>
      <c r="B680" s="54" t="s">
        <v>770</v>
      </c>
      <c r="C680" s="13"/>
      <c r="D680" s="14" t="s">
        <v>18</v>
      </c>
      <c r="E680" s="14" t="s">
        <v>28</v>
      </c>
      <c r="F680" s="14" t="s">
        <v>27</v>
      </c>
      <c r="G680" s="305">
        <f>'OCT-18'!I666</f>
        <v>0</v>
      </c>
      <c r="H680" s="51"/>
      <c r="I680" s="17">
        <f t="shared" si="13"/>
        <v>0</v>
      </c>
      <c r="J680" s="56"/>
      <c r="K680" s="137"/>
    </row>
    <row r="681" spans="1:11" ht="44.25">
      <c r="A681" s="11">
        <v>54313</v>
      </c>
      <c r="B681" s="54" t="s">
        <v>771</v>
      </c>
      <c r="C681" s="13"/>
      <c r="D681" s="14" t="s">
        <v>18</v>
      </c>
      <c r="E681" s="14" t="s">
        <v>28</v>
      </c>
      <c r="F681" s="14" t="s">
        <v>27</v>
      </c>
      <c r="G681" s="305">
        <f>'OCT-18'!I667</f>
        <v>0</v>
      </c>
      <c r="H681" s="51"/>
      <c r="I681" s="17">
        <f t="shared" si="13"/>
        <v>0</v>
      </c>
      <c r="J681" s="56"/>
      <c r="K681" s="137"/>
    </row>
    <row r="682" spans="1:11" ht="43.5">
      <c r="A682" s="11">
        <v>54399</v>
      </c>
      <c r="B682" s="54" t="s">
        <v>772</v>
      </c>
      <c r="C682" s="13"/>
      <c r="D682" s="14" t="s">
        <v>18</v>
      </c>
      <c r="E682" s="14" t="s">
        <v>28</v>
      </c>
      <c r="F682" s="14" t="s">
        <v>27</v>
      </c>
      <c r="G682" s="305">
        <f>'OCT-18'!I668</f>
        <v>0</v>
      </c>
      <c r="H682" s="51"/>
      <c r="I682" s="17">
        <f t="shared" si="13"/>
        <v>0</v>
      </c>
      <c r="J682" s="56"/>
      <c r="K682" s="137"/>
    </row>
    <row r="683" spans="1:11" ht="43.5">
      <c r="A683" s="11">
        <v>55603</v>
      </c>
      <c r="B683" s="54" t="s">
        <v>773</v>
      </c>
      <c r="C683" s="13"/>
      <c r="D683" s="14" t="s">
        <v>18</v>
      </c>
      <c r="E683" s="14" t="s">
        <v>28</v>
      </c>
      <c r="F683" s="14" t="s">
        <v>27</v>
      </c>
      <c r="G683" s="305">
        <f>'OCT-18'!I669</f>
        <v>0</v>
      </c>
      <c r="H683" s="51"/>
      <c r="I683" s="17">
        <f t="shared" si="13"/>
        <v>0</v>
      </c>
      <c r="J683" s="56"/>
      <c r="K683" s="137"/>
    </row>
    <row r="684" spans="1:11" ht="74.25">
      <c r="A684" s="141" t="s">
        <v>461</v>
      </c>
      <c r="B684" s="53" t="s">
        <v>774</v>
      </c>
      <c r="C684" s="13"/>
      <c r="D684" s="14"/>
      <c r="E684" s="14"/>
      <c r="F684" s="14"/>
      <c r="G684" s="305">
        <f>'OCT-18'!I670</f>
        <v>0</v>
      </c>
      <c r="H684" s="51"/>
      <c r="I684" s="17"/>
      <c r="J684" s="56"/>
      <c r="K684" s="56"/>
    </row>
    <row r="685" spans="1:11" ht="29.25">
      <c r="A685" s="11">
        <v>51202</v>
      </c>
      <c r="B685" s="54" t="s">
        <v>775</v>
      </c>
      <c r="C685" s="13"/>
      <c r="D685" s="14" t="s">
        <v>18</v>
      </c>
      <c r="E685" s="14" t="s">
        <v>28</v>
      </c>
      <c r="F685" s="14" t="s">
        <v>27</v>
      </c>
      <c r="G685" s="305">
        <f>'OCT-18'!I671</f>
        <v>7000</v>
      </c>
      <c r="H685" s="51"/>
      <c r="I685" s="17">
        <f t="shared" si="13"/>
        <v>7000</v>
      </c>
      <c r="J685" s="56"/>
      <c r="K685" s="56"/>
    </row>
    <row r="686" spans="1:11" ht="29.25">
      <c r="A686" s="11">
        <v>54110</v>
      </c>
      <c r="B686" s="54" t="s">
        <v>776</v>
      </c>
      <c r="C686" s="13"/>
      <c r="D686" s="14" t="s">
        <v>18</v>
      </c>
      <c r="E686" s="14" t="s">
        <v>28</v>
      </c>
      <c r="F686" s="14" t="s">
        <v>27</v>
      </c>
      <c r="G686" s="305">
        <f>'OCT-18'!I672</f>
        <v>200</v>
      </c>
      <c r="H686" s="51"/>
      <c r="I686" s="17">
        <f t="shared" si="13"/>
        <v>200</v>
      </c>
      <c r="J686" s="56"/>
      <c r="K686" s="56"/>
    </row>
    <row r="687" spans="1:11" ht="44.25">
      <c r="A687" s="11">
        <v>54111</v>
      </c>
      <c r="B687" s="54" t="s">
        <v>777</v>
      </c>
      <c r="C687" s="13"/>
      <c r="D687" s="14" t="s">
        <v>18</v>
      </c>
      <c r="E687" s="14" t="s">
        <v>28</v>
      </c>
      <c r="F687" s="14" t="s">
        <v>27</v>
      </c>
      <c r="G687" s="305">
        <f>'OCT-18'!I673</f>
        <v>9290</v>
      </c>
      <c r="H687" s="51"/>
      <c r="I687" s="17">
        <f t="shared" si="13"/>
        <v>9290</v>
      </c>
      <c r="J687" s="56"/>
      <c r="K687" s="56"/>
    </row>
    <row r="688" spans="1:11" ht="43.5">
      <c r="A688" s="11">
        <v>54118</v>
      </c>
      <c r="B688" s="54" t="s">
        <v>778</v>
      </c>
      <c r="C688" s="13"/>
      <c r="D688" s="14" t="s">
        <v>18</v>
      </c>
      <c r="E688" s="14" t="s">
        <v>28</v>
      </c>
      <c r="F688" s="14" t="s">
        <v>27</v>
      </c>
      <c r="G688" s="305">
        <f>'OCT-18'!I674</f>
        <v>3000</v>
      </c>
      <c r="H688" s="51"/>
      <c r="I688" s="17">
        <f t="shared" si="13"/>
        <v>3000</v>
      </c>
      <c r="J688" s="56"/>
      <c r="K688" s="56"/>
    </row>
    <row r="689" spans="1:11" ht="43.5">
      <c r="A689" s="11">
        <v>54313</v>
      </c>
      <c r="B689" s="54" t="s">
        <v>779</v>
      </c>
      <c r="C689" s="13"/>
      <c r="D689" s="14" t="s">
        <v>18</v>
      </c>
      <c r="E689" s="14" t="s">
        <v>28</v>
      </c>
      <c r="F689" s="14" t="s">
        <v>27</v>
      </c>
      <c r="G689" s="305">
        <f>'OCT-18'!I675</f>
        <v>300</v>
      </c>
      <c r="H689" s="51"/>
      <c r="I689" s="17">
        <f t="shared" si="13"/>
        <v>300</v>
      </c>
      <c r="J689" s="56"/>
      <c r="K689" s="56"/>
    </row>
    <row r="690" spans="1:11" ht="43.5">
      <c r="A690" s="11">
        <v>54399</v>
      </c>
      <c r="B690" s="54" t="s">
        <v>780</v>
      </c>
      <c r="C690" s="13"/>
      <c r="D690" s="14" t="s">
        <v>18</v>
      </c>
      <c r="E690" s="14" t="s">
        <v>28</v>
      </c>
      <c r="F690" s="14" t="s">
        <v>27</v>
      </c>
      <c r="G690" s="305">
        <f>'OCT-18'!I676</f>
        <v>200</v>
      </c>
      <c r="H690" s="51"/>
      <c r="I690" s="17">
        <f t="shared" si="13"/>
        <v>200</v>
      </c>
      <c r="J690" s="56"/>
      <c r="K690" s="56"/>
    </row>
    <row r="691" spans="1:11" ht="43.5">
      <c r="A691" s="11">
        <v>55603</v>
      </c>
      <c r="B691" s="54" t="s">
        <v>781</v>
      </c>
      <c r="C691" s="13"/>
      <c r="D691" s="14" t="s">
        <v>18</v>
      </c>
      <c r="E691" s="14" t="s">
        <v>28</v>
      </c>
      <c r="F691" s="14" t="s">
        <v>27</v>
      </c>
      <c r="G691" s="305">
        <f>'OCT-18'!I677</f>
        <v>10</v>
      </c>
      <c r="H691" s="51"/>
      <c r="I691" s="17">
        <f t="shared" si="13"/>
        <v>10</v>
      </c>
      <c r="J691" s="56"/>
      <c r="K691" s="56"/>
    </row>
    <row r="692" spans="1:11" ht="89.25">
      <c r="A692" s="141" t="s">
        <v>468</v>
      </c>
      <c r="B692" s="53" t="s">
        <v>782</v>
      </c>
      <c r="C692" s="13"/>
      <c r="D692" s="14"/>
      <c r="E692" s="14"/>
      <c r="F692" s="14"/>
      <c r="G692" s="305">
        <f>'OCT-18'!I678</f>
        <v>0</v>
      </c>
      <c r="H692" s="51"/>
      <c r="I692" s="17"/>
      <c r="J692" s="56"/>
      <c r="K692" s="56"/>
    </row>
    <row r="693" spans="1:11" ht="29.25">
      <c r="A693" s="11">
        <v>51202</v>
      </c>
      <c r="B693" s="54" t="s">
        <v>783</v>
      </c>
      <c r="C693" s="13"/>
      <c r="D693" s="14" t="s">
        <v>18</v>
      </c>
      <c r="E693" s="14" t="s">
        <v>28</v>
      </c>
      <c r="F693" s="14" t="s">
        <v>27</v>
      </c>
      <c r="G693" s="305">
        <f>'OCT-18'!I679</f>
        <v>7000</v>
      </c>
      <c r="H693" s="51"/>
      <c r="I693" s="17">
        <f t="shared" si="13"/>
        <v>7000</v>
      </c>
      <c r="J693" s="56"/>
      <c r="K693" s="56"/>
    </row>
    <row r="694" spans="1:11" ht="43.5">
      <c r="A694" s="11">
        <v>54110</v>
      </c>
      <c r="B694" s="54" t="s">
        <v>784</v>
      </c>
      <c r="C694" s="13"/>
      <c r="D694" s="14" t="s">
        <v>18</v>
      </c>
      <c r="E694" s="14" t="s">
        <v>28</v>
      </c>
      <c r="F694" s="14" t="s">
        <v>27</v>
      </c>
      <c r="G694" s="305">
        <f>'OCT-18'!I680</f>
        <v>200</v>
      </c>
      <c r="H694" s="51"/>
      <c r="I694" s="17">
        <f t="shared" si="13"/>
        <v>200</v>
      </c>
      <c r="J694" s="56"/>
      <c r="K694" s="56"/>
    </row>
    <row r="695" spans="1:11" ht="44.25">
      <c r="A695" s="11">
        <v>54111</v>
      </c>
      <c r="B695" s="53" t="s">
        <v>785</v>
      </c>
      <c r="C695" s="13"/>
      <c r="D695" s="14" t="s">
        <v>18</v>
      </c>
      <c r="E695" s="14" t="s">
        <v>28</v>
      </c>
      <c r="F695" s="14" t="s">
        <v>27</v>
      </c>
      <c r="G695" s="305">
        <f>'OCT-18'!I681</f>
        <v>9290</v>
      </c>
      <c r="H695" s="51"/>
      <c r="I695" s="17">
        <f t="shared" si="13"/>
        <v>9290</v>
      </c>
      <c r="J695" s="56"/>
      <c r="K695" s="56"/>
    </row>
    <row r="696" spans="1:11" ht="43.5">
      <c r="A696" s="11">
        <v>54118</v>
      </c>
      <c r="B696" s="54" t="s">
        <v>786</v>
      </c>
      <c r="C696" s="13"/>
      <c r="D696" s="14" t="s">
        <v>18</v>
      </c>
      <c r="E696" s="14" t="s">
        <v>28</v>
      </c>
      <c r="F696" s="14" t="s">
        <v>27</v>
      </c>
      <c r="G696" s="305">
        <f>'OCT-18'!I682</f>
        <v>3000</v>
      </c>
      <c r="H696" s="51"/>
      <c r="I696" s="17">
        <f t="shared" si="13"/>
        <v>3000</v>
      </c>
      <c r="J696" s="56"/>
      <c r="K696" s="56"/>
    </row>
    <row r="697" spans="1:11" ht="44.25">
      <c r="A697" s="11">
        <v>54313</v>
      </c>
      <c r="B697" s="54" t="s">
        <v>787</v>
      </c>
      <c r="C697" s="13"/>
      <c r="D697" s="14" t="s">
        <v>18</v>
      </c>
      <c r="E697" s="14" t="s">
        <v>28</v>
      </c>
      <c r="F697" s="14" t="s">
        <v>27</v>
      </c>
      <c r="G697" s="305">
        <f>'OCT-18'!I683</f>
        <v>300</v>
      </c>
      <c r="H697" s="51"/>
      <c r="I697" s="17">
        <f t="shared" si="13"/>
        <v>300</v>
      </c>
      <c r="J697" s="56"/>
      <c r="K697" s="56"/>
    </row>
    <row r="698" spans="1:11" ht="44.25">
      <c r="A698" s="11">
        <v>54399</v>
      </c>
      <c r="B698" s="54" t="s">
        <v>788</v>
      </c>
      <c r="C698" s="13"/>
      <c r="D698" s="14" t="s">
        <v>18</v>
      </c>
      <c r="E698" s="14" t="s">
        <v>28</v>
      </c>
      <c r="F698" s="14" t="s">
        <v>27</v>
      </c>
      <c r="G698" s="305">
        <f>'OCT-18'!I684</f>
        <v>200</v>
      </c>
      <c r="H698" s="51"/>
      <c r="I698" s="17">
        <f t="shared" si="13"/>
        <v>200</v>
      </c>
      <c r="J698" s="56"/>
      <c r="K698" s="56"/>
    </row>
    <row r="699" spans="1:11" ht="40.5" customHeight="1">
      <c r="A699" s="11">
        <v>55603</v>
      </c>
      <c r="B699" s="54" t="s">
        <v>789</v>
      </c>
      <c r="C699" s="13"/>
      <c r="D699" s="14" t="s">
        <v>18</v>
      </c>
      <c r="E699" s="14" t="s">
        <v>28</v>
      </c>
      <c r="F699" s="14" t="s">
        <v>27</v>
      </c>
      <c r="G699" s="305">
        <f>'OCT-18'!I685</f>
        <v>10</v>
      </c>
      <c r="H699" s="51"/>
      <c r="I699" s="17">
        <f t="shared" si="13"/>
        <v>10</v>
      </c>
      <c r="J699" s="56"/>
      <c r="K699" s="56"/>
    </row>
    <row r="700" spans="1:11" ht="60">
      <c r="A700" s="144" t="s">
        <v>477</v>
      </c>
      <c r="B700" s="53" t="s">
        <v>791</v>
      </c>
      <c r="C700" s="13"/>
      <c r="D700" s="14"/>
      <c r="E700" s="14"/>
      <c r="F700" s="14"/>
      <c r="G700" s="305">
        <f>'OCT-18'!I686</f>
        <v>0</v>
      </c>
      <c r="H700" s="51"/>
      <c r="I700" s="17"/>
      <c r="J700" s="56"/>
      <c r="K700" s="56"/>
    </row>
    <row r="701" spans="1:11" ht="30">
      <c r="A701" s="11">
        <v>51202</v>
      </c>
      <c r="B701" s="54" t="s">
        <v>792</v>
      </c>
      <c r="C701" s="13"/>
      <c r="D701" s="14" t="s">
        <v>18</v>
      </c>
      <c r="E701" s="14" t="s">
        <v>28</v>
      </c>
      <c r="F701" s="14" t="s">
        <v>27</v>
      </c>
      <c r="G701" s="305">
        <f>'OCT-18'!I687</f>
        <v>9000</v>
      </c>
      <c r="H701" s="51"/>
      <c r="I701" s="17">
        <f t="shared" si="13"/>
        <v>9000</v>
      </c>
      <c r="J701" s="56"/>
      <c r="K701" s="56"/>
    </row>
    <row r="702" spans="1:11" ht="30">
      <c r="A702" s="11">
        <v>54110</v>
      </c>
      <c r="B702" s="54" t="s">
        <v>793</v>
      </c>
      <c r="C702" s="13"/>
      <c r="D702" s="14" t="s">
        <v>18</v>
      </c>
      <c r="E702" s="14" t="s">
        <v>28</v>
      </c>
      <c r="F702" s="14" t="s">
        <v>27</v>
      </c>
      <c r="G702" s="305">
        <f>'OCT-18'!I688</f>
        <v>200</v>
      </c>
      <c r="H702" s="51"/>
      <c r="I702" s="17">
        <f t="shared" si="13"/>
        <v>200</v>
      </c>
      <c r="J702" s="56"/>
      <c r="K702" s="56"/>
    </row>
    <row r="703" spans="1:11" ht="30">
      <c r="A703" s="11">
        <v>54111</v>
      </c>
      <c r="B703" s="54" t="s">
        <v>794</v>
      </c>
      <c r="C703" s="13"/>
      <c r="D703" s="14" t="s">
        <v>18</v>
      </c>
      <c r="E703" s="14" t="s">
        <v>28</v>
      </c>
      <c r="F703" s="14" t="s">
        <v>27</v>
      </c>
      <c r="G703" s="305">
        <f>'OCT-18'!I689</f>
        <v>11290</v>
      </c>
      <c r="H703" s="51"/>
      <c r="I703" s="17">
        <f t="shared" si="13"/>
        <v>11290</v>
      </c>
      <c r="J703" s="56"/>
      <c r="K703" s="56"/>
    </row>
    <row r="704" spans="1:11" ht="30">
      <c r="A704" s="11">
        <v>54118</v>
      </c>
      <c r="B704" s="54" t="s">
        <v>795</v>
      </c>
      <c r="C704" s="13"/>
      <c r="D704" s="14" t="s">
        <v>18</v>
      </c>
      <c r="E704" s="14" t="s">
        <v>28</v>
      </c>
      <c r="F704" s="14" t="s">
        <v>27</v>
      </c>
      <c r="G704" s="305">
        <f>'OCT-18'!I690</f>
        <v>3000</v>
      </c>
      <c r="H704" s="51"/>
      <c r="I704" s="17">
        <f t="shared" si="13"/>
        <v>3000</v>
      </c>
      <c r="J704" s="56"/>
      <c r="K704" s="56"/>
    </row>
    <row r="705" spans="1:11" ht="45">
      <c r="A705" s="11">
        <v>54313</v>
      </c>
      <c r="B705" s="54" t="s">
        <v>796</v>
      </c>
      <c r="C705" s="13"/>
      <c r="D705" s="14" t="s">
        <v>18</v>
      </c>
      <c r="E705" s="14" t="s">
        <v>28</v>
      </c>
      <c r="F705" s="14" t="s">
        <v>27</v>
      </c>
      <c r="G705" s="305">
        <f>'OCT-18'!I691</f>
        <v>300</v>
      </c>
      <c r="H705" s="51"/>
      <c r="I705" s="17">
        <f t="shared" si="13"/>
        <v>300</v>
      </c>
      <c r="J705" s="56"/>
      <c r="K705" s="56"/>
    </row>
    <row r="706" spans="1:11" ht="30">
      <c r="A706" s="11">
        <v>54399</v>
      </c>
      <c r="B706" s="54" t="s">
        <v>797</v>
      </c>
      <c r="C706" s="13"/>
      <c r="D706" s="14" t="s">
        <v>18</v>
      </c>
      <c r="E706" s="14" t="s">
        <v>28</v>
      </c>
      <c r="F706" s="14" t="s">
        <v>27</v>
      </c>
      <c r="G706" s="305">
        <f>'OCT-18'!I692</f>
        <v>1200</v>
      </c>
      <c r="H706" s="51"/>
      <c r="I706" s="17">
        <f t="shared" si="13"/>
        <v>1200</v>
      </c>
      <c r="J706" s="56"/>
      <c r="K706" s="56"/>
    </row>
    <row r="707" spans="1:11" ht="30">
      <c r="A707" s="11">
        <v>55603</v>
      </c>
      <c r="B707" s="54" t="s">
        <v>798</v>
      </c>
      <c r="C707" s="13"/>
      <c r="D707" s="14" t="s">
        <v>18</v>
      </c>
      <c r="E707" s="14" t="s">
        <v>28</v>
      </c>
      <c r="F707" s="14" t="s">
        <v>27</v>
      </c>
      <c r="G707" s="305">
        <f>'OCT-18'!I693</f>
        <v>10</v>
      </c>
      <c r="H707" s="51"/>
      <c r="I707" s="17">
        <f t="shared" si="13"/>
        <v>10</v>
      </c>
      <c r="J707" s="56"/>
      <c r="K707" s="56"/>
    </row>
    <row r="708" spans="1:11" ht="60">
      <c r="A708" s="141" t="s">
        <v>486</v>
      </c>
      <c r="B708" s="53" t="s">
        <v>790</v>
      </c>
      <c r="C708" s="13"/>
      <c r="D708" s="14"/>
      <c r="E708" s="14"/>
      <c r="F708" s="14"/>
      <c r="G708" s="305">
        <f>'OCT-18'!I694</f>
        <v>0</v>
      </c>
      <c r="H708" s="51"/>
      <c r="I708" s="17"/>
      <c r="J708" s="56"/>
      <c r="K708" s="56"/>
    </row>
    <row r="709" spans="1:11" ht="29.25">
      <c r="A709" s="11">
        <v>51202</v>
      </c>
      <c r="B709" s="54" t="s">
        <v>799</v>
      </c>
      <c r="C709" s="13"/>
      <c r="D709" s="14" t="s">
        <v>18</v>
      </c>
      <c r="E709" s="14" t="s">
        <v>28</v>
      </c>
      <c r="F709" s="14" t="s">
        <v>27</v>
      </c>
      <c r="G709" s="305">
        <f>'OCT-18'!I695</f>
        <v>9000</v>
      </c>
      <c r="H709" s="51"/>
      <c r="I709" s="17">
        <f t="shared" si="13"/>
        <v>9000</v>
      </c>
      <c r="J709" s="56"/>
      <c r="K709" s="56"/>
    </row>
    <row r="710" spans="1:11" ht="29.25">
      <c r="A710" s="11">
        <v>54110</v>
      </c>
      <c r="B710" s="54" t="s">
        <v>800</v>
      </c>
      <c r="C710" s="13"/>
      <c r="D710" s="14" t="s">
        <v>18</v>
      </c>
      <c r="E710" s="14" t="s">
        <v>28</v>
      </c>
      <c r="F710" s="14" t="s">
        <v>27</v>
      </c>
      <c r="G710" s="305">
        <f>'OCT-18'!I696</f>
        <v>200</v>
      </c>
      <c r="H710" s="51"/>
      <c r="I710" s="17">
        <f t="shared" si="13"/>
        <v>200</v>
      </c>
      <c r="J710" s="56"/>
      <c r="K710" s="56"/>
    </row>
    <row r="711" spans="1:11" ht="44.25">
      <c r="A711" s="11">
        <v>54111</v>
      </c>
      <c r="B711" s="54" t="s">
        <v>801</v>
      </c>
      <c r="C711" s="13"/>
      <c r="D711" s="14" t="s">
        <v>18</v>
      </c>
      <c r="E711" s="14" t="s">
        <v>28</v>
      </c>
      <c r="F711" s="14" t="s">
        <v>27</v>
      </c>
      <c r="G711" s="305">
        <f>'OCT-18'!I697</f>
        <v>12290</v>
      </c>
      <c r="H711" s="51"/>
      <c r="I711" s="17">
        <f t="shared" si="13"/>
        <v>12290</v>
      </c>
      <c r="J711" s="56"/>
      <c r="K711" s="56"/>
    </row>
    <row r="712" spans="1:11" ht="29.25">
      <c r="A712" s="11">
        <v>54118</v>
      </c>
      <c r="B712" s="54" t="s">
        <v>802</v>
      </c>
      <c r="C712" s="13"/>
      <c r="D712" s="14" t="s">
        <v>18</v>
      </c>
      <c r="E712" s="14" t="s">
        <v>28</v>
      </c>
      <c r="F712" s="14" t="s">
        <v>27</v>
      </c>
      <c r="G712" s="305">
        <f>'OCT-18'!I698</f>
        <v>3000</v>
      </c>
      <c r="H712" s="51"/>
      <c r="I712" s="17">
        <f t="shared" si="13"/>
        <v>3000</v>
      </c>
      <c r="J712" s="56"/>
      <c r="K712" s="56"/>
    </row>
    <row r="713" spans="1:11" ht="43.5">
      <c r="A713" s="11">
        <v>54313</v>
      </c>
      <c r="B713" s="54" t="s">
        <v>803</v>
      </c>
      <c r="C713" s="13"/>
      <c r="D713" s="14" t="s">
        <v>18</v>
      </c>
      <c r="E713" s="14" t="s">
        <v>28</v>
      </c>
      <c r="F713" s="14" t="s">
        <v>27</v>
      </c>
      <c r="G713" s="305">
        <f>'OCT-18'!I699</f>
        <v>300</v>
      </c>
      <c r="H713" s="51"/>
      <c r="I713" s="17">
        <f t="shared" si="13"/>
        <v>300</v>
      </c>
      <c r="J713" s="56"/>
      <c r="K713" s="56"/>
    </row>
    <row r="714" spans="1:11" ht="43.5">
      <c r="A714" s="11">
        <v>54399</v>
      </c>
      <c r="B714" s="54" t="s">
        <v>804</v>
      </c>
      <c r="C714" s="13"/>
      <c r="D714" s="14" t="s">
        <v>18</v>
      </c>
      <c r="E714" s="14" t="s">
        <v>28</v>
      </c>
      <c r="F714" s="14" t="s">
        <v>27</v>
      </c>
      <c r="G714" s="305">
        <f>'OCT-18'!I700</f>
        <v>200</v>
      </c>
      <c r="H714" s="51"/>
      <c r="I714" s="17">
        <f t="shared" si="13"/>
        <v>200</v>
      </c>
      <c r="J714" s="56"/>
      <c r="K714" s="56"/>
    </row>
    <row r="715" spans="1:11" ht="33.75" customHeight="1">
      <c r="A715" s="11">
        <v>55603</v>
      </c>
      <c r="B715" s="54" t="s">
        <v>805</v>
      </c>
      <c r="C715" s="13"/>
      <c r="D715" s="14" t="s">
        <v>18</v>
      </c>
      <c r="E715" s="14" t="s">
        <v>28</v>
      </c>
      <c r="F715" s="14" t="s">
        <v>27</v>
      </c>
      <c r="G715" s="305">
        <f>'OCT-18'!I701</f>
        <v>10</v>
      </c>
      <c r="H715" s="51"/>
      <c r="I715" s="17">
        <f t="shared" si="13"/>
        <v>10</v>
      </c>
      <c r="J715" s="56"/>
      <c r="K715" s="56"/>
    </row>
    <row r="716" spans="1:11" ht="75">
      <c r="A716" s="141" t="s">
        <v>504</v>
      </c>
      <c r="B716" s="53" t="s">
        <v>806</v>
      </c>
      <c r="C716" s="13"/>
      <c r="D716" s="14"/>
      <c r="E716" s="14"/>
      <c r="F716" s="14"/>
      <c r="G716" s="305">
        <f>'OCT-18'!I702</f>
        <v>0</v>
      </c>
      <c r="H716" s="51"/>
      <c r="I716" s="17"/>
      <c r="J716" s="56"/>
      <c r="K716" s="56"/>
    </row>
    <row r="717" spans="1:11" ht="29.25">
      <c r="A717" s="11">
        <v>51202</v>
      </c>
      <c r="B717" s="54" t="s">
        <v>807</v>
      </c>
      <c r="C717" s="13"/>
      <c r="D717" s="14" t="s">
        <v>18</v>
      </c>
      <c r="E717" s="14" t="s">
        <v>28</v>
      </c>
      <c r="F717" s="14" t="s">
        <v>27</v>
      </c>
      <c r="G717" s="305">
        <f>'OCT-18'!I703</f>
        <v>7000</v>
      </c>
      <c r="H717" s="51"/>
      <c r="I717" s="17">
        <f t="shared" si="13"/>
        <v>7000</v>
      </c>
      <c r="J717" s="56"/>
      <c r="K717" s="56"/>
    </row>
    <row r="718" spans="1:11" ht="29.25">
      <c r="A718" s="11">
        <v>54110</v>
      </c>
      <c r="B718" s="54" t="s">
        <v>808</v>
      </c>
      <c r="C718" s="13"/>
      <c r="D718" s="14" t="s">
        <v>18</v>
      </c>
      <c r="E718" s="14" t="s">
        <v>28</v>
      </c>
      <c r="F718" s="14" t="s">
        <v>27</v>
      </c>
      <c r="G718" s="305">
        <f>'OCT-18'!I704</f>
        <v>200</v>
      </c>
      <c r="H718" s="51"/>
      <c r="I718" s="17">
        <f t="shared" si="13"/>
        <v>200</v>
      </c>
      <c r="J718" s="56"/>
      <c r="K718" s="56"/>
    </row>
    <row r="719" spans="1:11" ht="29.25">
      <c r="A719" s="11">
        <v>54111</v>
      </c>
      <c r="B719" s="54" t="s">
        <v>809</v>
      </c>
      <c r="C719" s="13"/>
      <c r="D719" s="14" t="s">
        <v>18</v>
      </c>
      <c r="E719" s="14" t="s">
        <v>28</v>
      </c>
      <c r="F719" s="14" t="s">
        <v>27</v>
      </c>
      <c r="G719" s="305">
        <f>'OCT-18'!I705</f>
        <v>10290</v>
      </c>
      <c r="H719" s="51"/>
      <c r="I719" s="17">
        <f t="shared" si="13"/>
        <v>10290</v>
      </c>
      <c r="J719" s="56"/>
      <c r="K719" s="56"/>
    </row>
    <row r="720" spans="1:11" ht="29.25">
      <c r="A720" s="11">
        <v>54118</v>
      </c>
      <c r="B720" s="54" t="s">
        <v>810</v>
      </c>
      <c r="C720" s="13"/>
      <c r="D720" s="14" t="s">
        <v>18</v>
      </c>
      <c r="E720" s="14" t="s">
        <v>28</v>
      </c>
      <c r="F720" s="14" t="s">
        <v>27</v>
      </c>
      <c r="G720" s="305">
        <f>'OCT-18'!I706</f>
        <v>1500</v>
      </c>
      <c r="H720" s="51"/>
      <c r="I720" s="17">
        <f t="shared" si="13"/>
        <v>1500</v>
      </c>
      <c r="J720" s="56"/>
      <c r="K720" s="56"/>
    </row>
    <row r="721" spans="1:11" ht="44.25">
      <c r="A721" s="11">
        <v>54313</v>
      </c>
      <c r="B721" s="54" t="s">
        <v>811</v>
      </c>
      <c r="C721" s="13"/>
      <c r="D721" s="14" t="s">
        <v>18</v>
      </c>
      <c r="E721" s="14" t="s">
        <v>28</v>
      </c>
      <c r="F721" s="14" t="s">
        <v>27</v>
      </c>
      <c r="G721" s="305">
        <f>'OCT-18'!I707</f>
        <v>300</v>
      </c>
      <c r="H721" s="51"/>
      <c r="I721" s="17">
        <f t="shared" si="13"/>
        <v>300</v>
      </c>
      <c r="J721" s="56"/>
      <c r="K721" s="56"/>
    </row>
    <row r="722" spans="1:11" ht="29.25">
      <c r="A722" s="11">
        <v>54399</v>
      </c>
      <c r="B722" s="54" t="s">
        <v>812</v>
      </c>
      <c r="C722" s="13"/>
      <c r="D722" s="14" t="s">
        <v>18</v>
      </c>
      <c r="E722" s="14" t="s">
        <v>28</v>
      </c>
      <c r="F722" s="14" t="s">
        <v>27</v>
      </c>
      <c r="G722" s="305">
        <f>'OCT-18'!I708</f>
        <v>700</v>
      </c>
      <c r="H722" s="51"/>
      <c r="I722" s="17">
        <f t="shared" si="13"/>
        <v>700</v>
      </c>
      <c r="J722" s="56"/>
      <c r="K722" s="56"/>
    </row>
    <row r="723" spans="1:11" ht="29.25">
      <c r="A723" s="11">
        <v>55603</v>
      </c>
      <c r="B723" s="54" t="s">
        <v>813</v>
      </c>
      <c r="C723" s="13"/>
      <c r="D723" s="14" t="s">
        <v>18</v>
      </c>
      <c r="E723" s="14" t="s">
        <v>28</v>
      </c>
      <c r="F723" s="14" t="s">
        <v>27</v>
      </c>
      <c r="G723" s="305">
        <f>'OCT-18'!I709</f>
        <v>10</v>
      </c>
      <c r="H723" s="51"/>
      <c r="I723" s="17">
        <f t="shared" si="13"/>
        <v>10</v>
      </c>
      <c r="J723" s="56"/>
      <c r="K723" s="56"/>
    </row>
    <row r="724" spans="1:11" ht="88.5">
      <c r="A724" s="141" t="s">
        <v>505</v>
      </c>
      <c r="B724" s="53" t="s">
        <v>821</v>
      </c>
      <c r="C724" s="13"/>
      <c r="D724" s="14"/>
      <c r="E724" s="14"/>
      <c r="F724" s="14"/>
      <c r="G724" s="305">
        <f>'OCT-18'!I710</f>
        <v>0</v>
      </c>
      <c r="H724" s="51"/>
      <c r="I724" s="17"/>
      <c r="J724" s="56"/>
      <c r="K724" s="56"/>
    </row>
    <row r="725" spans="1:11" ht="29.25">
      <c r="A725" s="11">
        <v>51202</v>
      </c>
      <c r="B725" s="54" t="s">
        <v>814</v>
      </c>
      <c r="C725" s="13"/>
      <c r="D725" s="14" t="s">
        <v>18</v>
      </c>
      <c r="E725" s="14" t="s">
        <v>28</v>
      </c>
      <c r="F725" s="14" t="s">
        <v>27</v>
      </c>
      <c r="G725" s="305">
        <f>'OCT-18'!I711</f>
        <v>9000</v>
      </c>
      <c r="H725" s="51"/>
      <c r="I725" s="17">
        <f t="shared" si="13"/>
        <v>9000</v>
      </c>
      <c r="J725" s="56"/>
      <c r="K725" s="56"/>
    </row>
    <row r="726" spans="1:11" ht="29.25">
      <c r="A726" s="11">
        <v>54110</v>
      </c>
      <c r="B726" s="54" t="s">
        <v>815</v>
      </c>
      <c r="C726" s="13"/>
      <c r="D726" s="14" t="s">
        <v>18</v>
      </c>
      <c r="E726" s="14" t="s">
        <v>28</v>
      </c>
      <c r="F726" s="14" t="s">
        <v>27</v>
      </c>
      <c r="G726" s="305">
        <f>'OCT-18'!I712</f>
        <v>200</v>
      </c>
      <c r="H726" s="51"/>
      <c r="I726" s="17">
        <f t="shared" si="13"/>
        <v>200</v>
      </c>
      <c r="J726" s="56"/>
      <c r="K726" s="56"/>
    </row>
    <row r="727" spans="1:11" ht="44.25">
      <c r="A727" s="11">
        <v>54111</v>
      </c>
      <c r="B727" s="53" t="s">
        <v>816</v>
      </c>
      <c r="C727" s="13"/>
      <c r="D727" s="14" t="s">
        <v>18</v>
      </c>
      <c r="E727" s="14" t="s">
        <v>28</v>
      </c>
      <c r="F727" s="14" t="s">
        <v>27</v>
      </c>
      <c r="G727" s="305">
        <f>'OCT-18'!I713</f>
        <v>12290</v>
      </c>
      <c r="H727" s="51"/>
      <c r="I727" s="17">
        <f t="shared" ref="I727:I790" si="14">G727-H727+J727-K727</f>
        <v>12290</v>
      </c>
      <c r="J727" s="56"/>
      <c r="K727" s="56"/>
    </row>
    <row r="728" spans="1:11" ht="29.25">
      <c r="A728" s="11">
        <v>54118</v>
      </c>
      <c r="B728" s="54" t="s">
        <v>817</v>
      </c>
      <c r="C728" s="13"/>
      <c r="D728" s="14" t="s">
        <v>18</v>
      </c>
      <c r="E728" s="14" t="s">
        <v>28</v>
      </c>
      <c r="F728" s="14" t="s">
        <v>27</v>
      </c>
      <c r="G728" s="305">
        <f>'OCT-18'!I714</f>
        <v>3000</v>
      </c>
      <c r="H728" s="51"/>
      <c r="I728" s="17">
        <f t="shared" si="14"/>
        <v>3000</v>
      </c>
      <c r="J728" s="56"/>
      <c r="K728" s="56"/>
    </row>
    <row r="729" spans="1:11" ht="44.25">
      <c r="A729" s="11">
        <v>54313</v>
      </c>
      <c r="B729" s="54" t="s">
        <v>818</v>
      </c>
      <c r="C729" s="13"/>
      <c r="D729" s="14" t="s">
        <v>18</v>
      </c>
      <c r="E729" s="14" t="s">
        <v>28</v>
      </c>
      <c r="F729" s="14" t="s">
        <v>27</v>
      </c>
      <c r="G729" s="305">
        <f>'OCT-18'!I715</f>
        <v>300</v>
      </c>
      <c r="H729" s="51"/>
      <c r="I729" s="17">
        <f t="shared" si="14"/>
        <v>300</v>
      </c>
      <c r="J729" s="56"/>
      <c r="K729" s="56"/>
    </row>
    <row r="730" spans="1:11" ht="43.5">
      <c r="A730" s="11">
        <v>54399</v>
      </c>
      <c r="B730" s="54" t="s">
        <v>819</v>
      </c>
      <c r="C730" s="13"/>
      <c r="D730" s="14" t="s">
        <v>18</v>
      </c>
      <c r="E730" s="14" t="s">
        <v>28</v>
      </c>
      <c r="F730" s="14" t="s">
        <v>27</v>
      </c>
      <c r="G730" s="305">
        <f>'OCT-18'!I716</f>
        <v>200</v>
      </c>
      <c r="H730" s="51"/>
      <c r="I730" s="17">
        <f t="shared" si="14"/>
        <v>200</v>
      </c>
      <c r="J730" s="56"/>
      <c r="K730" s="56"/>
    </row>
    <row r="731" spans="1:11" ht="29.25">
      <c r="A731" s="11">
        <v>55603</v>
      </c>
      <c r="B731" s="54" t="s">
        <v>820</v>
      </c>
      <c r="C731" s="13"/>
      <c r="D731" s="14" t="s">
        <v>18</v>
      </c>
      <c r="E731" s="14" t="s">
        <v>28</v>
      </c>
      <c r="F731" s="14" t="s">
        <v>27</v>
      </c>
      <c r="G731" s="305">
        <f>'OCT-18'!I717</f>
        <v>10</v>
      </c>
      <c r="H731" s="51"/>
      <c r="I731" s="17">
        <f t="shared" si="14"/>
        <v>10</v>
      </c>
      <c r="J731" s="56"/>
      <c r="K731" s="56"/>
    </row>
    <row r="732" spans="1:11" ht="75">
      <c r="A732" s="141" t="s">
        <v>511</v>
      </c>
      <c r="B732" s="53" t="s">
        <v>824</v>
      </c>
      <c r="C732" s="13"/>
      <c r="D732" s="14"/>
      <c r="E732" s="14"/>
      <c r="F732" s="14"/>
      <c r="G732" s="305">
        <f>'OCT-18'!I718</f>
        <v>0</v>
      </c>
      <c r="H732" s="51"/>
      <c r="I732" s="17"/>
      <c r="J732" s="56"/>
      <c r="K732" s="56"/>
    </row>
    <row r="733" spans="1:11" ht="29.25">
      <c r="A733" s="11">
        <v>51202</v>
      </c>
      <c r="B733" s="54" t="s">
        <v>823</v>
      </c>
      <c r="C733" s="13"/>
      <c r="D733" s="14" t="s">
        <v>18</v>
      </c>
      <c r="E733" s="14" t="s">
        <v>28</v>
      </c>
      <c r="F733" s="14" t="s">
        <v>27</v>
      </c>
      <c r="G733" s="305">
        <f>'OCT-18'!I719</f>
        <v>3000</v>
      </c>
      <c r="H733" s="51"/>
      <c r="I733" s="17">
        <f t="shared" si="14"/>
        <v>3000</v>
      </c>
      <c r="J733" s="56"/>
      <c r="K733" s="56"/>
    </row>
    <row r="734" spans="1:11" ht="29.25">
      <c r="A734" s="11">
        <v>54110</v>
      </c>
      <c r="B734" s="54" t="s">
        <v>825</v>
      </c>
      <c r="C734" s="13"/>
      <c r="D734" s="14" t="s">
        <v>18</v>
      </c>
      <c r="E734" s="14" t="s">
        <v>28</v>
      </c>
      <c r="F734" s="14" t="s">
        <v>27</v>
      </c>
      <c r="G734" s="305">
        <f>'OCT-18'!I720</f>
        <v>200</v>
      </c>
      <c r="H734" s="51"/>
      <c r="I734" s="17">
        <f t="shared" si="14"/>
        <v>200</v>
      </c>
      <c r="J734" s="56"/>
      <c r="K734" s="56"/>
    </row>
    <row r="735" spans="1:11" ht="44.25">
      <c r="A735" s="11">
        <v>54111</v>
      </c>
      <c r="B735" s="54" t="s">
        <v>826</v>
      </c>
      <c r="C735" s="13"/>
      <c r="D735" s="14" t="s">
        <v>18</v>
      </c>
      <c r="E735" s="14" t="s">
        <v>28</v>
      </c>
      <c r="F735" s="14" t="s">
        <v>27</v>
      </c>
      <c r="G735" s="305">
        <f>'OCT-18'!I721</f>
        <v>4990</v>
      </c>
      <c r="H735" s="51"/>
      <c r="I735" s="17">
        <f t="shared" si="14"/>
        <v>4990</v>
      </c>
      <c r="J735" s="56"/>
      <c r="K735" s="56"/>
    </row>
    <row r="736" spans="1:11" ht="29.25">
      <c r="A736" s="11">
        <v>54118</v>
      </c>
      <c r="B736" s="54" t="s">
        <v>827</v>
      </c>
      <c r="C736" s="13"/>
      <c r="D736" s="14" t="s">
        <v>18</v>
      </c>
      <c r="E736" s="14" t="s">
        <v>28</v>
      </c>
      <c r="F736" s="14" t="s">
        <v>27</v>
      </c>
      <c r="G736" s="305">
        <f>'OCT-18'!I722</f>
        <v>800</v>
      </c>
      <c r="H736" s="51"/>
      <c r="I736" s="17">
        <f t="shared" si="14"/>
        <v>800</v>
      </c>
      <c r="J736" s="56"/>
      <c r="K736" s="56"/>
    </row>
    <row r="737" spans="1:11" ht="44.25">
      <c r="A737" s="11">
        <v>54313</v>
      </c>
      <c r="B737" s="54" t="s">
        <v>828</v>
      </c>
      <c r="C737" s="13"/>
      <c r="D737" s="14" t="s">
        <v>18</v>
      </c>
      <c r="E737" s="14" t="s">
        <v>28</v>
      </c>
      <c r="F737" s="14" t="s">
        <v>27</v>
      </c>
      <c r="G737" s="305">
        <f>'OCT-18'!I723</f>
        <v>300</v>
      </c>
      <c r="H737" s="51"/>
      <c r="I737" s="17">
        <f t="shared" si="14"/>
        <v>300</v>
      </c>
      <c r="J737" s="56"/>
      <c r="K737" s="56"/>
    </row>
    <row r="738" spans="1:11" ht="44.25">
      <c r="A738" s="11">
        <v>54399</v>
      </c>
      <c r="B738" s="54" t="s">
        <v>829</v>
      </c>
      <c r="C738" s="13"/>
      <c r="D738" s="14" t="s">
        <v>18</v>
      </c>
      <c r="E738" s="14" t="s">
        <v>28</v>
      </c>
      <c r="F738" s="14" t="s">
        <v>27</v>
      </c>
      <c r="G738" s="305">
        <f>'OCT-18'!I724</f>
        <v>700</v>
      </c>
      <c r="H738" s="51"/>
      <c r="I738" s="17">
        <f t="shared" si="14"/>
        <v>700</v>
      </c>
      <c r="J738" s="56"/>
      <c r="K738" s="56"/>
    </row>
    <row r="739" spans="1:11" ht="29.25">
      <c r="A739" s="11">
        <v>55603</v>
      </c>
      <c r="B739" s="54" t="s">
        <v>830</v>
      </c>
      <c r="C739" s="13"/>
      <c r="D739" s="14" t="s">
        <v>18</v>
      </c>
      <c r="E739" s="14" t="s">
        <v>28</v>
      </c>
      <c r="F739" s="14" t="s">
        <v>27</v>
      </c>
      <c r="G739" s="305">
        <f>'OCT-18'!I725</f>
        <v>10</v>
      </c>
      <c r="H739" s="51"/>
      <c r="I739" s="17">
        <f t="shared" si="14"/>
        <v>10</v>
      </c>
      <c r="J739" s="56"/>
      <c r="K739" s="56"/>
    </row>
    <row r="740" spans="1:11" ht="74.25">
      <c r="A740" s="141" t="s">
        <v>517</v>
      </c>
      <c r="B740" s="53" t="s">
        <v>822</v>
      </c>
      <c r="C740" s="13"/>
      <c r="D740" s="14"/>
      <c r="E740" s="14"/>
      <c r="F740" s="14"/>
      <c r="G740" s="305">
        <f>'OCT-18'!I726</f>
        <v>0</v>
      </c>
      <c r="H740" s="51"/>
      <c r="I740" s="17"/>
      <c r="J740" s="56"/>
      <c r="K740" s="56"/>
    </row>
    <row r="741" spans="1:11" ht="29.25">
      <c r="A741" s="11">
        <v>51202</v>
      </c>
      <c r="B741" s="54" t="s">
        <v>831</v>
      </c>
      <c r="C741" s="13"/>
      <c r="D741" s="14" t="s">
        <v>18</v>
      </c>
      <c r="E741" s="14" t="s">
        <v>28</v>
      </c>
      <c r="F741" s="14" t="s">
        <v>27</v>
      </c>
      <c r="G741" s="305">
        <f>'OCT-18'!I727</f>
        <v>9000</v>
      </c>
      <c r="H741" s="51"/>
      <c r="I741" s="17">
        <f t="shared" si="14"/>
        <v>9000</v>
      </c>
      <c r="J741" s="56"/>
      <c r="K741" s="56"/>
    </row>
    <row r="742" spans="1:11" ht="29.25">
      <c r="A742" s="11">
        <v>54110</v>
      </c>
      <c r="B742" s="54" t="s">
        <v>832</v>
      </c>
      <c r="C742" s="13"/>
      <c r="D742" s="14" t="s">
        <v>18</v>
      </c>
      <c r="E742" s="14" t="s">
        <v>28</v>
      </c>
      <c r="F742" s="14" t="s">
        <v>27</v>
      </c>
      <c r="G742" s="305">
        <f>'OCT-18'!I728</f>
        <v>200</v>
      </c>
      <c r="H742" s="51"/>
      <c r="I742" s="17">
        <f t="shared" si="14"/>
        <v>200</v>
      </c>
      <c r="J742" s="56"/>
      <c r="K742" s="56"/>
    </row>
    <row r="743" spans="1:11" ht="29.25">
      <c r="A743" s="11">
        <v>54111</v>
      </c>
      <c r="B743" s="54" t="s">
        <v>833</v>
      </c>
      <c r="C743" s="13"/>
      <c r="D743" s="14" t="s">
        <v>18</v>
      </c>
      <c r="E743" s="14" t="s">
        <v>28</v>
      </c>
      <c r="F743" s="14" t="s">
        <v>27</v>
      </c>
      <c r="G743" s="305">
        <f>'OCT-18'!I729</f>
        <v>12290</v>
      </c>
      <c r="H743" s="51"/>
      <c r="I743" s="17">
        <f t="shared" si="14"/>
        <v>12290</v>
      </c>
      <c r="J743" s="56"/>
      <c r="K743" s="56"/>
    </row>
    <row r="744" spans="1:11" ht="29.25">
      <c r="A744" s="11">
        <v>54118</v>
      </c>
      <c r="B744" s="54" t="s">
        <v>834</v>
      </c>
      <c r="C744" s="13"/>
      <c r="D744" s="14" t="s">
        <v>18</v>
      </c>
      <c r="E744" s="14" t="s">
        <v>28</v>
      </c>
      <c r="F744" s="14" t="s">
        <v>27</v>
      </c>
      <c r="G744" s="305">
        <f>'OCT-18'!I730</f>
        <v>3000</v>
      </c>
      <c r="H744" s="51"/>
      <c r="I744" s="17">
        <f t="shared" si="14"/>
        <v>3000</v>
      </c>
      <c r="J744" s="56"/>
      <c r="K744" s="56"/>
    </row>
    <row r="745" spans="1:11" ht="29.25">
      <c r="A745" s="11">
        <v>54313</v>
      </c>
      <c r="B745" s="54" t="s">
        <v>835</v>
      </c>
      <c r="C745" s="13"/>
      <c r="D745" s="14" t="s">
        <v>18</v>
      </c>
      <c r="E745" s="14" t="s">
        <v>28</v>
      </c>
      <c r="F745" s="14" t="s">
        <v>27</v>
      </c>
      <c r="G745" s="305">
        <f>'OCT-18'!I731</f>
        <v>300</v>
      </c>
      <c r="H745" s="51"/>
      <c r="I745" s="17">
        <f t="shared" si="14"/>
        <v>300</v>
      </c>
      <c r="J745" s="56"/>
      <c r="K745" s="56"/>
    </row>
    <row r="746" spans="1:11" ht="29.25">
      <c r="A746" s="11">
        <v>54399</v>
      </c>
      <c r="B746" s="54" t="s">
        <v>836</v>
      </c>
      <c r="C746" s="13"/>
      <c r="D746" s="14" t="s">
        <v>18</v>
      </c>
      <c r="E746" s="14" t="s">
        <v>28</v>
      </c>
      <c r="F746" s="14" t="s">
        <v>27</v>
      </c>
      <c r="G746" s="305">
        <f>'OCT-18'!I732</f>
        <v>200</v>
      </c>
      <c r="H746" s="51"/>
      <c r="I746" s="17">
        <f t="shared" si="14"/>
        <v>200</v>
      </c>
      <c r="J746" s="56"/>
      <c r="K746" s="56"/>
    </row>
    <row r="747" spans="1:11" ht="29.25">
      <c r="A747" s="11">
        <v>55603</v>
      </c>
      <c r="B747" s="53" t="s">
        <v>837</v>
      </c>
      <c r="C747" s="13"/>
      <c r="D747" s="14" t="s">
        <v>18</v>
      </c>
      <c r="E747" s="14" t="s">
        <v>28</v>
      </c>
      <c r="F747" s="14" t="s">
        <v>27</v>
      </c>
      <c r="G747" s="305">
        <f>'OCT-18'!I733</f>
        <v>10</v>
      </c>
      <c r="H747" s="51"/>
      <c r="I747" s="17">
        <f t="shared" si="14"/>
        <v>10</v>
      </c>
      <c r="J747" s="56"/>
      <c r="K747" s="56"/>
    </row>
    <row r="748" spans="1:11" ht="75">
      <c r="A748" s="141" t="s">
        <v>838</v>
      </c>
      <c r="B748" s="53" t="s">
        <v>840</v>
      </c>
      <c r="C748" s="13"/>
      <c r="D748" s="14"/>
      <c r="E748" s="14"/>
      <c r="F748" s="14"/>
      <c r="G748" s="305">
        <f>'OCT-18'!I734</f>
        <v>0</v>
      </c>
      <c r="H748" s="51"/>
      <c r="I748" s="17"/>
      <c r="J748" s="56"/>
      <c r="K748" s="56"/>
    </row>
    <row r="749" spans="1:11" ht="29.25">
      <c r="A749" s="11">
        <v>51202</v>
      </c>
      <c r="B749" s="54" t="s">
        <v>842</v>
      </c>
      <c r="C749" s="13"/>
      <c r="D749" s="14" t="s">
        <v>18</v>
      </c>
      <c r="E749" s="14" t="s">
        <v>28</v>
      </c>
      <c r="F749" s="14" t="s">
        <v>27</v>
      </c>
      <c r="G749" s="305">
        <f>'OCT-18'!I735</f>
        <v>9000</v>
      </c>
      <c r="H749" s="51"/>
      <c r="I749" s="17">
        <f t="shared" si="14"/>
        <v>9000</v>
      </c>
      <c r="J749" s="56"/>
      <c r="K749" s="56"/>
    </row>
    <row r="750" spans="1:11" ht="43.5">
      <c r="A750" s="11">
        <v>54110</v>
      </c>
      <c r="B750" s="53" t="s">
        <v>844</v>
      </c>
      <c r="C750" s="13"/>
      <c r="D750" s="14" t="s">
        <v>18</v>
      </c>
      <c r="E750" s="14" t="s">
        <v>28</v>
      </c>
      <c r="F750" s="14" t="s">
        <v>27</v>
      </c>
      <c r="G750" s="305">
        <f>'OCT-18'!I736</f>
        <v>200</v>
      </c>
      <c r="H750" s="51"/>
      <c r="I750" s="17">
        <f t="shared" si="14"/>
        <v>200</v>
      </c>
      <c r="J750" s="56"/>
      <c r="K750" s="56"/>
    </row>
    <row r="751" spans="1:11" ht="44.25">
      <c r="A751" s="11">
        <v>54111</v>
      </c>
      <c r="B751" s="53" t="s">
        <v>845</v>
      </c>
      <c r="C751" s="13"/>
      <c r="D751" s="14" t="s">
        <v>18</v>
      </c>
      <c r="E751" s="14" t="s">
        <v>28</v>
      </c>
      <c r="F751" s="14" t="s">
        <v>27</v>
      </c>
      <c r="G751" s="305">
        <f>'OCT-18'!I737</f>
        <v>12290</v>
      </c>
      <c r="H751" s="51"/>
      <c r="I751" s="17">
        <f t="shared" si="14"/>
        <v>12290</v>
      </c>
      <c r="J751" s="56"/>
      <c r="K751" s="56"/>
    </row>
    <row r="752" spans="1:11" ht="43.5">
      <c r="A752" s="11">
        <v>54118</v>
      </c>
      <c r="B752" s="53" t="s">
        <v>846</v>
      </c>
      <c r="C752" s="13"/>
      <c r="D752" s="14" t="s">
        <v>18</v>
      </c>
      <c r="E752" s="14" t="s">
        <v>28</v>
      </c>
      <c r="F752" s="14" t="s">
        <v>27</v>
      </c>
      <c r="G752" s="305">
        <f>'OCT-18'!I738</f>
        <v>3000</v>
      </c>
      <c r="H752" s="51"/>
      <c r="I752" s="17">
        <f t="shared" si="14"/>
        <v>3000</v>
      </c>
      <c r="J752" s="56"/>
      <c r="K752" s="56"/>
    </row>
    <row r="753" spans="1:11" ht="44.25">
      <c r="A753" s="11">
        <v>54313</v>
      </c>
      <c r="B753" s="53" t="s">
        <v>847</v>
      </c>
      <c r="C753" s="13"/>
      <c r="D753" s="14" t="s">
        <v>18</v>
      </c>
      <c r="E753" s="14" t="s">
        <v>28</v>
      </c>
      <c r="F753" s="14" t="s">
        <v>27</v>
      </c>
      <c r="G753" s="305">
        <f>'OCT-18'!I739</f>
        <v>300</v>
      </c>
      <c r="H753" s="51"/>
      <c r="I753" s="17">
        <f t="shared" si="14"/>
        <v>300</v>
      </c>
      <c r="J753" s="56"/>
      <c r="K753" s="56"/>
    </row>
    <row r="754" spans="1:11" ht="44.25">
      <c r="A754" s="11">
        <v>54399</v>
      </c>
      <c r="B754" s="53" t="s">
        <v>848</v>
      </c>
      <c r="C754" s="13"/>
      <c r="D754" s="14" t="s">
        <v>18</v>
      </c>
      <c r="E754" s="14" t="s">
        <v>28</v>
      </c>
      <c r="F754" s="14" t="s">
        <v>27</v>
      </c>
      <c r="G754" s="305">
        <f>'OCT-18'!I740</f>
        <v>200</v>
      </c>
      <c r="H754" s="51"/>
      <c r="I754" s="17">
        <f t="shared" si="14"/>
        <v>200</v>
      </c>
      <c r="J754" s="56"/>
      <c r="K754" s="56"/>
    </row>
    <row r="755" spans="1:11" ht="43.5">
      <c r="A755" s="11">
        <v>55603</v>
      </c>
      <c r="B755" s="53" t="s">
        <v>849</v>
      </c>
      <c r="C755" s="13"/>
      <c r="D755" s="14" t="s">
        <v>18</v>
      </c>
      <c r="E755" s="14" t="s">
        <v>28</v>
      </c>
      <c r="F755" s="14" t="s">
        <v>27</v>
      </c>
      <c r="G755" s="305">
        <f>'OCT-18'!I741</f>
        <v>10</v>
      </c>
      <c r="H755" s="51"/>
      <c r="I755" s="17">
        <f t="shared" si="14"/>
        <v>10</v>
      </c>
      <c r="J755" s="56"/>
      <c r="K755" s="56"/>
    </row>
    <row r="756" spans="1:11" ht="60">
      <c r="A756" s="141" t="s">
        <v>839</v>
      </c>
      <c r="B756" s="53" t="s">
        <v>841</v>
      </c>
      <c r="C756" s="13"/>
      <c r="D756" s="14"/>
      <c r="E756" s="14"/>
      <c r="F756" s="14"/>
      <c r="G756" s="305">
        <f>'OCT-18'!I742</f>
        <v>0</v>
      </c>
      <c r="H756" s="51"/>
      <c r="I756" s="17"/>
      <c r="J756" s="56"/>
      <c r="K756" s="56"/>
    </row>
    <row r="757" spans="1:11" ht="29.25">
      <c r="A757" s="11">
        <v>51202</v>
      </c>
      <c r="B757" s="54" t="s">
        <v>843</v>
      </c>
      <c r="C757" s="13"/>
      <c r="D757" s="14" t="s">
        <v>18</v>
      </c>
      <c r="E757" s="14" t="s">
        <v>28</v>
      </c>
      <c r="F757" s="14" t="s">
        <v>27</v>
      </c>
      <c r="G757" s="305">
        <f>'OCT-18'!I743</f>
        <v>9000</v>
      </c>
      <c r="H757" s="51"/>
      <c r="I757" s="17">
        <f t="shared" si="14"/>
        <v>9000</v>
      </c>
      <c r="J757" s="56"/>
      <c r="K757" s="56"/>
    </row>
    <row r="758" spans="1:11" ht="29.25">
      <c r="A758" s="11">
        <v>54110</v>
      </c>
      <c r="B758" s="53" t="s">
        <v>850</v>
      </c>
      <c r="C758" s="13"/>
      <c r="D758" s="14" t="s">
        <v>18</v>
      </c>
      <c r="E758" s="14" t="s">
        <v>28</v>
      </c>
      <c r="F758" s="14" t="s">
        <v>27</v>
      </c>
      <c r="G758" s="305">
        <f>'OCT-18'!I744</f>
        <v>200</v>
      </c>
      <c r="H758" s="51"/>
      <c r="I758" s="17">
        <f t="shared" si="14"/>
        <v>200</v>
      </c>
      <c r="J758" s="56"/>
      <c r="K758" s="56"/>
    </row>
    <row r="759" spans="1:11" ht="29.25">
      <c r="A759" s="11">
        <v>54111</v>
      </c>
      <c r="B759" s="54" t="s">
        <v>851</v>
      </c>
      <c r="C759" s="13"/>
      <c r="D759" s="14" t="s">
        <v>18</v>
      </c>
      <c r="E759" s="14" t="s">
        <v>28</v>
      </c>
      <c r="F759" s="14" t="s">
        <v>27</v>
      </c>
      <c r="G759" s="305">
        <f>'OCT-18'!I745</f>
        <v>12290</v>
      </c>
      <c r="H759" s="51"/>
      <c r="I759" s="17">
        <f t="shared" si="14"/>
        <v>12290</v>
      </c>
      <c r="J759" s="56"/>
      <c r="K759" s="56"/>
    </row>
    <row r="760" spans="1:11" ht="29.25">
      <c r="A760" s="11">
        <v>54118</v>
      </c>
      <c r="B760" s="53" t="s">
        <v>852</v>
      </c>
      <c r="C760" s="13"/>
      <c r="D760" s="14" t="s">
        <v>18</v>
      </c>
      <c r="E760" s="14" t="s">
        <v>28</v>
      </c>
      <c r="F760" s="14" t="s">
        <v>27</v>
      </c>
      <c r="G760" s="305">
        <f>'OCT-18'!I746</f>
        <v>3000</v>
      </c>
      <c r="H760" s="51"/>
      <c r="I760" s="17">
        <f t="shared" si="14"/>
        <v>3000</v>
      </c>
      <c r="J760" s="56"/>
      <c r="K760" s="56"/>
    </row>
    <row r="761" spans="1:11" ht="29.25">
      <c r="A761" s="11">
        <v>54313</v>
      </c>
      <c r="B761" s="54" t="s">
        <v>853</v>
      </c>
      <c r="C761" s="13"/>
      <c r="D761" s="14" t="s">
        <v>18</v>
      </c>
      <c r="E761" s="14" t="s">
        <v>28</v>
      </c>
      <c r="F761" s="14" t="s">
        <v>27</v>
      </c>
      <c r="G761" s="305">
        <f>'OCT-18'!I747</f>
        <v>300</v>
      </c>
      <c r="H761" s="51"/>
      <c r="I761" s="17">
        <f t="shared" si="14"/>
        <v>300</v>
      </c>
      <c r="J761" s="56"/>
      <c r="K761" s="56"/>
    </row>
    <row r="762" spans="1:11" ht="37.5" customHeight="1">
      <c r="A762" s="11">
        <v>54399</v>
      </c>
      <c r="B762" s="54" t="s">
        <v>854</v>
      </c>
      <c r="C762" s="13"/>
      <c r="D762" s="14" t="s">
        <v>18</v>
      </c>
      <c r="E762" s="14" t="s">
        <v>28</v>
      </c>
      <c r="F762" s="14" t="s">
        <v>27</v>
      </c>
      <c r="G762" s="305">
        <f>'OCT-18'!I748</f>
        <v>200</v>
      </c>
      <c r="H762" s="51"/>
      <c r="I762" s="17">
        <f t="shared" si="14"/>
        <v>200</v>
      </c>
      <c r="J762" s="56"/>
      <c r="K762" s="56"/>
    </row>
    <row r="763" spans="1:11" ht="29.25">
      <c r="A763" s="11">
        <v>55603</v>
      </c>
      <c r="B763" s="54" t="s">
        <v>855</v>
      </c>
      <c r="C763" s="13"/>
      <c r="D763" s="14" t="s">
        <v>18</v>
      </c>
      <c r="E763" s="14" t="s">
        <v>28</v>
      </c>
      <c r="F763" s="14" t="s">
        <v>27</v>
      </c>
      <c r="G763" s="305">
        <f>'OCT-18'!I749</f>
        <v>10</v>
      </c>
      <c r="H763" s="51"/>
      <c r="I763" s="17">
        <f t="shared" si="14"/>
        <v>10</v>
      </c>
      <c r="J763" s="56"/>
      <c r="K763" s="56"/>
    </row>
    <row r="764" spans="1:11" ht="60">
      <c r="A764" s="141" t="s">
        <v>872</v>
      </c>
      <c r="B764" s="53" t="s">
        <v>856</v>
      </c>
      <c r="C764" s="13"/>
      <c r="D764" s="14"/>
      <c r="E764" s="14"/>
      <c r="F764" s="14"/>
      <c r="G764" s="305">
        <f>'OCT-18'!I750</f>
        <v>0</v>
      </c>
      <c r="H764" s="51"/>
      <c r="I764" s="17"/>
      <c r="J764" s="56"/>
      <c r="K764" s="56"/>
    </row>
    <row r="765" spans="1:11" ht="29.25">
      <c r="A765" s="11">
        <v>51202</v>
      </c>
      <c r="B765" s="54" t="s">
        <v>857</v>
      </c>
      <c r="C765" s="13"/>
      <c r="D765" s="14" t="s">
        <v>18</v>
      </c>
      <c r="E765" s="14" t="s">
        <v>28</v>
      </c>
      <c r="F765" s="14" t="s">
        <v>27</v>
      </c>
      <c r="G765" s="305">
        <f>'OCT-18'!I751</f>
        <v>0</v>
      </c>
      <c r="H765" s="51"/>
      <c r="I765" s="17">
        <f t="shared" si="14"/>
        <v>0</v>
      </c>
      <c r="J765" s="56"/>
      <c r="K765" s="449"/>
    </row>
    <row r="766" spans="1:11" ht="29.25">
      <c r="A766" s="11">
        <v>54110</v>
      </c>
      <c r="B766" s="53" t="s">
        <v>858</v>
      </c>
      <c r="C766" s="13"/>
      <c r="D766" s="14" t="s">
        <v>18</v>
      </c>
      <c r="E766" s="14" t="s">
        <v>28</v>
      </c>
      <c r="F766" s="14" t="s">
        <v>27</v>
      </c>
      <c r="G766" s="305">
        <f>'OCT-18'!I752</f>
        <v>0</v>
      </c>
      <c r="H766" s="51"/>
      <c r="I766" s="17">
        <f t="shared" si="14"/>
        <v>0</v>
      </c>
      <c r="J766" s="56"/>
      <c r="K766" s="449"/>
    </row>
    <row r="767" spans="1:11" ht="44.25">
      <c r="A767" s="11">
        <v>54111</v>
      </c>
      <c r="B767" s="53" t="s">
        <v>859</v>
      </c>
      <c r="C767" s="13"/>
      <c r="D767" s="14" t="s">
        <v>18</v>
      </c>
      <c r="E767" s="14" t="s">
        <v>28</v>
      </c>
      <c r="F767" s="14" t="s">
        <v>27</v>
      </c>
      <c r="G767" s="305">
        <f>'OCT-18'!I753</f>
        <v>0</v>
      </c>
      <c r="H767" s="51"/>
      <c r="I767" s="17">
        <f t="shared" si="14"/>
        <v>0</v>
      </c>
      <c r="J767" s="56"/>
      <c r="K767" s="449"/>
    </row>
    <row r="768" spans="1:11" ht="29.25">
      <c r="A768" s="11">
        <v>54118</v>
      </c>
      <c r="B768" s="53" t="s">
        <v>860</v>
      </c>
      <c r="C768" s="13"/>
      <c r="D768" s="14" t="s">
        <v>18</v>
      </c>
      <c r="E768" s="14" t="s">
        <v>28</v>
      </c>
      <c r="F768" s="14" t="s">
        <v>27</v>
      </c>
      <c r="G768" s="305">
        <f>'OCT-18'!I754</f>
        <v>0</v>
      </c>
      <c r="H768" s="51"/>
      <c r="I768" s="17">
        <f t="shared" si="14"/>
        <v>0</v>
      </c>
      <c r="J768" s="56"/>
      <c r="K768" s="449"/>
    </row>
    <row r="769" spans="1:11" ht="44.25">
      <c r="A769" s="11">
        <v>54313</v>
      </c>
      <c r="B769" s="53" t="s">
        <v>861</v>
      </c>
      <c r="C769" s="13"/>
      <c r="D769" s="14" t="s">
        <v>18</v>
      </c>
      <c r="E769" s="14" t="s">
        <v>28</v>
      </c>
      <c r="F769" s="14" t="s">
        <v>27</v>
      </c>
      <c r="G769" s="305">
        <f>'OCT-18'!I755</f>
        <v>0</v>
      </c>
      <c r="H769" s="51"/>
      <c r="I769" s="17">
        <f t="shared" si="14"/>
        <v>0</v>
      </c>
      <c r="J769" s="56"/>
      <c r="K769" s="449"/>
    </row>
    <row r="770" spans="1:11" ht="44.25">
      <c r="A770" s="11">
        <v>54399</v>
      </c>
      <c r="B770" s="53" t="s">
        <v>862</v>
      </c>
      <c r="C770" s="13"/>
      <c r="D770" s="14" t="s">
        <v>18</v>
      </c>
      <c r="E770" s="14" t="s">
        <v>28</v>
      </c>
      <c r="F770" s="14" t="s">
        <v>27</v>
      </c>
      <c r="G770" s="305">
        <f>'OCT-18'!I756</f>
        <v>0</v>
      </c>
      <c r="H770" s="51"/>
      <c r="I770" s="17">
        <f t="shared" si="14"/>
        <v>0</v>
      </c>
      <c r="J770" s="56"/>
      <c r="K770" s="449"/>
    </row>
    <row r="771" spans="1:11" ht="29.25">
      <c r="A771" s="11">
        <v>55603</v>
      </c>
      <c r="B771" s="53" t="s">
        <v>863</v>
      </c>
      <c r="C771" s="13"/>
      <c r="D771" s="14" t="s">
        <v>18</v>
      </c>
      <c r="E771" s="14" t="s">
        <v>28</v>
      </c>
      <c r="F771" s="14" t="s">
        <v>27</v>
      </c>
      <c r="G771" s="305">
        <f>'OCT-18'!I757</f>
        <v>0</v>
      </c>
      <c r="H771" s="51"/>
      <c r="I771" s="17">
        <f t="shared" si="14"/>
        <v>0</v>
      </c>
      <c r="J771" s="56"/>
      <c r="K771" s="449"/>
    </row>
    <row r="772" spans="1:11" ht="56.25" customHeight="1">
      <c r="A772" s="141" t="s">
        <v>873</v>
      </c>
      <c r="B772" s="53" t="s">
        <v>864</v>
      </c>
      <c r="C772" s="13"/>
      <c r="D772" s="14"/>
      <c r="E772" s="14"/>
      <c r="F772" s="14"/>
      <c r="G772" s="305">
        <f>'OCT-18'!I758</f>
        <v>0</v>
      </c>
      <c r="H772" s="51"/>
      <c r="I772" s="17"/>
      <c r="J772" s="56"/>
      <c r="K772" s="450"/>
    </row>
    <row r="773" spans="1:11" ht="29.25">
      <c r="A773" s="11">
        <v>51202</v>
      </c>
      <c r="B773" s="53" t="s">
        <v>865</v>
      </c>
      <c r="C773" s="13"/>
      <c r="D773" s="14" t="s">
        <v>18</v>
      </c>
      <c r="E773" s="14" t="s">
        <v>28</v>
      </c>
      <c r="F773" s="14" t="s">
        <v>27</v>
      </c>
      <c r="G773" s="305">
        <f>'OCT-18'!I759</f>
        <v>0</v>
      </c>
      <c r="H773" s="51"/>
      <c r="I773" s="17">
        <f t="shared" si="14"/>
        <v>0</v>
      </c>
      <c r="J773" s="56"/>
      <c r="K773" s="451"/>
    </row>
    <row r="774" spans="1:11" ht="29.25">
      <c r="A774" s="11">
        <v>54110</v>
      </c>
      <c r="B774" s="53" t="s">
        <v>866</v>
      </c>
      <c r="C774" s="13"/>
      <c r="D774" s="14" t="s">
        <v>18</v>
      </c>
      <c r="E774" s="14" t="s">
        <v>28</v>
      </c>
      <c r="F774" s="14" t="s">
        <v>27</v>
      </c>
      <c r="G774" s="305">
        <f>'OCT-18'!I760</f>
        <v>0</v>
      </c>
      <c r="H774" s="51"/>
      <c r="I774" s="17">
        <f t="shared" si="14"/>
        <v>0</v>
      </c>
      <c r="J774" s="56"/>
      <c r="K774" s="451"/>
    </row>
    <row r="775" spans="1:11" ht="30">
      <c r="A775" s="11">
        <v>54111</v>
      </c>
      <c r="B775" s="53" t="s">
        <v>867</v>
      </c>
      <c r="C775" s="13"/>
      <c r="D775" s="14" t="s">
        <v>18</v>
      </c>
      <c r="E775" s="14" t="s">
        <v>28</v>
      </c>
      <c r="F775" s="14" t="s">
        <v>27</v>
      </c>
      <c r="G775" s="305">
        <f>'OCT-18'!I761</f>
        <v>0</v>
      </c>
      <c r="H775" s="51"/>
      <c r="I775" s="17">
        <f t="shared" si="14"/>
        <v>0</v>
      </c>
      <c r="J775" s="56"/>
      <c r="K775" s="451"/>
    </row>
    <row r="776" spans="1:11" ht="29.25">
      <c r="A776" s="11">
        <v>54118</v>
      </c>
      <c r="B776" s="53" t="s">
        <v>868</v>
      </c>
      <c r="C776" s="13"/>
      <c r="D776" s="14" t="s">
        <v>18</v>
      </c>
      <c r="E776" s="14" t="s">
        <v>28</v>
      </c>
      <c r="F776" s="14" t="s">
        <v>27</v>
      </c>
      <c r="G776" s="305">
        <f>'OCT-18'!I762</f>
        <v>0</v>
      </c>
      <c r="H776" s="51"/>
      <c r="I776" s="17">
        <f t="shared" si="14"/>
        <v>0</v>
      </c>
      <c r="J776" s="56"/>
      <c r="K776" s="451"/>
    </row>
    <row r="777" spans="1:11" ht="44.25">
      <c r="A777" s="11">
        <v>54313</v>
      </c>
      <c r="B777" s="53" t="s">
        <v>869</v>
      </c>
      <c r="C777" s="13"/>
      <c r="D777" s="14" t="s">
        <v>18</v>
      </c>
      <c r="E777" s="14" t="s">
        <v>28</v>
      </c>
      <c r="F777" s="14" t="s">
        <v>27</v>
      </c>
      <c r="G777" s="305">
        <f>'OCT-18'!I763</f>
        <v>0</v>
      </c>
      <c r="H777" s="51"/>
      <c r="I777" s="17">
        <f t="shared" si="14"/>
        <v>0</v>
      </c>
      <c r="J777" s="56"/>
      <c r="K777" s="451"/>
    </row>
    <row r="778" spans="1:11" ht="30">
      <c r="A778" s="11">
        <v>54399</v>
      </c>
      <c r="B778" s="53" t="s">
        <v>870</v>
      </c>
      <c r="C778" s="13"/>
      <c r="D778" s="14" t="s">
        <v>18</v>
      </c>
      <c r="E778" s="14" t="s">
        <v>28</v>
      </c>
      <c r="F778" s="14" t="s">
        <v>27</v>
      </c>
      <c r="G778" s="305">
        <f>'OCT-18'!I764</f>
        <v>0</v>
      </c>
      <c r="H778" s="51"/>
      <c r="I778" s="17">
        <f t="shared" si="14"/>
        <v>0</v>
      </c>
      <c r="J778" s="56"/>
      <c r="K778" s="451"/>
    </row>
    <row r="779" spans="1:11" ht="29.25">
      <c r="A779" s="11">
        <v>55603</v>
      </c>
      <c r="B779" s="53" t="s">
        <v>871</v>
      </c>
      <c r="C779" s="13"/>
      <c r="D779" s="14" t="s">
        <v>18</v>
      </c>
      <c r="E779" s="14" t="s">
        <v>28</v>
      </c>
      <c r="F779" s="14" t="s">
        <v>27</v>
      </c>
      <c r="G779" s="305">
        <f>'OCT-18'!I765</f>
        <v>0</v>
      </c>
      <c r="H779" s="51"/>
      <c r="I779" s="17">
        <f t="shared" si="14"/>
        <v>0</v>
      </c>
      <c r="J779" s="56"/>
      <c r="K779" s="451"/>
    </row>
    <row r="780" spans="1:11" ht="60">
      <c r="A780" s="141" t="s">
        <v>532</v>
      </c>
      <c r="B780" s="53" t="s">
        <v>874</v>
      </c>
      <c r="C780" s="13"/>
      <c r="D780" s="14"/>
      <c r="E780" s="14"/>
      <c r="F780" s="14"/>
      <c r="G780" s="305">
        <f>'OCT-18'!I766</f>
        <v>0</v>
      </c>
      <c r="H780" s="51"/>
      <c r="I780" s="17"/>
      <c r="J780" s="56"/>
      <c r="K780" s="450"/>
    </row>
    <row r="781" spans="1:11" ht="29.25">
      <c r="A781" s="11">
        <v>51202</v>
      </c>
      <c r="B781" s="53" t="s">
        <v>875</v>
      </c>
      <c r="C781" s="13"/>
      <c r="D781" s="14" t="s">
        <v>18</v>
      </c>
      <c r="E781" s="14" t="s">
        <v>28</v>
      </c>
      <c r="F781" s="14" t="s">
        <v>27</v>
      </c>
      <c r="G781" s="305">
        <f>'OCT-18'!I767</f>
        <v>0</v>
      </c>
      <c r="H781" s="51"/>
      <c r="I781" s="17">
        <f t="shared" si="14"/>
        <v>0</v>
      </c>
      <c r="J781" s="56"/>
      <c r="K781" s="449"/>
    </row>
    <row r="782" spans="1:11" ht="29.25">
      <c r="A782" s="11">
        <v>54110</v>
      </c>
      <c r="B782" s="53" t="s">
        <v>876</v>
      </c>
      <c r="C782" s="13"/>
      <c r="D782" s="14" t="s">
        <v>18</v>
      </c>
      <c r="E782" s="14" t="s">
        <v>28</v>
      </c>
      <c r="F782" s="14" t="s">
        <v>27</v>
      </c>
      <c r="G782" s="305">
        <f>'OCT-18'!I768</f>
        <v>0</v>
      </c>
      <c r="H782" s="51"/>
      <c r="I782" s="17">
        <f t="shared" si="14"/>
        <v>0</v>
      </c>
      <c r="J782" s="56"/>
      <c r="K782" s="449"/>
    </row>
    <row r="783" spans="1:11" ht="44.25">
      <c r="A783" s="11">
        <v>54111</v>
      </c>
      <c r="B783" s="53" t="s">
        <v>881</v>
      </c>
      <c r="C783" s="13"/>
      <c r="D783" s="14" t="s">
        <v>18</v>
      </c>
      <c r="E783" s="14" t="s">
        <v>28</v>
      </c>
      <c r="F783" s="14" t="s">
        <v>27</v>
      </c>
      <c r="G783" s="305">
        <f>'OCT-18'!I769</f>
        <v>0</v>
      </c>
      <c r="H783" s="51"/>
      <c r="I783" s="17">
        <f t="shared" si="14"/>
        <v>0</v>
      </c>
      <c r="J783" s="56"/>
      <c r="K783" s="449"/>
    </row>
    <row r="784" spans="1:11" ht="29.25">
      <c r="A784" s="11">
        <v>54118</v>
      </c>
      <c r="B784" s="53" t="s">
        <v>877</v>
      </c>
      <c r="C784" s="13"/>
      <c r="D784" s="14" t="s">
        <v>18</v>
      </c>
      <c r="E784" s="14" t="s">
        <v>28</v>
      </c>
      <c r="F784" s="14" t="s">
        <v>27</v>
      </c>
      <c r="G784" s="305">
        <f>'OCT-18'!I770</f>
        <v>0</v>
      </c>
      <c r="H784" s="51"/>
      <c r="I784" s="17">
        <f t="shared" si="14"/>
        <v>0</v>
      </c>
      <c r="J784" s="56"/>
      <c r="K784" s="449"/>
    </row>
    <row r="785" spans="1:11" ht="44.25">
      <c r="A785" s="11">
        <v>54313</v>
      </c>
      <c r="B785" s="53" t="s">
        <v>878</v>
      </c>
      <c r="C785" s="13"/>
      <c r="D785" s="14" t="s">
        <v>18</v>
      </c>
      <c r="E785" s="14" t="s">
        <v>28</v>
      </c>
      <c r="F785" s="14" t="s">
        <v>27</v>
      </c>
      <c r="G785" s="305">
        <f>'OCT-18'!I771</f>
        <v>0</v>
      </c>
      <c r="H785" s="51"/>
      <c r="I785" s="17">
        <f t="shared" si="14"/>
        <v>0</v>
      </c>
      <c r="J785" s="56"/>
      <c r="K785" s="449"/>
    </row>
    <row r="786" spans="1:11" ht="43.5">
      <c r="A786" s="11">
        <v>54399</v>
      </c>
      <c r="B786" s="53" t="s">
        <v>879</v>
      </c>
      <c r="C786" s="13"/>
      <c r="D786" s="14" t="s">
        <v>18</v>
      </c>
      <c r="E786" s="14" t="s">
        <v>28</v>
      </c>
      <c r="F786" s="14" t="s">
        <v>27</v>
      </c>
      <c r="G786" s="305">
        <f>'OCT-18'!I772</f>
        <v>0</v>
      </c>
      <c r="H786" s="51"/>
      <c r="I786" s="17">
        <f t="shared" si="14"/>
        <v>0</v>
      </c>
      <c r="J786" s="56"/>
      <c r="K786" s="449"/>
    </row>
    <row r="787" spans="1:11" ht="29.25">
      <c r="A787" s="11">
        <v>55603</v>
      </c>
      <c r="B787" s="53" t="s">
        <v>880</v>
      </c>
      <c r="C787" s="13"/>
      <c r="D787" s="14" t="s">
        <v>18</v>
      </c>
      <c r="E787" s="14" t="s">
        <v>28</v>
      </c>
      <c r="F787" s="14" t="s">
        <v>27</v>
      </c>
      <c r="G787" s="305">
        <f>'OCT-18'!I773</f>
        <v>0</v>
      </c>
      <c r="H787" s="51"/>
      <c r="I787" s="17">
        <f t="shared" si="14"/>
        <v>0</v>
      </c>
      <c r="J787" s="56"/>
      <c r="K787" s="449"/>
    </row>
    <row r="788" spans="1:11" ht="66.75" customHeight="1">
      <c r="A788" s="144" t="s">
        <v>540</v>
      </c>
      <c r="B788" s="53" t="s">
        <v>882</v>
      </c>
      <c r="C788" s="13"/>
      <c r="D788" s="14"/>
      <c r="E788" s="14"/>
      <c r="F788" s="14"/>
      <c r="G788" s="305">
        <f>'OCT-18'!I774</f>
        <v>0</v>
      </c>
      <c r="H788" s="51"/>
      <c r="I788" s="17"/>
      <c r="J788" s="56"/>
      <c r="K788" s="450"/>
    </row>
    <row r="789" spans="1:11" ht="43.5">
      <c r="A789" s="11">
        <v>51202</v>
      </c>
      <c r="B789" s="53" t="s">
        <v>883</v>
      </c>
      <c r="C789" s="13"/>
      <c r="D789" s="14" t="s">
        <v>18</v>
      </c>
      <c r="E789" s="14" t="s">
        <v>28</v>
      </c>
      <c r="F789" s="14" t="s">
        <v>27</v>
      </c>
      <c r="G789" s="305">
        <f>'OCT-18'!I775</f>
        <v>5702.4</v>
      </c>
      <c r="H789" s="51"/>
      <c r="I789" s="17">
        <f t="shared" si="14"/>
        <v>5702.4</v>
      </c>
      <c r="J789" s="56"/>
      <c r="K789" s="452"/>
    </row>
    <row r="790" spans="1:11" ht="43.5">
      <c r="A790" s="11">
        <v>54110</v>
      </c>
      <c r="B790" s="53" t="s">
        <v>968</v>
      </c>
      <c r="C790" s="13"/>
      <c r="D790" s="14" t="s">
        <v>18</v>
      </c>
      <c r="E790" s="14" t="s">
        <v>28</v>
      </c>
      <c r="F790" s="14" t="s">
        <v>27</v>
      </c>
      <c r="G790" s="305">
        <f>'OCT-18'!I776</f>
        <v>500</v>
      </c>
      <c r="H790" s="51"/>
      <c r="I790" s="17">
        <f t="shared" si="14"/>
        <v>500</v>
      </c>
      <c r="J790" s="56"/>
      <c r="K790" s="450"/>
    </row>
    <row r="791" spans="1:11" ht="44.25">
      <c r="A791" s="11">
        <v>54111</v>
      </c>
      <c r="B791" s="53" t="s">
        <v>884</v>
      </c>
      <c r="C791" s="13"/>
      <c r="D791" s="14" t="s">
        <v>18</v>
      </c>
      <c r="E791" s="14" t="s">
        <v>28</v>
      </c>
      <c r="F791" s="14" t="s">
        <v>27</v>
      </c>
      <c r="G791" s="305">
        <f>'OCT-18'!I777</f>
        <v>15000</v>
      </c>
      <c r="H791" s="51"/>
      <c r="I791" s="17">
        <f t="shared" ref="I791:I855" si="15">G791-H791+J791-K791</f>
        <v>15000</v>
      </c>
      <c r="J791" s="56"/>
      <c r="K791" s="450"/>
    </row>
    <row r="792" spans="1:11" ht="43.5">
      <c r="A792" s="11">
        <v>54118</v>
      </c>
      <c r="B792" s="53" t="s">
        <v>885</v>
      </c>
      <c r="C792" s="13"/>
      <c r="D792" s="14" t="s">
        <v>18</v>
      </c>
      <c r="E792" s="14" t="s">
        <v>28</v>
      </c>
      <c r="F792" s="14" t="s">
        <v>27</v>
      </c>
      <c r="G792" s="305">
        <f>'OCT-18'!I778</f>
        <v>5000</v>
      </c>
      <c r="H792" s="51"/>
      <c r="I792" s="17">
        <f t="shared" si="15"/>
        <v>5000</v>
      </c>
      <c r="J792" s="56"/>
      <c r="K792" s="450"/>
    </row>
    <row r="793" spans="1:11" ht="43.5">
      <c r="A793" s="11">
        <v>54304</v>
      </c>
      <c r="B793" s="53" t="s">
        <v>889</v>
      </c>
      <c r="C793" s="13"/>
      <c r="D793" s="14" t="s">
        <v>18</v>
      </c>
      <c r="E793" s="14" t="s">
        <v>28</v>
      </c>
      <c r="F793" s="14" t="s">
        <v>27</v>
      </c>
      <c r="G793" s="305">
        <f>'OCT-18'!I779</f>
        <v>2690</v>
      </c>
      <c r="H793" s="51"/>
      <c r="I793" s="17">
        <f t="shared" si="15"/>
        <v>2690</v>
      </c>
      <c r="J793" s="56"/>
      <c r="K793" s="56"/>
    </row>
    <row r="794" spans="1:11" ht="44.25">
      <c r="A794" s="11">
        <v>54313</v>
      </c>
      <c r="B794" s="53" t="s">
        <v>886</v>
      </c>
      <c r="C794" s="13"/>
      <c r="D794" s="14" t="s">
        <v>18</v>
      </c>
      <c r="E794" s="14" t="s">
        <v>28</v>
      </c>
      <c r="F794" s="14" t="s">
        <v>27</v>
      </c>
      <c r="G794" s="305">
        <f>'OCT-18'!I780</f>
        <v>300</v>
      </c>
      <c r="H794" s="51"/>
      <c r="I794" s="17">
        <f t="shared" si="15"/>
        <v>300</v>
      </c>
      <c r="J794" s="56"/>
      <c r="K794" s="56"/>
    </row>
    <row r="795" spans="1:11" ht="44.25">
      <c r="A795" s="11">
        <v>54399</v>
      </c>
      <c r="B795" s="53" t="s">
        <v>887</v>
      </c>
      <c r="C795" s="13"/>
      <c r="D795" s="14" t="s">
        <v>18</v>
      </c>
      <c r="E795" s="14" t="s">
        <v>28</v>
      </c>
      <c r="F795" s="14" t="s">
        <v>27</v>
      </c>
      <c r="G795" s="305">
        <f>'OCT-18'!I781</f>
        <v>1500</v>
      </c>
      <c r="H795" s="51"/>
      <c r="I795" s="17">
        <f t="shared" si="15"/>
        <v>1500</v>
      </c>
      <c r="J795" s="56"/>
      <c r="K795" s="392"/>
    </row>
    <row r="796" spans="1:11" ht="43.5">
      <c r="A796" s="11">
        <v>55603</v>
      </c>
      <c r="B796" s="53" t="s">
        <v>888</v>
      </c>
      <c r="C796" s="13"/>
      <c r="D796" s="14" t="s">
        <v>18</v>
      </c>
      <c r="E796" s="14" t="s">
        <v>28</v>
      </c>
      <c r="F796" s="14" t="s">
        <v>27</v>
      </c>
      <c r="G796" s="305">
        <f>'OCT-18'!I782</f>
        <v>10</v>
      </c>
      <c r="H796" s="51"/>
      <c r="I796" s="17">
        <f t="shared" si="15"/>
        <v>10</v>
      </c>
      <c r="J796" s="56"/>
      <c r="K796" s="56"/>
    </row>
    <row r="797" spans="1:11" ht="26.25" customHeight="1">
      <c r="A797" s="141">
        <v>61</v>
      </c>
      <c r="B797" s="53" t="s">
        <v>1228</v>
      </c>
      <c r="C797" s="13"/>
      <c r="D797" s="14"/>
      <c r="E797" s="14"/>
      <c r="F797" s="14"/>
      <c r="G797" s="305">
        <f>'OCT-18'!I783</f>
        <v>0</v>
      </c>
      <c r="H797" s="51"/>
      <c r="I797" s="17">
        <f t="shared" si="15"/>
        <v>0</v>
      </c>
      <c r="J797" s="56"/>
      <c r="K797" s="56"/>
    </row>
    <row r="798" spans="1:11" ht="26.25" customHeight="1">
      <c r="A798" s="141">
        <v>616</v>
      </c>
      <c r="B798" s="53" t="s">
        <v>1225</v>
      </c>
      <c r="C798" s="13"/>
      <c r="D798" s="14"/>
      <c r="E798" s="14"/>
      <c r="F798" s="14"/>
      <c r="G798" s="305"/>
      <c r="H798" s="51"/>
      <c r="I798" s="17"/>
      <c r="J798" s="56"/>
      <c r="K798" s="56"/>
    </row>
    <row r="799" spans="1:11" ht="26.25" customHeight="1">
      <c r="A799" s="141">
        <v>61601</v>
      </c>
      <c r="B799" s="53" t="s">
        <v>1226</v>
      </c>
      <c r="C799" s="13"/>
      <c r="D799" s="14"/>
      <c r="E799" s="14"/>
      <c r="F799" s="14"/>
      <c r="G799" s="305"/>
      <c r="H799" s="51"/>
      <c r="I799" s="17"/>
      <c r="J799" s="56"/>
      <c r="K799" s="56"/>
    </row>
    <row r="800" spans="1:11" ht="87" customHeight="1">
      <c r="A800" s="439" t="s">
        <v>1224</v>
      </c>
      <c r="B800" s="53" t="s">
        <v>1227</v>
      </c>
      <c r="C800" s="13"/>
      <c r="D800" s="14" t="s">
        <v>18</v>
      </c>
      <c r="E800" s="14" t="s">
        <v>28</v>
      </c>
      <c r="F800" s="14" t="s">
        <v>27</v>
      </c>
      <c r="G800" s="305">
        <f>'OCT-18'!I824</f>
        <v>47210.039999999994</v>
      </c>
      <c r="H800" s="51"/>
      <c r="I800" s="17">
        <f t="shared" si="15"/>
        <v>47210.039999999994</v>
      </c>
      <c r="J800" s="410"/>
      <c r="K800" s="56"/>
    </row>
    <row r="801" spans="1:11" ht="90" customHeight="1">
      <c r="A801" s="11"/>
      <c r="B801" s="53" t="s">
        <v>1248</v>
      </c>
      <c r="C801" s="13"/>
      <c r="D801" s="14"/>
      <c r="E801" s="14"/>
      <c r="F801" s="14"/>
      <c r="G801" s="305"/>
      <c r="H801" s="51"/>
      <c r="I801" s="17"/>
      <c r="J801" s="56"/>
      <c r="K801" s="56"/>
    </row>
    <row r="802" spans="1:11" ht="37.5" customHeight="1">
      <c r="A802" s="11">
        <v>51202</v>
      </c>
      <c r="B802" s="53" t="s">
        <v>1247</v>
      </c>
      <c r="C802" s="13"/>
      <c r="D802" s="14" t="s">
        <v>18</v>
      </c>
      <c r="E802" s="14" t="s">
        <v>28</v>
      </c>
      <c r="F802" s="14" t="s">
        <v>27</v>
      </c>
      <c r="G802" s="305"/>
      <c r="H802" s="51"/>
      <c r="I802" s="17">
        <f t="shared" si="15"/>
        <v>10000</v>
      </c>
      <c r="J802" s="410">
        <v>10000</v>
      </c>
      <c r="K802" s="56"/>
    </row>
    <row r="803" spans="1:11" ht="38.25" customHeight="1">
      <c r="A803" s="11">
        <v>54110</v>
      </c>
      <c r="B803" s="53" t="s">
        <v>1249</v>
      </c>
      <c r="C803" s="13"/>
      <c r="D803" s="14" t="s">
        <v>18</v>
      </c>
      <c r="E803" s="14" t="s">
        <v>28</v>
      </c>
      <c r="F803" s="14" t="s">
        <v>27</v>
      </c>
      <c r="G803" s="305"/>
      <c r="H803" s="51"/>
      <c r="I803" s="17">
        <f t="shared" si="15"/>
        <v>1000</v>
      </c>
      <c r="J803" s="410">
        <v>1000</v>
      </c>
      <c r="K803" s="56"/>
    </row>
    <row r="804" spans="1:11" ht="50.25" customHeight="1">
      <c r="A804" s="11">
        <v>54111</v>
      </c>
      <c r="B804" s="53" t="s">
        <v>1251</v>
      </c>
      <c r="C804" s="13"/>
      <c r="D804" s="14" t="s">
        <v>18</v>
      </c>
      <c r="E804" s="14" t="s">
        <v>28</v>
      </c>
      <c r="F804" s="14" t="s">
        <v>27</v>
      </c>
      <c r="G804" s="305"/>
      <c r="H804" s="51"/>
      <c r="I804" s="17">
        <f t="shared" si="15"/>
        <v>15000</v>
      </c>
      <c r="J804" s="410">
        <v>15000</v>
      </c>
      <c r="K804" s="56"/>
    </row>
    <row r="805" spans="1:11" ht="57" customHeight="1">
      <c r="A805" s="11">
        <v>54112</v>
      </c>
      <c r="B805" s="53" t="s">
        <v>1250</v>
      </c>
      <c r="C805" s="13"/>
      <c r="D805" s="14" t="s">
        <v>18</v>
      </c>
      <c r="E805" s="14" t="s">
        <v>28</v>
      </c>
      <c r="F805" s="14" t="s">
        <v>27</v>
      </c>
      <c r="G805" s="305"/>
      <c r="H805" s="51"/>
      <c r="I805" s="17">
        <f t="shared" si="15"/>
        <v>10000</v>
      </c>
      <c r="J805" s="410">
        <v>10000</v>
      </c>
      <c r="K805" s="56"/>
    </row>
    <row r="806" spans="1:11" ht="45" customHeight="1">
      <c r="A806" s="11">
        <v>54316</v>
      </c>
      <c r="B806" s="53" t="s">
        <v>1252</v>
      </c>
      <c r="C806" s="13"/>
      <c r="D806" s="14" t="s">
        <v>18</v>
      </c>
      <c r="E806" s="14" t="s">
        <v>28</v>
      </c>
      <c r="F806" s="14" t="s">
        <v>27</v>
      </c>
      <c r="G806" s="305"/>
      <c r="H806" s="51"/>
      <c r="I806" s="17">
        <f t="shared" si="15"/>
        <v>24000</v>
      </c>
      <c r="J806" s="410">
        <v>24000</v>
      </c>
      <c r="K806" s="56"/>
    </row>
    <row r="807" spans="1:11" ht="47.25" customHeight="1">
      <c r="A807" s="11"/>
      <c r="B807" s="53"/>
      <c r="C807" s="13"/>
      <c r="D807" s="14"/>
      <c r="E807" s="14"/>
      <c r="F807" s="14"/>
      <c r="G807" s="305">
        <f>'OCT-18'!I784</f>
        <v>0</v>
      </c>
      <c r="H807" s="51"/>
      <c r="I807" s="17">
        <f t="shared" si="15"/>
        <v>0</v>
      </c>
      <c r="J807" s="430"/>
      <c r="K807" s="56"/>
    </row>
    <row r="808" spans="1:11" ht="63.75" customHeight="1">
      <c r="A808" s="141" t="s">
        <v>901</v>
      </c>
      <c r="B808" s="53" t="s">
        <v>1246</v>
      </c>
      <c r="C808" s="344" t="s">
        <v>1108</v>
      </c>
      <c r="D808" s="14"/>
      <c r="E808" s="14"/>
      <c r="F808" s="14"/>
      <c r="G808" s="305">
        <f>'OCT-18'!I785</f>
        <v>0</v>
      </c>
      <c r="H808" s="51"/>
      <c r="I808" s="17"/>
      <c r="J808" s="56"/>
      <c r="K808" s="56"/>
    </row>
    <row r="809" spans="1:11" ht="29.25">
      <c r="A809" s="11">
        <v>51202</v>
      </c>
      <c r="B809" s="53" t="s">
        <v>1014</v>
      </c>
      <c r="C809" s="13"/>
      <c r="D809" s="14" t="s">
        <v>18</v>
      </c>
      <c r="E809" s="14" t="s">
        <v>28</v>
      </c>
      <c r="F809" s="14" t="s">
        <v>27</v>
      </c>
      <c r="G809" s="305">
        <f>'OCT-18'!I786</f>
        <v>886.44999999999982</v>
      </c>
      <c r="H809" s="51">
        <f>50+50+50+50+50+120+100+50+50+50+50+100+90+100+90+100+100+90+60+50+100+120+60+135+90+80+80+80+80</f>
        <v>2275</v>
      </c>
      <c r="I809" s="17">
        <f t="shared" si="15"/>
        <v>1111.4499999999998</v>
      </c>
      <c r="J809" s="410">
        <v>3000</v>
      </c>
      <c r="K809" s="127">
        <v>500</v>
      </c>
    </row>
    <row r="810" spans="1:11" ht="29.25">
      <c r="A810" s="11">
        <v>51999</v>
      </c>
      <c r="B810" s="53" t="s">
        <v>1015</v>
      </c>
      <c r="C810" s="13"/>
      <c r="D810" s="14" t="s">
        <v>18</v>
      </c>
      <c r="E810" s="14" t="s">
        <v>28</v>
      </c>
      <c r="F810" s="14" t="s">
        <v>27</v>
      </c>
      <c r="G810" s="305">
        <f>'OCT-18'!I787</f>
        <v>711.59999999999991</v>
      </c>
      <c r="H810" s="51"/>
      <c r="I810" s="17">
        <f t="shared" si="15"/>
        <v>211.59999999999991</v>
      </c>
      <c r="J810" s="137"/>
      <c r="K810" s="127">
        <v>500</v>
      </c>
    </row>
    <row r="811" spans="1:11" ht="57" customHeight="1">
      <c r="A811" s="11">
        <v>54107</v>
      </c>
      <c r="B811" s="53" t="s">
        <v>1212</v>
      </c>
      <c r="C811" s="13"/>
      <c r="D811" s="14" t="s">
        <v>18</v>
      </c>
      <c r="E811" s="14" t="s">
        <v>28</v>
      </c>
      <c r="F811" s="14" t="s">
        <v>27</v>
      </c>
      <c r="G811" s="305">
        <f>'OCT-18'!I788</f>
        <v>88.75</v>
      </c>
      <c r="H811" s="51">
        <f>32.3</f>
        <v>32.299999999999997</v>
      </c>
      <c r="I811" s="17">
        <f t="shared" si="15"/>
        <v>56.45</v>
      </c>
      <c r="J811" s="266"/>
      <c r="K811" s="56"/>
    </row>
    <row r="812" spans="1:11" ht="33.75" customHeight="1">
      <c r="A812" s="11">
        <v>54110</v>
      </c>
      <c r="B812" s="53" t="s">
        <v>1016</v>
      </c>
      <c r="C812" s="13"/>
      <c r="D812" s="14" t="s">
        <v>18</v>
      </c>
      <c r="E812" s="14" t="s">
        <v>28</v>
      </c>
      <c r="F812" s="14" t="s">
        <v>27</v>
      </c>
      <c r="G812" s="305">
        <f>'OCT-18'!I789</f>
        <v>500</v>
      </c>
      <c r="H812" s="51">
        <f>52.7</f>
        <v>52.7</v>
      </c>
      <c r="I812" s="17">
        <f t="shared" si="15"/>
        <v>147.30000000000001</v>
      </c>
      <c r="J812" s="56"/>
      <c r="K812" s="142">
        <v>300</v>
      </c>
    </row>
    <row r="813" spans="1:11" ht="34.5" customHeight="1">
      <c r="A813" s="11">
        <v>54111</v>
      </c>
      <c r="B813" s="53" t="s">
        <v>1017</v>
      </c>
      <c r="C813" s="13"/>
      <c r="D813" s="14" t="s">
        <v>18</v>
      </c>
      <c r="E813" s="14" t="s">
        <v>28</v>
      </c>
      <c r="F813" s="14" t="s">
        <v>27</v>
      </c>
      <c r="G813" s="305">
        <f>'OCT-18'!I790</f>
        <v>2882.1000000000004</v>
      </c>
      <c r="H813" s="51">
        <f>1305.3</f>
        <v>1305.3</v>
      </c>
      <c r="I813" s="17">
        <f t="shared" si="15"/>
        <v>76.800000000000409</v>
      </c>
      <c r="J813" s="56"/>
      <c r="K813" s="410">
        <v>1500</v>
      </c>
    </row>
    <row r="814" spans="1:11" ht="44.25">
      <c r="A814" s="11">
        <v>54112</v>
      </c>
      <c r="B814" s="53" t="s">
        <v>1021</v>
      </c>
      <c r="C814" s="13"/>
      <c r="D814" s="14" t="s">
        <v>18</v>
      </c>
      <c r="E814" s="14" t="s">
        <v>28</v>
      </c>
      <c r="F814" s="14" t="s">
        <v>27</v>
      </c>
      <c r="G814" s="305">
        <f>'OCT-18'!I791</f>
        <v>481.25</v>
      </c>
      <c r="H814" s="51">
        <f>803.4</f>
        <v>803.4</v>
      </c>
      <c r="I814" s="17">
        <f t="shared" si="15"/>
        <v>177.85000000000002</v>
      </c>
      <c r="J814" s="127">
        <v>500</v>
      </c>
      <c r="K814" s="409"/>
    </row>
    <row r="815" spans="1:11" ht="29.25">
      <c r="A815" s="11">
        <v>54118</v>
      </c>
      <c r="B815" s="53" t="s">
        <v>1020</v>
      </c>
      <c r="C815" s="61" t="s">
        <v>1109</v>
      </c>
      <c r="D815" s="14" t="s">
        <v>18</v>
      </c>
      <c r="E815" s="14" t="s">
        <v>28</v>
      </c>
      <c r="F815" s="14" t="s">
        <v>27</v>
      </c>
      <c r="G815" s="305">
        <f>'OCT-18'!I792</f>
        <v>43</v>
      </c>
      <c r="H815" s="51"/>
      <c r="I815" s="17">
        <f t="shared" si="15"/>
        <v>43</v>
      </c>
      <c r="J815" s="56"/>
      <c r="K815" s="409"/>
    </row>
    <row r="816" spans="1:11" ht="29.25">
      <c r="A816" s="11">
        <v>54199</v>
      </c>
      <c r="B816" s="53" t="s">
        <v>1018</v>
      </c>
      <c r="C816" s="13"/>
      <c r="D816" s="14" t="s">
        <v>18</v>
      </c>
      <c r="E816" s="14" t="s">
        <v>28</v>
      </c>
      <c r="F816" s="14" t="s">
        <v>27</v>
      </c>
      <c r="G816" s="305">
        <f>'OCT-18'!I793</f>
        <v>1112.0500000000002</v>
      </c>
      <c r="H816" s="51"/>
      <c r="I816" s="17">
        <f t="shared" si="15"/>
        <v>112.05000000000018</v>
      </c>
      <c r="J816" s="56"/>
      <c r="K816" s="409">
        <v>1000</v>
      </c>
    </row>
    <row r="817" spans="1:11" ht="29.25">
      <c r="A817" s="11">
        <v>54313</v>
      </c>
      <c r="B817" s="53" t="s">
        <v>1019</v>
      </c>
      <c r="C817" s="13"/>
      <c r="D817" s="14" t="s">
        <v>18</v>
      </c>
      <c r="E817" s="14" t="s">
        <v>28</v>
      </c>
      <c r="F817" s="14" t="s">
        <v>27</v>
      </c>
      <c r="G817" s="305">
        <f>'OCT-18'!I794</f>
        <v>275</v>
      </c>
      <c r="H817" s="51">
        <f>700</f>
        <v>700</v>
      </c>
      <c r="I817" s="17">
        <f t="shared" si="15"/>
        <v>75</v>
      </c>
      <c r="J817" s="127">
        <v>500</v>
      </c>
      <c r="K817" s="56"/>
    </row>
    <row r="818" spans="1:11" ht="57">
      <c r="A818" s="11">
        <v>54316</v>
      </c>
      <c r="B818" s="53" t="s">
        <v>1189</v>
      </c>
      <c r="C818" s="13"/>
      <c r="D818" s="14" t="s">
        <v>18</v>
      </c>
      <c r="E818" s="14" t="s">
        <v>28</v>
      </c>
      <c r="F818" s="14" t="s">
        <v>27</v>
      </c>
      <c r="G818" s="305">
        <f>'OCT-18'!I795</f>
        <v>-5</v>
      </c>
      <c r="H818" s="51">
        <f>452</f>
        <v>452</v>
      </c>
      <c r="I818" s="134">
        <f t="shared" si="15"/>
        <v>543</v>
      </c>
      <c r="J818" s="127">
        <v>1000</v>
      </c>
      <c r="K818" s="56"/>
    </row>
    <row r="819" spans="1:11" ht="34.5" customHeight="1">
      <c r="A819" s="11">
        <v>54399</v>
      </c>
      <c r="B819" s="53" t="s">
        <v>1022</v>
      </c>
      <c r="C819" s="13"/>
      <c r="D819" s="14" t="s">
        <v>18</v>
      </c>
      <c r="E819" s="14" t="s">
        <v>28</v>
      </c>
      <c r="F819" s="14" t="s">
        <v>27</v>
      </c>
      <c r="G819" s="305">
        <f>'OCT-18'!I796</f>
        <v>1429.35</v>
      </c>
      <c r="H819" s="51"/>
      <c r="I819" s="17">
        <f t="shared" si="15"/>
        <v>229.34999999999991</v>
      </c>
      <c r="J819" s="137"/>
      <c r="K819" s="137">
        <v>1200</v>
      </c>
    </row>
    <row r="820" spans="1:11" ht="29.25">
      <c r="A820" s="11">
        <v>55603</v>
      </c>
      <c r="B820" s="53" t="s">
        <v>898</v>
      </c>
      <c r="C820" s="13"/>
      <c r="D820" s="14" t="s">
        <v>18</v>
      </c>
      <c r="E820" s="14" t="s">
        <v>28</v>
      </c>
      <c r="F820" s="14" t="s">
        <v>27</v>
      </c>
      <c r="G820" s="305">
        <f>'OCT-18'!I797</f>
        <v>6.8199999999999994</v>
      </c>
      <c r="H820" s="51"/>
      <c r="I820" s="17">
        <f t="shared" si="15"/>
        <v>6.8199999999999994</v>
      </c>
      <c r="J820" s="142"/>
      <c r="K820" s="56"/>
    </row>
    <row r="821" spans="1:11" ht="60">
      <c r="A821" s="141">
        <v>41</v>
      </c>
      <c r="B821" s="53" t="s">
        <v>902</v>
      </c>
      <c r="C821" s="13"/>
      <c r="D821" s="14"/>
      <c r="E821" s="14"/>
      <c r="F821" s="14"/>
      <c r="G821" s="305">
        <f>'OCT-18'!I798</f>
        <v>0</v>
      </c>
      <c r="H821" s="51"/>
      <c r="I821" s="17"/>
      <c r="J821" s="56"/>
      <c r="K821" s="56"/>
    </row>
    <row r="822" spans="1:11" ht="29.25">
      <c r="A822" s="11">
        <v>51999</v>
      </c>
      <c r="B822" s="53" t="s">
        <v>903</v>
      </c>
      <c r="C822" s="13"/>
      <c r="D822" s="14" t="s">
        <v>18</v>
      </c>
      <c r="E822" s="14" t="s">
        <v>28</v>
      </c>
      <c r="F822" s="14" t="s">
        <v>27</v>
      </c>
      <c r="G822" s="305">
        <f>'OCT-18'!I799</f>
        <v>1000</v>
      </c>
      <c r="H822" s="51"/>
      <c r="I822" s="17">
        <f t="shared" si="15"/>
        <v>1000</v>
      </c>
      <c r="J822" s="56"/>
      <c r="K822" s="56"/>
    </row>
    <row r="823" spans="1:11" ht="44.25">
      <c r="A823" s="11">
        <v>54111</v>
      </c>
      <c r="B823" s="53" t="s">
        <v>904</v>
      </c>
      <c r="C823" s="13"/>
      <c r="D823" s="14" t="s">
        <v>18</v>
      </c>
      <c r="E823" s="14" t="s">
        <v>28</v>
      </c>
      <c r="F823" s="14" t="s">
        <v>27</v>
      </c>
      <c r="G823" s="305">
        <f>'OCT-18'!I800</f>
        <v>1000</v>
      </c>
      <c r="H823" s="51"/>
      <c r="I823" s="17">
        <f t="shared" si="15"/>
        <v>1000</v>
      </c>
      <c r="J823" s="56"/>
      <c r="K823" s="56"/>
    </row>
    <row r="824" spans="1:11" ht="43.5">
      <c r="A824" s="11">
        <v>54118</v>
      </c>
      <c r="B824" s="53" t="s">
        <v>905</v>
      </c>
      <c r="C824" s="13"/>
      <c r="D824" s="14" t="s">
        <v>18</v>
      </c>
      <c r="E824" s="14" t="s">
        <v>28</v>
      </c>
      <c r="F824" s="14" t="s">
        <v>27</v>
      </c>
      <c r="G824" s="305">
        <f>'OCT-18'!I801</f>
        <v>1000</v>
      </c>
      <c r="H824" s="51"/>
      <c r="I824" s="17">
        <f t="shared" si="15"/>
        <v>1000</v>
      </c>
      <c r="J824" s="56"/>
      <c r="K824" s="56"/>
    </row>
    <row r="825" spans="1:11" ht="44.25">
      <c r="A825" s="11">
        <v>54313</v>
      </c>
      <c r="B825" s="53" t="s">
        <v>906</v>
      </c>
      <c r="C825" s="13"/>
      <c r="D825" s="14" t="s">
        <v>18</v>
      </c>
      <c r="E825" s="14" t="s">
        <v>28</v>
      </c>
      <c r="F825" s="14" t="s">
        <v>27</v>
      </c>
      <c r="G825" s="305">
        <f>'OCT-18'!I802</f>
        <v>100</v>
      </c>
      <c r="H825" s="51"/>
      <c r="I825" s="17">
        <f t="shared" si="15"/>
        <v>100</v>
      </c>
      <c r="J825" s="56"/>
      <c r="K825" s="56"/>
    </row>
    <row r="826" spans="1:11" ht="44.25">
      <c r="A826" s="11">
        <v>54399</v>
      </c>
      <c r="B826" s="53" t="s">
        <v>907</v>
      </c>
      <c r="C826" s="13"/>
      <c r="D826" s="14" t="s">
        <v>18</v>
      </c>
      <c r="E826" s="14" t="s">
        <v>28</v>
      </c>
      <c r="F826" s="14" t="s">
        <v>27</v>
      </c>
      <c r="G826" s="305">
        <f>'OCT-18'!I803</f>
        <v>1890</v>
      </c>
      <c r="H826" s="51"/>
      <c r="I826" s="17">
        <f t="shared" si="15"/>
        <v>1890</v>
      </c>
      <c r="J826" s="56"/>
      <c r="K826" s="56"/>
    </row>
    <row r="827" spans="1:11" ht="29.25">
      <c r="A827" s="11">
        <v>55603</v>
      </c>
      <c r="B827" s="53" t="s">
        <v>908</v>
      </c>
      <c r="C827" s="13"/>
      <c r="D827" s="14" t="s">
        <v>18</v>
      </c>
      <c r="E827" s="14" t="s">
        <v>28</v>
      </c>
      <c r="F827" s="14" t="s">
        <v>27</v>
      </c>
      <c r="G827" s="305">
        <f>'OCT-18'!I804</f>
        <v>10</v>
      </c>
      <c r="H827" s="51"/>
      <c r="I827" s="17">
        <f t="shared" si="15"/>
        <v>10</v>
      </c>
      <c r="J827" s="56"/>
      <c r="K827" s="56"/>
    </row>
    <row r="828" spans="1:11" ht="45">
      <c r="A828" s="141" t="s">
        <v>909</v>
      </c>
      <c r="B828" s="53" t="s">
        <v>910</v>
      </c>
      <c r="C828" s="13"/>
      <c r="D828" s="14"/>
      <c r="E828" s="14"/>
      <c r="F828" s="14"/>
      <c r="G828" s="305">
        <f>'OCT-18'!I805</f>
        <v>0</v>
      </c>
      <c r="H828" s="51"/>
      <c r="I828" s="17"/>
      <c r="J828" s="56"/>
      <c r="K828" s="56"/>
    </row>
    <row r="829" spans="1:11" ht="29.25">
      <c r="A829" s="11">
        <v>51999</v>
      </c>
      <c r="B829" s="54" t="s">
        <v>911</v>
      </c>
      <c r="C829" s="13"/>
      <c r="D829" s="14" t="s">
        <v>18</v>
      </c>
      <c r="E829" s="14" t="s">
        <v>28</v>
      </c>
      <c r="F829" s="14" t="s">
        <v>27</v>
      </c>
      <c r="G829" s="305">
        <f>'OCT-18'!I806</f>
        <v>500</v>
      </c>
      <c r="H829" s="51"/>
      <c r="I829" s="17">
        <f t="shared" si="15"/>
        <v>500</v>
      </c>
      <c r="J829" s="56"/>
      <c r="K829" s="56"/>
    </row>
    <row r="830" spans="1:11" ht="29.25">
      <c r="A830" s="11">
        <v>54110</v>
      </c>
      <c r="B830" s="54" t="s">
        <v>912</v>
      </c>
      <c r="C830" s="13"/>
      <c r="D830" s="14" t="s">
        <v>18</v>
      </c>
      <c r="E830" s="14" t="s">
        <v>28</v>
      </c>
      <c r="F830" s="14" t="s">
        <v>27</v>
      </c>
      <c r="G830" s="305">
        <f>'OCT-18'!I807</f>
        <v>500</v>
      </c>
      <c r="H830" s="51"/>
      <c r="I830" s="17">
        <f t="shared" si="15"/>
        <v>500</v>
      </c>
      <c r="J830" s="56"/>
      <c r="K830" s="56"/>
    </row>
    <row r="831" spans="1:11" ht="30">
      <c r="A831" s="11">
        <v>54111</v>
      </c>
      <c r="B831" s="53" t="s">
        <v>913</v>
      </c>
      <c r="C831" s="13"/>
      <c r="D831" s="14" t="s">
        <v>18</v>
      </c>
      <c r="E831" s="14" t="s">
        <v>28</v>
      </c>
      <c r="F831" s="14" t="s">
        <v>27</v>
      </c>
      <c r="G831" s="305">
        <f>'OCT-18'!I808</f>
        <v>1000</v>
      </c>
      <c r="H831" s="51"/>
      <c r="I831" s="17">
        <f t="shared" si="15"/>
        <v>1000</v>
      </c>
      <c r="J831" s="56"/>
      <c r="K831" s="56"/>
    </row>
    <row r="832" spans="1:11" ht="29.25">
      <c r="A832" s="11">
        <v>54118</v>
      </c>
      <c r="B832" s="53" t="s">
        <v>914</v>
      </c>
      <c r="C832" s="13"/>
      <c r="D832" s="14" t="s">
        <v>18</v>
      </c>
      <c r="E832" s="14" t="s">
        <v>28</v>
      </c>
      <c r="F832" s="14" t="s">
        <v>27</v>
      </c>
      <c r="G832" s="305">
        <f>'OCT-18'!I809</f>
        <v>1000</v>
      </c>
      <c r="H832" s="51"/>
      <c r="I832" s="17">
        <f t="shared" si="15"/>
        <v>1000</v>
      </c>
      <c r="J832" s="56"/>
      <c r="K832" s="56"/>
    </row>
    <row r="833" spans="1:11" ht="29.25">
      <c r="A833" s="11">
        <v>54199</v>
      </c>
      <c r="B833" s="53" t="s">
        <v>915</v>
      </c>
      <c r="C833" s="13"/>
      <c r="D833" s="14" t="s">
        <v>18</v>
      </c>
      <c r="E833" s="14" t="s">
        <v>28</v>
      </c>
      <c r="F833" s="14" t="s">
        <v>27</v>
      </c>
      <c r="G833" s="305">
        <f>'OCT-18'!I810</f>
        <v>500</v>
      </c>
      <c r="H833" s="51"/>
      <c r="I833" s="17">
        <f t="shared" si="15"/>
        <v>500</v>
      </c>
      <c r="J833" s="56"/>
      <c r="K833" s="56"/>
    </row>
    <row r="834" spans="1:11" ht="44.25">
      <c r="A834" s="11">
        <v>54313</v>
      </c>
      <c r="B834" s="53" t="s">
        <v>916</v>
      </c>
      <c r="C834" s="13"/>
      <c r="D834" s="14" t="s">
        <v>18</v>
      </c>
      <c r="E834" s="14" t="s">
        <v>28</v>
      </c>
      <c r="F834" s="14" t="s">
        <v>27</v>
      </c>
      <c r="G834" s="305">
        <f>'OCT-18'!I811</f>
        <v>600</v>
      </c>
      <c r="H834" s="51"/>
      <c r="I834" s="17">
        <f t="shared" si="15"/>
        <v>600</v>
      </c>
      <c r="J834" s="56"/>
      <c r="K834" s="56"/>
    </row>
    <row r="835" spans="1:11" ht="30">
      <c r="A835" s="11">
        <v>54399</v>
      </c>
      <c r="B835" s="53" t="s">
        <v>917</v>
      </c>
      <c r="C835" s="13"/>
      <c r="D835" s="14" t="s">
        <v>18</v>
      </c>
      <c r="E835" s="14" t="s">
        <v>28</v>
      </c>
      <c r="F835" s="14" t="s">
        <v>27</v>
      </c>
      <c r="G835" s="305">
        <f>'OCT-18'!I812</f>
        <v>890</v>
      </c>
      <c r="H835" s="51"/>
      <c r="I835" s="17">
        <f t="shared" si="15"/>
        <v>890</v>
      </c>
      <c r="J835" s="56"/>
      <c r="K835" s="56"/>
    </row>
    <row r="836" spans="1:11" ht="29.25">
      <c r="A836" s="11">
        <v>55603</v>
      </c>
      <c r="B836" s="53" t="s">
        <v>918</v>
      </c>
      <c r="C836" s="13"/>
      <c r="D836" s="14" t="s">
        <v>18</v>
      </c>
      <c r="E836" s="14" t="s">
        <v>28</v>
      </c>
      <c r="F836" s="14" t="s">
        <v>27</v>
      </c>
      <c r="G836" s="305">
        <f>'OCT-18'!I813</f>
        <v>10</v>
      </c>
      <c r="H836" s="51"/>
      <c r="I836" s="17">
        <f t="shared" si="15"/>
        <v>10</v>
      </c>
      <c r="J836" s="56"/>
      <c r="K836" s="56"/>
    </row>
    <row r="837" spans="1:11" ht="74.25">
      <c r="A837" s="141" t="s">
        <v>1093</v>
      </c>
      <c r="B837" s="53" t="s">
        <v>964</v>
      </c>
      <c r="C837" s="13"/>
      <c r="D837" s="14"/>
      <c r="E837" s="14"/>
      <c r="F837" s="14"/>
      <c r="G837" s="305">
        <f>'OCT-18'!I814</f>
        <v>0</v>
      </c>
      <c r="H837" s="51"/>
      <c r="I837" s="17"/>
      <c r="J837" s="56"/>
      <c r="K837" s="56"/>
    </row>
    <row r="838" spans="1:11" s="178" customFormat="1" ht="45">
      <c r="A838" s="1" t="s">
        <v>19</v>
      </c>
      <c r="B838" s="179" t="s">
        <v>965</v>
      </c>
      <c r="C838" s="180"/>
      <c r="D838" s="14" t="s">
        <v>18</v>
      </c>
      <c r="E838" s="14" t="s">
        <v>28</v>
      </c>
      <c r="F838" s="14" t="s">
        <v>27</v>
      </c>
      <c r="G838" s="305">
        <f>'OCT-18'!I815</f>
        <v>1.8189894035458565E-12</v>
      </c>
      <c r="H838" s="210"/>
      <c r="I838" s="17">
        <f t="shared" si="15"/>
        <v>1.8189894035458565E-12</v>
      </c>
      <c r="J838" s="143"/>
      <c r="K838" s="209"/>
    </row>
    <row r="839" spans="1:11" s="178" customFormat="1" ht="71.25">
      <c r="A839" s="1">
        <v>51202</v>
      </c>
      <c r="B839" s="53" t="s">
        <v>985</v>
      </c>
      <c r="C839" s="180"/>
      <c r="D839" s="14" t="s">
        <v>18</v>
      </c>
      <c r="E839" s="14" t="s">
        <v>28</v>
      </c>
      <c r="F839" s="14" t="s">
        <v>27</v>
      </c>
      <c r="G839" s="305">
        <f>'OCT-18'!I816</f>
        <v>0.15999999999939973</v>
      </c>
      <c r="H839" s="210"/>
      <c r="I839" s="17">
        <f t="shared" si="15"/>
        <v>0.15999999999939973</v>
      </c>
      <c r="J839" s="209"/>
      <c r="K839" s="209"/>
    </row>
    <row r="840" spans="1:11" ht="29.25">
      <c r="A840" s="11">
        <v>54118</v>
      </c>
      <c r="B840" s="53" t="s">
        <v>919</v>
      </c>
      <c r="C840" s="13"/>
      <c r="D840" s="14" t="s">
        <v>18</v>
      </c>
      <c r="E840" s="14" t="s">
        <v>28</v>
      </c>
      <c r="F840" s="14" t="s">
        <v>27</v>
      </c>
      <c r="G840" s="305">
        <f>'OCT-18'!I817</f>
        <v>0</v>
      </c>
      <c r="H840" s="51"/>
      <c r="I840" s="17">
        <f t="shared" si="15"/>
        <v>0</v>
      </c>
      <c r="J840" s="56"/>
      <c r="K840" s="137"/>
    </row>
    <row r="841" spans="1:11" ht="44.25">
      <c r="A841" s="11">
        <v>54313</v>
      </c>
      <c r="B841" s="168" t="s">
        <v>920</v>
      </c>
      <c r="C841" s="13"/>
      <c r="D841" s="14" t="s">
        <v>18</v>
      </c>
      <c r="E841" s="14" t="s">
        <v>28</v>
      </c>
      <c r="F841" s="14" t="s">
        <v>27</v>
      </c>
      <c r="G841" s="305">
        <f>'OCT-18'!I818</f>
        <v>0</v>
      </c>
      <c r="H841" s="51"/>
      <c r="I841" s="17">
        <f t="shared" si="15"/>
        <v>0</v>
      </c>
      <c r="J841" s="56"/>
      <c r="K841" s="137"/>
    </row>
    <row r="842" spans="1:11" ht="29.25">
      <c r="A842" s="11">
        <v>56303</v>
      </c>
      <c r="B842" s="53" t="s">
        <v>921</v>
      </c>
      <c r="C842" s="13"/>
      <c r="D842" s="14" t="s">
        <v>18</v>
      </c>
      <c r="E842" s="14" t="s">
        <v>28</v>
      </c>
      <c r="F842" s="14" t="s">
        <v>27</v>
      </c>
      <c r="G842" s="305">
        <f>'OCT-18'!I819</f>
        <v>0</v>
      </c>
      <c r="H842" s="51"/>
      <c r="I842" s="17">
        <f t="shared" si="15"/>
        <v>0</v>
      </c>
      <c r="J842" s="56"/>
      <c r="K842" s="137"/>
    </row>
    <row r="843" spans="1:11" ht="29.25">
      <c r="A843" s="11">
        <v>55603</v>
      </c>
      <c r="B843" s="53" t="s">
        <v>922</v>
      </c>
      <c r="C843" s="13"/>
      <c r="D843" s="14" t="s">
        <v>18</v>
      </c>
      <c r="E843" s="14" t="s">
        <v>28</v>
      </c>
      <c r="F843" s="14" t="s">
        <v>27</v>
      </c>
      <c r="G843" s="305">
        <f>'OCT-18'!I820</f>
        <v>0</v>
      </c>
      <c r="H843" s="51"/>
      <c r="I843" s="17">
        <f t="shared" si="15"/>
        <v>0</v>
      </c>
      <c r="J843" s="56"/>
      <c r="K843" s="137"/>
    </row>
    <row r="844" spans="1:11">
      <c r="A844" s="141">
        <v>61</v>
      </c>
      <c r="B844" s="53" t="s">
        <v>1228</v>
      </c>
      <c r="C844" s="13"/>
      <c r="D844" s="14"/>
      <c r="E844" s="14"/>
      <c r="F844" s="14"/>
      <c r="G844" s="305">
        <f>'OCT-18'!I821</f>
        <v>0</v>
      </c>
      <c r="H844" s="51"/>
      <c r="I844" s="17"/>
      <c r="J844" s="56"/>
      <c r="K844" s="137"/>
    </row>
    <row r="845" spans="1:11">
      <c r="A845" s="141">
        <v>616</v>
      </c>
      <c r="B845" s="53" t="s">
        <v>1225</v>
      </c>
      <c r="C845" s="13"/>
      <c r="D845" s="14"/>
      <c r="E845" s="14"/>
      <c r="F845" s="14"/>
      <c r="G845" s="305">
        <f>'OCT-18'!I822</f>
        <v>0</v>
      </c>
      <c r="H845" s="51"/>
      <c r="I845" s="17"/>
      <c r="J845" s="56"/>
      <c r="K845" s="137"/>
    </row>
    <row r="846" spans="1:11">
      <c r="A846" s="141">
        <v>61601</v>
      </c>
      <c r="B846" s="53" t="s">
        <v>1226</v>
      </c>
      <c r="C846" s="13"/>
      <c r="D846" s="14"/>
      <c r="E846" s="14"/>
      <c r="F846" s="14"/>
      <c r="G846" s="305">
        <f>'OCT-18'!I823</f>
        <v>0</v>
      </c>
      <c r="H846" s="51"/>
      <c r="I846" s="17"/>
      <c r="J846" s="56"/>
      <c r="K846" s="137"/>
    </row>
    <row r="847" spans="1:11" ht="103.5">
      <c r="A847" s="11" t="s">
        <v>923</v>
      </c>
      <c r="B847" s="53" t="s">
        <v>924</v>
      </c>
      <c r="C847" s="13"/>
      <c r="D847" s="14" t="s">
        <v>18</v>
      </c>
      <c r="E847" s="14" t="s">
        <v>28</v>
      </c>
      <c r="F847" s="14" t="s">
        <v>27</v>
      </c>
      <c r="G847" s="305">
        <f>'OCT-18'!I823</f>
        <v>0</v>
      </c>
      <c r="H847" s="51"/>
      <c r="I847" s="17">
        <f t="shared" ref="I847" si="16">G847-H847+J847-K847</f>
        <v>0</v>
      </c>
      <c r="J847" s="56"/>
      <c r="K847" s="266"/>
    </row>
    <row r="848" spans="1:11">
      <c r="A848" s="439"/>
      <c r="B848" s="53"/>
      <c r="C848" s="13"/>
      <c r="D848" s="14"/>
      <c r="E848" s="14"/>
      <c r="F848" s="14"/>
      <c r="G848" s="305"/>
      <c r="H848" s="51"/>
      <c r="I848" s="17"/>
      <c r="J848" s="56"/>
      <c r="K848" s="137"/>
    </row>
    <row r="849" spans="1:190" ht="36" customHeight="1">
      <c r="A849" s="11"/>
      <c r="B849" s="53"/>
      <c r="C849" s="13"/>
      <c r="D849" s="14"/>
      <c r="E849" s="14"/>
      <c r="F849" s="14"/>
      <c r="G849" s="305"/>
      <c r="H849" s="51"/>
      <c r="I849" s="17"/>
      <c r="J849" s="56"/>
      <c r="K849" s="266"/>
    </row>
    <row r="850" spans="1:190" ht="20.25" customHeight="1">
      <c r="A850" s="38"/>
      <c r="B850" s="161" t="s">
        <v>975</v>
      </c>
      <c r="C850" s="39"/>
      <c r="D850" s="39"/>
      <c r="E850" s="39"/>
      <c r="F850" s="39"/>
      <c r="G850" s="305">
        <f>'OCT-18'!I826</f>
        <v>507254.85999999993</v>
      </c>
      <c r="H850" s="95">
        <f>SUM(H467:H849)</f>
        <v>20867.780000000002</v>
      </c>
      <c r="I850" s="40">
        <f>SUM(I467:I849)</f>
        <v>547402.82999999996</v>
      </c>
      <c r="J850" s="40">
        <f>SUM(J467:J849)</f>
        <v>67969.97</v>
      </c>
      <c r="K850" s="40">
        <f>SUM(K467:K849)</f>
        <v>6954.22</v>
      </c>
    </row>
    <row r="851" spans="1:190" s="198" customFormat="1" ht="54.75" customHeight="1" thickBot="1">
      <c r="A851" s="191" t="s">
        <v>925</v>
      </c>
      <c r="B851" s="192" t="s">
        <v>926</v>
      </c>
      <c r="C851" s="193"/>
      <c r="D851" s="194" t="s">
        <v>20</v>
      </c>
      <c r="E851" s="194" t="s">
        <v>31</v>
      </c>
      <c r="F851" s="194" t="s">
        <v>27</v>
      </c>
      <c r="G851" s="305">
        <f>'SEPT-18'!I819</f>
        <v>0</v>
      </c>
      <c r="H851" s="246"/>
      <c r="I851" s="196">
        <f t="shared" si="15"/>
        <v>0</v>
      </c>
      <c r="J851" s="197"/>
      <c r="K851" s="267"/>
      <c r="L851" s="199"/>
      <c r="M851" s="199"/>
      <c r="N851" s="199"/>
      <c r="O851" s="199"/>
      <c r="P851" s="199"/>
      <c r="Q851" s="199"/>
      <c r="R851" s="199"/>
      <c r="S851" s="199"/>
      <c r="T851" s="199"/>
      <c r="U851" s="199"/>
      <c r="V851" s="199"/>
      <c r="W851" s="199"/>
      <c r="X851" s="199"/>
      <c r="Y851" s="199"/>
      <c r="Z851" s="199"/>
      <c r="AA851" s="199"/>
      <c r="AB851" s="199"/>
      <c r="AC851" s="199"/>
      <c r="AD851" s="199"/>
      <c r="AE851" s="199"/>
      <c r="AF851" s="199"/>
      <c r="AG851" s="199"/>
      <c r="AH851" s="199"/>
      <c r="AI851" s="199"/>
      <c r="AJ851" s="199"/>
      <c r="AK851" s="199"/>
      <c r="AL851" s="199"/>
      <c r="AM851" s="199"/>
      <c r="AN851" s="199"/>
      <c r="AO851" s="199"/>
      <c r="AP851" s="199"/>
      <c r="AQ851" s="199"/>
      <c r="AR851" s="199"/>
      <c r="AS851" s="199"/>
      <c r="AT851" s="199"/>
      <c r="AU851" s="199"/>
      <c r="AV851" s="199"/>
      <c r="AW851" s="199"/>
      <c r="AX851" s="199"/>
      <c r="AY851" s="199"/>
      <c r="AZ851" s="199"/>
      <c r="BA851" s="199"/>
      <c r="BB851" s="199"/>
      <c r="BC851" s="199"/>
      <c r="BD851" s="199"/>
      <c r="BE851" s="199"/>
      <c r="BF851" s="199"/>
      <c r="BG851" s="199"/>
      <c r="BH851" s="199"/>
      <c r="BI851" s="199"/>
      <c r="BJ851" s="199"/>
      <c r="BK851" s="199"/>
      <c r="BL851" s="199"/>
      <c r="BM851" s="199"/>
      <c r="BN851" s="199"/>
      <c r="BO851" s="199"/>
      <c r="BP851" s="199"/>
      <c r="BQ851" s="199"/>
      <c r="BR851" s="199"/>
      <c r="BS851" s="199"/>
      <c r="BT851" s="199"/>
      <c r="BU851" s="199"/>
      <c r="BV851" s="199"/>
      <c r="BW851" s="199"/>
      <c r="BX851" s="199"/>
      <c r="BY851" s="199"/>
      <c r="BZ851" s="199"/>
      <c r="CA851" s="199"/>
      <c r="CB851" s="199"/>
      <c r="CC851" s="199"/>
      <c r="CD851" s="199"/>
      <c r="CE851" s="199"/>
      <c r="CF851" s="199"/>
      <c r="CG851" s="199"/>
      <c r="CH851" s="199"/>
      <c r="CI851" s="199"/>
      <c r="CJ851" s="199"/>
      <c r="CK851" s="199"/>
      <c r="CL851" s="199"/>
      <c r="CM851" s="199"/>
      <c r="CN851" s="199"/>
      <c r="CO851" s="199"/>
      <c r="CP851" s="199"/>
      <c r="CQ851" s="199"/>
      <c r="CR851" s="199"/>
      <c r="CS851" s="199"/>
      <c r="CT851" s="199"/>
      <c r="CU851" s="199"/>
      <c r="CV851" s="199"/>
      <c r="CW851" s="199"/>
      <c r="CX851" s="199"/>
      <c r="CY851" s="199"/>
      <c r="CZ851" s="199"/>
      <c r="DA851" s="199"/>
      <c r="DB851" s="199"/>
      <c r="DC851" s="199"/>
      <c r="DD851" s="199"/>
      <c r="DE851" s="199"/>
      <c r="DF851" s="199"/>
      <c r="DG851" s="199"/>
      <c r="DH851" s="199"/>
      <c r="DI851" s="199"/>
      <c r="DJ851" s="199"/>
      <c r="DK851" s="199"/>
      <c r="DL851" s="199"/>
      <c r="DM851" s="199"/>
      <c r="DN851" s="199"/>
      <c r="DO851" s="199"/>
      <c r="DP851" s="199"/>
      <c r="DQ851" s="199"/>
      <c r="DR851" s="199"/>
      <c r="DS851" s="199"/>
      <c r="DT851" s="199"/>
      <c r="DU851" s="199"/>
      <c r="DV851" s="199"/>
      <c r="DW851" s="199"/>
      <c r="DX851" s="199"/>
      <c r="DY851" s="199"/>
      <c r="DZ851" s="199"/>
      <c r="EA851" s="199"/>
      <c r="EB851" s="199"/>
      <c r="EC851" s="199"/>
      <c r="ED851" s="199"/>
      <c r="EE851" s="199"/>
      <c r="EF851" s="199"/>
      <c r="EG851" s="199"/>
      <c r="EH851" s="199"/>
      <c r="EI851" s="199"/>
      <c r="EJ851" s="199"/>
      <c r="EK851" s="199"/>
      <c r="EL851" s="199"/>
      <c r="EM851" s="199"/>
      <c r="EN851" s="199"/>
      <c r="EO851" s="199"/>
      <c r="EP851" s="199"/>
      <c r="EQ851" s="199"/>
      <c r="ER851" s="199"/>
      <c r="ES851" s="199"/>
      <c r="ET851" s="199"/>
      <c r="EU851" s="199"/>
      <c r="EV851" s="199"/>
      <c r="EW851" s="199"/>
      <c r="EX851" s="199"/>
      <c r="EY851" s="199"/>
      <c r="EZ851" s="199"/>
      <c r="FA851" s="199"/>
      <c r="FB851" s="199"/>
      <c r="FC851" s="199"/>
      <c r="FD851" s="199"/>
      <c r="FE851" s="199"/>
      <c r="FF851" s="199"/>
      <c r="FG851" s="199"/>
      <c r="FH851" s="199"/>
      <c r="FI851" s="199"/>
      <c r="FJ851" s="199"/>
      <c r="FK851" s="199"/>
      <c r="FL851" s="199"/>
      <c r="FM851" s="199"/>
      <c r="FN851" s="199"/>
      <c r="FO851" s="199"/>
      <c r="FP851" s="199"/>
      <c r="FQ851" s="199"/>
      <c r="FR851" s="199"/>
      <c r="FS851" s="199"/>
      <c r="FT851" s="199"/>
      <c r="FU851" s="199"/>
      <c r="FV851" s="199"/>
      <c r="FW851" s="199"/>
      <c r="FX851" s="199"/>
      <c r="FY851" s="199"/>
      <c r="FZ851" s="199"/>
      <c r="GA851" s="199"/>
      <c r="GB851" s="199"/>
      <c r="GC851" s="199"/>
      <c r="GD851" s="199"/>
      <c r="GE851" s="199"/>
      <c r="GF851" s="199"/>
      <c r="GG851" s="199"/>
      <c r="GH851" s="199"/>
    </row>
    <row r="852" spans="1:190" s="199" customFormat="1" ht="23.25" customHeight="1" thickBot="1">
      <c r="A852" s="38"/>
      <c r="B852" s="161" t="s">
        <v>21</v>
      </c>
      <c r="C852" s="39"/>
      <c r="D852" s="39"/>
      <c r="E852" s="39"/>
      <c r="F852" s="39"/>
      <c r="G852" s="305">
        <f>'SEPT-18'!I820</f>
        <v>0</v>
      </c>
      <c r="H852" s="95">
        <f>SUM(H851)</f>
        <v>0</v>
      </c>
      <c r="I852" s="196">
        <f t="shared" si="15"/>
        <v>0</v>
      </c>
      <c r="J852" s="40"/>
      <c r="K852" s="398">
        <f>SUM(K851)</f>
        <v>0</v>
      </c>
    </row>
    <row r="853" spans="1:190" s="171" customFormat="1" ht="45">
      <c r="A853" s="184" t="s">
        <v>929</v>
      </c>
      <c r="B853" s="185" t="s">
        <v>928</v>
      </c>
      <c r="C853" s="186"/>
      <c r="D853" s="187" t="s">
        <v>22</v>
      </c>
      <c r="E853" s="187" t="s">
        <v>31</v>
      </c>
      <c r="F853" s="187" t="s">
        <v>27</v>
      </c>
      <c r="G853" s="305">
        <f>'SEPT-18'!I821</f>
        <v>0</v>
      </c>
      <c r="H853" s="245"/>
      <c r="I853" s="189">
        <f t="shared" si="15"/>
        <v>0</v>
      </c>
      <c r="J853" s="190"/>
      <c r="K853" s="268"/>
    </row>
    <row r="854" spans="1:190" s="171" customFormat="1" ht="63" customHeight="1">
      <c r="A854" s="175" t="s">
        <v>927</v>
      </c>
      <c r="B854" s="174" t="s">
        <v>978</v>
      </c>
      <c r="C854" s="139"/>
      <c r="D854" s="14" t="s">
        <v>22</v>
      </c>
      <c r="E854" s="14" t="s">
        <v>31</v>
      </c>
      <c r="F854" s="14" t="s">
        <v>27</v>
      </c>
      <c r="G854" s="305">
        <f>'SEPT-18'!I822</f>
        <v>0</v>
      </c>
      <c r="H854" s="244"/>
      <c r="I854" s="17">
        <f t="shared" si="15"/>
        <v>0</v>
      </c>
      <c r="J854" s="140"/>
      <c r="K854" s="135"/>
    </row>
    <row r="855" spans="1:190">
      <c r="A855" s="38"/>
      <c r="B855" s="161" t="s">
        <v>23</v>
      </c>
      <c r="C855" s="39"/>
      <c r="D855" s="39"/>
      <c r="E855" s="39"/>
      <c r="F855" s="39"/>
      <c r="G855" s="305">
        <f>SUM(G853:G854)</f>
        <v>0</v>
      </c>
      <c r="H855" s="95">
        <f>SUM(H853:H854)</f>
        <v>0</v>
      </c>
      <c r="I855" s="17">
        <f t="shared" si="15"/>
        <v>0</v>
      </c>
      <c r="J855" s="40"/>
      <c r="K855" s="40">
        <f>SUM(K853:K854)</f>
        <v>0</v>
      </c>
    </row>
    <row r="856" spans="1:190" s="171" customFormat="1" ht="100.5" customHeight="1">
      <c r="A856" s="169" t="s">
        <v>200</v>
      </c>
      <c r="B856" s="174" t="s">
        <v>1081</v>
      </c>
      <c r="C856" s="139"/>
      <c r="D856" s="139"/>
      <c r="E856" s="139"/>
      <c r="F856" s="139"/>
      <c r="G856" s="305">
        <f>'SEPT-18'!I824</f>
        <v>0</v>
      </c>
      <c r="H856" s="170"/>
      <c r="I856" s="140"/>
      <c r="J856" s="140"/>
      <c r="K856" s="140"/>
    </row>
    <row r="857" spans="1:190" s="171" customFormat="1" ht="38.25" customHeight="1">
      <c r="A857" s="255">
        <v>51999</v>
      </c>
      <c r="B857" s="173" t="s">
        <v>933</v>
      </c>
      <c r="C857" s="139"/>
      <c r="D857" s="14" t="s">
        <v>11</v>
      </c>
      <c r="E857" s="14" t="s">
        <v>25</v>
      </c>
      <c r="F857" s="257" t="s">
        <v>1025</v>
      </c>
      <c r="G857" s="305">
        <f>'OCT-18'!I833</f>
        <v>2100</v>
      </c>
      <c r="H857" s="140"/>
      <c r="I857" s="17">
        <f t="shared" ref="I857:I894" si="17">G857-H857+J857-K857</f>
        <v>2100</v>
      </c>
      <c r="J857" s="135"/>
      <c r="K857" s="135"/>
    </row>
    <row r="858" spans="1:190" s="171" customFormat="1" ht="23.25" customHeight="1">
      <c r="A858" s="255">
        <v>54199</v>
      </c>
      <c r="B858" s="173" t="s">
        <v>931</v>
      </c>
      <c r="C858" s="139"/>
      <c r="D858" s="14" t="s">
        <v>11</v>
      </c>
      <c r="E858" s="14" t="s">
        <v>25</v>
      </c>
      <c r="F858" s="257" t="s">
        <v>1025</v>
      </c>
      <c r="G858" s="305">
        <f>'OCT-18'!I834</f>
        <v>0</v>
      </c>
      <c r="H858" s="170"/>
      <c r="I858" s="17">
        <f t="shared" si="17"/>
        <v>0</v>
      </c>
      <c r="J858" s="135"/>
      <c r="K858" s="135"/>
    </row>
    <row r="859" spans="1:190" s="171" customFormat="1" ht="19.5" customHeight="1">
      <c r="A859" s="255">
        <v>55799</v>
      </c>
      <c r="B859" s="173" t="s">
        <v>932</v>
      </c>
      <c r="C859" s="139"/>
      <c r="D859" s="14" t="s">
        <v>11</v>
      </c>
      <c r="E859" s="14" t="s">
        <v>25</v>
      </c>
      <c r="F859" s="257" t="s">
        <v>1025</v>
      </c>
      <c r="G859" s="305">
        <f>'OCT-18'!I835</f>
        <v>1413.6799999999998</v>
      </c>
      <c r="H859" s="170"/>
      <c r="I859" s="17">
        <f t="shared" si="17"/>
        <v>1413.6799999999998</v>
      </c>
      <c r="J859" s="135"/>
      <c r="K859" s="135"/>
    </row>
    <row r="860" spans="1:190" s="171" customFormat="1" ht="68.25" customHeight="1">
      <c r="A860" s="176" t="s">
        <v>201</v>
      </c>
      <c r="B860" s="173" t="s">
        <v>934</v>
      </c>
      <c r="C860" s="139"/>
      <c r="D860" s="139"/>
      <c r="E860" s="139"/>
      <c r="F860" s="257" t="s">
        <v>1024</v>
      </c>
      <c r="G860" s="305">
        <f>'OCT-18'!I836</f>
        <v>0</v>
      </c>
      <c r="H860" s="170"/>
      <c r="I860" s="17"/>
      <c r="J860" s="140"/>
      <c r="K860" s="140"/>
    </row>
    <row r="861" spans="1:190" s="171" customFormat="1" ht="37.5" customHeight="1">
      <c r="A861" s="254">
        <v>51202</v>
      </c>
      <c r="B861" s="173" t="s">
        <v>954</v>
      </c>
      <c r="C861" s="139"/>
      <c r="D861" s="14" t="s">
        <v>11</v>
      </c>
      <c r="E861" s="14" t="s">
        <v>25</v>
      </c>
      <c r="F861" s="257" t="s">
        <v>1024</v>
      </c>
      <c r="G861" s="305">
        <f>'OCT-18'!I837</f>
        <v>335.67000000000098</v>
      </c>
      <c r="H861" s="140"/>
      <c r="I861" s="17">
        <f t="shared" si="17"/>
        <v>335.67000000000098</v>
      </c>
      <c r="J861" s="140"/>
      <c r="K861" s="140"/>
    </row>
    <row r="862" spans="1:190" s="171" customFormat="1" ht="33" customHeight="1">
      <c r="A862" s="254">
        <v>51999</v>
      </c>
      <c r="B862" s="177" t="s">
        <v>935</v>
      </c>
      <c r="C862" s="139"/>
      <c r="D862" s="14" t="s">
        <v>11</v>
      </c>
      <c r="E862" s="14" t="s">
        <v>25</v>
      </c>
      <c r="F862" s="257" t="s">
        <v>1024</v>
      </c>
      <c r="G862" s="305">
        <f>'OCT-18'!I838</f>
        <v>0</v>
      </c>
      <c r="H862" s="140"/>
      <c r="I862" s="17">
        <f t="shared" si="17"/>
        <v>0</v>
      </c>
      <c r="J862" s="140"/>
      <c r="K862" s="135"/>
    </row>
    <row r="863" spans="1:190" s="171" customFormat="1" ht="29.25">
      <c r="A863" s="254">
        <v>54110</v>
      </c>
      <c r="B863" s="177" t="s">
        <v>936</v>
      </c>
      <c r="C863" s="139"/>
      <c r="D863" s="14" t="s">
        <v>11</v>
      </c>
      <c r="E863" s="14" t="s">
        <v>25</v>
      </c>
      <c r="F863" s="257" t="s">
        <v>1024</v>
      </c>
      <c r="G863" s="305">
        <f>'OCT-18'!I839</f>
        <v>393.8599999999999</v>
      </c>
      <c r="H863" s="140"/>
      <c r="I863" s="17">
        <f t="shared" si="17"/>
        <v>393.8599999999999</v>
      </c>
      <c r="J863" s="140"/>
      <c r="K863" s="135"/>
    </row>
    <row r="864" spans="1:190" s="171" customFormat="1" ht="44.25">
      <c r="A864" s="254">
        <v>54111</v>
      </c>
      <c r="B864" s="173" t="s">
        <v>937</v>
      </c>
      <c r="C864" s="139"/>
      <c r="D864" s="14" t="s">
        <v>11</v>
      </c>
      <c r="E864" s="14" t="s">
        <v>25</v>
      </c>
      <c r="F864" s="257" t="s">
        <v>1024</v>
      </c>
      <c r="G864" s="305">
        <f>'OCT-18'!I840</f>
        <v>176.97000000000116</v>
      </c>
      <c r="H864" s="140"/>
      <c r="I864" s="17">
        <f t="shared" si="17"/>
        <v>176.97000000000116</v>
      </c>
      <c r="J864" s="140"/>
      <c r="K864" s="135"/>
    </row>
    <row r="865" spans="1:11" s="171" customFormat="1" ht="44.25">
      <c r="A865" s="254">
        <v>54112</v>
      </c>
      <c r="B865" s="173" t="s">
        <v>938</v>
      </c>
      <c r="C865" s="139"/>
      <c r="D865" s="14" t="s">
        <v>11</v>
      </c>
      <c r="E865" s="14" t="s">
        <v>25</v>
      </c>
      <c r="F865" s="257" t="s">
        <v>1024</v>
      </c>
      <c r="G865" s="305">
        <f>'OCT-18'!I841</f>
        <v>713.29999999999927</v>
      </c>
      <c r="H865" s="140"/>
      <c r="I865" s="17">
        <f t="shared" si="17"/>
        <v>713.29999999999927</v>
      </c>
      <c r="J865" s="135"/>
      <c r="K865" s="135"/>
    </row>
    <row r="866" spans="1:11" s="171" customFormat="1" ht="29.25">
      <c r="A866" s="254">
        <v>54118</v>
      </c>
      <c r="B866" s="173" t="s">
        <v>939</v>
      </c>
      <c r="C866" s="139"/>
      <c r="D866" s="14" t="s">
        <v>11</v>
      </c>
      <c r="E866" s="14" t="s">
        <v>25</v>
      </c>
      <c r="F866" s="257" t="s">
        <v>1024</v>
      </c>
      <c r="G866" s="305">
        <f>'OCT-18'!I842</f>
        <v>41.749999999999773</v>
      </c>
      <c r="H866" s="244"/>
      <c r="I866" s="17">
        <f t="shared" si="17"/>
        <v>41.749999999999773</v>
      </c>
      <c r="J866" s="140"/>
      <c r="K866" s="135"/>
    </row>
    <row r="867" spans="1:11" s="171" customFormat="1" ht="29.25">
      <c r="A867" s="254">
        <v>54304</v>
      </c>
      <c r="B867" s="173" t="s">
        <v>940</v>
      </c>
      <c r="C867" s="139"/>
      <c r="D867" s="14" t="s">
        <v>11</v>
      </c>
      <c r="E867" s="14" t="s">
        <v>25</v>
      </c>
      <c r="F867" s="257" t="s">
        <v>1024</v>
      </c>
      <c r="G867" s="305">
        <f>'OCT-18'!I843</f>
        <v>0</v>
      </c>
      <c r="H867" s="170"/>
      <c r="I867" s="17">
        <f t="shared" si="17"/>
        <v>0</v>
      </c>
      <c r="J867" s="140"/>
      <c r="K867" s="135"/>
    </row>
    <row r="868" spans="1:11" s="171" customFormat="1" ht="39" customHeight="1">
      <c r="A868" s="254">
        <v>54313</v>
      </c>
      <c r="B868" s="173" t="s">
        <v>941</v>
      </c>
      <c r="C868" s="139"/>
      <c r="D868" s="14" t="s">
        <v>11</v>
      </c>
      <c r="E868" s="14" t="s">
        <v>25</v>
      </c>
      <c r="F868" s="257" t="s">
        <v>1024</v>
      </c>
      <c r="G868" s="305">
        <f>'OCT-18'!I844</f>
        <v>0</v>
      </c>
      <c r="H868" s="170"/>
      <c r="I868" s="17">
        <f t="shared" si="17"/>
        <v>0</v>
      </c>
      <c r="J868" s="140"/>
      <c r="K868" s="140"/>
    </row>
    <row r="869" spans="1:11" s="171" customFormat="1" ht="36" customHeight="1">
      <c r="A869" s="254">
        <v>54399</v>
      </c>
      <c r="B869" s="173" t="s">
        <v>942</v>
      </c>
      <c r="C869" s="139"/>
      <c r="D869" s="14" t="s">
        <v>11</v>
      </c>
      <c r="E869" s="14" t="s">
        <v>25</v>
      </c>
      <c r="F869" s="257" t="s">
        <v>1024</v>
      </c>
      <c r="G869" s="305">
        <f>'OCT-18'!I845</f>
        <v>53.789999999999964</v>
      </c>
      <c r="H869" s="170"/>
      <c r="I869" s="17">
        <f t="shared" si="17"/>
        <v>53.789999999999964</v>
      </c>
      <c r="J869" s="140"/>
      <c r="K869" s="135"/>
    </row>
    <row r="870" spans="1:11" s="171" customFormat="1" ht="34.5" customHeight="1">
      <c r="A870" s="254">
        <v>55603</v>
      </c>
      <c r="B870" s="173" t="s">
        <v>943</v>
      </c>
      <c r="C870" s="139"/>
      <c r="D870" s="14" t="s">
        <v>11</v>
      </c>
      <c r="E870" s="14" t="s">
        <v>25</v>
      </c>
      <c r="F870" s="257" t="s">
        <v>1024</v>
      </c>
      <c r="G870" s="305">
        <f>'OCT-18'!I846</f>
        <v>6.35</v>
      </c>
      <c r="H870" s="170"/>
      <c r="I870" s="134">
        <f t="shared" si="17"/>
        <v>6.35</v>
      </c>
      <c r="J870" s="135"/>
      <c r="K870" s="140"/>
    </row>
    <row r="871" spans="1:11" s="171" customFormat="1" ht="98.25" customHeight="1">
      <c r="A871" s="169" t="s">
        <v>220</v>
      </c>
      <c r="B871" s="241" t="s">
        <v>973</v>
      </c>
      <c r="C871" s="139"/>
      <c r="D871" s="14"/>
      <c r="E871" s="14"/>
      <c r="F871" s="257" t="s">
        <v>1024</v>
      </c>
      <c r="G871" s="305">
        <f>'OCT-18'!I847</f>
        <v>0</v>
      </c>
      <c r="H871" s="170"/>
      <c r="I871" s="17"/>
      <c r="J871" s="140"/>
      <c r="K871" s="140"/>
    </row>
    <row r="872" spans="1:11" s="171" customFormat="1" ht="29.25">
      <c r="A872" s="254">
        <v>51202</v>
      </c>
      <c r="B872" s="173" t="s">
        <v>944</v>
      </c>
      <c r="C872" s="139"/>
      <c r="D872" s="14" t="s">
        <v>11</v>
      </c>
      <c r="E872" s="14" t="s">
        <v>25</v>
      </c>
      <c r="F872" s="257" t="s">
        <v>1024</v>
      </c>
      <c r="G872" s="305">
        <f>'OCT-18'!I848</f>
        <v>6999.9999999999991</v>
      </c>
      <c r="H872" s="140"/>
      <c r="I872" s="17">
        <f t="shared" si="17"/>
        <v>0</v>
      </c>
      <c r="J872" s="140"/>
      <c r="K872" s="135">
        <v>7000</v>
      </c>
    </row>
    <row r="873" spans="1:11" s="171" customFormat="1" ht="29.25">
      <c r="A873" s="254">
        <v>51999</v>
      </c>
      <c r="B873" s="173" t="s">
        <v>946</v>
      </c>
      <c r="C873" s="139"/>
      <c r="D873" s="14" t="s">
        <v>11</v>
      </c>
      <c r="E873" s="14" t="s">
        <v>25</v>
      </c>
      <c r="F873" s="257" t="s">
        <v>1024</v>
      </c>
      <c r="G873" s="305">
        <f>'OCT-18'!I849</f>
        <v>195.58000000000004</v>
      </c>
      <c r="H873" s="140">
        <f>7195.58</f>
        <v>7195.58</v>
      </c>
      <c r="I873" s="17">
        <f t="shared" si="17"/>
        <v>0</v>
      </c>
      <c r="J873" s="135">
        <v>7000</v>
      </c>
      <c r="K873" s="135"/>
    </row>
    <row r="874" spans="1:11" s="171" customFormat="1" ht="36" customHeight="1">
      <c r="A874" s="254">
        <v>54110</v>
      </c>
      <c r="B874" s="173" t="s">
        <v>945</v>
      </c>
      <c r="C874" s="139"/>
      <c r="D874" s="14" t="s">
        <v>11</v>
      </c>
      <c r="E874" s="14" t="s">
        <v>25</v>
      </c>
      <c r="F874" s="257" t="s">
        <v>1024</v>
      </c>
      <c r="G874" s="305">
        <f>'OCT-18'!I850</f>
        <v>1000</v>
      </c>
      <c r="H874" s="140"/>
      <c r="I874" s="17">
        <f t="shared" si="17"/>
        <v>0</v>
      </c>
      <c r="J874" s="140"/>
      <c r="K874" s="135">
        <v>1000</v>
      </c>
    </row>
    <row r="875" spans="1:11" s="171" customFormat="1" ht="41.25" customHeight="1">
      <c r="A875" s="254">
        <v>54111</v>
      </c>
      <c r="B875" s="173" t="s">
        <v>947</v>
      </c>
      <c r="C875" s="139"/>
      <c r="D875" s="14" t="s">
        <v>11</v>
      </c>
      <c r="E875" s="14" t="s">
        <v>25</v>
      </c>
      <c r="F875" s="257" t="s">
        <v>1024</v>
      </c>
      <c r="G875" s="305">
        <f>'OCT-18'!I851</f>
        <v>5000</v>
      </c>
      <c r="H875" s="140"/>
      <c r="I875" s="17">
        <f t="shared" si="17"/>
        <v>0</v>
      </c>
      <c r="J875" s="140"/>
      <c r="K875" s="135">
        <v>5000</v>
      </c>
    </row>
    <row r="876" spans="1:11" s="171" customFormat="1" ht="35.25" customHeight="1">
      <c r="A876" s="254">
        <v>54112</v>
      </c>
      <c r="B876" s="173" t="s">
        <v>948</v>
      </c>
      <c r="C876" s="139"/>
      <c r="D876" s="14" t="s">
        <v>11</v>
      </c>
      <c r="E876" s="14" t="s">
        <v>25</v>
      </c>
      <c r="F876" s="257" t="s">
        <v>1024</v>
      </c>
      <c r="G876" s="305">
        <f>'OCT-18'!I852</f>
        <v>2000</v>
      </c>
      <c r="H876" s="140"/>
      <c r="I876" s="17">
        <f t="shared" si="17"/>
        <v>0</v>
      </c>
      <c r="J876" s="140"/>
      <c r="K876" s="135">
        <v>2000</v>
      </c>
    </row>
    <row r="877" spans="1:11" s="171" customFormat="1" ht="35.25" customHeight="1">
      <c r="A877" s="254">
        <v>54118</v>
      </c>
      <c r="B877" s="173" t="s">
        <v>1245</v>
      </c>
      <c r="C877" s="139"/>
      <c r="D877" s="14" t="s">
        <v>11</v>
      </c>
      <c r="E877" s="14" t="s">
        <v>25</v>
      </c>
      <c r="F877" s="257" t="s">
        <v>1024</v>
      </c>
      <c r="G877" s="305">
        <f>'OCT-18'!I853</f>
        <v>856</v>
      </c>
      <c r="H877" s="140"/>
      <c r="I877" s="17">
        <f t="shared" si="17"/>
        <v>0</v>
      </c>
      <c r="J877" s="140"/>
      <c r="K877" s="135">
        <f>1000-144</f>
        <v>856</v>
      </c>
    </row>
    <row r="878" spans="1:11" s="171" customFormat="1" ht="35.25" customHeight="1">
      <c r="A878" s="254">
        <v>54199</v>
      </c>
      <c r="B878" s="173" t="s">
        <v>1244</v>
      </c>
      <c r="C878" s="139"/>
      <c r="D878" s="14"/>
      <c r="E878" s="14"/>
      <c r="F878" s="257" t="s">
        <v>1024</v>
      </c>
      <c r="G878" s="305"/>
      <c r="H878" s="140">
        <f>17856</f>
        <v>17856</v>
      </c>
      <c r="I878" s="17">
        <f t="shared" si="17"/>
        <v>0</v>
      </c>
      <c r="J878" s="135">
        <v>18000</v>
      </c>
      <c r="K878" s="135">
        <f>144</f>
        <v>144</v>
      </c>
    </row>
    <row r="879" spans="1:11" s="171" customFormat="1" ht="29.25">
      <c r="A879" s="254">
        <v>54304</v>
      </c>
      <c r="B879" s="173" t="s">
        <v>950</v>
      </c>
      <c r="C879" s="139"/>
      <c r="D879" s="14" t="s">
        <v>11</v>
      </c>
      <c r="E879" s="14" t="s">
        <v>25</v>
      </c>
      <c r="F879" s="257" t="s">
        <v>1024</v>
      </c>
      <c r="G879" s="305">
        <f>'OCT-18'!I854</f>
        <v>9000</v>
      </c>
      <c r="H879" s="140"/>
      <c r="I879" s="17">
        <f t="shared" si="17"/>
        <v>0</v>
      </c>
      <c r="J879" s="140"/>
      <c r="K879" s="135">
        <v>9000</v>
      </c>
    </row>
    <row r="880" spans="1:11" s="171" customFormat="1" ht="44.25">
      <c r="A880" s="254">
        <v>54313</v>
      </c>
      <c r="B880" s="173" t="s">
        <v>951</v>
      </c>
      <c r="C880" s="139"/>
      <c r="D880" s="14" t="s">
        <v>11</v>
      </c>
      <c r="E880" s="14" t="s">
        <v>25</v>
      </c>
      <c r="F880" s="257" t="s">
        <v>1024</v>
      </c>
      <c r="G880" s="305">
        <f>'OCT-18'!I855</f>
        <v>0</v>
      </c>
      <c r="H880" s="140"/>
      <c r="I880" s="17">
        <f t="shared" si="17"/>
        <v>0</v>
      </c>
      <c r="J880" s="140"/>
      <c r="K880" s="135"/>
    </row>
    <row r="881" spans="1:11" s="171" customFormat="1" ht="44.25">
      <c r="A881" s="254">
        <v>54399</v>
      </c>
      <c r="B881" s="173" t="s">
        <v>952</v>
      </c>
      <c r="C881" s="139"/>
      <c r="D881" s="14" t="s">
        <v>11</v>
      </c>
      <c r="E881" s="14" t="s">
        <v>25</v>
      </c>
      <c r="F881" s="257" t="s">
        <v>1024</v>
      </c>
      <c r="G881" s="305">
        <f>'OCT-18'!I856</f>
        <v>0</v>
      </c>
      <c r="H881" s="140"/>
      <c r="I881" s="17">
        <f t="shared" si="17"/>
        <v>0</v>
      </c>
      <c r="J881" s="135"/>
      <c r="K881" s="135"/>
    </row>
    <row r="882" spans="1:11" s="171" customFormat="1" ht="50.25" customHeight="1">
      <c r="A882" s="254">
        <v>55603</v>
      </c>
      <c r="B882" s="173" t="s">
        <v>953</v>
      </c>
      <c r="C882" s="139"/>
      <c r="D882" s="14" t="s">
        <v>11</v>
      </c>
      <c r="E882" s="14" t="s">
        <v>25</v>
      </c>
      <c r="F882" s="257" t="s">
        <v>1024</v>
      </c>
      <c r="G882" s="305">
        <f>'OCT-18'!I857</f>
        <v>0</v>
      </c>
      <c r="H882" s="140"/>
      <c r="I882" s="134">
        <f t="shared" si="17"/>
        <v>0</v>
      </c>
      <c r="J882" s="135"/>
      <c r="K882" s="135"/>
    </row>
    <row r="883" spans="1:11" s="171" customFormat="1" ht="99.75">
      <c r="A883" s="256" t="s">
        <v>238</v>
      </c>
      <c r="B883" s="241" t="s">
        <v>972</v>
      </c>
      <c r="C883" s="139"/>
      <c r="D883" s="14"/>
      <c r="E883" s="14"/>
      <c r="F883" s="257" t="s">
        <v>1024</v>
      </c>
      <c r="G883" s="305">
        <f>'OCT-18'!I858</f>
        <v>0</v>
      </c>
      <c r="H883" s="170"/>
      <c r="I883" s="17"/>
      <c r="J883" s="140"/>
      <c r="K883" s="140"/>
    </row>
    <row r="884" spans="1:11" s="171" customFormat="1" ht="29.25">
      <c r="A884" s="254">
        <v>51202</v>
      </c>
      <c r="B884" s="173" t="s">
        <v>955</v>
      </c>
      <c r="C884" s="139"/>
      <c r="D884" s="14" t="s">
        <v>11</v>
      </c>
      <c r="E884" s="14" t="s">
        <v>25</v>
      </c>
      <c r="F884" s="257" t="s">
        <v>1024</v>
      </c>
      <c r="G884" s="305">
        <f>'OCT-18'!I859</f>
        <v>5476.74</v>
      </c>
      <c r="H884" s="244"/>
      <c r="I884" s="17">
        <f t="shared" si="17"/>
        <v>5476.74</v>
      </c>
      <c r="J884" s="140"/>
      <c r="K884" s="140"/>
    </row>
    <row r="885" spans="1:11" s="171" customFormat="1" ht="43.5">
      <c r="A885" s="254">
        <v>51999</v>
      </c>
      <c r="B885" s="173" t="s">
        <v>956</v>
      </c>
      <c r="C885" s="139"/>
      <c r="D885" s="14" t="s">
        <v>11</v>
      </c>
      <c r="E885" s="14" t="s">
        <v>25</v>
      </c>
      <c r="F885" s="257" t="s">
        <v>1024</v>
      </c>
      <c r="G885" s="305">
        <f>'OCT-18'!I860</f>
        <v>0</v>
      </c>
      <c r="H885" s="244"/>
      <c r="I885" s="17">
        <f t="shared" si="17"/>
        <v>0</v>
      </c>
      <c r="J885" s="140"/>
      <c r="K885" s="135"/>
    </row>
    <row r="886" spans="1:11" s="171" customFormat="1" ht="43.5">
      <c r="A886" s="254">
        <v>54110</v>
      </c>
      <c r="B886" s="173" t="s">
        <v>957</v>
      </c>
      <c r="C886" s="139"/>
      <c r="D886" s="14" t="s">
        <v>11</v>
      </c>
      <c r="E886" s="14" t="s">
        <v>25</v>
      </c>
      <c r="F886" s="257" t="s">
        <v>1024</v>
      </c>
      <c r="G886" s="305">
        <f>'OCT-18'!I861</f>
        <v>909.2</v>
      </c>
      <c r="H886" s="244"/>
      <c r="I886" s="17">
        <f t="shared" si="17"/>
        <v>909.2</v>
      </c>
      <c r="J886" s="140"/>
      <c r="K886" s="140"/>
    </row>
    <row r="887" spans="1:11" s="171" customFormat="1" ht="44.25">
      <c r="A887" s="254">
        <v>54111</v>
      </c>
      <c r="B887" s="173" t="s">
        <v>958</v>
      </c>
      <c r="C887" s="139"/>
      <c r="D887" s="14" t="s">
        <v>11</v>
      </c>
      <c r="E887" s="14" t="s">
        <v>25</v>
      </c>
      <c r="F887" s="257" t="s">
        <v>1024</v>
      </c>
      <c r="G887" s="305">
        <f>'OCT-18'!I862</f>
        <v>1543.5</v>
      </c>
      <c r="H887" s="244"/>
      <c r="I887" s="17">
        <f t="shared" si="17"/>
        <v>1543.5</v>
      </c>
      <c r="J887" s="140"/>
      <c r="K887" s="135"/>
    </row>
    <row r="888" spans="1:11" s="171" customFormat="1" ht="44.25">
      <c r="A888" s="254">
        <v>54112</v>
      </c>
      <c r="B888" s="173" t="s">
        <v>959</v>
      </c>
      <c r="C888" s="139"/>
      <c r="D888" s="14" t="s">
        <v>11</v>
      </c>
      <c r="E888" s="14" t="s">
        <v>25</v>
      </c>
      <c r="F888" s="257" t="s">
        <v>1024</v>
      </c>
      <c r="G888" s="305">
        <f>'OCT-18'!I863</f>
        <v>391.85000000000036</v>
      </c>
      <c r="H888" s="244"/>
      <c r="I888" s="134">
        <f t="shared" si="17"/>
        <v>391.85000000000036</v>
      </c>
      <c r="J888" s="135"/>
      <c r="K888" s="135"/>
    </row>
    <row r="889" spans="1:11" s="171" customFormat="1" ht="38.25" customHeight="1">
      <c r="A889" s="254">
        <v>54118</v>
      </c>
      <c r="B889" s="173" t="s">
        <v>960</v>
      </c>
      <c r="C889" s="139"/>
      <c r="D889" s="14" t="s">
        <v>11</v>
      </c>
      <c r="E889" s="14" t="s">
        <v>25</v>
      </c>
      <c r="F889" s="257" t="s">
        <v>1024</v>
      </c>
      <c r="G889" s="305">
        <f>'OCT-18'!I864</f>
        <v>1464.85</v>
      </c>
      <c r="H889" s="244"/>
      <c r="I889" s="17">
        <f t="shared" si="17"/>
        <v>1464.85</v>
      </c>
      <c r="J889" s="135"/>
      <c r="K889" s="135"/>
    </row>
    <row r="890" spans="1:11" s="171" customFormat="1" ht="39" customHeight="1">
      <c r="A890" s="254">
        <v>54304</v>
      </c>
      <c r="B890" s="173" t="s">
        <v>961</v>
      </c>
      <c r="C890" s="139"/>
      <c r="D890" s="14" t="s">
        <v>11</v>
      </c>
      <c r="E890" s="14" t="s">
        <v>25</v>
      </c>
      <c r="F890" s="257" t="s">
        <v>1024</v>
      </c>
      <c r="G890" s="305">
        <f>'OCT-18'!I865</f>
        <v>993</v>
      </c>
      <c r="H890" s="170"/>
      <c r="I890" s="17">
        <f t="shared" si="17"/>
        <v>993</v>
      </c>
      <c r="J890" s="135"/>
      <c r="K890" s="135"/>
    </row>
    <row r="891" spans="1:11" s="171" customFormat="1" ht="39" customHeight="1">
      <c r="A891" s="254">
        <v>54313</v>
      </c>
      <c r="B891" s="173" t="s">
        <v>962</v>
      </c>
      <c r="C891" s="139"/>
      <c r="D891" s="14" t="s">
        <v>11</v>
      </c>
      <c r="E891" s="14" t="s">
        <v>25</v>
      </c>
      <c r="F891" s="257" t="s">
        <v>1024</v>
      </c>
      <c r="G891" s="305">
        <f>'OCT-18'!I866</f>
        <v>500</v>
      </c>
      <c r="H891" s="170"/>
      <c r="I891" s="17">
        <f t="shared" si="17"/>
        <v>500</v>
      </c>
      <c r="J891" s="135"/>
      <c r="K891" s="135"/>
    </row>
    <row r="892" spans="1:11" s="171" customFormat="1" ht="45" customHeight="1">
      <c r="A892" s="254">
        <v>54316</v>
      </c>
      <c r="B892" s="173" t="s">
        <v>1023</v>
      </c>
      <c r="C892" s="139"/>
      <c r="D892" s="14" t="s">
        <v>11</v>
      </c>
      <c r="E892" s="14" t="s">
        <v>25</v>
      </c>
      <c r="F892" s="257" t="s">
        <v>1024</v>
      </c>
      <c r="G892" s="305">
        <f>'OCT-18'!I867</f>
        <v>50</v>
      </c>
      <c r="H892" s="170"/>
      <c r="I892" s="134">
        <f t="shared" si="17"/>
        <v>50</v>
      </c>
      <c r="J892" s="135"/>
      <c r="K892" s="135"/>
    </row>
    <row r="893" spans="1:11" s="171" customFormat="1" ht="40.5" customHeight="1">
      <c r="A893" s="254">
        <v>54399</v>
      </c>
      <c r="B893" s="173" t="s">
        <v>963</v>
      </c>
      <c r="C893" s="139"/>
      <c r="D893" s="14" t="s">
        <v>11</v>
      </c>
      <c r="E893" s="14" t="s">
        <v>25</v>
      </c>
      <c r="F893" s="257" t="s">
        <v>1024</v>
      </c>
      <c r="G893" s="305">
        <f>'OCT-18'!I868</f>
        <v>495</v>
      </c>
      <c r="H893" s="170"/>
      <c r="I893" s="17">
        <f t="shared" si="17"/>
        <v>495</v>
      </c>
      <c r="J893" s="135"/>
      <c r="K893" s="135"/>
    </row>
    <row r="894" spans="1:11" s="171" customFormat="1" ht="57.75">
      <c r="A894" s="254">
        <v>55603</v>
      </c>
      <c r="B894" s="173" t="s">
        <v>971</v>
      </c>
      <c r="C894" s="139"/>
      <c r="D894" s="14" t="s">
        <v>11</v>
      </c>
      <c r="E894" s="14" t="s">
        <v>25</v>
      </c>
      <c r="F894" s="257" t="s">
        <v>1024</v>
      </c>
      <c r="G894" s="305">
        <f>'OCT-18'!I869</f>
        <v>6.35</v>
      </c>
      <c r="H894" s="170"/>
      <c r="I894" s="134">
        <f t="shared" si="17"/>
        <v>6.35</v>
      </c>
      <c r="J894" s="135"/>
      <c r="K894" s="140"/>
    </row>
    <row r="895" spans="1:11" ht="21">
      <c r="A895" s="38" t="s">
        <v>8</v>
      </c>
      <c r="B895" s="39" t="s">
        <v>24</v>
      </c>
      <c r="C895" s="39"/>
      <c r="D895" s="39" t="s">
        <v>11</v>
      </c>
      <c r="E895" s="39" t="s">
        <v>25</v>
      </c>
      <c r="F895" s="257" t="s">
        <v>1024</v>
      </c>
      <c r="G895" s="305">
        <f>'OCT-18'!I870</f>
        <v>42117.439999999995</v>
      </c>
      <c r="H895" s="95">
        <f>SUM(H856:H894)</f>
        <v>25051.58</v>
      </c>
      <c r="I895" s="40">
        <f>G895-H895+J895-K895</f>
        <v>17065.859999999993</v>
      </c>
      <c r="J895" s="40">
        <f>SUM(J856:J894)</f>
        <v>25000</v>
      </c>
      <c r="K895" s="40">
        <f>SUM(K856:K894)</f>
        <v>25000</v>
      </c>
    </row>
    <row r="896" spans="1:11" ht="28.5">
      <c r="A896" s="169" t="s">
        <v>15</v>
      </c>
      <c r="B896" s="282" t="s">
        <v>990</v>
      </c>
      <c r="C896" s="139" t="s">
        <v>1070</v>
      </c>
      <c r="D896" s="14" t="s">
        <v>18</v>
      </c>
      <c r="E896" s="14" t="s">
        <v>28</v>
      </c>
      <c r="F896" s="287" t="s">
        <v>1073</v>
      </c>
      <c r="G896" s="305">
        <f>'SEPT-18'!I864</f>
        <v>0</v>
      </c>
      <c r="H896" s="170"/>
      <c r="I896" s="135">
        <f>G896-H896+J896-K896</f>
        <v>0</v>
      </c>
      <c r="J896" s="135"/>
      <c r="K896" s="140"/>
    </row>
    <row r="897" spans="1:11" ht="25.5">
      <c r="A897" s="38"/>
      <c r="B897" s="39" t="s">
        <v>989</v>
      </c>
      <c r="C897" s="39"/>
      <c r="D897" s="99" t="s">
        <v>18</v>
      </c>
      <c r="E897" s="99" t="s">
        <v>28</v>
      </c>
      <c r="F897" s="242" t="s">
        <v>996</v>
      </c>
      <c r="G897" s="305">
        <f>SUM(G896)</f>
        <v>0</v>
      </c>
      <c r="H897" s="95">
        <f>SUM(H896)</f>
        <v>0</v>
      </c>
      <c r="I897" s="40">
        <f>SUM(I896)</f>
        <v>0</v>
      </c>
      <c r="J897" s="40"/>
      <c r="K897" s="40"/>
    </row>
    <row r="898" spans="1:11" ht="28.5">
      <c r="A898" s="169" t="s">
        <v>16</v>
      </c>
      <c r="B898" s="282" t="s">
        <v>1068</v>
      </c>
      <c r="C898" s="139" t="s">
        <v>1070</v>
      </c>
      <c r="D898" s="14" t="s">
        <v>18</v>
      </c>
      <c r="E898" s="14" t="s">
        <v>28</v>
      </c>
      <c r="F898" s="139" t="s">
        <v>1074</v>
      </c>
      <c r="G898" s="305">
        <f>'SEPT-18'!I866</f>
        <v>0</v>
      </c>
      <c r="H898" s="170"/>
      <c r="I898" s="244">
        <f>G898-H898+J898-K898</f>
        <v>0</v>
      </c>
      <c r="J898" s="140"/>
      <c r="K898" s="135"/>
    </row>
    <row r="899" spans="1:11">
      <c r="A899" s="38"/>
      <c r="B899" s="39" t="s">
        <v>989</v>
      </c>
      <c r="C899" s="39"/>
      <c r="D899" s="99" t="s">
        <v>18</v>
      </c>
      <c r="E899" s="99" t="s">
        <v>28</v>
      </c>
      <c r="F899" s="139" t="s">
        <v>1069</v>
      </c>
      <c r="G899" s="305">
        <f>SUM(G898)</f>
        <v>0</v>
      </c>
      <c r="H899" s="95">
        <f>SUM(H898)</f>
        <v>0</v>
      </c>
      <c r="I899" s="40">
        <f>SUM(I896:I898)</f>
        <v>0</v>
      </c>
      <c r="J899" s="40">
        <f>SUM(J898)</f>
        <v>0</v>
      </c>
      <c r="K899" s="40">
        <f>SUM(K898)</f>
        <v>0</v>
      </c>
    </row>
    <row r="900" spans="1:11" ht="20.25" customHeight="1">
      <c r="A900" s="469" t="s">
        <v>124</v>
      </c>
      <c r="B900" s="469"/>
      <c r="C900" s="469"/>
      <c r="D900" s="48"/>
      <c r="E900" s="48"/>
      <c r="F900" s="48"/>
      <c r="G900" s="305">
        <f>'OCT-18'!I875</f>
        <v>1254377.3500000003</v>
      </c>
      <c r="H900" s="51">
        <f>H899+H897+H895+H855+H852+H850+H466+H159+H151+H138+H126+H101+H74+H61</f>
        <v>227514.33999999994</v>
      </c>
      <c r="I900" s="49">
        <f>I899+I897+I895+I855+I852+I850+I466+I159+I151+I138+I126+I101+I74+I61</f>
        <v>1026863.01</v>
      </c>
      <c r="J900" s="231">
        <f>J899+J897+J895+J855+J852+J850+J466+J159+J151+J138+J126+J101+J74+J61</f>
        <v>276068.47999999998</v>
      </c>
      <c r="K900" s="231">
        <f>K895+K855+K850+K466+K159+K151+K138+K126+K101+K74+K61+K852+K899</f>
        <v>276068.47999999998</v>
      </c>
    </row>
    <row r="901" spans="1:11">
      <c r="G901" s="274"/>
      <c r="J901" s="130"/>
    </row>
    <row r="902" spans="1:11">
      <c r="I902" s="274"/>
      <c r="J902" s="262">
        <f>J900-K900</f>
        <v>0</v>
      </c>
    </row>
    <row r="903" spans="1:11">
      <c r="A903" s="232" t="s">
        <v>1031</v>
      </c>
    </row>
    <row r="904" spans="1:11">
      <c r="A904" s="273" t="s">
        <v>1050</v>
      </c>
      <c r="B904" s="273"/>
      <c r="C904" s="273"/>
      <c r="D904" s="273"/>
      <c r="E904" s="273"/>
      <c r="F904" s="273"/>
    </row>
    <row r="905" spans="1:11">
      <c r="H905" s="274"/>
    </row>
  </sheetData>
  <mergeCells count="3">
    <mergeCell ref="B1:K1"/>
    <mergeCell ref="B2:J2"/>
    <mergeCell ref="A900:C900"/>
  </mergeCells>
  <pageMargins left="0.23622047244094491" right="0.23622047244094491" top="0.74803149606299213" bottom="0.74803149606299213" header="0.31496062992125984" footer="0.31496062992125984"/>
  <pageSetup paperSize="5" scale="80" orientation="landscape" horizontalDpi="4294967293" vertic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AF67D"/>
  </sheetPr>
  <dimension ref="A1:J26"/>
  <sheetViews>
    <sheetView topLeftCell="B16" zoomScaleNormal="100" workbookViewId="0">
      <selection activeCell="E17" sqref="E17"/>
    </sheetView>
  </sheetViews>
  <sheetFormatPr baseColWidth="10" defaultRowHeight="15"/>
  <cols>
    <col min="1" max="1" width="18" customWidth="1"/>
    <col min="2" max="2" width="24.85546875" customWidth="1"/>
    <col min="3" max="3" width="26.5703125" customWidth="1"/>
    <col min="4" max="4" width="20.28515625" customWidth="1"/>
    <col min="5" max="5" width="16.28515625" customWidth="1"/>
    <col min="6" max="6" width="20.28515625" customWidth="1"/>
    <col min="7" max="7" width="27" customWidth="1"/>
    <col min="8" max="8" width="27.28515625" customWidth="1"/>
    <col min="9" max="9" width="25" customWidth="1"/>
  </cols>
  <sheetData>
    <row r="1" spans="1:10" ht="36.75">
      <c r="A1" s="467" t="s">
        <v>155</v>
      </c>
      <c r="B1" s="467"/>
      <c r="C1" s="467"/>
      <c r="D1" s="467"/>
      <c r="E1" s="467"/>
      <c r="F1" s="467"/>
      <c r="G1" s="467"/>
      <c r="H1" s="467"/>
      <c r="I1" s="467"/>
      <c r="J1" s="467"/>
    </row>
    <row r="2" spans="1:10" ht="36.75">
      <c r="A2" s="468" t="s">
        <v>1229</v>
      </c>
      <c r="B2" s="468"/>
      <c r="C2" s="468"/>
      <c r="D2" s="468"/>
      <c r="E2" s="468"/>
      <c r="F2" s="468"/>
      <c r="G2" s="468"/>
      <c r="H2" s="468"/>
      <c r="I2" s="468"/>
      <c r="J2" s="453"/>
    </row>
    <row r="3" spans="1:10" ht="66" customHeight="1">
      <c r="A3" s="100" t="s">
        <v>142</v>
      </c>
      <c r="B3" s="100" t="s">
        <v>38</v>
      </c>
      <c r="C3" s="100" t="s">
        <v>144</v>
      </c>
      <c r="D3" s="100" t="s">
        <v>145</v>
      </c>
      <c r="E3" s="100" t="s">
        <v>146</v>
      </c>
      <c r="F3" s="100" t="s">
        <v>147</v>
      </c>
      <c r="G3" s="100" t="s">
        <v>148</v>
      </c>
      <c r="H3" s="100" t="s">
        <v>1264</v>
      </c>
      <c r="I3" s="100" t="s">
        <v>1265</v>
      </c>
    </row>
    <row r="4" spans="1:10" ht="30" customHeight="1">
      <c r="A4" s="101" t="s">
        <v>42</v>
      </c>
      <c r="B4" s="100" t="s">
        <v>149</v>
      </c>
      <c r="C4" s="85">
        <f>'NOV-18 '!G61</f>
        <v>93514.06</v>
      </c>
      <c r="D4" s="353">
        <f>'NOV-18 '!J61</f>
        <v>25266.1</v>
      </c>
      <c r="E4" s="354"/>
      <c r="F4" s="354">
        <f>'NOV-18 '!K61</f>
        <v>34416.300000000003</v>
      </c>
      <c r="G4" s="85">
        <f t="shared" ref="G4:G20" si="0">C4+D4-F4</f>
        <v>84363.86</v>
      </c>
      <c r="H4" s="351">
        <f>'NOV-18 '!H61</f>
        <v>25836.570000000003</v>
      </c>
      <c r="I4" s="355">
        <f>G4-H4</f>
        <v>58527.289999999994</v>
      </c>
      <c r="J4" s="72"/>
    </row>
    <row r="5" spans="1:10" ht="30" customHeight="1">
      <c r="A5" s="101" t="s">
        <v>94</v>
      </c>
      <c r="B5" s="100" t="s">
        <v>149</v>
      </c>
      <c r="C5" s="88">
        <f>'NOV-18 '!G74</f>
        <v>8064.3200000000052</v>
      </c>
      <c r="D5" s="350">
        <f>'NOV-18 '!J74</f>
        <v>5057.9799999999996</v>
      </c>
      <c r="E5" s="89"/>
      <c r="F5" s="350">
        <f>'NOV-18 '!K74</f>
        <v>4000</v>
      </c>
      <c r="G5" s="85">
        <f t="shared" si="0"/>
        <v>9122.3000000000047</v>
      </c>
      <c r="H5" s="90">
        <f>'NOV-18 '!H74</f>
        <v>22.8</v>
      </c>
      <c r="I5" s="355">
        <f t="shared" ref="I5:I20" si="1">G5-H5</f>
        <v>9099.5000000000055</v>
      </c>
      <c r="J5" s="72"/>
    </row>
    <row r="6" spans="1:10" ht="30" customHeight="1">
      <c r="A6" s="101" t="s">
        <v>97</v>
      </c>
      <c r="B6" s="100" t="s">
        <v>149</v>
      </c>
      <c r="C6" s="90">
        <f>'NOV-18 '!G101</f>
        <v>31121.620000000006</v>
      </c>
      <c r="D6" s="350">
        <f>'NOV-18 '!J101</f>
        <v>21392.22</v>
      </c>
      <c r="E6" s="89"/>
      <c r="F6" s="350">
        <f>'NOV-18 '!K101</f>
        <v>13300</v>
      </c>
      <c r="G6" s="85">
        <f t="shared" si="0"/>
        <v>39213.840000000011</v>
      </c>
      <c r="H6" s="90">
        <f>'NOV-18 '!H101</f>
        <v>4441.6799999999994</v>
      </c>
      <c r="I6" s="355">
        <f t="shared" si="1"/>
        <v>34772.160000000011</v>
      </c>
      <c r="J6" s="72"/>
    </row>
    <row r="7" spans="1:10" ht="30" customHeight="1">
      <c r="A7" s="101"/>
      <c r="B7" s="100"/>
      <c r="C7" s="90"/>
      <c r="D7" s="350"/>
      <c r="E7" s="89"/>
      <c r="F7" s="350"/>
      <c r="G7" s="359">
        <f>SUM(G4:G6)</f>
        <v>132700</v>
      </c>
      <c r="H7" s="360">
        <f>SUM(H4:H6)</f>
        <v>30301.050000000003</v>
      </c>
      <c r="I7" s="361">
        <f>SUM(I4:I6)</f>
        <v>102398.95000000001</v>
      </c>
      <c r="J7" s="72"/>
    </row>
    <row r="8" spans="1:10" ht="30" customHeight="1">
      <c r="A8" s="101" t="s">
        <v>42</v>
      </c>
      <c r="B8" s="100" t="s">
        <v>150</v>
      </c>
      <c r="C8" s="90">
        <f>'NOV-18 '!G126</f>
        <v>32739.949999999968</v>
      </c>
      <c r="D8" s="350">
        <f>'NOV-18 '!J126</f>
        <v>9000</v>
      </c>
      <c r="E8" s="89"/>
      <c r="F8" s="350">
        <f>'NOV-18 '!K126</f>
        <v>5000</v>
      </c>
      <c r="G8" s="351">
        <f t="shared" si="0"/>
        <v>36739.949999999968</v>
      </c>
      <c r="H8" s="352">
        <f>'NOV-18 '!H126</f>
        <v>18449.09</v>
      </c>
      <c r="I8" s="355">
        <f t="shared" si="1"/>
        <v>18290.859999999968</v>
      </c>
      <c r="J8" s="72"/>
    </row>
    <row r="9" spans="1:10" ht="30" customHeight="1">
      <c r="A9" s="101" t="s">
        <v>94</v>
      </c>
      <c r="B9" s="100" t="s">
        <v>150</v>
      </c>
      <c r="C9" s="90">
        <f>'NOV-18 '!G138</f>
        <v>37659.910000000018</v>
      </c>
      <c r="D9" s="350">
        <f>'NOV-18 '!J138</f>
        <v>600</v>
      </c>
      <c r="E9" s="89"/>
      <c r="F9" s="350">
        <f>'NOV-18 '!K138</f>
        <v>4600</v>
      </c>
      <c r="G9" s="85">
        <f t="shared" si="0"/>
        <v>33659.910000000018</v>
      </c>
      <c r="H9" s="90">
        <f>'NOV-18 '!H138</f>
        <v>5828.57</v>
      </c>
      <c r="I9" s="355">
        <f t="shared" si="1"/>
        <v>27831.340000000018</v>
      </c>
      <c r="J9" s="72"/>
    </row>
    <row r="10" spans="1:10" ht="30" customHeight="1">
      <c r="A10" s="101" t="s">
        <v>97</v>
      </c>
      <c r="B10" s="100" t="s">
        <v>150</v>
      </c>
      <c r="C10" s="90">
        <f>'NOV-18 '!G151</f>
        <v>62279.980000000025</v>
      </c>
      <c r="D10" s="350">
        <f>'NOV-18 '!J151</f>
        <v>4500</v>
      </c>
      <c r="E10" s="89"/>
      <c r="F10" s="350">
        <f>'NOV-18 '!K151</f>
        <v>4500</v>
      </c>
      <c r="G10" s="351">
        <f t="shared" si="0"/>
        <v>62279.980000000025</v>
      </c>
      <c r="H10" s="352">
        <f>'NOV-18 '!H151</f>
        <v>22720.75</v>
      </c>
      <c r="I10" s="355">
        <f t="shared" si="1"/>
        <v>39559.230000000025</v>
      </c>
      <c r="J10" s="72"/>
    </row>
    <row r="11" spans="1:10" ht="30" customHeight="1">
      <c r="A11" s="101"/>
      <c r="B11" s="100"/>
      <c r="C11" s="90"/>
      <c r="D11" s="350"/>
      <c r="E11" s="89"/>
      <c r="F11" s="350"/>
      <c r="G11" s="362">
        <f>SUM(G8:G10)</f>
        <v>132679.84000000003</v>
      </c>
      <c r="H11" s="363">
        <f>SUM(H8:H10)</f>
        <v>46998.41</v>
      </c>
      <c r="I11" s="361">
        <f>SUM(I8:I10)</f>
        <v>85681.430000000008</v>
      </c>
      <c r="J11" s="72"/>
    </row>
    <row r="12" spans="1:10" ht="30" customHeight="1">
      <c r="A12" s="101" t="s">
        <v>1</v>
      </c>
      <c r="B12" s="100" t="s">
        <v>151</v>
      </c>
      <c r="C12" s="90">
        <f>'NOV-18 '!G159</f>
        <v>7899.1699999999992</v>
      </c>
      <c r="D12" s="350">
        <f>'NOV-18 '!J159</f>
        <v>3000</v>
      </c>
      <c r="E12" s="89"/>
      <c r="F12" s="350">
        <f>'NOV-18 '!K159</f>
        <v>3000</v>
      </c>
      <c r="G12" s="85">
        <f t="shared" si="0"/>
        <v>7899.1699999999983</v>
      </c>
      <c r="H12" s="90">
        <f>'OCT-18'!H159</f>
        <v>0</v>
      </c>
      <c r="I12" s="109">
        <f t="shared" si="1"/>
        <v>7899.1699999999983</v>
      </c>
      <c r="J12" s="72"/>
    </row>
    <row r="13" spans="1:10" ht="30" customHeight="1">
      <c r="A13" s="101" t="s">
        <v>11</v>
      </c>
      <c r="B13" s="100" t="s">
        <v>151</v>
      </c>
      <c r="C13" s="90">
        <f>'NOV-18 '!G466</f>
        <v>431726.04000000015</v>
      </c>
      <c r="D13" s="350">
        <f>'NOV-18 '!J466</f>
        <v>114282.21</v>
      </c>
      <c r="E13" s="89"/>
      <c r="F13" s="350">
        <f>'NOV-18 '!K466</f>
        <v>175297.96</v>
      </c>
      <c r="G13" s="351">
        <f>C13+D13-F13</f>
        <v>370710.29000000015</v>
      </c>
      <c r="H13" s="352">
        <f>'NOV-18 '!H466</f>
        <v>104295.51999999996</v>
      </c>
      <c r="I13" s="355">
        <f>G13-H13</f>
        <v>266414.77000000019</v>
      </c>
      <c r="J13" s="72"/>
    </row>
    <row r="14" spans="1:10" ht="30" customHeight="1">
      <c r="A14" s="101" t="s">
        <v>18</v>
      </c>
      <c r="B14" s="100" t="s">
        <v>151</v>
      </c>
      <c r="C14" s="90">
        <f>'NOV-18 '!G850</f>
        <v>507254.85999999993</v>
      </c>
      <c r="D14" s="350">
        <f>'NOV-18 '!J850</f>
        <v>67969.97</v>
      </c>
      <c r="E14" s="89"/>
      <c r="F14" s="350">
        <f>'NOV-18 '!K850</f>
        <v>6954.22</v>
      </c>
      <c r="G14" s="351">
        <f t="shared" si="0"/>
        <v>568270.61</v>
      </c>
      <c r="H14" s="90">
        <f>'NOV-18 '!H850</f>
        <v>20867.780000000002</v>
      </c>
      <c r="I14" s="355">
        <f t="shared" si="1"/>
        <v>547402.82999999996</v>
      </c>
      <c r="J14" s="72"/>
    </row>
    <row r="15" spans="1:10" ht="24.75" customHeight="1">
      <c r="A15" s="101"/>
      <c r="B15" s="100"/>
      <c r="C15" s="90"/>
      <c r="D15" s="350"/>
      <c r="E15" s="89"/>
      <c r="F15" s="350"/>
      <c r="G15" s="362">
        <f>SUM(G12:G14)</f>
        <v>946880.07000000007</v>
      </c>
      <c r="H15" s="364">
        <f>SUM(H12:H14)</f>
        <v>125163.29999999996</v>
      </c>
      <c r="I15" s="361">
        <f>SUM(I12:I14)</f>
        <v>821716.77000000014</v>
      </c>
      <c r="J15" s="72"/>
    </row>
    <row r="16" spans="1:10" ht="26.25" customHeight="1">
      <c r="A16" s="101" t="s">
        <v>20</v>
      </c>
      <c r="B16" s="100" t="s">
        <v>156</v>
      </c>
      <c r="C16" s="90">
        <f>'ABRIL-18'!G776</f>
        <v>0</v>
      </c>
      <c r="D16" s="89">
        <v>0</v>
      </c>
      <c r="E16" s="89"/>
      <c r="F16" s="89"/>
      <c r="G16" s="85">
        <f t="shared" si="0"/>
        <v>0</v>
      </c>
      <c r="H16" s="91">
        <f>' MARZO-18-1'!H767</f>
        <v>0</v>
      </c>
      <c r="I16" s="109">
        <f t="shared" si="1"/>
        <v>0</v>
      </c>
      <c r="J16" s="72"/>
    </row>
    <row r="17" spans="1:10" ht="35.25" customHeight="1">
      <c r="A17" s="101" t="s">
        <v>22</v>
      </c>
      <c r="B17" s="100" t="s">
        <v>157</v>
      </c>
      <c r="C17" s="91">
        <f>'OCT-18'!G831</f>
        <v>0</v>
      </c>
      <c r="D17" s="92">
        <v>0</v>
      </c>
      <c r="E17" s="92"/>
      <c r="F17" s="92">
        <f>'OCT-18'!K831</f>
        <v>0</v>
      </c>
      <c r="G17" s="93">
        <f t="shared" si="0"/>
        <v>0</v>
      </c>
      <c r="H17" s="91"/>
      <c r="I17" s="109">
        <f t="shared" si="1"/>
        <v>0</v>
      </c>
      <c r="J17" s="72"/>
    </row>
    <row r="18" spans="1:10" ht="26.25" customHeight="1">
      <c r="A18" s="102" t="s">
        <v>11</v>
      </c>
      <c r="B18" s="103" t="s">
        <v>997</v>
      </c>
      <c r="C18" s="96">
        <f>'NOV-18 '!G895</f>
        <v>42117.439999999995</v>
      </c>
      <c r="D18" s="454">
        <f>'NOV-18 '!J895</f>
        <v>25000</v>
      </c>
      <c r="E18" s="97"/>
      <c r="F18" s="454">
        <f>'NOV-18 '!K895</f>
        <v>25000</v>
      </c>
      <c r="G18" s="356">
        <f t="shared" si="0"/>
        <v>42117.440000000002</v>
      </c>
      <c r="H18" s="357">
        <f>'NOV-18 '!H895</f>
        <v>25051.58</v>
      </c>
      <c r="I18" s="356">
        <f t="shared" si="1"/>
        <v>17065.86</v>
      </c>
      <c r="J18" s="72"/>
    </row>
    <row r="19" spans="1:10" ht="16.5" customHeight="1">
      <c r="A19" s="236" t="s">
        <v>18</v>
      </c>
      <c r="B19" s="100" t="s">
        <v>994</v>
      </c>
      <c r="C19" s="96">
        <f>'MAYO-18 '!G831</f>
        <v>0</v>
      </c>
      <c r="D19" s="97"/>
      <c r="E19" s="97"/>
      <c r="F19" s="97">
        <v>0</v>
      </c>
      <c r="G19" s="98">
        <f t="shared" si="0"/>
        <v>0</v>
      </c>
      <c r="H19" s="96"/>
      <c r="I19" s="98">
        <f t="shared" si="1"/>
        <v>0</v>
      </c>
      <c r="J19" s="72"/>
    </row>
    <row r="20" spans="1:10" ht="30" customHeight="1" thickBot="1">
      <c r="A20" s="236" t="s">
        <v>18</v>
      </c>
      <c r="B20" s="247" t="s">
        <v>1076</v>
      </c>
      <c r="C20" s="96">
        <f>'OCT-18'!G874</f>
        <v>0</v>
      </c>
      <c r="D20" s="97">
        <v>0</v>
      </c>
      <c r="E20" s="97"/>
      <c r="F20" s="97">
        <f>'OCT-18'!K874</f>
        <v>0</v>
      </c>
      <c r="G20" s="98">
        <f t="shared" si="0"/>
        <v>0</v>
      </c>
      <c r="H20" s="96"/>
      <c r="I20" s="98">
        <f t="shared" si="1"/>
        <v>0</v>
      </c>
      <c r="J20" s="72"/>
    </row>
    <row r="21" spans="1:10" ht="24" thickBot="1">
      <c r="A21" s="110" t="s">
        <v>153</v>
      </c>
      <c r="B21" s="110"/>
      <c r="C21" s="111">
        <f>SUM(C4:C20)</f>
        <v>1254377.3500000001</v>
      </c>
      <c r="D21" s="111">
        <f>SUM(D4:D20)</f>
        <v>276068.47999999998</v>
      </c>
      <c r="E21" s="111">
        <f>SUM(E4:E20)</f>
        <v>0</v>
      </c>
      <c r="F21" s="111">
        <f>SUM(F4:F20)</f>
        <v>276068.47999999998</v>
      </c>
      <c r="G21" s="111">
        <f>G7+G11+G15+G17+G18+G20</f>
        <v>1254377.3500000001</v>
      </c>
      <c r="H21" s="111">
        <f>H7+H11+H15+H18</f>
        <v>227514.33999999997</v>
      </c>
      <c r="I21" s="111">
        <f>I7+I11+I15+I17+I18+I20</f>
        <v>1026863.0100000001</v>
      </c>
      <c r="J21" s="72"/>
    </row>
    <row r="22" spans="1:10" ht="15.75" thickBot="1">
      <c r="A22" s="73" t="s">
        <v>154</v>
      </c>
      <c r="B22" s="74"/>
      <c r="C22" s="79">
        <f ca="1">TODAY()</f>
        <v>43586</v>
      </c>
      <c r="D22" s="80"/>
      <c r="E22" s="81">
        <f>D21-F21</f>
        <v>0</v>
      </c>
      <c r="F22" s="80"/>
      <c r="G22" s="80"/>
      <c r="H22" s="80"/>
      <c r="I22" s="80"/>
      <c r="J22" s="72"/>
    </row>
    <row r="23" spans="1:10" ht="24.75">
      <c r="A23" s="83"/>
      <c r="B23" s="84"/>
      <c r="C23" s="84"/>
      <c r="D23" s="84"/>
      <c r="E23" s="263">
        <f>9000+9000</f>
        <v>18000</v>
      </c>
      <c r="F23" s="80" t="s">
        <v>1033</v>
      </c>
      <c r="G23" s="80">
        <v>0</v>
      </c>
      <c r="H23" s="80"/>
    </row>
    <row r="24" spans="1:10">
      <c r="A24" s="83"/>
      <c r="B24" s="84"/>
      <c r="C24" s="84"/>
      <c r="D24" s="84"/>
      <c r="E24" s="264">
        <v>4500</v>
      </c>
      <c r="F24" s="80" t="s">
        <v>1032</v>
      </c>
      <c r="G24" s="80"/>
      <c r="H24" s="80"/>
    </row>
    <row r="25" spans="1:10">
      <c r="A25" s="83"/>
      <c r="B25" s="84"/>
      <c r="C25" s="84"/>
      <c r="D25" s="84"/>
      <c r="F25" s="80"/>
      <c r="G25" s="80"/>
      <c r="H25" s="80"/>
    </row>
    <row r="26" spans="1:10">
      <c r="A26" s="83"/>
      <c r="B26" s="84"/>
      <c r="C26" s="84"/>
      <c r="D26" s="84"/>
    </row>
  </sheetData>
  <mergeCells count="2">
    <mergeCell ref="A1:J1"/>
    <mergeCell ref="A2:I2"/>
  </mergeCells>
  <pageMargins left="0.19685039370078741" right="0.19685039370078741" top="0.35433070866141736" bottom="0.31496062992125984" header="0.31496062992125984" footer="0.31496062992125984"/>
  <pageSetup paperSize="5" scale="82" orientation="landscape" horizontalDpi="4294967293" vertic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P907"/>
  <sheetViews>
    <sheetView topLeftCell="A894" zoomScale="86" zoomScaleNormal="86" workbookViewId="0">
      <selection activeCell="C880" sqref="C880"/>
    </sheetView>
  </sheetViews>
  <sheetFormatPr baseColWidth="10" defaultRowHeight="15"/>
  <cols>
    <col min="1" max="1" width="9" customWidth="1"/>
    <col min="2" max="2" width="62" customWidth="1"/>
    <col min="3" max="3" width="18.7109375" customWidth="1"/>
    <col min="4" max="4" width="10.28515625" customWidth="1"/>
    <col min="5" max="5" width="10.85546875" customWidth="1"/>
    <col min="6" max="6" width="15.42578125" customWidth="1"/>
    <col min="7" max="7" width="15.7109375" customWidth="1"/>
    <col min="8" max="8" width="14.42578125" customWidth="1"/>
    <col min="9" max="9" width="17" customWidth="1"/>
    <col min="10" max="10" width="13.42578125" customWidth="1"/>
    <col min="11" max="11" width="14.7109375" customWidth="1"/>
  </cols>
  <sheetData>
    <row r="1" spans="1:11" ht="36.75">
      <c r="A1" s="15"/>
      <c r="B1" s="467" t="s">
        <v>33</v>
      </c>
      <c r="C1" s="467"/>
      <c r="D1" s="467"/>
      <c r="E1" s="467"/>
      <c r="F1" s="467"/>
      <c r="G1" s="467"/>
      <c r="H1" s="467"/>
      <c r="I1" s="467"/>
      <c r="J1" s="467"/>
      <c r="K1" s="467"/>
    </row>
    <row r="2" spans="1:11" ht="36.75">
      <c r="A2" s="16"/>
      <c r="B2" s="468" t="s">
        <v>1266</v>
      </c>
      <c r="C2" s="468"/>
      <c r="D2" s="468"/>
      <c r="E2" s="468"/>
      <c r="F2" s="468"/>
      <c r="G2" s="468"/>
      <c r="H2" s="468"/>
      <c r="I2" s="468"/>
      <c r="J2" s="468"/>
      <c r="K2" s="455"/>
    </row>
    <row r="3" spans="1:11" ht="53.25" customHeight="1">
      <c r="A3" s="41" t="s">
        <v>8</v>
      </c>
      <c r="B3" s="41" t="s">
        <v>34</v>
      </c>
      <c r="C3" s="41" t="s">
        <v>35</v>
      </c>
      <c r="D3" s="41" t="s">
        <v>36</v>
      </c>
      <c r="E3" s="41" t="s">
        <v>37</v>
      </c>
      <c r="F3" s="41" t="s">
        <v>38</v>
      </c>
      <c r="G3" s="42" t="s">
        <v>39</v>
      </c>
      <c r="H3" s="42" t="s">
        <v>1267</v>
      </c>
      <c r="I3" s="42" t="s">
        <v>1268</v>
      </c>
      <c r="J3" s="42" t="s">
        <v>40</v>
      </c>
      <c r="K3" s="42" t="s">
        <v>41</v>
      </c>
    </row>
    <row r="4" spans="1:11" ht="41.25" customHeight="1">
      <c r="A4" s="308">
        <v>51101</v>
      </c>
      <c r="B4" s="306" t="s">
        <v>1110</v>
      </c>
      <c r="C4" s="304"/>
      <c r="D4" s="3" t="s">
        <v>42</v>
      </c>
      <c r="E4" s="3" t="s">
        <v>29</v>
      </c>
      <c r="F4" s="3" t="s">
        <v>43</v>
      </c>
      <c r="G4" s="305">
        <f>'NOV-18 '!I4</f>
        <v>51.989999999999782</v>
      </c>
      <c r="H4" s="341"/>
      <c r="I4" s="17">
        <f>G4-H4+J4-K4</f>
        <v>51.989999999999782</v>
      </c>
      <c r="J4" s="342"/>
      <c r="K4" s="394"/>
    </row>
    <row r="5" spans="1:11">
      <c r="A5" s="4">
        <v>51103</v>
      </c>
      <c r="B5" s="7" t="s">
        <v>164</v>
      </c>
      <c r="C5" s="2"/>
      <c r="D5" s="3" t="s">
        <v>42</v>
      </c>
      <c r="E5" s="3" t="s">
        <v>29</v>
      </c>
      <c r="F5" s="3" t="s">
        <v>43</v>
      </c>
      <c r="G5" s="305">
        <f>'NOV-18 '!I5</f>
        <v>7537.05</v>
      </c>
      <c r="H5" s="51">
        <v>7537.05</v>
      </c>
      <c r="I5" s="17">
        <f>G5-H5+J5-K5</f>
        <v>0</v>
      </c>
      <c r="J5" s="18"/>
      <c r="K5" s="18"/>
    </row>
    <row r="6" spans="1:11">
      <c r="A6" s="4">
        <v>51105</v>
      </c>
      <c r="B6" s="7" t="s">
        <v>125</v>
      </c>
      <c r="C6" s="2"/>
      <c r="D6" s="3" t="s">
        <v>42</v>
      </c>
      <c r="E6" s="3" t="s">
        <v>29</v>
      </c>
      <c r="F6" s="3" t="s">
        <v>43</v>
      </c>
      <c r="G6" s="305">
        <f>'NOV-18 '!I6</f>
        <v>343.20000000000164</v>
      </c>
      <c r="H6" s="372"/>
      <c r="I6" s="17">
        <f>G6-H6+J6-K6</f>
        <v>343.20000000000164</v>
      </c>
      <c r="J6" s="18"/>
      <c r="K6" s="18"/>
    </row>
    <row r="7" spans="1:11">
      <c r="A7" s="4">
        <v>51107</v>
      </c>
      <c r="B7" s="7" t="s">
        <v>167</v>
      </c>
      <c r="C7" s="2"/>
      <c r="D7" s="3" t="s">
        <v>42</v>
      </c>
      <c r="E7" s="3" t="s">
        <v>29</v>
      </c>
      <c r="F7" s="3" t="s">
        <v>43</v>
      </c>
      <c r="G7" s="305">
        <f>'NOV-18 '!I7</f>
        <v>7713.67</v>
      </c>
      <c r="H7" s="51">
        <f>500+6600</f>
        <v>7100</v>
      </c>
      <c r="I7" s="416">
        <f t="shared" ref="I7:I71" si="0">G7-H7+J7-K7</f>
        <v>613.67000000000007</v>
      </c>
      <c r="J7" s="18"/>
      <c r="K7" s="18"/>
    </row>
    <row r="8" spans="1:11">
      <c r="A8" s="4">
        <v>51201</v>
      </c>
      <c r="B8" s="7" t="s">
        <v>44</v>
      </c>
      <c r="C8" s="2"/>
      <c r="D8" s="3" t="s">
        <v>42</v>
      </c>
      <c r="E8" s="3" t="s">
        <v>29</v>
      </c>
      <c r="F8" s="3" t="s">
        <v>43</v>
      </c>
      <c r="G8" s="305">
        <f>'NOV-18 '!I8</f>
        <v>938.02</v>
      </c>
      <c r="H8" s="369"/>
      <c r="I8" s="17">
        <f t="shared" si="0"/>
        <v>938.02</v>
      </c>
      <c r="J8" s="23"/>
      <c r="K8" s="18"/>
    </row>
    <row r="9" spans="1:11" ht="36.75" customHeight="1">
      <c r="A9" s="4">
        <v>51401</v>
      </c>
      <c r="B9" s="5" t="s">
        <v>128</v>
      </c>
      <c r="C9" s="2"/>
      <c r="D9" s="3" t="s">
        <v>42</v>
      </c>
      <c r="E9" s="3" t="s">
        <v>29</v>
      </c>
      <c r="F9" s="3" t="s">
        <v>43</v>
      </c>
      <c r="G9" s="305">
        <f>'NOV-18 '!I9</f>
        <v>744.17999999999984</v>
      </c>
      <c r="H9" s="108">
        <f>386.15</f>
        <v>386.15</v>
      </c>
      <c r="I9" s="17">
        <f t="shared" si="0"/>
        <v>358.02999999999986</v>
      </c>
      <c r="J9" s="20"/>
      <c r="K9" s="18"/>
    </row>
    <row r="10" spans="1:11" ht="42" customHeight="1">
      <c r="A10" s="4">
        <v>51501</v>
      </c>
      <c r="B10" s="5" t="s">
        <v>168</v>
      </c>
      <c r="C10" s="47"/>
      <c r="D10" s="3" t="s">
        <v>42</v>
      </c>
      <c r="E10" s="3" t="s">
        <v>29</v>
      </c>
      <c r="F10" s="3" t="s">
        <v>43</v>
      </c>
      <c r="G10" s="305">
        <f>'NOV-18 '!I10</f>
        <v>329.7800000000002</v>
      </c>
      <c r="H10" s="51"/>
      <c r="I10" s="17">
        <f t="shared" si="0"/>
        <v>329.7800000000002</v>
      </c>
      <c r="J10" s="21"/>
      <c r="K10" s="18"/>
    </row>
    <row r="11" spans="1:11" ht="25.5">
      <c r="A11" s="4">
        <v>51701</v>
      </c>
      <c r="B11" s="7" t="s">
        <v>126</v>
      </c>
      <c r="C11" s="2"/>
      <c r="D11" s="3" t="s">
        <v>42</v>
      </c>
      <c r="E11" s="3" t="s">
        <v>29</v>
      </c>
      <c r="F11" s="3" t="s">
        <v>43</v>
      </c>
      <c r="G11" s="305">
        <f>'NOV-18 '!I11</f>
        <v>146.81000000000677</v>
      </c>
      <c r="H11" s="51"/>
      <c r="I11" s="17">
        <f t="shared" si="0"/>
        <v>146.81000000000677</v>
      </c>
      <c r="J11" s="22"/>
      <c r="K11" s="18"/>
    </row>
    <row r="12" spans="1:11" ht="25.5">
      <c r="A12" s="4">
        <v>51601</v>
      </c>
      <c r="B12" s="7" t="s">
        <v>129</v>
      </c>
      <c r="C12" s="2"/>
      <c r="D12" s="3" t="s">
        <v>42</v>
      </c>
      <c r="E12" s="3" t="s">
        <v>29</v>
      </c>
      <c r="F12" s="3" t="s">
        <v>43</v>
      </c>
      <c r="G12" s="305">
        <f>'NOV-18 '!I12</f>
        <v>1500</v>
      </c>
      <c r="H12" s="51">
        <v>1500</v>
      </c>
      <c r="I12" s="17">
        <f t="shared" si="0"/>
        <v>0</v>
      </c>
      <c r="J12" s="21"/>
      <c r="K12" s="18"/>
    </row>
    <row r="13" spans="1:11">
      <c r="A13" s="4">
        <v>51602</v>
      </c>
      <c r="B13" s="2" t="s">
        <v>46</v>
      </c>
      <c r="C13" s="2"/>
      <c r="D13" s="3" t="s">
        <v>42</v>
      </c>
      <c r="E13" s="3" t="s">
        <v>29</v>
      </c>
      <c r="F13" s="3" t="s">
        <v>43</v>
      </c>
      <c r="G13" s="305">
        <f>'NOV-18 '!I13</f>
        <v>1</v>
      </c>
      <c r="H13" s="51"/>
      <c r="I13" s="17">
        <f t="shared" si="0"/>
        <v>1</v>
      </c>
      <c r="J13" s="20"/>
      <c r="K13" s="18"/>
    </row>
    <row r="14" spans="1:11">
      <c r="A14" s="4">
        <v>51999</v>
      </c>
      <c r="B14" s="2" t="s">
        <v>47</v>
      </c>
      <c r="C14" s="2"/>
      <c r="D14" s="3" t="s">
        <v>42</v>
      </c>
      <c r="E14" s="3" t="s">
        <v>29</v>
      </c>
      <c r="F14" s="3" t="s">
        <v>43</v>
      </c>
      <c r="G14" s="305">
        <f>'NOV-18 '!I14</f>
        <v>1095.8800000000006</v>
      </c>
      <c r="H14" s="51">
        <f>55.56+138.88+180+138.88+400+24</f>
        <v>937.31999999999994</v>
      </c>
      <c r="I14" s="17">
        <f t="shared" si="0"/>
        <v>158.56000000000063</v>
      </c>
      <c r="J14" s="405"/>
      <c r="K14" s="18"/>
    </row>
    <row r="15" spans="1:11" ht="45" customHeight="1">
      <c r="A15" s="4">
        <v>54101</v>
      </c>
      <c r="B15" s="5" t="s">
        <v>48</v>
      </c>
      <c r="C15" s="2"/>
      <c r="D15" s="3" t="s">
        <v>42</v>
      </c>
      <c r="E15" s="3" t="s">
        <v>29</v>
      </c>
      <c r="F15" s="3" t="s">
        <v>43</v>
      </c>
      <c r="G15" s="305">
        <f>'NOV-18 '!I15</f>
        <v>6568.26</v>
      </c>
      <c r="H15" s="108">
        <f>84+196+75+55.8+281.25+166.7+45+128+108+53.4+40+47.25+220+196.2+11.5+12.45+25.75+20.15+9+9+16.75+24+3.99+11.15+8.25+15.24+27+372+10+8+210+36+90+44+8.35+8.5</f>
        <v>2677.6800000000003</v>
      </c>
      <c r="I15" s="17">
        <f t="shared" si="0"/>
        <v>3890.58</v>
      </c>
      <c r="J15" s="315"/>
      <c r="K15" s="18"/>
    </row>
    <row r="16" spans="1:11" ht="26.25">
      <c r="A16" s="4">
        <v>54104</v>
      </c>
      <c r="B16" s="5" t="s">
        <v>130</v>
      </c>
      <c r="C16" s="2"/>
      <c r="D16" s="3" t="s">
        <v>42</v>
      </c>
      <c r="E16" s="3" t="s">
        <v>29</v>
      </c>
      <c r="F16" s="3" t="s">
        <v>43</v>
      </c>
      <c r="G16" s="305">
        <f>'NOV-18 '!I16</f>
        <v>195.09999999999991</v>
      </c>
      <c r="H16" s="51"/>
      <c r="I16" s="17">
        <f t="shared" si="0"/>
        <v>195.09999999999991</v>
      </c>
      <c r="J16" s="21"/>
      <c r="K16" s="18"/>
    </row>
    <row r="17" spans="1:11">
      <c r="A17" s="4">
        <v>54105</v>
      </c>
      <c r="B17" s="2" t="s">
        <v>49</v>
      </c>
      <c r="C17" s="2"/>
      <c r="D17" s="3" t="s">
        <v>42</v>
      </c>
      <c r="E17" s="3" t="s">
        <v>29</v>
      </c>
      <c r="F17" s="3" t="s">
        <v>43</v>
      </c>
      <c r="G17" s="305">
        <f>'NOV-18 '!I17</f>
        <v>17.699999999999989</v>
      </c>
      <c r="H17" s="51"/>
      <c r="I17" s="17">
        <f t="shared" si="0"/>
        <v>17.699999999999989</v>
      </c>
      <c r="J17" s="20"/>
      <c r="K17" s="18"/>
    </row>
    <row r="18" spans="1:11">
      <c r="A18" s="4">
        <v>54107</v>
      </c>
      <c r="B18" s="2" t="s">
        <v>50</v>
      </c>
      <c r="C18" s="2"/>
      <c r="D18" s="3" t="s">
        <v>42</v>
      </c>
      <c r="E18" s="3" t="s">
        <v>29</v>
      </c>
      <c r="F18" s="3" t="s">
        <v>43</v>
      </c>
      <c r="G18" s="305">
        <f>'NOV-18 '!I18</f>
        <v>7</v>
      </c>
      <c r="H18" s="51"/>
      <c r="I18" s="17">
        <f t="shared" si="0"/>
        <v>7</v>
      </c>
      <c r="J18" s="22"/>
      <c r="K18" s="18"/>
    </row>
    <row r="19" spans="1:11">
      <c r="A19" s="4">
        <v>54108</v>
      </c>
      <c r="B19" s="2" t="s">
        <v>51</v>
      </c>
      <c r="C19" s="2"/>
      <c r="D19" s="3" t="s">
        <v>42</v>
      </c>
      <c r="E19" s="3" t="s">
        <v>29</v>
      </c>
      <c r="F19" s="3" t="s">
        <v>43</v>
      </c>
      <c r="G19" s="305">
        <f>'NOV-18 '!I19</f>
        <v>0</v>
      </c>
      <c r="H19" s="51"/>
      <c r="I19" s="17">
        <f t="shared" si="0"/>
        <v>0</v>
      </c>
      <c r="J19" s="20"/>
      <c r="K19" s="18"/>
    </row>
    <row r="20" spans="1:11">
      <c r="A20" s="4">
        <v>54109</v>
      </c>
      <c r="B20" s="2" t="s">
        <v>131</v>
      </c>
      <c r="C20" s="2"/>
      <c r="D20" s="3" t="s">
        <v>42</v>
      </c>
      <c r="E20" s="3" t="s">
        <v>29</v>
      </c>
      <c r="F20" s="3" t="s">
        <v>43</v>
      </c>
      <c r="G20" s="305">
        <f>'NOV-18 '!I20</f>
        <v>0</v>
      </c>
      <c r="H20" s="51"/>
      <c r="I20" s="17">
        <f t="shared" si="0"/>
        <v>0</v>
      </c>
      <c r="J20" s="20"/>
      <c r="K20" s="18"/>
    </row>
    <row r="21" spans="1:11">
      <c r="A21" s="4">
        <v>54110</v>
      </c>
      <c r="B21" s="2" t="s">
        <v>132</v>
      </c>
      <c r="C21" s="2"/>
      <c r="D21" s="3" t="s">
        <v>42</v>
      </c>
      <c r="E21" s="3" t="s">
        <v>29</v>
      </c>
      <c r="F21" s="3" t="s">
        <v>43</v>
      </c>
      <c r="G21" s="305">
        <f>'NOV-18 '!I21</f>
        <v>4987.6400000000012</v>
      </c>
      <c r="H21" s="51"/>
      <c r="I21" s="17">
        <f t="shared" si="0"/>
        <v>4987.6400000000012</v>
      </c>
      <c r="J21" s="24"/>
      <c r="K21" s="18"/>
    </row>
    <row r="22" spans="1:11" ht="30.75" customHeight="1">
      <c r="A22" s="4">
        <v>54111</v>
      </c>
      <c r="B22" s="5" t="s">
        <v>54</v>
      </c>
      <c r="C22" s="2"/>
      <c r="D22" s="3" t="s">
        <v>42</v>
      </c>
      <c r="E22" s="3" t="s">
        <v>29</v>
      </c>
      <c r="F22" s="3" t="s">
        <v>43</v>
      </c>
      <c r="G22" s="305">
        <f>'NOV-18 '!I22</f>
        <v>343.55000000000018</v>
      </c>
      <c r="H22" s="51"/>
      <c r="I22" s="416">
        <f t="shared" si="0"/>
        <v>343.55000000000018</v>
      </c>
      <c r="J22" s="23"/>
      <c r="K22" s="18"/>
    </row>
    <row r="23" spans="1:11" ht="42.75" customHeight="1">
      <c r="A23" s="4">
        <v>54112</v>
      </c>
      <c r="B23" s="5" t="s">
        <v>55</v>
      </c>
      <c r="C23" s="2"/>
      <c r="D23" s="3" t="s">
        <v>42</v>
      </c>
      <c r="E23" s="3" t="s">
        <v>29</v>
      </c>
      <c r="F23" s="3" t="s">
        <v>43</v>
      </c>
      <c r="G23" s="305">
        <f>'NOV-18 '!I23</f>
        <v>500</v>
      </c>
      <c r="H23" s="51"/>
      <c r="I23" s="17">
        <f t="shared" si="0"/>
        <v>500</v>
      </c>
      <c r="J23" s="21"/>
      <c r="K23" s="18"/>
    </row>
    <row r="24" spans="1:11">
      <c r="A24" s="4">
        <v>54114</v>
      </c>
      <c r="B24" s="2" t="s">
        <v>56</v>
      </c>
      <c r="C24" s="2"/>
      <c r="D24" s="3" t="s">
        <v>42</v>
      </c>
      <c r="E24" s="3" t="s">
        <v>29</v>
      </c>
      <c r="F24" s="3" t="s">
        <v>43</v>
      </c>
      <c r="G24" s="305">
        <f>'NOV-18 '!I24</f>
        <v>352.05999999999995</v>
      </c>
      <c r="H24" s="51"/>
      <c r="I24" s="17">
        <f t="shared" si="0"/>
        <v>352.05999999999995</v>
      </c>
      <c r="J24" s="20"/>
      <c r="K24" s="18"/>
    </row>
    <row r="25" spans="1:11">
      <c r="A25" s="4">
        <v>54115</v>
      </c>
      <c r="B25" s="2" t="s">
        <v>57</v>
      </c>
      <c r="C25" s="2"/>
      <c r="D25" s="3" t="s">
        <v>42</v>
      </c>
      <c r="E25" s="3" t="s">
        <v>29</v>
      </c>
      <c r="F25" s="3" t="s">
        <v>43</v>
      </c>
      <c r="G25" s="305">
        <f>'NOV-18 '!I25</f>
        <v>87.019999999999982</v>
      </c>
      <c r="H25" s="51"/>
      <c r="I25" s="17">
        <f t="shared" si="0"/>
        <v>87.019999999999982</v>
      </c>
      <c r="J25" s="20"/>
      <c r="K25" s="18"/>
    </row>
    <row r="26" spans="1:11" ht="30">
      <c r="A26" s="4">
        <v>54116</v>
      </c>
      <c r="B26" s="5" t="s">
        <v>58</v>
      </c>
      <c r="C26" s="2"/>
      <c r="D26" s="3" t="s">
        <v>42</v>
      </c>
      <c r="E26" s="3" t="s">
        <v>29</v>
      </c>
      <c r="F26" s="3" t="s">
        <v>43</v>
      </c>
      <c r="G26" s="305">
        <f>'NOV-18 '!I26</f>
        <v>160</v>
      </c>
      <c r="H26" s="51"/>
      <c r="I26" s="17">
        <f t="shared" si="0"/>
        <v>160</v>
      </c>
      <c r="J26" s="20"/>
      <c r="K26" s="18"/>
    </row>
    <row r="27" spans="1:11">
      <c r="A27" s="4">
        <v>54117</v>
      </c>
      <c r="B27" s="25" t="s">
        <v>12</v>
      </c>
      <c r="C27" s="25"/>
      <c r="D27" s="3" t="s">
        <v>42</v>
      </c>
      <c r="E27" s="3" t="s">
        <v>29</v>
      </c>
      <c r="F27" s="3" t="s">
        <v>43</v>
      </c>
      <c r="G27" s="305">
        <f>'NOV-18 '!I27</f>
        <v>0</v>
      </c>
      <c r="H27" s="51"/>
      <c r="I27" s="17">
        <f t="shared" si="0"/>
        <v>0</v>
      </c>
      <c r="J27" s="20"/>
      <c r="K27" s="18"/>
    </row>
    <row r="28" spans="1:11">
      <c r="A28" s="4">
        <v>54118</v>
      </c>
      <c r="B28" s="2" t="s">
        <v>59</v>
      </c>
      <c r="C28" s="2"/>
      <c r="D28" s="3" t="s">
        <v>42</v>
      </c>
      <c r="E28" s="3" t="s">
        <v>29</v>
      </c>
      <c r="F28" s="3" t="s">
        <v>43</v>
      </c>
      <c r="G28" s="305">
        <f>'NOV-18 '!I28</f>
        <v>62</v>
      </c>
      <c r="H28" s="51"/>
      <c r="I28" s="17">
        <f t="shared" si="0"/>
        <v>62</v>
      </c>
      <c r="J28" s="23"/>
      <c r="K28" s="18"/>
    </row>
    <row r="29" spans="1:11">
      <c r="A29" s="4">
        <v>54119</v>
      </c>
      <c r="B29" s="2" t="s">
        <v>60</v>
      </c>
      <c r="C29" s="2"/>
      <c r="D29" s="3" t="s">
        <v>42</v>
      </c>
      <c r="E29" s="3" t="s">
        <v>29</v>
      </c>
      <c r="F29" s="3" t="s">
        <v>43</v>
      </c>
      <c r="G29" s="305">
        <f>'NOV-18 '!I29</f>
        <v>0</v>
      </c>
      <c r="H29" s="51"/>
      <c r="I29" s="17">
        <f t="shared" si="0"/>
        <v>0</v>
      </c>
      <c r="J29" s="21"/>
      <c r="K29" s="18"/>
    </row>
    <row r="30" spans="1:11">
      <c r="A30" s="4">
        <v>54199</v>
      </c>
      <c r="B30" s="2" t="s">
        <v>61</v>
      </c>
      <c r="C30" s="2"/>
      <c r="D30" s="3" t="s">
        <v>42</v>
      </c>
      <c r="E30" s="3" t="s">
        <v>29</v>
      </c>
      <c r="F30" s="3" t="s">
        <v>43</v>
      </c>
      <c r="G30" s="305">
        <f>'NOV-18 '!I30</f>
        <v>1003.8500000000001</v>
      </c>
      <c r="H30" s="108">
        <f>18.4+12.5</f>
        <v>30.9</v>
      </c>
      <c r="I30" s="17">
        <f t="shared" si="0"/>
        <v>972.95000000000016</v>
      </c>
      <c r="J30" s="21"/>
      <c r="K30" s="18"/>
    </row>
    <row r="31" spans="1:11">
      <c r="A31" s="4">
        <v>54201</v>
      </c>
      <c r="B31" s="2" t="s">
        <v>62</v>
      </c>
      <c r="C31" s="2"/>
      <c r="D31" s="3" t="s">
        <v>42</v>
      </c>
      <c r="E31" s="3" t="s">
        <v>29</v>
      </c>
      <c r="F31" s="3" t="s">
        <v>43</v>
      </c>
      <c r="G31" s="305">
        <f>'NOV-18 '!I31</f>
        <v>2483.3400000000011</v>
      </c>
      <c r="H31" s="51"/>
      <c r="I31" s="17">
        <f t="shared" si="0"/>
        <v>1483.3400000000011</v>
      </c>
      <c r="J31" s="20"/>
      <c r="K31" s="18">
        <v>1000</v>
      </c>
    </row>
    <row r="32" spans="1:11">
      <c r="A32" s="4">
        <v>54202</v>
      </c>
      <c r="B32" s="2" t="s">
        <v>63</v>
      </c>
      <c r="C32" s="2"/>
      <c r="D32" s="3" t="s">
        <v>42</v>
      </c>
      <c r="E32" s="3" t="s">
        <v>29</v>
      </c>
      <c r="F32" s="3" t="s">
        <v>43</v>
      </c>
      <c r="G32" s="305">
        <f>'NOV-18 '!I32</f>
        <v>763.80000000000018</v>
      </c>
      <c r="H32" s="51"/>
      <c r="I32" s="17">
        <f t="shared" si="0"/>
        <v>763.80000000000018</v>
      </c>
      <c r="J32" s="20"/>
      <c r="K32" s="18"/>
    </row>
    <row r="33" spans="1:11" ht="26.25">
      <c r="A33" s="4">
        <v>54203</v>
      </c>
      <c r="B33" s="5" t="s">
        <v>133</v>
      </c>
      <c r="C33" s="2"/>
      <c r="D33" s="3" t="s">
        <v>42</v>
      </c>
      <c r="E33" s="3" t="s">
        <v>29</v>
      </c>
      <c r="F33" s="3" t="s">
        <v>43</v>
      </c>
      <c r="G33" s="305">
        <f>'NOV-18 '!I33</f>
        <v>2732.75</v>
      </c>
      <c r="H33" s="51">
        <f>19.15</f>
        <v>19.149999999999999</v>
      </c>
      <c r="I33" s="17">
        <f t="shared" si="0"/>
        <v>1713.6</v>
      </c>
      <c r="J33" s="20"/>
      <c r="K33" s="21">
        <v>1000</v>
      </c>
    </row>
    <row r="34" spans="1:11">
      <c r="A34" s="4">
        <v>54204</v>
      </c>
      <c r="B34" s="2" t="s">
        <v>65</v>
      </c>
      <c r="C34" s="2"/>
      <c r="D34" s="3" t="s">
        <v>42</v>
      </c>
      <c r="E34" s="3" t="s">
        <v>29</v>
      </c>
      <c r="F34" s="3" t="s">
        <v>43</v>
      </c>
      <c r="G34" s="305">
        <f>'NOV-18 '!I34</f>
        <v>0</v>
      </c>
      <c r="H34" s="51"/>
      <c r="I34" s="17">
        <f t="shared" si="0"/>
        <v>0</v>
      </c>
      <c r="J34" s="20"/>
      <c r="K34" s="18"/>
    </row>
    <row r="35" spans="1:11">
      <c r="A35" s="4">
        <v>54301</v>
      </c>
      <c r="B35" s="2" t="s">
        <v>66</v>
      </c>
      <c r="C35" s="2"/>
      <c r="D35" s="3" t="s">
        <v>42</v>
      </c>
      <c r="E35" s="3" t="s">
        <v>29</v>
      </c>
      <c r="F35" s="3" t="s">
        <v>43</v>
      </c>
      <c r="G35" s="305">
        <f>'NOV-18 '!I35</f>
        <v>0</v>
      </c>
      <c r="H35" s="51"/>
      <c r="I35" s="17">
        <f t="shared" si="0"/>
        <v>0</v>
      </c>
      <c r="J35" s="21"/>
      <c r="K35" s="18"/>
    </row>
    <row r="36" spans="1:11">
      <c r="A36" s="4">
        <v>54302</v>
      </c>
      <c r="B36" s="2" t="s">
        <v>67</v>
      </c>
      <c r="C36" s="2"/>
      <c r="D36" s="3" t="s">
        <v>42</v>
      </c>
      <c r="E36" s="3" t="s">
        <v>29</v>
      </c>
      <c r="F36" s="3" t="s">
        <v>43</v>
      </c>
      <c r="G36" s="305">
        <f>'NOV-18 '!I36</f>
        <v>0</v>
      </c>
      <c r="H36" s="51"/>
      <c r="I36" s="17">
        <f t="shared" si="0"/>
        <v>0</v>
      </c>
      <c r="J36" s="20"/>
      <c r="K36" s="18"/>
    </row>
    <row r="37" spans="1:11">
      <c r="A37" s="4">
        <v>54303</v>
      </c>
      <c r="B37" s="2" t="s">
        <v>68</v>
      </c>
      <c r="C37" s="2"/>
      <c r="D37" s="3" t="s">
        <v>42</v>
      </c>
      <c r="E37" s="3" t="s">
        <v>29</v>
      </c>
      <c r="F37" s="3" t="s">
        <v>43</v>
      </c>
      <c r="G37" s="305">
        <f>'NOV-18 '!I37</f>
        <v>0</v>
      </c>
      <c r="H37" s="51"/>
      <c r="I37" s="17">
        <f t="shared" si="0"/>
        <v>0</v>
      </c>
      <c r="J37" s="20"/>
      <c r="K37" s="18"/>
    </row>
    <row r="38" spans="1:11">
      <c r="A38" s="4">
        <v>54304</v>
      </c>
      <c r="B38" s="2" t="s">
        <v>69</v>
      </c>
      <c r="C38" s="2"/>
      <c r="D38" s="3" t="s">
        <v>42</v>
      </c>
      <c r="E38" s="3" t="s">
        <v>29</v>
      </c>
      <c r="F38" s="3" t="s">
        <v>43</v>
      </c>
      <c r="G38" s="305">
        <f>'NOV-18 '!I38</f>
        <v>64.590000000000146</v>
      </c>
      <c r="H38" s="51">
        <f>38+38+111.1+100</f>
        <v>287.10000000000002</v>
      </c>
      <c r="I38" s="17">
        <f t="shared" si="0"/>
        <v>777.49000000000012</v>
      </c>
      <c r="J38" s="18">
        <v>1000</v>
      </c>
      <c r="K38" s="21"/>
    </row>
    <row r="39" spans="1:11">
      <c r="A39" s="4">
        <v>54305</v>
      </c>
      <c r="B39" s="2" t="s">
        <v>70</v>
      </c>
      <c r="C39" s="2"/>
      <c r="D39" s="3" t="s">
        <v>42</v>
      </c>
      <c r="E39" s="3" t="s">
        <v>29</v>
      </c>
      <c r="F39" s="3" t="s">
        <v>43</v>
      </c>
      <c r="G39" s="305">
        <f>'NOV-18 '!I39</f>
        <v>168</v>
      </c>
      <c r="H39" s="51"/>
      <c r="I39" s="17">
        <f t="shared" si="0"/>
        <v>168</v>
      </c>
      <c r="J39" s="21"/>
      <c r="K39" s="18"/>
    </row>
    <row r="40" spans="1:11">
      <c r="A40" s="4">
        <v>54313</v>
      </c>
      <c r="B40" s="2" t="s">
        <v>71</v>
      </c>
      <c r="C40" s="2"/>
      <c r="D40" s="3" t="s">
        <v>42</v>
      </c>
      <c r="E40" s="3" t="s">
        <v>29</v>
      </c>
      <c r="F40" s="3" t="s">
        <v>43</v>
      </c>
      <c r="G40" s="305">
        <f>'NOV-18 '!I40</f>
        <v>118.92000000000007</v>
      </c>
      <c r="H40" s="51">
        <f>24+1.5+6.78+2.3+6.78+56</f>
        <v>97.36</v>
      </c>
      <c r="I40" s="17">
        <f t="shared" si="0"/>
        <v>21.560000000000073</v>
      </c>
      <c r="J40" s="18"/>
      <c r="K40" s="21"/>
    </row>
    <row r="41" spans="1:11">
      <c r="A41" s="4">
        <v>54316</v>
      </c>
      <c r="B41" s="2" t="s">
        <v>72</v>
      </c>
      <c r="C41" s="2"/>
      <c r="D41" s="3" t="s">
        <v>42</v>
      </c>
      <c r="E41" s="3" t="s">
        <v>29</v>
      </c>
      <c r="F41" s="3" t="s">
        <v>43</v>
      </c>
      <c r="G41" s="305">
        <f>'NOV-18 '!I41</f>
        <v>161</v>
      </c>
      <c r="H41" s="51"/>
      <c r="I41" s="17">
        <f t="shared" si="0"/>
        <v>161</v>
      </c>
      <c r="J41" s="336"/>
      <c r="K41" s="18"/>
    </row>
    <row r="42" spans="1:11">
      <c r="A42" s="4">
        <v>54317</v>
      </c>
      <c r="B42" s="2" t="s">
        <v>73</v>
      </c>
      <c r="C42" s="2"/>
      <c r="D42" s="3" t="s">
        <v>42</v>
      </c>
      <c r="E42" s="3" t="s">
        <v>29</v>
      </c>
      <c r="F42" s="3" t="s">
        <v>43</v>
      </c>
      <c r="G42" s="305">
        <f>'NOV-18 '!I42</f>
        <v>600</v>
      </c>
      <c r="H42" s="51">
        <f>110+250+330+75</f>
        <v>765</v>
      </c>
      <c r="I42" s="17">
        <f t="shared" si="0"/>
        <v>335</v>
      </c>
      <c r="J42" s="336">
        <v>500</v>
      </c>
      <c r="K42" s="18"/>
    </row>
    <row r="43" spans="1:11">
      <c r="A43" s="4">
        <v>54399</v>
      </c>
      <c r="B43" s="2" t="s">
        <v>74</v>
      </c>
      <c r="C43" s="2"/>
      <c r="D43" s="3" t="s">
        <v>42</v>
      </c>
      <c r="E43" s="3" t="s">
        <v>29</v>
      </c>
      <c r="F43" s="3" t="s">
        <v>43</v>
      </c>
      <c r="G43" s="305">
        <f>'NOV-18 '!I43</f>
        <v>163.28</v>
      </c>
      <c r="H43" s="51">
        <f>21.6</f>
        <v>21.6</v>
      </c>
      <c r="I43" s="17">
        <f t="shared" si="0"/>
        <v>141.68</v>
      </c>
      <c r="J43" s="18"/>
      <c r="K43" s="21"/>
    </row>
    <row r="44" spans="1:11">
      <c r="A44" s="4">
        <v>54401</v>
      </c>
      <c r="B44" s="2" t="s">
        <v>75</v>
      </c>
      <c r="C44" s="2"/>
      <c r="D44" s="3" t="s">
        <v>42</v>
      </c>
      <c r="E44" s="3" t="s">
        <v>29</v>
      </c>
      <c r="F44" s="3" t="s">
        <v>43</v>
      </c>
      <c r="G44" s="305">
        <f>'NOV-18 '!I44</f>
        <v>0</v>
      </c>
      <c r="H44" s="51"/>
      <c r="I44" s="17">
        <f t="shared" si="0"/>
        <v>0</v>
      </c>
      <c r="J44" s="20"/>
      <c r="K44" s="18"/>
    </row>
    <row r="45" spans="1:11">
      <c r="A45" s="4">
        <v>54403</v>
      </c>
      <c r="B45" s="2" t="s">
        <v>76</v>
      </c>
      <c r="C45" s="2"/>
      <c r="D45" s="3" t="s">
        <v>42</v>
      </c>
      <c r="E45" s="3" t="s">
        <v>29</v>
      </c>
      <c r="F45" s="3" t="s">
        <v>43</v>
      </c>
      <c r="G45" s="305">
        <f>'NOV-18 '!I45</f>
        <v>300</v>
      </c>
      <c r="H45" s="51"/>
      <c r="I45" s="17">
        <f t="shared" si="0"/>
        <v>300</v>
      </c>
      <c r="J45" s="20"/>
      <c r="K45" s="18"/>
    </row>
    <row r="46" spans="1:11">
      <c r="A46" s="4">
        <v>54501</v>
      </c>
      <c r="B46" s="2" t="s">
        <v>77</v>
      </c>
      <c r="C46" s="2"/>
      <c r="D46" s="3" t="s">
        <v>42</v>
      </c>
      <c r="E46" s="3" t="s">
        <v>29</v>
      </c>
      <c r="F46" s="3" t="s">
        <v>43</v>
      </c>
      <c r="G46" s="305">
        <f>'NOV-18 '!I46</f>
        <v>3800</v>
      </c>
      <c r="H46" s="51">
        <v>500</v>
      </c>
      <c r="I46" s="17">
        <f t="shared" si="0"/>
        <v>2300</v>
      </c>
      <c r="J46" s="18"/>
      <c r="K46" s="22">
        <v>1000</v>
      </c>
    </row>
    <row r="47" spans="1:11">
      <c r="A47" s="4">
        <v>54503</v>
      </c>
      <c r="B47" s="2" t="s">
        <v>78</v>
      </c>
      <c r="C47" s="2"/>
      <c r="D47" s="3" t="s">
        <v>42</v>
      </c>
      <c r="E47" s="3" t="s">
        <v>29</v>
      </c>
      <c r="F47" s="3" t="s">
        <v>43</v>
      </c>
      <c r="G47" s="305">
        <f>'NOV-18 '!I47</f>
        <v>500</v>
      </c>
      <c r="H47" s="51">
        <f>40+7.5</f>
        <v>47.5</v>
      </c>
      <c r="I47" s="17">
        <f t="shared" si="0"/>
        <v>452.5</v>
      </c>
      <c r="J47" s="18"/>
      <c r="K47" s="18"/>
    </row>
    <row r="48" spans="1:11">
      <c r="A48" s="4">
        <v>54504</v>
      </c>
      <c r="B48" s="2" t="s">
        <v>79</v>
      </c>
      <c r="C48" s="2"/>
      <c r="D48" s="3" t="s">
        <v>80</v>
      </c>
      <c r="E48" s="3" t="s">
        <v>29</v>
      </c>
      <c r="F48" s="3" t="s">
        <v>43</v>
      </c>
      <c r="G48" s="305">
        <f>'NOV-18 '!I48</f>
        <v>1000</v>
      </c>
      <c r="H48" s="51"/>
      <c r="I48" s="17">
        <f t="shared" si="0"/>
        <v>0</v>
      </c>
      <c r="J48" s="18"/>
      <c r="K48" s="18">
        <v>1000</v>
      </c>
    </row>
    <row r="49" spans="1:11">
      <c r="A49" s="4">
        <v>54505</v>
      </c>
      <c r="B49" s="5" t="s">
        <v>81</v>
      </c>
      <c r="C49" s="2"/>
      <c r="D49" s="3" t="s">
        <v>42</v>
      </c>
      <c r="E49" s="3" t="s">
        <v>29</v>
      </c>
      <c r="F49" s="3" t="s">
        <v>43</v>
      </c>
      <c r="G49" s="305">
        <f>'NOV-18 '!I49</f>
        <v>1000</v>
      </c>
      <c r="H49" s="51"/>
      <c r="I49" s="17">
        <f t="shared" si="0"/>
        <v>0</v>
      </c>
      <c r="J49" s="18"/>
      <c r="K49" s="22">
        <v>1000</v>
      </c>
    </row>
    <row r="50" spans="1:11" ht="20.25" customHeight="1">
      <c r="A50" s="4">
        <v>54599</v>
      </c>
      <c r="B50" s="5" t="s">
        <v>82</v>
      </c>
      <c r="C50" s="5"/>
      <c r="D50" s="3" t="s">
        <v>42</v>
      </c>
      <c r="E50" s="3" t="s">
        <v>29</v>
      </c>
      <c r="F50" s="3" t="s">
        <v>43</v>
      </c>
      <c r="G50" s="305">
        <f>'NOV-18 '!I50</f>
        <v>200</v>
      </c>
      <c r="H50" s="51"/>
      <c r="I50" s="17">
        <f t="shared" si="0"/>
        <v>200</v>
      </c>
      <c r="J50" s="18"/>
      <c r="K50" s="18"/>
    </row>
    <row r="51" spans="1:11" ht="30" customHeight="1">
      <c r="A51" s="4">
        <v>55302</v>
      </c>
      <c r="B51" s="5" t="s">
        <v>83</v>
      </c>
      <c r="C51" s="2"/>
      <c r="D51" s="3" t="s">
        <v>42</v>
      </c>
      <c r="E51" s="3" t="s">
        <v>29</v>
      </c>
      <c r="F51" s="3" t="s">
        <v>43</v>
      </c>
      <c r="G51" s="305">
        <f>'NOV-18 '!I51</f>
        <v>0</v>
      </c>
      <c r="H51" s="51"/>
      <c r="I51" s="17">
        <f t="shared" si="0"/>
        <v>0</v>
      </c>
      <c r="J51" s="18"/>
      <c r="K51" s="21"/>
    </row>
    <row r="52" spans="1:11">
      <c r="A52" s="4">
        <v>55601</v>
      </c>
      <c r="B52" s="2" t="s">
        <v>84</v>
      </c>
      <c r="C52" s="2" t="s">
        <v>85</v>
      </c>
      <c r="D52" s="3" t="s">
        <v>42</v>
      </c>
      <c r="E52" s="3" t="s">
        <v>29</v>
      </c>
      <c r="F52" s="3" t="s">
        <v>43</v>
      </c>
      <c r="G52" s="305">
        <f>'NOV-18 '!I52</f>
        <v>0</v>
      </c>
      <c r="H52" s="51"/>
      <c r="I52" s="17">
        <f t="shared" si="0"/>
        <v>0</v>
      </c>
      <c r="J52" s="18"/>
      <c r="K52" s="22"/>
    </row>
    <row r="53" spans="1:11">
      <c r="A53" s="4">
        <v>55602</v>
      </c>
      <c r="B53" s="2" t="s">
        <v>86</v>
      </c>
      <c r="C53" s="2" t="s">
        <v>87</v>
      </c>
      <c r="D53" s="3" t="s">
        <v>42</v>
      </c>
      <c r="E53" s="3" t="s">
        <v>29</v>
      </c>
      <c r="F53" s="3" t="s">
        <v>43</v>
      </c>
      <c r="G53" s="305">
        <f>'NOV-18 '!I53</f>
        <v>6349.89</v>
      </c>
      <c r="H53" s="51">
        <f>1650.13</f>
        <v>1650.13</v>
      </c>
      <c r="I53" s="17">
        <f t="shared" si="0"/>
        <v>4199.76</v>
      </c>
      <c r="J53" s="18"/>
      <c r="K53" s="22">
        <v>500</v>
      </c>
    </row>
    <row r="54" spans="1:11">
      <c r="A54" s="4">
        <v>55603</v>
      </c>
      <c r="B54" s="2" t="s">
        <v>6</v>
      </c>
      <c r="C54" s="2"/>
      <c r="D54" s="3" t="s">
        <v>42</v>
      </c>
      <c r="E54" s="3" t="s">
        <v>29</v>
      </c>
      <c r="F54" s="3" t="s">
        <v>43</v>
      </c>
      <c r="G54" s="305">
        <f>'NOV-18 '!I54</f>
        <v>417.78000000000003</v>
      </c>
      <c r="H54" s="276">
        <f>16.95+3.39+1.41</f>
        <v>21.75</v>
      </c>
      <c r="I54" s="17">
        <f t="shared" si="0"/>
        <v>396.03000000000003</v>
      </c>
      <c r="J54" s="18"/>
      <c r="K54" s="21"/>
    </row>
    <row r="55" spans="1:11" ht="33" customHeight="1">
      <c r="A55" s="4">
        <v>55799</v>
      </c>
      <c r="B55" s="5" t="s">
        <v>169</v>
      </c>
      <c r="C55" s="5"/>
      <c r="D55" s="3" t="s">
        <v>42</v>
      </c>
      <c r="E55" s="3" t="s">
        <v>29</v>
      </c>
      <c r="F55" s="3" t="s">
        <v>43</v>
      </c>
      <c r="G55" s="305">
        <f>'NOV-18 '!I55</f>
        <v>394.71000000000004</v>
      </c>
      <c r="H55" s="51"/>
      <c r="I55" s="17">
        <f t="shared" si="0"/>
        <v>394.71000000000004</v>
      </c>
      <c r="J55" s="18"/>
      <c r="K55" s="21"/>
    </row>
    <row r="56" spans="1:11" ht="33" customHeight="1">
      <c r="A56" s="4" t="s">
        <v>170</v>
      </c>
      <c r="B56" s="5" t="s">
        <v>1028</v>
      </c>
      <c r="C56" s="5"/>
      <c r="D56" s="3" t="s">
        <v>42</v>
      </c>
      <c r="E56" s="3" t="s">
        <v>29</v>
      </c>
      <c r="F56" s="3" t="s">
        <v>43</v>
      </c>
      <c r="G56" s="305">
        <f>'NOV-18 '!I56</f>
        <v>700</v>
      </c>
      <c r="H56" s="51"/>
      <c r="I56" s="17">
        <f t="shared" si="0"/>
        <v>700</v>
      </c>
      <c r="J56" s="18"/>
      <c r="K56" s="21"/>
    </row>
    <row r="57" spans="1:11" ht="39">
      <c r="A57" s="4" t="s">
        <v>171</v>
      </c>
      <c r="B57" s="5" t="s">
        <v>1137</v>
      </c>
      <c r="C57" s="5"/>
      <c r="D57" s="3" t="s">
        <v>42</v>
      </c>
      <c r="E57" s="3" t="s">
        <v>29</v>
      </c>
      <c r="F57" s="3" t="s">
        <v>43</v>
      </c>
      <c r="G57" s="305">
        <f>'NOV-18 '!I57</f>
        <v>629.81000000000017</v>
      </c>
      <c r="H57" s="51"/>
      <c r="I57" s="17">
        <f t="shared" si="0"/>
        <v>629.81000000000017</v>
      </c>
      <c r="J57" s="18"/>
      <c r="K57" s="18"/>
    </row>
    <row r="58" spans="1:11" ht="27">
      <c r="A58" s="4" t="s">
        <v>161</v>
      </c>
      <c r="B58" s="5" t="s">
        <v>1027</v>
      </c>
      <c r="C58" s="5"/>
      <c r="D58" s="3" t="s">
        <v>42</v>
      </c>
      <c r="E58" s="3" t="s">
        <v>29</v>
      </c>
      <c r="F58" s="3" t="s">
        <v>43</v>
      </c>
      <c r="G58" s="305">
        <f>'NOV-18 '!I58</f>
        <v>400</v>
      </c>
      <c r="H58" s="51">
        <v>300</v>
      </c>
      <c r="I58" s="17">
        <f t="shared" si="0"/>
        <v>100</v>
      </c>
      <c r="J58" s="18"/>
      <c r="K58" s="18"/>
    </row>
    <row r="59" spans="1:11" ht="21" customHeight="1">
      <c r="A59" s="4">
        <v>56303</v>
      </c>
      <c r="B59" s="2" t="s">
        <v>90</v>
      </c>
      <c r="C59" s="2"/>
      <c r="D59" s="3" t="s">
        <v>42</v>
      </c>
      <c r="E59" s="3" t="s">
        <v>29</v>
      </c>
      <c r="F59" s="3" t="s">
        <v>43</v>
      </c>
      <c r="G59" s="305">
        <f>'NOV-18 '!I59</f>
        <v>57.639999999998054</v>
      </c>
      <c r="H59" s="51">
        <f>100+19.85</f>
        <v>119.85</v>
      </c>
      <c r="I59" s="17">
        <f t="shared" si="0"/>
        <v>937.78999999999803</v>
      </c>
      <c r="J59" s="18">
        <v>1000</v>
      </c>
      <c r="K59" s="18"/>
    </row>
    <row r="60" spans="1:11" ht="21.75" customHeight="1">
      <c r="A60" s="4">
        <v>56304</v>
      </c>
      <c r="B60" s="2" t="s">
        <v>91</v>
      </c>
      <c r="C60" s="2"/>
      <c r="D60" s="3" t="s">
        <v>42</v>
      </c>
      <c r="E60" s="3" t="s">
        <v>29</v>
      </c>
      <c r="F60" s="3" t="s">
        <v>43</v>
      </c>
      <c r="G60" s="305">
        <f>'NOV-18 '!I60</f>
        <v>836.02000000000044</v>
      </c>
      <c r="H60" s="51">
        <f>100.3+46.8+40+10+262.14+86+100+100+40+25+50+75+75+75+240+25+40+50+400+354.5+50+50+24.51+171.31+19.13+100+100+300+120</f>
        <v>3129.69</v>
      </c>
      <c r="I60" s="17">
        <f>G60-H60+J60-K60</f>
        <v>706.33000000000038</v>
      </c>
      <c r="J60" s="18">
        <v>3000</v>
      </c>
      <c r="K60" s="18"/>
    </row>
    <row r="61" spans="1:11" ht="45.75" customHeight="1">
      <c r="A61" s="38" t="s">
        <v>8</v>
      </c>
      <c r="B61" s="39" t="s">
        <v>92</v>
      </c>
      <c r="C61" s="39"/>
      <c r="D61" s="39" t="s">
        <v>42</v>
      </c>
      <c r="E61" s="39" t="s">
        <v>29</v>
      </c>
      <c r="F61" s="39" t="s">
        <v>43</v>
      </c>
      <c r="G61" s="305">
        <f>'NOV-18 '!I61</f>
        <v>58527.289999999994</v>
      </c>
      <c r="H61" s="95">
        <f>SUM(H4:H60)</f>
        <v>27128.229999999996</v>
      </c>
      <c r="I61" s="40">
        <f>G61-H61+J61-K61</f>
        <v>31399.059999999998</v>
      </c>
      <c r="J61" s="107">
        <f>SUM(J4:J60)</f>
        <v>5500</v>
      </c>
      <c r="K61" s="107">
        <f>SUM(K4:K60)</f>
        <v>5500</v>
      </c>
    </row>
    <row r="62" spans="1:11">
      <c r="A62" s="4">
        <v>51103</v>
      </c>
      <c r="B62" s="2" t="s">
        <v>173</v>
      </c>
      <c r="C62" s="2"/>
      <c r="D62" s="3" t="s">
        <v>94</v>
      </c>
      <c r="E62" s="3" t="s">
        <v>29</v>
      </c>
      <c r="F62" s="3" t="s">
        <v>43</v>
      </c>
      <c r="G62" s="305">
        <f>'NOV-18 '!I62</f>
        <v>5157.9799999999996</v>
      </c>
      <c r="H62" s="51">
        <f>4414+743.98</f>
        <v>5157.9799999999996</v>
      </c>
      <c r="I62" s="17">
        <f t="shared" si="0"/>
        <v>0</v>
      </c>
      <c r="J62" s="395"/>
      <c r="K62" s="28"/>
    </row>
    <row r="63" spans="1:11">
      <c r="A63" s="4">
        <v>51107</v>
      </c>
      <c r="B63" s="2" t="s">
        <v>93</v>
      </c>
      <c r="C63" s="2"/>
      <c r="D63" s="3" t="s">
        <v>94</v>
      </c>
      <c r="E63" s="3" t="s">
        <v>29</v>
      </c>
      <c r="F63" s="3" t="s">
        <v>43</v>
      </c>
      <c r="G63" s="305">
        <f>'NOV-18 '!I63</f>
        <v>118.66999999999996</v>
      </c>
      <c r="H63" s="51"/>
      <c r="I63" s="17">
        <f t="shared" si="0"/>
        <v>118.66999999999996</v>
      </c>
      <c r="J63" s="27"/>
      <c r="K63" s="28"/>
    </row>
    <row r="64" spans="1:11">
      <c r="A64" s="4">
        <v>51301</v>
      </c>
      <c r="B64" s="2" t="s">
        <v>45</v>
      </c>
      <c r="C64" s="2"/>
      <c r="D64" s="3" t="s">
        <v>94</v>
      </c>
      <c r="E64" s="3" t="s">
        <v>29</v>
      </c>
      <c r="F64" s="3" t="s">
        <v>43</v>
      </c>
      <c r="G64" s="305">
        <f>'NOV-18 '!I64</f>
        <v>500</v>
      </c>
      <c r="H64" s="51"/>
      <c r="I64" s="17">
        <f t="shared" si="0"/>
        <v>500</v>
      </c>
      <c r="J64" s="27"/>
      <c r="K64" s="29"/>
    </row>
    <row r="65" spans="1:11" ht="25.5">
      <c r="A65" s="4">
        <v>51401</v>
      </c>
      <c r="B65" s="7" t="s">
        <v>128</v>
      </c>
      <c r="C65" s="2"/>
      <c r="D65" s="3" t="s">
        <v>94</v>
      </c>
      <c r="E65" s="3" t="s">
        <v>29</v>
      </c>
      <c r="F65" s="3" t="s">
        <v>43</v>
      </c>
      <c r="G65" s="305">
        <f>'NOV-18 '!I65</f>
        <v>599.09999999999991</v>
      </c>
      <c r="H65" s="51"/>
      <c r="I65" s="17">
        <f t="shared" si="0"/>
        <v>599.09999999999991</v>
      </c>
      <c r="J65" s="27"/>
      <c r="K65" s="30"/>
    </row>
    <row r="66" spans="1:11" ht="36">
      <c r="A66" s="4">
        <v>51501</v>
      </c>
      <c r="B66" s="5" t="s">
        <v>141</v>
      </c>
      <c r="C66" s="2"/>
      <c r="D66" s="3" t="s">
        <v>94</v>
      </c>
      <c r="E66" s="3" t="s">
        <v>29</v>
      </c>
      <c r="F66" s="3" t="s">
        <v>43</v>
      </c>
      <c r="G66" s="305">
        <f>'NOV-18 '!I66</f>
        <v>389.16000000000008</v>
      </c>
      <c r="H66" s="51"/>
      <c r="I66" s="17">
        <f t="shared" si="0"/>
        <v>389.16000000000008</v>
      </c>
      <c r="J66" s="27"/>
      <c r="K66" s="21"/>
    </row>
    <row r="67" spans="1:11">
      <c r="A67" s="4">
        <v>54104</v>
      </c>
      <c r="B67" s="2" t="s">
        <v>10</v>
      </c>
      <c r="C67" s="2"/>
      <c r="D67" s="3" t="s">
        <v>94</v>
      </c>
      <c r="E67" s="3" t="s">
        <v>29</v>
      </c>
      <c r="F67" s="3" t="s">
        <v>43</v>
      </c>
      <c r="G67" s="305">
        <f>'NOV-18 '!I67</f>
        <v>0</v>
      </c>
      <c r="H67" s="51"/>
      <c r="I67" s="17">
        <f t="shared" si="0"/>
        <v>0</v>
      </c>
      <c r="J67" s="27"/>
      <c r="K67" s="22"/>
    </row>
    <row r="68" spans="1:11">
      <c r="A68" s="4">
        <v>54105</v>
      </c>
      <c r="B68" s="2" t="s">
        <v>49</v>
      </c>
      <c r="C68" s="2"/>
      <c r="D68" s="3" t="s">
        <v>94</v>
      </c>
      <c r="E68" s="3" t="s">
        <v>29</v>
      </c>
      <c r="F68" s="3" t="s">
        <v>43</v>
      </c>
      <c r="G68" s="305">
        <f>'NOV-18 '!I68</f>
        <v>14.680000000000064</v>
      </c>
      <c r="H68" s="51"/>
      <c r="I68" s="17">
        <f t="shared" si="0"/>
        <v>14.680000000000064</v>
      </c>
      <c r="J68" s="27"/>
      <c r="K68" s="18"/>
    </row>
    <row r="69" spans="1:11">
      <c r="A69" s="4">
        <v>54114</v>
      </c>
      <c r="B69" s="2" t="s">
        <v>56</v>
      </c>
      <c r="C69" s="2"/>
      <c r="D69" s="3" t="s">
        <v>94</v>
      </c>
      <c r="E69" s="3" t="s">
        <v>29</v>
      </c>
      <c r="F69" s="3" t="s">
        <v>43</v>
      </c>
      <c r="G69" s="305">
        <f>'NOV-18 '!I69</f>
        <v>1146.2299999999998</v>
      </c>
      <c r="H69" s="51"/>
      <c r="I69" s="17">
        <f t="shared" si="0"/>
        <v>1146.2299999999998</v>
      </c>
      <c r="J69" s="27"/>
      <c r="K69" s="21"/>
    </row>
    <row r="70" spans="1:11">
      <c r="A70" s="4">
        <v>54115</v>
      </c>
      <c r="B70" s="2" t="s">
        <v>57</v>
      </c>
      <c r="C70" s="2"/>
      <c r="D70" s="3" t="s">
        <v>94</v>
      </c>
      <c r="E70" s="3" t="s">
        <v>29</v>
      </c>
      <c r="F70" s="3" t="s">
        <v>43</v>
      </c>
      <c r="G70" s="305">
        <f>'NOV-18 '!I70</f>
        <v>196.07999999999993</v>
      </c>
      <c r="H70" s="51">
        <f>7.5</f>
        <v>7.5</v>
      </c>
      <c r="I70" s="17">
        <f t="shared" si="0"/>
        <v>188.57999999999993</v>
      </c>
      <c r="J70" s="31"/>
      <c r="K70" s="21"/>
    </row>
    <row r="71" spans="1:11">
      <c r="A71" s="4">
        <v>54401</v>
      </c>
      <c r="B71" s="2" t="s">
        <v>75</v>
      </c>
      <c r="C71" s="2"/>
      <c r="D71" s="3" t="s">
        <v>94</v>
      </c>
      <c r="E71" s="3" t="s">
        <v>29</v>
      </c>
      <c r="F71" s="3" t="s">
        <v>43</v>
      </c>
      <c r="G71" s="305">
        <f>'NOV-18 '!I71</f>
        <v>200</v>
      </c>
      <c r="H71" s="372"/>
      <c r="I71" s="17">
        <f t="shared" si="0"/>
        <v>200</v>
      </c>
      <c r="J71" s="27"/>
      <c r="K71" s="21"/>
    </row>
    <row r="72" spans="1:11">
      <c r="A72" s="4">
        <v>54403</v>
      </c>
      <c r="B72" s="2" t="s">
        <v>76</v>
      </c>
      <c r="C72" s="2"/>
      <c r="D72" s="3" t="s">
        <v>94</v>
      </c>
      <c r="E72" s="3" t="s">
        <v>29</v>
      </c>
      <c r="F72" s="3" t="s">
        <v>43</v>
      </c>
      <c r="G72" s="305">
        <f>'NOV-18 '!I72</f>
        <v>288</v>
      </c>
      <c r="H72" s="51">
        <f>6+4+4</f>
        <v>14</v>
      </c>
      <c r="I72" s="17">
        <f>G72-H72+J72-K72</f>
        <v>274</v>
      </c>
      <c r="J72" s="27"/>
      <c r="K72" s="28"/>
    </row>
    <row r="73" spans="1:11" ht="21" customHeight="1">
      <c r="A73" s="4">
        <v>54507</v>
      </c>
      <c r="B73" s="5" t="s">
        <v>95</v>
      </c>
      <c r="C73" s="2"/>
      <c r="D73" s="3" t="s">
        <v>94</v>
      </c>
      <c r="E73" s="3" t="s">
        <v>29</v>
      </c>
      <c r="F73" s="3" t="s">
        <v>43</v>
      </c>
      <c r="G73" s="305">
        <f>'NOV-18 '!I73</f>
        <v>489.6</v>
      </c>
      <c r="H73" s="51">
        <v>60</v>
      </c>
      <c r="I73" s="17">
        <f>G73-H73+J73-K73</f>
        <v>429.6</v>
      </c>
      <c r="J73" s="32"/>
      <c r="K73" s="28"/>
    </row>
    <row r="74" spans="1:11" ht="21">
      <c r="A74" s="38" t="s">
        <v>8</v>
      </c>
      <c r="B74" s="39" t="s">
        <v>96</v>
      </c>
      <c r="C74" s="39"/>
      <c r="D74" s="39" t="s">
        <v>94</v>
      </c>
      <c r="E74" s="39" t="s">
        <v>29</v>
      </c>
      <c r="F74" s="39" t="s">
        <v>43</v>
      </c>
      <c r="G74" s="305">
        <f>'NOV-18 '!I74</f>
        <v>9099.5000000000036</v>
      </c>
      <c r="H74" s="95">
        <f>SUM(H62:H73)</f>
        <v>5239.4799999999996</v>
      </c>
      <c r="I74" s="40">
        <f>G74-H74+J74-K74</f>
        <v>3860.0200000000041</v>
      </c>
      <c r="J74" s="107">
        <f>SUM(J62:J73)</f>
        <v>0</v>
      </c>
      <c r="K74" s="107">
        <f>SUM(K62:K73)</f>
        <v>0</v>
      </c>
    </row>
    <row r="75" spans="1:11">
      <c r="A75" s="4">
        <v>51103</v>
      </c>
      <c r="B75" s="2" t="s">
        <v>174</v>
      </c>
      <c r="C75" s="2"/>
      <c r="D75" s="3" t="s">
        <v>97</v>
      </c>
      <c r="E75" s="3" t="s">
        <v>29</v>
      </c>
      <c r="F75" s="3" t="s">
        <v>43</v>
      </c>
      <c r="G75" s="305">
        <f>'NOV-18 '!I75</f>
        <v>20492.22</v>
      </c>
      <c r="H75" s="51">
        <f>16044.72+2420+1245.82</f>
        <v>19710.54</v>
      </c>
      <c r="I75" s="170">
        <f t="shared" ref="I75:I100" si="1">G75-H75+J75-K75</f>
        <v>781.68000000000029</v>
      </c>
      <c r="J75" s="28"/>
      <c r="K75" s="28"/>
    </row>
    <row r="76" spans="1:11">
      <c r="A76" s="4">
        <v>51107</v>
      </c>
      <c r="B76" s="2" t="s">
        <v>93</v>
      </c>
      <c r="C76" s="2"/>
      <c r="D76" s="3" t="s">
        <v>97</v>
      </c>
      <c r="E76" s="3" t="s">
        <v>29</v>
      </c>
      <c r="F76" s="3" t="s">
        <v>43</v>
      </c>
      <c r="G76" s="305">
        <f>'NOV-18 '!I76</f>
        <v>171.69</v>
      </c>
      <c r="H76" s="51"/>
      <c r="I76" s="418">
        <f t="shared" si="1"/>
        <v>171.69</v>
      </c>
      <c r="J76" s="28"/>
      <c r="K76" s="28"/>
    </row>
    <row r="77" spans="1:11">
      <c r="A77" s="4">
        <v>51201</v>
      </c>
      <c r="B77" s="2" t="s">
        <v>44</v>
      </c>
      <c r="C77" s="2"/>
      <c r="D77" s="3" t="s">
        <v>97</v>
      </c>
      <c r="E77" s="3" t="s">
        <v>29</v>
      </c>
      <c r="F77" s="3" t="s">
        <v>43</v>
      </c>
      <c r="G77" s="305">
        <f>'NOV-18 '!I77</f>
        <v>402.5</v>
      </c>
      <c r="H77" s="51"/>
      <c r="I77" s="170">
        <f t="shared" si="1"/>
        <v>402.5</v>
      </c>
      <c r="J77" s="30"/>
      <c r="K77" s="28"/>
    </row>
    <row r="78" spans="1:11">
      <c r="A78" s="4">
        <v>51301</v>
      </c>
      <c r="B78" s="7" t="s">
        <v>98</v>
      </c>
      <c r="C78" s="2"/>
      <c r="D78" s="3" t="s">
        <v>97</v>
      </c>
      <c r="E78" s="3" t="s">
        <v>29</v>
      </c>
      <c r="F78" s="3" t="s">
        <v>43</v>
      </c>
      <c r="G78" s="305">
        <f>'NOV-18 '!I78</f>
        <v>500</v>
      </c>
      <c r="H78" s="51"/>
      <c r="I78" s="170">
        <f t="shared" si="1"/>
        <v>500</v>
      </c>
      <c r="J78" s="30"/>
      <c r="K78" s="28"/>
    </row>
    <row r="79" spans="1:11" ht="48.75" customHeight="1">
      <c r="A79" s="4">
        <v>51401</v>
      </c>
      <c r="B79" s="7" t="s">
        <v>134</v>
      </c>
      <c r="C79" s="2"/>
      <c r="D79" s="3" t="s">
        <v>97</v>
      </c>
      <c r="E79" s="3" t="s">
        <v>29</v>
      </c>
      <c r="F79" s="3" t="s">
        <v>43</v>
      </c>
      <c r="G79" s="305">
        <f>'NOV-18 '!I79</f>
        <v>1336.7399999999998</v>
      </c>
      <c r="H79" s="51"/>
      <c r="I79" s="170">
        <f t="shared" si="1"/>
        <v>1336.7399999999998</v>
      </c>
      <c r="J79" s="29"/>
      <c r="K79" s="28"/>
    </row>
    <row r="80" spans="1:11" ht="36">
      <c r="A80" s="4">
        <v>51501</v>
      </c>
      <c r="B80" s="5" t="s">
        <v>127</v>
      </c>
      <c r="C80" s="2"/>
      <c r="D80" s="3" t="s">
        <v>97</v>
      </c>
      <c r="E80" s="3" t="s">
        <v>29</v>
      </c>
      <c r="F80" s="3" t="s">
        <v>43</v>
      </c>
      <c r="G80" s="305">
        <f>'NOV-18 '!I80</f>
        <v>1853.2799999999997</v>
      </c>
      <c r="H80" s="51"/>
      <c r="I80" s="170">
        <f t="shared" si="1"/>
        <v>1853.2799999999997</v>
      </c>
      <c r="J80" s="27"/>
      <c r="K80" s="28"/>
    </row>
    <row r="81" spans="1:11" ht="24" customHeight="1">
      <c r="A81" s="4">
        <v>54104</v>
      </c>
      <c r="B81" s="2" t="s">
        <v>10</v>
      </c>
      <c r="C81" s="2"/>
      <c r="D81" s="3" t="s">
        <v>97</v>
      </c>
      <c r="E81" s="3" t="s">
        <v>29</v>
      </c>
      <c r="F81" s="3" t="s">
        <v>43</v>
      </c>
      <c r="G81" s="305">
        <f>'NOV-18 '!I81</f>
        <v>789.5</v>
      </c>
      <c r="H81" s="51"/>
      <c r="I81" s="170">
        <f t="shared" si="1"/>
        <v>789.5</v>
      </c>
      <c r="J81" s="28"/>
      <c r="K81" s="28"/>
    </row>
    <row r="82" spans="1:11" ht="21.75" customHeight="1">
      <c r="A82" s="4">
        <v>54105</v>
      </c>
      <c r="B82" s="2" t="s">
        <v>49</v>
      </c>
      <c r="C82" s="2"/>
      <c r="D82" s="3" t="s">
        <v>97</v>
      </c>
      <c r="E82" s="3" t="s">
        <v>29</v>
      </c>
      <c r="F82" s="3" t="s">
        <v>43</v>
      </c>
      <c r="G82" s="305">
        <f>'NOV-18 '!I82</f>
        <v>91.649999999999977</v>
      </c>
      <c r="H82" s="51"/>
      <c r="I82" s="170">
        <f t="shared" si="1"/>
        <v>91.649999999999977</v>
      </c>
      <c r="J82" s="27"/>
      <c r="K82" s="28"/>
    </row>
    <row r="83" spans="1:11" ht="27" customHeight="1">
      <c r="A83" s="4">
        <v>54106</v>
      </c>
      <c r="B83" s="5" t="s">
        <v>99</v>
      </c>
      <c r="C83" s="5"/>
      <c r="D83" s="3" t="s">
        <v>97</v>
      </c>
      <c r="E83" s="3" t="s">
        <v>29</v>
      </c>
      <c r="F83" s="3" t="s">
        <v>43</v>
      </c>
      <c r="G83" s="305">
        <f>'NOV-18 '!I83</f>
        <v>80.62</v>
      </c>
      <c r="H83" s="51"/>
      <c r="I83" s="170">
        <f t="shared" si="1"/>
        <v>80.62</v>
      </c>
      <c r="J83" s="27"/>
      <c r="K83" s="28"/>
    </row>
    <row r="84" spans="1:11" ht="24" customHeight="1">
      <c r="A84" s="4">
        <v>54109</v>
      </c>
      <c r="B84" s="2" t="s">
        <v>52</v>
      </c>
      <c r="C84" s="2"/>
      <c r="D84" s="3" t="s">
        <v>97</v>
      </c>
      <c r="E84" s="3" t="s">
        <v>29</v>
      </c>
      <c r="F84" s="3" t="s">
        <v>43</v>
      </c>
      <c r="G84" s="305">
        <f>'NOV-18 '!I84</f>
        <v>0</v>
      </c>
      <c r="H84" s="51"/>
      <c r="I84" s="170">
        <f t="shared" si="1"/>
        <v>0</v>
      </c>
      <c r="J84" s="33"/>
      <c r="K84" s="28"/>
    </row>
    <row r="85" spans="1:11" ht="28.5" customHeight="1">
      <c r="A85" s="4">
        <v>54110</v>
      </c>
      <c r="B85" s="2" t="s">
        <v>53</v>
      </c>
      <c r="C85" s="2"/>
      <c r="D85" s="3" t="s">
        <v>97</v>
      </c>
      <c r="E85" s="3" t="s">
        <v>29</v>
      </c>
      <c r="F85" s="3" t="s">
        <v>43</v>
      </c>
      <c r="G85" s="305">
        <f>'NOV-18 '!I85</f>
        <v>116.86999999999989</v>
      </c>
      <c r="H85" s="51"/>
      <c r="I85" s="170">
        <f t="shared" si="1"/>
        <v>116.86999999999989</v>
      </c>
      <c r="J85" s="33"/>
      <c r="K85" s="30"/>
    </row>
    <row r="86" spans="1:11" ht="30.75" customHeight="1">
      <c r="A86" s="4">
        <v>54111</v>
      </c>
      <c r="B86" s="5" t="s">
        <v>54</v>
      </c>
      <c r="C86" s="2"/>
      <c r="D86" s="3" t="s">
        <v>97</v>
      </c>
      <c r="E86" s="3" t="s">
        <v>29</v>
      </c>
      <c r="F86" s="3" t="s">
        <v>43</v>
      </c>
      <c r="G86" s="305">
        <f>'NOV-18 '!I86</f>
        <v>188</v>
      </c>
      <c r="H86" s="51"/>
      <c r="I86" s="170">
        <f t="shared" si="1"/>
        <v>188</v>
      </c>
      <c r="J86" s="33"/>
      <c r="K86" s="277"/>
    </row>
    <row r="87" spans="1:11" ht="39">
      <c r="A87" s="4">
        <v>54112</v>
      </c>
      <c r="B87" s="5" t="s">
        <v>55</v>
      </c>
      <c r="C87" s="2"/>
      <c r="D87" s="3" t="s">
        <v>97</v>
      </c>
      <c r="E87" s="3" t="s">
        <v>29</v>
      </c>
      <c r="F87" s="3" t="s">
        <v>43</v>
      </c>
      <c r="G87" s="305">
        <f>'NOV-18 '!I87</f>
        <v>176</v>
      </c>
      <c r="H87" s="51"/>
      <c r="I87" s="170">
        <f t="shared" si="1"/>
        <v>176</v>
      </c>
      <c r="J87" s="33"/>
      <c r="K87" s="28"/>
    </row>
    <row r="88" spans="1:11" ht="18" customHeight="1">
      <c r="A88" s="4">
        <v>54114</v>
      </c>
      <c r="B88" s="2" t="s">
        <v>56</v>
      </c>
      <c r="C88" s="2"/>
      <c r="D88" s="3" t="s">
        <v>97</v>
      </c>
      <c r="E88" s="3" t="s">
        <v>29</v>
      </c>
      <c r="F88" s="3" t="s">
        <v>43</v>
      </c>
      <c r="G88" s="305">
        <f>'NOV-18 '!I88</f>
        <v>0</v>
      </c>
      <c r="H88" s="51"/>
      <c r="I88" s="170">
        <f t="shared" si="1"/>
        <v>0</v>
      </c>
      <c r="J88" s="27"/>
      <c r="K88" s="28"/>
    </row>
    <row r="89" spans="1:11">
      <c r="A89" s="4">
        <v>54115</v>
      </c>
      <c r="B89" s="2" t="s">
        <v>57</v>
      </c>
      <c r="C89" s="2"/>
      <c r="D89" s="3" t="s">
        <v>97</v>
      </c>
      <c r="E89" s="3" t="s">
        <v>29</v>
      </c>
      <c r="F89" s="3" t="s">
        <v>43</v>
      </c>
      <c r="G89" s="305">
        <f>'NOV-18 '!I89</f>
        <v>465.78</v>
      </c>
      <c r="H89" s="51"/>
      <c r="I89" s="170">
        <f t="shared" si="1"/>
        <v>465.78</v>
      </c>
      <c r="J89" s="33"/>
      <c r="K89" s="28"/>
    </row>
    <row r="90" spans="1:11" ht="27" customHeight="1">
      <c r="A90" s="4">
        <v>54118</v>
      </c>
      <c r="B90" s="5" t="s">
        <v>100</v>
      </c>
      <c r="C90" s="2"/>
      <c r="D90" s="3" t="s">
        <v>97</v>
      </c>
      <c r="E90" s="3" t="s">
        <v>29</v>
      </c>
      <c r="F90" s="3" t="s">
        <v>43</v>
      </c>
      <c r="G90" s="305">
        <f>'NOV-18 '!I90</f>
        <v>126.67000000000002</v>
      </c>
      <c r="H90" s="51">
        <f>9+18+14+9.5+6.45+25</f>
        <v>81.95</v>
      </c>
      <c r="I90" s="170">
        <f t="shared" si="1"/>
        <v>44.720000000000013</v>
      </c>
      <c r="J90" s="30"/>
      <c r="K90" s="28"/>
    </row>
    <row r="91" spans="1:11">
      <c r="A91" s="4">
        <v>54119</v>
      </c>
      <c r="B91" s="2" t="s">
        <v>60</v>
      </c>
      <c r="C91" s="2"/>
      <c r="D91" s="3" t="s">
        <v>97</v>
      </c>
      <c r="E91" s="3" t="s">
        <v>29</v>
      </c>
      <c r="F91" s="3" t="s">
        <v>43</v>
      </c>
      <c r="G91" s="305">
        <f>'NOV-18 '!I91</f>
        <v>51.050000000000068</v>
      </c>
      <c r="H91" s="51"/>
      <c r="I91" s="170">
        <f t="shared" si="1"/>
        <v>51.050000000000068</v>
      </c>
      <c r="J91" s="30"/>
      <c r="K91" s="28"/>
    </row>
    <row r="92" spans="1:11">
      <c r="A92" s="4">
        <v>54199</v>
      </c>
      <c r="B92" s="2" t="s">
        <v>61</v>
      </c>
      <c r="C92" s="2"/>
      <c r="D92" s="3" t="s">
        <v>97</v>
      </c>
      <c r="E92" s="3" t="s">
        <v>29</v>
      </c>
      <c r="F92" s="3" t="s">
        <v>43</v>
      </c>
      <c r="G92" s="305">
        <f>'NOV-18 '!I92</f>
        <v>51.530000000000086</v>
      </c>
      <c r="H92" s="51">
        <f>11.5</f>
        <v>11.5</v>
      </c>
      <c r="I92" s="170">
        <f t="shared" si="1"/>
        <v>40.030000000000086</v>
      </c>
      <c r="J92" s="33"/>
      <c r="K92" s="28"/>
    </row>
    <row r="93" spans="1:11">
      <c r="A93" s="4">
        <v>54301</v>
      </c>
      <c r="B93" s="2" t="s">
        <v>66</v>
      </c>
      <c r="C93" s="2"/>
      <c r="D93" s="3" t="s">
        <v>97</v>
      </c>
      <c r="E93" s="3" t="s">
        <v>29</v>
      </c>
      <c r="F93" s="3" t="s">
        <v>43</v>
      </c>
      <c r="G93" s="305">
        <f>'NOV-18 '!I93</f>
        <v>89.329999999999984</v>
      </c>
      <c r="H93" s="51">
        <v>20</v>
      </c>
      <c r="I93" s="170">
        <f t="shared" si="1"/>
        <v>69.329999999999984</v>
      </c>
      <c r="J93" s="29"/>
      <c r="K93" s="28"/>
    </row>
    <row r="94" spans="1:11">
      <c r="A94" s="4">
        <v>54302</v>
      </c>
      <c r="B94" s="2" t="s">
        <v>67</v>
      </c>
      <c r="C94" s="2"/>
      <c r="D94" s="3" t="s">
        <v>97</v>
      </c>
      <c r="E94" s="3" t="s">
        <v>29</v>
      </c>
      <c r="F94" s="3" t="s">
        <v>43</v>
      </c>
      <c r="G94" s="305">
        <f>'NOV-18 '!I94</f>
        <v>360</v>
      </c>
      <c r="H94" s="51"/>
      <c r="I94" s="170">
        <f t="shared" si="1"/>
        <v>360</v>
      </c>
      <c r="J94" s="27"/>
      <c r="K94" s="28"/>
    </row>
    <row r="95" spans="1:11" ht="24.75" customHeight="1">
      <c r="A95" s="4">
        <v>54314</v>
      </c>
      <c r="B95" s="5" t="s">
        <v>101</v>
      </c>
      <c r="C95" s="2"/>
      <c r="D95" s="3" t="s">
        <v>97</v>
      </c>
      <c r="E95" s="3" t="s">
        <v>29</v>
      </c>
      <c r="F95" s="3" t="s">
        <v>43</v>
      </c>
      <c r="G95" s="305">
        <f>'NOV-18 '!I95</f>
        <v>6831.8600000000006</v>
      </c>
      <c r="H95" s="51">
        <f>135+705+500+3500+5.5+21.95+13+25+116.5</f>
        <v>5021.95</v>
      </c>
      <c r="I95" s="170">
        <f t="shared" si="1"/>
        <v>1809.9100000000008</v>
      </c>
      <c r="J95" s="33"/>
      <c r="K95" s="315"/>
    </row>
    <row r="96" spans="1:11">
      <c r="A96" s="4">
        <v>54399</v>
      </c>
      <c r="B96" s="2" t="s">
        <v>74</v>
      </c>
      <c r="C96" s="2"/>
      <c r="D96" s="3" t="s">
        <v>97</v>
      </c>
      <c r="E96" s="3" t="s">
        <v>29</v>
      </c>
      <c r="F96" s="3" t="s">
        <v>43</v>
      </c>
      <c r="G96" s="305">
        <f>'NOV-18 '!I96</f>
        <v>74.389999999999986</v>
      </c>
      <c r="H96" s="51">
        <f>0.5+0.5+2+0.5+0.5+11.3+15+0.5+10</f>
        <v>40.799999999999997</v>
      </c>
      <c r="I96" s="170">
        <f t="shared" si="1"/>
        <v>33.589999999999989</v>
      </c>
      <c r="J96" s="33"/>
      <c r="K96" s="33"/>
    </row>
    <row r="97" spans="1:11">
      <c r="A97" s="4">
        <v>54401</v>
      </c>
      <c r="B97" s="2" t="s">
        <v>75</v>
      </c>
      <c r="C97" s="2"/>
      <c r="D97" s="3" t="s">
        <v>97</v>
      </c>
      <c r="E97" s="3" t="s">
        <v>29</v>
      </c>
      <c r="F97" s="3" t="s">
        <v>43</v>
      </c>
      <c r="G97" s="305">
        <f>'NOV-18 '!I97</f>
        <v>200</v>
      </c>
      <c r="H97" s="51"/>
      <c r="I97" s="170">
        <f t="shared" si="1"/>
        <v>200</v>
      </c>
      <c r="J97" s="34"/>
      <c r="K97" s="28"/>
    </row>
    <row r="98" spans="1:11">
      <c r="A98" s="4">
        <v>54403</v>
      </c>
      <c r="B98" s="2" t="s">
        <v>102</v>
      </c>
      <c r="C98" s="2"/>
      <c r="D98" s="3" t="s">
        <v>97</v>
      </c>
      <c r="E98" s="3" t="s">
        <v>29</v>
      </c>
      <c r="F98" s="3" t="s">
        <v>43</v>
      </c>
      <c r="G98" s="305">
        <f>'NOV-18 '!I98</f>
        <v>321.48</v>
      </c>
      <c r="H98" s="51">
        <f>6+4</f>
        <v>10</v>
      </c>
      <c r="I98" s="170">
        <f t="shared" si="1"/>
        <v>311.48</v>
      </c>
      <c r="J98" s="34"/>
      <c r="K98" s="28"/>
    </row>
    <row r="99" spans="1:11" ht="21.75" customHeight="1">
      <c r="A99" s="4">
        <v>54507</v>
      </c>
      <c r="B99" s="5" t="s">
        <v>103</v>
      </c>
      <c r="C99" s="5"/>
      <c r="D99" s="3" t="s">
        <v>97</v>
      </c>
      <c r="E99" s="3" t="s">
        <v>29</v>
      </c>
      <c r="F99" s="3" t="s">
        <v>43</v>
      </c>
      <c r="G99" s="305">
        <f>'NOV-18 '!I99</f>
        <v>0</v>
      </c>
      <c r="H99" s="51"/>
      <c r="I99" s="170">
        <f t="shared" si="1"/>
        <v>0</v>
      </c>
      <c r="J99" s="35"/>
      <c r="K99" s="28"/>
    </row>
    <row r="100" spans="1:11">
      <c r="A100" s="4">
        <v>54699</v>
      </c>
      <c r="B100" s="5" t="s">
        <v>104</v>
      </c>
      <c r="C100" s="2"/>
      <c r="D100" s="3" t="s">
        <v>97</v>
      </c>
      <c r="E100" s="3" t="s">
        <v>29</v>
      </c>
      <c r="F100" s="3" t="s">
        <v>43</v>
      </c>
      <c r="G100" s="305">
        <f>'NOV-18 '!I100</f>
        <v>1</v>
      </c>
      <c r="H100" s="51"/>
      <c r="I100" s="170">
        <f t="shared" si="1"/>
        <v>1</v>
      </c>
      <c r="J100" s="27"/>
      <c r="K100" s="28"/>
    </row>
    <row r="101" spans="1:11" ht="21">
      <c r="A101" s="38" t="s">
        <v>8</v>
      </c>
      <c r="B101" s="39" t="s">
        <v>105</v>
      </c>
      <c r="C101" s="39"/>
      <c r="D101" s="39" t="s">
        <v>97</v>
      </c>
      <c r="E101" s="39" t="s">
        <v>29</v>
      </c>
      <c r="F101" s="39" t="s">
        <v>43</v>
      </c>
      <c r="G101" s="305">
        <f>'NOV-18 '!I101</f>
        <v>34772.160000000003</v>
      </c>
      <c r="H101" s="95">
        <f>SUM(H75:H100)</f>
        <v>24896.74</v>
      </c>
      <c r="I101" s="40">
        <f>G101-H101+J101-K101</f>
        <v>9875.4200000000019</v>
      </c>
      <c r="J101" s="107">
        <f>SUM(J75:J100)</f>
        <v>0</v>
      </c>
      <c r="K101" s="107">
        <f>SUM(K75:K100)</f>
        <v>0</v>
      </c>
    </row>
    <row r="102" spans="1:11">
      <c r="A102" s="4">
        <v>51101</v>
      </c>
      <c r="B102" s="2" t="s">
        <v>175</v>
      </c>
      <c r="C102" s="2"/>
      <c r="D102" s="3" t="s">
        <v>42</v>
      </c>
      <c r="E102" s="3" t="s">
        <v>29</v>
      </c>
      <c r="F102" s="3" t="s">
        <v>106</v>
      </c>
      <c r="G102" s="305">
        <f>'NOV-18 '!I102</f>
        <v>3037.0499999999802</v>
      </c>
      <c r="H102" s="51">
        <v>7537.05</v>
      </c>
      <c r="I102" s="18">
        <f t="shared" ref="I102:I149" si="2">G102-H102+J102-K102</f>
        <v>-2.0008883439004421E-11</v>
      </c>
      <c r="J102" s="28">
        <v>4500</v>
      </c>
      <c r="K102" s="30"/>
    </row>
    <row r="103" spans="1:11">
      <c r="A103" s="4">
        <v>51103</v>
      </c>
      <c r="B103" s="2" t="s">
        <v>107</v>
      </c>
      <c r="C103" s="2"/>
      <c r="D103" s="3" t="s">
        <v>42</v>
      </c>
      <c r="E103" s="3" t="s">
        <v>29</v>
      </c>
      <c r="F103" s="3" t="s">
        <v>106</v>
      </c>
      <c r="G103" s="305">
        <f>'NOV-18 '!I103</f>
        <v>2687.05</v>
      </c>
      <c r="H103" s="51"/>
      <c r="I103" s="17">
        <f t="shared" si="2"/>
        <v>0</v>
      </c>
      <c r="J103" s="30"/>
      <c r="K103" s="29">
        <v>2687.05</v>
      </c>
    </row>
    <row r="104" spans="1:11">
      <c r="A104" s="4">
        <v>51105</v>
      </c>
      <c r="B104" s="2" t="s">
        <v>176</v>
      </c>
      <c r="C104" s="2"/>
      <c r="D104" s="3" t="s">
        <v>42</v>
      </c>
      <c r="E104" s="3" t="s">
        <v>29</v>
      </c>
      <c r="F104" s="3" t="s">
        <v>106</v>
      </c>
      <c r="G104" s="305">
        <f>'NOV-18 '!I104</f>
        <v>517.17999999999574</v>
      </c>
      <c r="H104" s="51">
        <v>7111.2</v>
      </c>
      <c r="I104" s="18">
        <f t="shared" si="2"/>
        <v>-3.637978807091713E-12</v>
      </c>
      <c r="J104" s="30">
        <v>6594.02</v>
      </c>
      <c r="K104" s="29"/>
    </row>
    <row r="105" spans="1:11" ht="29.25">
      <c r="A105" s="4">
        <v>51107</v>
      </c>
      <c r="B105" s="7" t="s">
        <v>1168</v>
      </c>
      <c r="C105" s="2"/>
      <c r="D105" s="3" t="s">
        <v>42</v>
      </c>
      <c r="E105" s="3" t="s">
        <v>29</v>
      </c>
      <c r="F105" s="3" t="s">
        <v>106</v>
      </c>
      <c r="G105" s="305">
        <f>'NOV-18 '!I105</f>
        <v>900</v>
      </c>
      <c r="H105" s="51"/>
      <c r="I105" s="17">
        <f t="shared" si="2"/>
        <v>900</v>
      </c>
      <c r="J105" s="30"/>
      <c r="K105" s="29"/>
    </row>
    <row r="106" spans="1:11" ht="18.75" customHeight="1">
      <c r="A106" s="4">
        <v>51201</v>
      </c>
      <c r="B106" s="2" t="s">
        <v>1173</v>
      </c>
      <c r="C106" s="2"/>
      <c r="D106" s="3" t="s">
        <v>42</v>
      </c>
      <c r="E106" s="3" t="s">
        <v>29</v>
      </c>
      <c r="F106" s="3" t="s">
        <v>30</v>
      </c>
      <c r="G106" s="305">
        <f>'NOV-18 '!I106</f>
        <v>1411</v>
      </c>
      <c r="H106" s="51">
        <f>1334+950</f>
        <v>2284</v>
      </c>
      <c r="I106" s="18">
        <f t="shared" si="2"/>
        <v>0</v>
      </c>
      <c r="J106" s="445">
        <v>873</v>
      </c>
      <c r="K106" s="29"/>
    </row>
    <row r="107" spans="1:11">
      <c r="A107" s="4">
        <v>51301</v>
      </c>
      <c r="B107" s="2" t="s">
        <v>177</v>
      </c>
      <c r="C107" s="2"/>
      <c r="D107" s="3" t="s">
        <v>42</v>
      </c>
      <c r="E107" s="3" t="s">
        <v>29</v>
      </c>
      <c r="F107" s="3" t="s">
        <v>30</v>
      </c>
      <c r="G107" s="305">
        <f>'NOV-18 '!I107</f>
        <v>719.02</v>
      </c>
      <c r="H107" s="51"/>
      <c r="I107" s="17">
        <f t="shared" si="2"/>
        <v>719.02</v>
      </c>
      <c r="J107" s="30"/>
      <c r="K107" s="29"/>
    </row>
    <row r="108" spans="1:11" ht="33.75" customHeight="1">
      <c r="A108" s="4">
        <v>51401</v>
      </c>
      <c r="B108" s="5" t="s">
        <v>128</v>
      </c>
      <c r="C108" s="5"/>
      <c r="D108" s="3" t="s">
        <v>42</v>
      </c>
      <c r="E108" s="3" t="s">
        <v>29</v>
      </c>
      <c r="F108" s="3" t="s">
        <v>106</v>
      </c>
      <c r="G108" s="305">
        <f>'NOV-18 '!I108</f>
        <v>812.73</v>
      </c>
      <c r="H108" s="51">
        <f>205.29</f>
        <v>205.29</v>
      </c>
      <c r="I108" s="17">
        <f t="shared" si="2"/>
        <v>607.44000000000005</v>
      </c>
      <c r="J108" s="33"/>
      <c r="K108" s="29"/>
    </row>
    <row r="109" spans="1:11" ht="36">
      <c r="A109" s="4">
        <v>51501</v>
      </c>
      <c r="B109" s="5" t="s">
        <v>168</v>
      </c>
      <c r="C109" s="5"/>
      <c r="D109" s="3" t="s">
        <v>42</v>
      </c>
      <c r="E109" s="3" t="s">
        <v>29</v>
      </c>
      <c r="F109" s="3" t="s">
        <v>106</v>
      </c>
      <c r="G109" s="305">
        <f>'NOV-18 '!I109</f>
        <v>1662.6100000000001</v>
      </c>
      <c r="H109" s="51">
        <f>327.36+63</f>
        <v>390.36</v>
      </c>
      <c r="I109" s="17">
        <f t="shared" si="2"/>
        <v>1272.25</v>
      </c>
      <c r="J109" s="33"/>
      <c r="K109" s="29"/>
    </row>
    <row r="110" spans="1:11" ht="34.5" customHeight="1">
      <c r="A110" s="4">
        <v>51601</v>
      </c>
      <c r="B110" s="311" t="s">
        <v>1087</v>
      </c>
      <c r="C110" s="444"/>
      <c r="D110" s="3" t="s">
        <v>42</v>
      </c>
      <c r="E110" s="3" t="s">
        <v>29</v>
      </c>
      <c r="F110" s="3" t="s">
        <v>106</v>
      </c>
      <c r="G110" s="305">
        <f>'NOV-18 '!I110</f>
        <v>0</v>
      </c>
      <c r="H110" s="51"/>
      <c r="I110" s="17">
        <f t="shared" si="2"/>
        <v>0</v>
      </c>
      <c r="J110" s="33"/>
      <c r="K110" s="29"/>
    </row>
    <row r="111" spans="1:11" ht="27.75" customHeight="1">
      <c r="A111" s="4">
        <v>51999</v>
      </c>
      <c r="B111" s="5" t="s">
        <v>178</v>
      </c>
      <c r="C111" s="5"/>
      <c r="D111" s="3" t="s">
        <v>42</v>
      </c>
      <c r="E111" s="3" t="s">
        <v>29</v>
      </c>
      <c r="F111" s="3" t="s">
        <v>30</v>
      </c>
      <c r="G111" s="305">
        <f>'NOV-18 '!I111</f>
        <v>777.37</v>
      </c>
      <c r="H111" s="51"/>
      <c r="I111" s="17">
        <f t="shared" si="2"/>
        <v>777.37</v>
      </c>
      <c r="J111" s="33"/>
      <c r="K111" s="29"/>
    </row>
    <row r="112" spans="1:11">
      <c r="A112" s="4">
        <v>54110</v>
      </c>
      <c r="B112" s="2" t="s">
        <v>108</v>
      </c>
      <c r="C112" s="2"/>
      <c r="D112" s="3" t="s">
        <v>42</v>
      </c>
      <c r="E112" s="3" t="s">
        <v>29</v>
      </c>
      <c r="F112" s="3" t="s">
        <v>30</v>
      </c>
      <c r="G112" s="305">
        <f>'NOV-18 '!I112</f>
        <v>0</v>
      </c>
      <c r="H112" s="51"/>
      <c r="I112" s="17">
        <f t="shared" si="2"/>
        <v>0</v>
      </c>
      <c r="J112" s="33"/>
      <c r="K112" s="29"/>
    </row>
    <row r="113" spans="1:11">
      <c r="A113" s="4">
        <v>54199</v>
      </c>
      <c r="B113" s="2" t="s">
        <v>61</v>
      </c>
      <c r="C113" s="2"/>
      <c r="D113" s="3" t="s">
        <v>42</v>
      </c>
      <c r="E113" s="3" t="s">
        <v>29</v>
      </c>
      <c r="F113" s="3" t="s">
        <v>106</v>
      </c>
      <c r="G113" s="305">
        <f>'NOV-18 '!I113</f>
        <v>0</v>
      </c>
      <c r="H113" s="51">
        <v>386.84</v>
      </c>
      <c r="I113" s="18">
        <f t="shared" si="2"/>
        <v>0</v>
      </c>
      <c r="J113" s="35">
        <v>386.84</v>
      </c>
      <c r="K113" s="29"/>
    </row>
    <row r="114" spans="1:11">
      <c r="A114" s="4">
        <v>54201</v>
      </c>
      <c r="B114" s="2" t="s">
        <v>62</v>
      </c>
      <c r="C114" s="2"/>
      <c r="D114" s="3" t="s">
        <v>42</v>
      </c>
      <c r="E114" s="3" t="s">
        <v>29</v>
      </c>
      <c r="F114" s="3" t="s">
        <v>106</v>
      </c>
      <c r="G114" s="305">
        <f>'NOV-18 '!I114</f>
        <v>1113.8799999999983</v>
      </c>
      <c r="H114" s="51">
        <v>2940.69</v>
      </c>
      <c r="I114" s="18">
        <f t="shared" si="2"/>
        <v>-1.8189894035458565E-12</v>
      </c>
      <c r="J114" s="358">
        <v>1826.81</v>
      </c>
      <c r="K114" s="29"/>
    </row>
    <row r="115" spans="1:11">
      <c r="A115" s="4">
        <v>54202</v>
      </c>
      <c r="B115" s="2" t="s">
        <v>109</v>
      </c>
      <c r="C115" s="2"/>
      <c r="D115" s="3" t="s">
        <v>42</v>
      </c>
      <c r="E115" s="3" t="s">
        <v>29</v>
      </c>
      <c r="F115" s="3" t="s">
        <v>106</v>
      </c>
      <c r="G115" s="305">
        <f>'NOV-18 '!I115</f>
        <v>1111.8600000000001</v>
      </c>
      <c r="H115" s="51"/>
      <c r="I115" s="17">
        <f t="shared" si="2"/>
        <v>1111.8600000000001</v>
      </c>
      <c r="J115" s="18"/>
      <c r="K115" s="29"/>
    </row>
    <row r="116" spans="1:11">
      <c r="A116" s="4">
        <v>54203</v>
      </c>
      <c r="B116" s="2" t="s">
        <v>64</v>
      </c>
      <c r="C116" s="2"/>
      <c r="D116" s="3" t="s">
        <v>42</v>
      </c>
      <c r="E116" s="3" t="s">
        <v>29</v>
      </c>
      <c r="F116" s="3" t="s">
        <v>106</v>
      </c>
      <c r="G116" s="305">
        <f>'NOV-18 '!I116</f>
        <v>674.74000000000024</v>
      </c>
      <c r="H116" s="51">
        <f>798+1216.29+678</f>
        <v>2692.29</v>
      </c>
      <c r="I116" s="18">
        <f t="shared" si="2"/>
        <v>2.2737367544323206E-13</v>
      </c>
      <c r="J116" s="358">
        <v>2017.55</v>
      </c>
      <c r="K116" s="29"/>
    </row>
    <row r="117" spans="1:11">
      <c r="A117" s="4">
        <v>54302</v>
      </c>
      <c r="B117" s="5" t="s">
        <v>136</v>
      </c>
      <c r="C117" s="2"/>
      <c r="D117" s="3" t="s">
        <v>42</v>
      </c>
      <c r="E117" s="3" t="s">
        <v>29</v>
      </c>
      <c r="F117" s="3" t="s">
        <v>106</v>
      </c>
      <c r="G117" s="305">
        <f>'NOV-18 '!I117</f>
        <v>1</v>
      </c>
      <c r="H117" s="51"/>
      <c r="I117" s="17">
        <f t="shared" si="2"/>
        <v>1</v>
      </c>
      <c r="J117" s="35"/>
      <c r="K117" s="29"/>
    </row>
    <row r="118" spans="1:11" ht="30">
      <c r="A118" s="4">
        <v>54313</v>
      </c>
      <c r="B118" s="5" t="s">
        <v>1054</v>
      </c>
      <c r="C118" s="2"/>
      <c r="D118" s="3" t="s">
        <v>42</v>
      </c>
      <c r="E118" s="3" t="s">
        <v>29</v>
      </c>
      <c r="F118" s="3" t="s">
        <v>106</v>
      </c>
      <c r="G118" s="305">
        <f>'NOV-18 '!I118</f>
        <v>0</v>
      </c>
      <c r="H118" s="51"/>
      <c r="I118" s="17">
        <f t="shared" si="2"/>
        <v>0</v>
      </c>
      <c r="J118" s="35"/>
      <c r="K118" s="29"/>
    </row>
    <row r="119" spans="1:11" ht="21.75" customHeight="1">
      <c r="A119" s="4">
        <v>54503</v>
      </c>
      <c r="B119" s="314" t="s">
        <v>1088</v>
      </c>
      <c r="C119" s="313"/>
      <c r="D119" s="3" t="s">
        <v>42</v>
      </c>
      <c r="E119" s="3" t="s">
        <v>29</v>
      </c>
      <c r="F119" s="3" t="s">
        <v>106</v>
      </c>
      <c r="G119" s="305">
        <f>'NOV-18 '!I119</f>
        <v>0</v>
      </c>
      <c r="H119" s="51"/>
      <c r="I119" s="17">
        <f t="shared" si="2"/>
        <v>0</v>
      </c>
      <c r="J119" s="35"/>
      <c r="K119" s="29"/>
    </row>
    <row r="120" spans="1:11" ht="22.5" customHeight="1">
      <c r="A120" s="4">
        <v>55603</v>
      </c>
      <c r="B120" s="2" t="s">
        <v>6</v>
      </c>
      <c r="C120" s="2"/>
      <c r="D120" s="3" t="s">
        <v>42</v>
      </c>
      <c r="E120" s="3" t="s">
        <v>29</v>
      </c>
      <c r="F120" s="3" t="s">
        <v>106</v>
      </c>
      <c r="G120" s="305">
        <f>'NOV-18 '!I120</f>
        <v>182.88</v>
      </c>
      <c r="H120" s="51">
        <v>2.2599999999999998</v>
      </c>
      <c r="I120" s="17">
        <f t="shared" si="2"/>
        <v>180.62</v>
      </c>
      <c r="J120" s="35"/>
      <c r="K120" s="29"/>
    </row>
    <row r="121" spans="1:11" ht="24.75" customHeight="1">
      <c r="A121" s="4">
        <v>55799</v>
      </c>
      <c r="B121" s="5" t="s">
        <v>137</v>
      </c>
      <c r="C121" s="2"/>
      <c r="D121" s="3" t="s">
        <v>42</v>
      </c>
      <c r="E121" s="3" t="s">
        <v>29</v>
      </c>
      <c r="F121" s="3" t="s">
        <v>106</v>
      </c>
      <c r="G121" s="305">
        <f>'NOV-18 '!I121</f>
        <v>382.49</v>
      </c>
      <c r="H121" s="51">
        <f>311.78</f>
        <v>311.77999999999997</v>
      </c>
      <c r="I121" s="134">
        <f t="shared" si="2"/>
        <v>70.710000000000036</v>
      </c>
      <c r="J121" s="35"/>
      <c r="K121" s="29"/>
    </row>
    <row r="122" spans="1:11" ht="16.5" customHeight="1">
      <c r="A122" s="4" t="s">
        <v>110</v>
      </c>
      <c r="B122" s="5" t="s">
        <v>111</v>
      </c>
      <c r="C122" s="2"/>
      <c r="D122" s="3" t="s">
        <v>42</v>
      </c>
      <c r="E122" s="3" t="s">
        <v>29</v>
      </c>
      <c r="F122" s="3" t="s">
        <v>106</v>
      </c>
      <c r="G122" s="305">
        <f>'NOV-18 '!I122</f>
        <v>1800</v>
      </c>
      <c r="H122" s="276">
        <v>600</v>
      </c>
      <c r="I122" s="17">
        <f t="shared" si="2"/>
        <v>1200</v>
      </c>
      <c r="J122" s="35"/>
      <c r="K122" s="35"/>
    </row>
    <row r="123" spans="1:11" ht="15.75" customHeight="1">
      <c r="A123" s="4" t="s">
        <v>112</v>
      </c>
      <c r="B123" s="5" t="s">
        <v>113</v>
      </c>
      <c r="C123" s="2"/>
      <c r="D123" s="3" t="s">
        <v>42</v>
      </c>
      <c r="E123" s="3" t="s">
        <v>29</v>
      </c>
      <c r="F123" s="3" t="s">
        <v>106</v>
      </c>
      <c r="G123" s="305">
        <f>'NOV-18 '!I123</f>
        <v>500</v>
      </c>
      <c r="H123" s="51"/>
      <c r="I123" s="17">
        <f t="shared" si="2"/>
        <v>500</v>
      </c>
      <c r="J123" s="35"/>
      <c r="K123" s="35"/>
    </row>
    <row r="124" spans="1:11" ht="27">
      <c r="A124" s="4">
        <v>56301</v>
      </c>
      <c r="B124" s="5" t="s">
        <v>114</v>
      </c>
      <c r="C124" s="2"/>
      <c r="D124" s="3" t="s">
        <v>42</v>
      </c>
      <c r="E124" s="3" t="s">
        <v>29</v>
      </c>
      <c r="F124" s="3" t="s">
        <v>106</v>
      </c>
      <c r="G124" s="305">
        <f>'NOV-18 '!I124</f>
        <v>0</v>
      </c>
      <c r="H124" s="51"/>
      <c r="I124" s="17">
        <f t="shared" si="2"/>
        <v>0</v>
      </c>
      <c r="J124" s="35"/>
      <c r="K124" s="35"/>
    </row>
    <row r="125" spans="1:11" ht="39.75" customHeight="1">
      <c r="A125" s="4"/>
      <c r="B125" s="5" t="s">
        <v>179</v>
      </c>
      <c r="C125" s="2"/>
      <c r="D125" s="3" t="s">
        <v>42</v>
      </c>
      <c r="E125" s="3" t="s">
        <v>29</v>
      </c>
      <c r="F125" s="3" t="s">
        <v>30</v>
      </c>
      <c r="G125" s="305">
        <f>'NOV-18 '!I125</f>
        <v>0</v>
      </c>
      <c r="H125" s="51"/>
      <c r="I125" s="17">
        <f t="shared" si="2"/>
        <v>0</v>
      </c>
      <c r="J125" s="29"/>
      <c r="K125" s="30"/>
    </row>
    <row r="126" spans="1:11" ht="21">
      <c r="A126" s="38" t="s">
        <v>8</v>
      </c>
      <c r="B126" s="39" t="s">
        <v>115</v>
      </c>
      <c r="C126" s="39"/>
      <c r="D126" s="39" t="s">
        <v>42</v>
      </c>
      <c r="E126" s="39" t="s">
        <v>29</v>
      </c>
      <c r="F126" s="39" t="s">
        <v>30</v>
      </c>
      <c r="G126" s="305">
        <f>'NOV-18 '!I126</f>
        <v>18290.859999999968</v>
      </c>
      <c r="H126" s="95">
        <f>SUM(H102:H125)</f>
        <v>24461.759999999998</v>
      </c>
      <c r="I126" s="40">
        <f>G126-H126+J126-K126</f>
        <v>7340.2699999999686</v>
      </c>
      <c r="J126" s="107">
        <f>SUM(J102:J125)</f>
        <v>16198.22</v>
      </c>
      <c r="K126" s="107">
        <f>SUM(K102:K125)</f>
        <v>2687.05</v>
      </c>
    </row>
    <row r="127" spans="1:11">
      <c r="A127" s="4">
        <v>51101</v>
      </c>
      <c r="B127" s="2" t="s">
        <v>180</v>
      </c>
      <c r="C127" s="2"/>
      <c r="D127" s="3" t="s">
        <v>94</v>
      </c>
      <c r="E127" s="3" t="s">
        <v>29</v>
      </c>
      <c r="F127" s="3" t="s">
        <v>106</v>
      </c>
      <c r="G127" s="305">
        <f>'NOV-18 '!I127</f>
        <v>8280.140000000014</v>
      </c>
      <c r="H127" s="51">
        <f>4414+743.98</f>
        <v>5157.9799999999996</v>
      </c>
      <c r="I127" s="17">
        <f t="shared" si="2"/>
        <v>3122.1600000000144</v>
      </c>
      <c r="J127" s="30"/>
      <c r="K127" s="35"/>
    </row>
    <row r="128" spans="1:11">
      <c r="A128" s="4">
        <v>51103</v>
      </c>
      <c r="B128" s="2" t="s">
        <v>181</v>
      </c>
      <c r="C128" s="2"/>
      <c r="D128" s="3" t="s">
        <v>94</v>
      </c>
      <c r="E128" s="3" t="s">
        <v>29</v>
      </c>
      <c r="F128" s="3" t="s">
        <v>106</v>
      </c>
      <c r="G128" s="305">
        <f>'NOV-18 '!I128</f>
        <v>5128.9799999999996</v>
      </c>
      <c r="H128" s="51"/>
      <c r="I128" s="17">
        <f t="shared" si="2"/>
        <v>0</v>
      </c>
      <c r="J128" s="30"/>
      <c r="K128" s="29">
        <v>5128.9799999999996</v>
      </c>
    </row>
    <row r="129" spans="1:11" ht="30">
      <c r="A129" s="4">
        <v>51107</v>
      </c>
      <c r="B129" s="382" t="s">
        <v>1172</v>
      </c>
      <c r="C129" s="2"/>
      <c r="D129" s="3" t="s">
        <v>94</v>
      </c>
      <c r="E129" s="3" t="s">
        <v>29</v>
      </c>
      <c r="F129" s="3" t="s">
        <v>106</v>
      </c>
      <c r="G129" s="305">
        <f>'NOV-18 '!I129</f>
        <v>1050</v>
      </c>
      <c r="H129" s="51">
        <f>250+250</f>
        <v>500</v>
      </c>
      <c r="I129" s="17">
        <f t="shared" si="2"/>
        <v>550</v>
      </c>
      <c r="J129" s="30"/>
      <c r="K129" s="29"/>
    </row>
    <row r="130" spans="1:11">
      <c r="A130" s="4">
        <v>51201</v>
      </c>
      <c r="B130" s="2" t="s">
        <v>44</v>
      </c>
      <c r="C130" s="2"/>
      <c r="D130" s="3" t="s">
        <v>94</v>
      </c>
      <c r="E130" s="3" t="s">
        <v>29</v>
      </c>
      <c r="F130" s="3" t="s">
        <v>30</v>
      </c>
      <c r="G130" s="305">
        <f>'NOV-18 '!I130</f>
        <v>1716.06</v>
      </c>
      <c r="H130" s="51"/>
      <c r="I130" s="17">
        <f t="shared" si="2"/>
        <v>1716.06</v>
      </c>
      <c r="J130" s="30"/>
      <c r="K130" s="29"/>
    </row>
    <row r="131" spans="1:11">
      <c r="A131" s="4">
        <v>51301</v>
      </c>
      <c r="B131" s="2" t="s">
        <v>45</v>
      </c>
      <c r="C131" s="2"/>
      <c r="D131" s="3" t="s">
        <v>94</v>
      </c>
      <c r="E131" s="3" t="s">
        <v>29</v>
      </c>
      <c r="F131" s="3" t="s">
        <v>30</v>
      </c>
      <c r="G131" s="305">
        <f>'NOV-18 '!I131</f>
        <v>431.43000000000029</v>
      </c>
      <c r="H131" s="51"/>
      <c r="I131" s="17">
        <f t="shared" si="2"/>
        <v>431.43000000000029</v>
      </c>
      <c r="J131" s="30"/>
      <c r="K131" s="29"/>
    </row>
    <row r="132" spans="1:11">
      <c r="A132" s="4">
        <v>51999</v>
      </c>
      <c r="B132" s="2" t="s">
        <v>47</v>
      </c>
      <c r="C132" s="2"/>
      <c r="D132" s="3" t="s">
        <v>94</v>
      </c>
      <c r="E132" s="3" t="s">
        <v>29</v>
      </c>
      <c r="F132" s="3" t="s">
        <v>30</v>
      </c>
      <c r="G132" s="305">
        <f>'NOV-18 '!I132</f>
        <v>450</v>
      </c>
      <c r="H132" s="51"/>
      <c r="I132" s="17">
        <f t="shared" si="2"/>
        <v>450</v>
      </c>
      <c r="J132" s="30"/>
      <c r="K132" s="29"/>
    </row>
    <row r="133" spans="1:11" ht="25.5">
      <c r="A133" s="4">
        <v>51401</v>
      </c>
      <c r="B133" s="5" t="s">
        <v>138</v>
      </c>
      <c r="C133" s="2"/>
      <c r="D133" s="3" t="s">
        <v>94</v>
      </c>
      <c r="E133" s="3" t="s">
        <v>29</v>
      </c>
      <c r="F133" s="3" t="s">
        <v>106</v>
      </c>
      <c r="G133" s="305">
        <f>'NOV-18 '!I133</f>
        <v>751.39999999999941</v>
      </c>
      <c r="H133" s="51">
        <f>328.51</f>
        <v>328.51</v>
      </c>
      <c r="I133" s="17">
        <f t="shared" si="2"/>
        <v>422.88999999999942</v>
      </c>
      <c r="J133" s="35"/>
      <c r="K133" s="34"/>
    </row>
    <row r="134" spans="1:11" ht="33" customHeight="1">
      <c r="A134" s="4">
        <v>51501</v>
      </c>
      <c r="B134" s="5" t="s">
        <v>182</v>
      </c>
      <c r="C134" s="2"/>
      <c r="D134" s="3" t="s">
        <v>94</v>
      </c>
      <c r="E134" s="3" t="s">
        <v>29</v>
      </c>
      <c r="F134" s="3" t="s">
        <v>30</v>
      </c>
      <c r="G134" s="305">
        <f>'NOV-18 '!I134</f>
        <v>1159.1300000000001</v>
      </c>
      <c r="H134" s="51">
        <f>60.84+281.24</f>
        <v>342.08000000000004</v>
      </c>
      <c r="I134" s="17">
        <f t="shared" si="2"/>
        <v>817.05000000000007</v>
      </c>
      <c r="J134" s="35"/>
      <c r="K134" s="27"/>
    </row>
    <row r="135" spans="1:11">
      <c r="A135" s="4">
        <v>54105</v>
      </c>
      <c r="B135" s="2" t="s">
        <v>116</v>
      </c>
      <c r="C135" s="2"/>
      <c r="D135" s="3" t="s">
        <v>94</v>
      </c>
      <c r="E135" s="3" t="s">
        <v>29</v>
      </c>
      <c r="F135" s="3" t="s">
        <v>30</v>
      </c>
      <c r="G135" s="305">
        <f>'NOV-18 '!I135</f>
        <v>3000</v>
      </c>
      <c r="H135" s="51">
        <v>172.35</v>
      </c>
      <c r="I135" s="17">
        <f t="shared" si="2"/>
        <v>2827.65</v>
      </c>
      <c r="J135" s="30"/>
      <c r="K135" s="29"/>
    </row>
    <row r="136" spans="1:11">
      <c r="A136" s="4">
        <v>54114</v>
      </c>
      <c r="B136" s="2" t="s">
        <v>56</v>
      </c>
      <c r="C136" s="2"/>
      <c r="D136" s="3" t="s">
        <v>94</v>
      </c>
      <c r="E136" s="3" t="s">
        <v>29</v>
      </c>
      <c r="F136" s="3" t="s">
        <v>30</v>
      </c>
      <c r="G136" s="305">
        <f>'NOV-18 '!I136</f>
        <v>2504.1999999999998</v>
      </c>
      <c r="H136" s="51">
        <v>289.62</v>
      </c>
      <c r="I136" s="17">
        <f t="shared" si="2"/>
        <v>2214.58</v>
      </c>
      <c r="J136" s="35"/>
      <c r="K136" s="35"/>
    </row>
    <row r="137" spans="1:11">
      <c r="A137" s="4">
        <v>54115</v>
      </c>
      <c r="B137" s="2" t="s">
        <v>57</v>
      </c>
      <c r="C137" s="2"/>
      <c r="D137" s="3" t="s">
        <v>94</v>
      </c>
      <c r="E137" s="3" t="s">
        <v>29</v>
      </c>
      <c r="F137" s="3" t="s">
        <v>30</v>
      </c>
      <c r="G137" s="305">
        <f>'NOV-18 '!I137</f>
        <v>3360</v>
      </c>
      <c r="H137" s="51">
        <f>724.44+896.5</f>
        <v>1620.94</v>
      </c>
      <c r="I137" s="17">
        <f t="shared" si="2"/>
        <v>1739.06</v>
      </c>
      <c r="J137" s="29"/>
      <c r="K137" s="28"/>
    </row>
    <row r="138" spans="1:11" ht="21">
      <c r="A138" s="38" t="s">
        <v>8</v>
      </c>
      <c r="B138" s="39" t="s">
        <v>117</v>
      </c>
      <c r="C138" s="39"/>
      <c r="D138" s="39" t="s">
        <v>94</v>
      </c>
      <c r="E138" s="39" t="s">
        <v>29</v>
      </c>
      <c r="F138" s="39" t="s">
        <v>30</v>
      </c>
      <c r="G138" s="305">
        <f>'NOV-18 '!I138</f>
        <v>27831.340000000018</v>
      </c>
      <c r="H138" s="95">
        <f>SUM(H127:H137)</f>
        <v>8411.48</v>
      </c>
      <c r="I138" s="40">
        <f>G138-H138+J138-K138</f>
        <v>14290.880000000019</v>
      </c>
      <c r="J138" s="107">
        <f>SUM(J127:J137)</f>
        <v>0</v>
      </c>
      <c r="K138" s="107">
        <f>SUM(K127:K137)</f>
        <v>5128.9799999999996</v>
      </c>
    </row>
    <row r="139" spans="1:11">
      <c r="A139" s="4">
        <v>51101</v>
      </c>
      <c r="B139" s="2" t="s">
        <v>183</v>
      </c>
      <c r="C139" s="2"/>
      <c r="D139" s="3" t="s">
        <v>97</v>
      </c>
      <c r="E139" s="3" t="s">
        <v>29</v>
      </c>
      <c r="F139" s="3" t="s">
        <v>106</v>
      </c>
      <c r="G139" s="305">
        <f>'NOV-18 '!I139</f>
        <v>19236.150000000023</v>
      </c>
      <c r="H139" s="51">
        <f>16037.22+2027.5+2420</f>
        <v>20484.72</v>
      </c>
      <c r="I139" s="18">
        <f t="shared" si="2"/>
        <v>2.205524651799351E-11</v>
      </c>
      <c r="J139" s="30">
        <v>1248.57</v>
      </c>
      <c r="K139" s="35"/>
    </row>
    <row r="140" spans="1:11">
      <c r="A140" s="4">
        <v>51103</v>
      </c>
      <c r="B140" s="2" t="s">
        <v>181</v>
      </c>
      <c r="C140" s="2"/>
      <c r="D140" s="3" t="s">
        <v>97</v>
      </c>
      <c r="E140" s="3" t="s">
        <v>29</v>
      </c>
      <c r="F140" s="3" t="s">
        <v>106</v>
      </c>
      <c r="G140" s="305">
        <f>'NOV-18 '!I140</f>
        <v>11385.310000000001</v>
      </c>
      <c r="H140" s="51"/>
      <c r="I140" s="248">
        <f>G140-H140+J140-K140</f>
        <v>0</v>
      </c>
      <c r="J140" s="30"/>
      <c r="K140" s="30">
        <v>11385.31</v>
      </c>
    </row>
    <row r="141" spans="1:11">
      <c r="A141" s="4">
        <v>51107</v>
      </c>
      <c r="B141" s="2" t="s">
        <v>1169</v>
      </c>
      <c r="C141" s="2"/>
      <c r="D141" s="3" t="s">
        <v>97</v>
      </c>
      <c r="E141" s="3" t="s">
        <v>29</v>
      </c>
      <c r="F141" s="3" t="s">
        <v>30</v>
      </c>
      <c r="G141" s="305">
        <f>'NOV-18 '!I141</f>
        <v>1725.5</v>
      </c>
      <c r="H141" s="51"/>
      <c r="I141" s="17">
        <f t="shared" si="2"/>
        <v>1725.5</v>
      </c>
      <c r="J141" s="30"/>
      <c r="K141" s="395"/>
    </row>
    <row r="142" spans="1:11">
      <c r="A142" s="4">
        <v>51201</v>
      </c>
      <c r="B142" s="2" t="s">
        <v>119</v>
      </c>
      <c r="C142" s="2"/>
      <c r="D142" s="3" t="s">
        <v>97</v>
      </c>
      <c r="E142" s="3" t="s">
        <v>29</v>
      </c>
      <c r="F142" s="3" t="s">
        <v>30</v>
      </c>
      <c r="G142" s="305">
        <f>'NOV-18 '!I142</f>
        <v>1174.17</v>
      </c>
      <c r="H142" s="51"/>
      <c r="I142" s="17">
        <f t="shared" si="2"/>
        <v>1174.17</v>
      </c>
      <c r="J142" s="445"/>
      <c r="K142" s="277"/>
    </row>
    <row r="143" spans="1:11">
      <c r="A143" s="4">
        <v>51301</v>
      </c>
      <c r="B143" s="2" t="s">
        <v>45</v>
      </c>
      <c r="C143" s="2"/>
      <c r="D143" s="3" t="s">
        <v>97</v>
      </c>
      <c r="E143" s="3" t="s">
        <v>29</v>
      </c>
      <c r="F143" s="3" t="s">
        <v>106</v>
      </c>
      <c r="G143" s="305">
        <f>'NOV-18 '!I143</f>
        <v>595.92999999999893</v>
      </c>
      <c r="H143" s="51"/>
      <c r="I143" s="17">
        <f t="shared" si="2"/>
        <v>595.92999999999893</v>
      </c>
      <c r="J143" s="20"/>
      <c r="K143" s="35"/>
    </row>
    <row r="144" spans="1:11" ht="34.5" customHeight="1">
      <c r="A144" s="4">
        <v>51401</v>
      </c>
      <c r="B144" s="5" t="s">
        <v>139</v>
      </c>
      <c r="C144" s="2"/>
      <c r="D144" s="3" t="s">
        <v>97</v>
      </c>
      <c r="E144" s="3" t="s">
        <v>29</v>
      </c>
      <c r="F144" s="3" t="s">
        <v>106</v>
      </c>
      <c r="G144" s="305">
        <f>'NOV-18 '!I144</f>
        <v>1119.3000000000013</v>
      </c>
      <c r="H144" s="51">
        <f>1418.22+90.75</f>
        <v>1508.97</v>
      </c>
      <c r="I144" s="17">
        <f t="shared" si="2"/>
        <v>1364.8800000000015</v>
      </c>
      <c r="J144" s="35">
        <f>389.67+1364.88</f>
        <v>1754.5500000000002</v>
      </c>
      <c r="K144" s="35"/>
    </row>
    <row r="145" spans="1:11" ht="45" customHeight="1">
      <c r="A145" s="4">
        <v>51501</v>
      </c>
      <c r="B145" s="5" t="s">
        <v>185</v>
      </c>
      <c r="C145" s="2"/>
      <c r="D145" s="3" t="s">
        <v>97</v>
      </c>
      <c r="E145" s="3" t="s">
        <v>29</v>
      </c>
      <c r="F145" s="3" t="s">
        <v>106</v>
      </c>
      <c r="G145" s="305">
        <f>'NOV-18 '!I145</f>
        <v>3637.8699999999994</v>
      </c>
      <c r="H145" s="51">
        <f>830.06+543.09</f>
        <v>1373.15</v>
      </c>
      <c r="I145" s="17">
        <f t="shared" si="2"/>
        <v>2264.7199999999993</v>
      </c>
      <c r="J145" s="35"/>
      <c r="K145" s="35"/>
    </row>
    <row r="146" spans="1:11" ht="20.25" customHeight="1">
      <c r="A146" s="4">
        <v>54110</v>
      </c>
      <c r="B146" s="5" t="s">
        <v>108</v>
      </c>
      <c r="C146" s="2"/>
      <c r="D146" s="3" t="s">
        <v>97</v>
      </c>
      <c r="E146" s="3" t="s">
        <v>29</v>
      </c>
      <c r="F146" s="3" t="s">
        <v>106</v>
      </c>
      <c r="G146" s="305">
        <f>'NOV-18 '!I146</f>
        <v>1</v>
      </c>
      <c r="H146" s="51"/>
      <c r="I146" s="17">
        <f t="shared" si="2"/>
        <v>1</v>
      </c>
      <c r="J146" s="35"/>
      <c r="K146" s="35"/>
    </row>
    <row r="147" spans="1:11">
      <c r="A147" s="4">
        <v>54121</v>
      </c>
      <c r="B147" s="2" t="s">
        <v>120</v>
      </c>
      <c r="C147" s="2"/>
      <c r="D147" s="3" t="s">
        <v>97</v>
      </c>
      <c r="E147" s="3" t="s">
        <v>29</v>
      </c>
      <c r="F147" s="3" t="s">
        <v>106</v>
      </c>
      <c r="G147" s="305">
        <f>'NOV-18 '!I147</f>
        <v>657</v>
      </c>
      <c r="H147" s="51"/>
      <c r="I147" s="17">
        <f t="shared" si="2"/>
        <v>657</v>
      </c>
      <c r="J147" s="35"/>
      <c r="K147" s="29"/>
    </row>
    <row r="148" spans="1:11">
      <c r="A148" s="4">
        <v>54301</v>
      </c>
      <c r="B148" s="2" t="s">
        <v>140</v>
      </c>
      <c r="C148" s="2"/>
      <c r="D148" s="3" t="s">
        <v>97</v>
      </c>
      <c r="E148" s="3" t="s">
        <v>29</v>
      </c>
      <c r="F148" s="3" t="s">
        <v>106</v>
      </c>
      <c r="G148" s="305">
        <f>'NOV-18 '!I148</f>
        <v>1</v>
      </c>
      <c r="H148" s="51"/>
      <c r="I148" s="17">
        <f t="shared" si="2"/>
        <v>1</v>
      </c>
      <c r="J148" s="35"/>
      <c r="K148" s="29"/>
    </row>
    <row r="149" spans="1:11">
      <c r="A149" s="4">
        <v>54302</v>
      </c>
      <c r="B149" s="2" t="s">
        <v>121</v>
      </c>
      <c r="C149" s="2"/>
      <c r="D149" s="3" t="s">
        <v>122</v>
      </c>
      <c r="E149" s="3" t="s">
        <v>29</v>
      </c>
      <c r="F149" s="3" t="s">
        <v>30</v>
      </c>
      <c r="G149" s="305">
        <f>'NOV-18 '!I149</f>
        <v>1</v>
      </c>
      <c r="H149" s="51"/>
      <c r="I149" s="17">
        <f t="shared" si="2"/>
        <v>1</v>
      </c>
      <c r="J149" s="35"/>
      <c r="K149" s="29"/>
    </row>
    <row r="150" spans="1:11" ht="45">
      <c r="A150" s="4">
        <v>54505</v>
      </c>
      <c r="B150" s="7" t="s">
        <v>1055</v>
      </c>
      <c r="C150" s="2"/>
      <c r="D150" s="3" t="s">
        <v>122</v>
      </c>
      <c r="E150" s="3" t="s">
        <v>29</v>
      </c>
      <c r="F150" s="3" t="s">
        <v>30</v>
      </c>
      <c r="G150" s="305">
        <f>'NOV-18 '!I150</f>
        <v>25</v>
      </c>
      <c r="H150" s="51"/>
      <c r="I150" s="17">
        <f>G150-H150+J150-K150</f>
        <v>25</v>
      </c>
      <c r="J150" s="22"/>
      <c r="K150" s="29"/>
    </row>
    <row r="151" spans="1:11" ht="21">
      <c r="A151" s="38" t="s">
        <v>8</v>
      </c>
      <c r="B151" s="39" t="s">
        <v>123</v>
      </c>
      <c r="C151" s="39"/>
      <c r="D151" s="39" t="s">
        <v>97</v>
      </c>
      <c r="E151" s="39" t="s">
        <v>29</v>
      </c>
      <c r="F151" s="39" t="s">
        <v>30</v>
      </c>
      <c r="G151" s="305">
        <f>'NOV-18 '!I151</f>
        <v>39559.230000000025</v>
      </c>
      <c r="H151" s="95">
        <f>SUM(H139:H150)</f>
        <v>23366.840000000004</v>
      </c>
      <c r="I151" s="40">
        <f>G151-H151+J151-K151</f>
        <v>7810.2000000000207</v>
      </c>
      <c r="J151" s="107">
        <f>SUM(J139:J150)</f>
        <v>3003.12</v>
      </c>
      <c r="K151" s="107">
        <f>SUM(K139:K150)</f>
        <v>11385.31</v>
      </c>
    </row>
    <row r="152" spans="1:11">
      <c r="A152" s="1">
        <v>54305</v>
      </c>
      <c r="B152" s="2" t="s">
        <v>0</v>
      </c>
      <c r="C152" s="2"/>
      <c r="D152" s="3" t="s">
        <v>1</v>
      </c>
      <c r="E152" s="3" t="s">
        <v>25</v>
      </c>
      <c r="F152" s="3" t="s">
        <v>26</v>
      </c>
      <c r="G152" s="305">
        <f>'NOV-18 '!I152</f>
        <v>0</v>
      </c>
      <c r="H152" s="51"/>
      <c r="I152" s="17">
        <f t="shared" ref="I152:I288" si="3">G152-H152+J152-K152</f>
        <v>0</v>
      </c>
      <c r="J152" s="37"/>
      <c r="K152" s="446"/>
    </row>
    <row r="153" spans="1:11" ht="30.75" customHeight="1">
      <c r="A153" s="4">
        <v>54313</v>
      </c>
      <c r="B153" s="5" t="s">
        <v>2</v>
      </c>
      <c r="C153" s="5"/>
      <c r="D153" s="3" t="s">
        <v>1</v>
      </c>
      <c r="E153" s="3" t="s">
        <v>25</v>
      </c>
      <c r="F153" s="3" t="s">
        <v>26</v>
      </c>
      <c r="G153" s="305">
        <f>'NOV-18 '!I153</f>
        <v>1246.32</v>
      </c>
      <c r="H153" s="51"/>
      <c r="I153" s="17">
        <f t="shared" si="3"/>
        <v>1246.32</v>
      </c>
      <c r="J153" s="37"/>
      <c r="K153" s="446"/>
    </row>
    <row r="154" spans="1:11">
      <c r="A154" s="4">
        <v>54503</v>
      </c>
      <c r="B154" s="5" t="s">
        <v>3</v>
      </c>
      <c r="C154" s="2"/>
      <c r="D154" s="3" t="s">
        <v>1</v>
      </c>
      <c r="E154" s="3" t="s">
        <v>25</v>
      </c>
      <c r="F154" s="3" t="s">
        <v>26</v>
      </c>
      <c r="G154" s="305">
        <f>'NOV-18 '!I154</f>
        <v>2000</v>
      </c>
      <c r="H154" s="51"/>
      <c r="I154" s="17">
        <f t="shared" si="3"/>
        <v>2000</v>
      </c>
      <c r="J154" s="37"/>
      <c r="K154" s="446"/>
    </row>
    <row r="155" spans="1:11">
      <c r="A155" s="4">
        <v>54505</v>
      </c>
      <c r="B155" s="2" t="s">
        <v>4</v>
      </c>
      <c r="C155" s="2"/>
      <c r="D155" s="3" t="s">
        <v>1</v>
      </c>
      <c r="E155" s="3" t="s">
        <v>25</v>
      </c>
      <c r="F155" s="3" t="s">
        <v>27</v>
      </c>
      <c r="G155" s="305">
        <f>'NOV-18 '!I155</f>
        <v>500</v>
      </c>
      <c r="H155" s="51"/>
      <c r="I155" s="17">
        <f t="shared" si="3"/>
        <v>500</v>
      </c>
      <c r="J155" s="37"/>
      <c r="K155" s="446"/>
    </row>
    <row r="156" spans="1:11" ht="30">
      <c r="A156" s="11">
        <v>54599</v>
      </c>
      <c r="B156" s="54" t="s">
        <v>5</v>
      </c>
      <c r="C156" s="68"/>
      <c r="D156" s="14" t="s">
        <v>1</v>
      </c>
      <c r="E156" s="14" t="s">
        <v>25</v>
      </c>
      <c r="F156" s="14" t="s">
        <v>27</v>
      </c>
      <c r="G156" s="305">
        <f>'NOV-18 '!I156</f>
        <v>3367.6099999999997</v>
      </c>
      <c r="H156" s="51">
        <f>750+750</f>
        <v>1500</v>
      </c>
      <c r="I156" s="17">
        <f t="shared" si="3"/>
        <v>1867.6099999999997</v>
      </c>
      <c r="J156" s="108"/>
      <c r="K156" s="302"/>
    </row>
    <row r="157" spans="1:11">
      <c r="A157" s="11">
        <v>55603</v>
      </c>
      <c r="B157" s="54" t="s">
        <v>6</v>
      </c>
      <c r="C157" s="55"/>
      <c r="D157" s="14" t="s">
        <v>1</v>
      </c>
      <c r="E157" s="14" t="s">
        <v>25</v>
      </c>
      <c r="F157" s="14" t="s">
        <v>26</v>
      </c>
      <c r="G157" s="305">
        <f>'NOV-18 '!I157</f>
        <v>97.4</v>
      </c>
      <c r="H157" s="51"/>
      <c r="I157" s="17">
        <f t="shared" si="3"/>
        <v>97.4</v>
      </c>
      <c r="J157" s="64"/>
      <c r="K157" s="65"/>
    </row>
    <row r="158" spans="1:11" ht="26.25">
      <c r="A158" s="4">
        <v>61599</v>
      </c>
      <c r="B158" s="5" t="s">
        <v>7</v>
      </c>
      <c r="C158" s="5"/>
      <c r="D158" s="3" t="s">
        <v>1</v>
      </c>
      <c r="E158" s="3" t="s">
        <v>25</v>
      </c>
      <c r="F158" s="3" t="s">
        <v>26</v>
      </c>
      <c r="G158" s="305">
        <f>'NOV-18 '!I158</f>
        <v>687.83999999999992</v>
      </c>
      <c r="H158" s="51"/>
      <c r="I158" s="17">
        <f t="shared" si="3"/>
        <v>687.83999999999992</v>
      </c>
      <c r="J158" s="37"/>
      <c r="K158" s="36"/>
    </row>
    <row r="159" spans="1:11" ht="21">
      <c r="A159" s="38" t="s">
        <v>8</v>
      </c>
      <c r="B159" s="39" t="s">
        <v>9</v>
      </c>
      <c r="C159" s="39"/>
      <c r="D159" s="39" t="s">
        <v>1</v>
      </c>
      <c r="E159" s="39" t="s">
        <v>25</v>
      </c>
      <c r="F159" s="39" t="s">
        <v>27</v>
      </c>
      <c r="G159" s="305">
        <f>'NOV-18 '!I159</f>
        <v>7899.1699999999983</v>
      </c>
      <c r="H159" s="95">
        <f>SUM(H152:H158)</f>
        <v>1500</v>
      </c>
      <c r="I159" s="40">
        <f>G159-H159+J159-K159</f>
        <v>6399.1699999999983</v>
      </c>
      <c r="J159" s="107">
        <f>SUM(J152:J158)</f>
        <v>0</v>
      </c>
      <c r="K159" s="107">
        <f>SUM(K152:K158)</f>
        <v>0</v>
      </c>
    </row>
    <row r="160" spans="1:11" ht="28.5" customHeight="1">
      <c r="A160" s="367">
        <v>54104</v>
      </c>
      <c r="B160" s="7" t="s">
        <v>186</v>
      </c>
      <c r="C160" s="6"/>
      <c r="D160" s="3" t="s">
        <v>11</v>
      </c>
      <c r="E160" s="3" t="s">
        <v>25</v>
      </c>
      <c r="F160" s="3" t="s">
        <v>26</v>
      </c>
      <c r="G160" s="305">
        <f>'NOV-18 '!I160</f>
        <v>3000</v>
      </c>
      <c r="H160" s="51"/>
      <c r="I160" s="17">
        <f t="shared" si="3"/>
        <v>3000</v>
      </c>
      <c r="J160" s="37"/>
      <c r="K160" s="36"/>
    </row>
    <row r="161" spans="1:11" ht="44.25" customHeight="1">
      <c r="A161" s="4">
        <v>54117</v>
      </c>
      <c r="B161" s="7" t="s">
        <v>187</v>
      </c>
      <c r="C161" s="6"/>
      <c r="D161" s="3" t="s">
        <v>11</v>
      </c>
      <c r="E161" s="3" t="s">
        <v>25</v>
      </c>
      <c r="F161" s="3" t="s">
        <v>26</v>
      </c>
      <c r="G161" s="305">
        <f>'NOV-18 '!I161</f>
        <v>530.03</v>
      </c>
      <c r="H161" s="51"/>
      <c r="I161" s="17">
        <f t="shared" si="3"/>
        <v>530.03</v>
      </c>
      <c r="J161" s="37"/>
      <c r="K161" s="324"/>
    </row>
    <row r="162" spans="1:11" ht="30.75" customHeight="1">
      <c r="A162" s="4">
        <v>55603</v>
      </c>
      <c r="B162" s="5" t="s">
        <v>13</v>
      </c>
      <c r="C162" s="6"/>
      <c r="D162" s="3" t="s">
        <v>11</v>
      </c>
      <c r="E162" s="3" t="s">
        <v>25</v>
      </c>
      <c r="F162" s="3" t="s">
        <v>26</v>
      </c>
      <c r="G162" s="305">
        <f>'NOV-18 '!I162</f>
        <v>761.28000000000009</v>
      </c>
      <c r="H162" s="51"/>
      <c r="I162" s="17">
        <f t="shared" si="3"/>
        <v>761.28000000000009</v>
      </c>
      <c r="J162" s="37"/>
      <c r="K162" s="385"/>
    </row>
    <row r="163" spans="1:11" ht="30.75" customHeight="1">
      <c r="A163" s="66" t="s">
        <v>14</v>
      </c>
      <c r="B163" s="67" t="s">
        <v>188</v>
      </c>
      <c r="C163" s="55"/>
      <c r="D163" s="14" t="s">
        <v>11</v>
      </c>
      <c r="E163" s="14" t="s">
        <v>25</v>
      </c>
      <c r="F163" s="50" t="s">
        <v>26</v>
      </c>
      <c r="G163" s="305">
        <f>'NOV-18 '!I163</f>
        <v>519.66000000000031</v>
      </c>
      <c r="H163" s="51"/>
      <c r="I163" s="170">
        <f t="shared" si="3"/>
        <v>519.66000000000031</v>
      </c>
      <c r="J163" s="387"/>
      <c r="K163" s="54"/>
    </row>
    <row r="164" spans="1:11" ht="36.75" customHeight="1">
      <c r="A164" s="11">
        <v>61104</v>
      </c>
      <c r="B164" s="54" t="s">
        <v>189</v>
      </c>
      <c r="C164" s="55"/>
      <c r="D164" s="14" t="s">
        <v>11</v>
      </c>
      <c r="E164" s="14" t="s">
        <v>25</v>
      </c>
      <c r="F164" s="14" t="s">
        <v>27</v>
      </c>
      <c r="G164" s="305">
        <f>'NOV-18 '!I164</f>
        <v>626.86000000000035</v>
      </c>
      <c r="H164" s="51"/>
      <c r="I164" s="17">
        <f t="shared" si="3"/>
        <v>626.86000000000035</v>
      </c>
      <c r="J164" s="62"/>
      <c r="K164" s="320"/>
    </row>
    <row r="165" spans="1:11" ht="31.5" customHeight="1">
      <c r="A165" s="11">
        <v>61109</v>
      </c>
      <c r="B165" s="54" t="s">
        <v>190</v>
      </c>
      <c r="C165" s="55"/>
      <c r="D165" s="14" t="s">
        <v>11</v>
      </c>
      <c r="E165" s="14" t="s">
        <v>25</v>
      </c>
      <c r="F165" s="14" t="s">
        <v>26</v>
      </c>
      <c r="G165" s="305">
        <f>'NOV-18 '!I165</f>
        <v>673.5</v>
      </c>
      <c r="H165" s="51"/>
      <c r="I165" s="17">
        <f t="shared" si="3"/>
        <v>673.5</v>
      </c>
      <c r="J165" s="62"/>
      <c r="K165" s="387"/>
    </row>
    <row r="166" spans="1:11" ht="30.75" customHeight="1">
      <c r="A166" s="11" t="s">
        <v>160</v>
      </c>
      <c r="B166" s="54" t="s">
        <v>194</v>
      </c>
      <c r="C166" s="55"/>
      <c r="D166" s="14" t="s">
        <v>11</v>
      </c>
      <c r="E166" s="14" t="s">
        <v>25</v>
      </c>
      <c r="F166" s="14" t="s">
        <v>26</v>
      </c>
      <c r="G166" s="305">
        <f>'NOV-18 '!I166</f>
        <v>0</v>
      </c>
      <c r="H166" s="51"/>
      <c r="I166" s="17">
        <f t="shared" si="3"/>
        <v>0</v>
      </c>
      <c r="J166" s="62"/>
      <c r="K166" s="63"/>
    </row>
    <row r="167" spans="1:11" ht="27.75" customHeight="1">
      <c r="A167" s="11" t="s">
        <v>191</v>
      </c>
      <c r="B167" s="54" t="s">
        <v>195</v>
      </c>
      <c r="C167" s="55"/>
      <c r="D167" s="14" t="s">
        <v>11</v>
      </c>
      <c r="E167" s="14" t="s">
        <v>25</v>
      </c>
      <c r="F167" s="14" t="s">
        <v>26</v>
      </c>
      <c r="G167" s="305">
        <f>'NOV-18 '!I167</f>
        <v>0</v>
      </c>
      <c r="H167" s="51"/>
      <c r="I167" s="17">
        <f t="shared" si="3"/>
        <v>0</v>
      </c>
      <c r="J167" s="64"/>
      <c r="K167" s="385"/>
    </row>
    <row r="168" spans="1:11" ht="31.5" customHeight="1">
      <c r="A168" s="11" t="s">
        <v>192</v>
      </c>
      <c r="B168" s="53" t="s">
        <v>196</v>
      </c>
      <c r="C168" s="8"/>
      <c r="D168" s="3" t="s">
        <v>11</v>
      </c>
      <c r="E168" s="3" t="s">
        <v>25</v>
      </c>
      <c r="F168" s="3" t="s">
        <v>26</v>
      </c>
      <c r="G168" s="305">
        <f>'NOV-18 '!I168</f>
        <v>2000</v>
      </c>
      <c r="H168" s="51"/>
      <c r="I168" s="17">
        <f t="shared" si="3"/>
        <v>2000</v>
      </c>
      <c r="J168" s="45"/>
      <c r="K168" s="385"/>
    </row>
    <row r="169" spans="1:11" ht="45" customHeight="1">
      <c r="A169" s="11" t="s">
        <v>193</v>
      </c>
      <c r="B169" s="53" t="s">
        <v>197</v>
      </c>
      <c r="C169" s="8"/>
      <c r="D169" s="3" t="s">
        <v>11</v>
      </c>
      <c r="E169" s="3" t="s">
        <v>25</v>
      </c>
      <c r="F169" s="3" t="s">
        <v>26</v>
      </c>
      <c r="G169" s="305">
        <f>'NOV-18 '!I169</f>
        <v>10000</v>
      </c>
      <c r="H169" s="51"/>
      <c r="I169" s="17">
        <f t="shared" si="3"/>
        <v>10000</v>
      </c>
      <c r="J169" s="45"/>
      <c r="K169" s="46"/>
    </row>
    <row r="170" spans="1:11" ht="42.75" customHeight="1">
      <c r="A170" s="11" t="s">
        <v>198</v>
      </c>
      <c r="B170" s="53" t="s">
        <v>1029</v>
      </c>
      <c r="C170" s="6"/>
      <c r="D170" s="3" t="s">
        <v>11</v>
      </c>
      <c r="E170" s="3" t="s">
        <v>25</v>
      </c>
      <c r="F170" s="3" t="s">
        <v>26</v>
      </c>
      <c r="G170" s="305">
        <f>'NOV-18 '!I170</f>
        <v>14000</v>
      </c>
      <c r="H170" s="51"/>
      <c r="I170" s="17">
        <f t="shared" si="3"/>
        <v>14000</v>
      </c>
      <c r="J170" s="45"/>
      <c r="K170" s="46"/>
    </row>
    <row r="171" spans="1:11" ht="85.5">
      <c r="A171" s="144" t="s">
        <v>200</v>
      </c>
      <c r="B171" s="54" t="s">
        <v>202</v>
      </c>
      <c r="C171" s="343" t="s">
        <v>1096</v>
      </c>
      <c r="D171" s="14" t="s">
        <v>11</v>
      </c>
      <c r="E171" s="14" t="s">
        <v>25</v>
      </c>
      <c r="F171" s="14" t="s">
        <v>26</v>
      </c>
      <c r="G171" s="305">
        <f>'NOV-18 '!I171</f>
        <v>0</v>
      </c>
      <c r="H171" s="51"/>
      <c r="I171" s="17">
        <f t="shared" si="3"/>
        <v>0</v>
      </c>
      <c r="J171" s="64"/>
      <c r="K171" s="261"/>
    </row>
    <row r="172" spans="1:11" ht="36.75" customHeight="1">
      <c r="A172" s="11" t="s">
        <v>556</v>
      </c>
      <c r="B172" s="145" t="s">
        <v>1030</v>
      </c>
      <c r="C172" s="55" t="s">
        <v>1097</v>
      </c>
      <c r="D172" s="14" t="s">
        <v>11</v>
      </c>
      <c r="E172" s="14" t="s">
        <v>25</v>
      </c>
      <c r="F172" s="14" t="s">
        <v>26</v>
      </c>
      <c r="G172" s="305">
        <f>'NOV-18 '!I172</f>
        <v>4333.029999999997</v>
      </c>
      <c r="H172" s="51">
        <f>233.38+233.38+357.3+280.08+280.08+280.08+240.12+180+180+180+180</f>
        <v>2624.4199999999996</v>
      </c>
      <c r="I172" s="17">
        <f t="shared" si="3"/>
        <v>1708.6099999999974</v>
      </c>
      <c r="J172" s="108"/>
      <c r="K172" s="269"/>
    </row>
    <row r="173" spans="1:11" ht="36.75" customHeight="1">
      <c r="A173" s="11" t="s">
        <v>1241</v>
      </c>
      <c r="B173" s="250" t="s">
        <v>1242</v>
      </c>
      <c r="C173" s="55"/>
      <c r="D173" s="14" t="s">
        <v>11</v>
      </c>
      <c r="E173" s="14" t="s">
        <v>25</v>
      </c>
      <c r="F173" s="14" t="s">
        <v>26</v>
      </c>
      <c r="G173" s="305">
        <f>'NOV-18 '!I173</f>
        <v>3000</v>
      </c>
      <c r="H173" s="51"/>
      <c r="I173" s="17">
        <f t="shared" si="3"/>
        <v>3000</v>
      </c>
      <c r="J173" s="108"/>
      <c r="K173" s="269"/>
    </row>
    <row r="174" spans="1:11" ht="36.75" customHeight="1">
      <c r="A174" s="144" t="s">
        <v>564</v>
      </c>
      <c r="B174" s="250" t="s">
        <v>1232</v>
      </c>
      <c r="C174" s="55"/>
      <c r="D174" s="14" t="s">
        <v>11</v>
      </c>
      <c r="E174" s="14" t="s">
        <v>25</v>
      </c>
      <c r="F174" s="14" t="s">
        <v>26</v>
      </c>
      <c r="G174" s="305">
        <f>'NOV-18 '!I174</f>
        <v>66</v>
      </c>
      <c r="H174" s="51"/>
      <c r="I174" s="17">
        <f t="shared" si="3"/>
        <v>66</v>
      </c>
      <c r="J174" s="108"/>
      <c r="K174" s="269"/>
    </row>
    <row r="175" spans="1:11" ht="36.75" customHeight="1">
      <c r="A175" s="144" t="s">
        <v>1038</v>
      </c>
      <c r="B175" s="250" t="s">
        <v>1007</v>
      </c>
      <c r="C175" s="55" t="s">
        <v>1097</v>
      </c>
      <c r="D175" s="14" t="s">
        <v>11</v>
      </c>
      <c r="E175" s="14" t="s">
        <v>25</v>
      </c>
      <c r="F175" s="14" t="s">
        <v>26</v>
      </c>
      <c r="G175" s="305">
        <f>'NOV-18 '!I175</f>
        <v>4000</v>
      </c>
      <c r="H175" s="51">
        <f>702</f>
        <v>702</v>
      </c>
      <c r="I175" s="17">
        <f t="shared" si="3"/>
        <v>3298</v>
      </c>
      <c r="J175" s="108"/>
      <c r="K175" s="269"/>
    </row>
    <row r="176" spans="1:11" ht="36" customHeight="1">
      <c r="A176" s="144" t="s">
        <v>1138</v>
      </c>
      <c r="B176" s="250" t="s">
        <v>1139</v>
      </c>
      <c r="C176" s="55" t="s">
        <v>1097</v>
      </c>
      <c r="D176" s="14" t="s">
        <v>11</v>
      </c>
      <c r="E176" s="14" t="s">
        <v>25</v>
      </c>
      <c r="F176" s="14" t="s">
        <v>26</v>
      </c>
      <c r="G176" s="305">
        <f>'NOV-18 '!I176</f>
        <v>2364.52</v>
      </c>
      <c r="H176" s="51">
        <f>27.8</f>
        <v>27.8</v>
      </c>
      <c r="I176" s="17">
        <f t="shared" si="3"/>
        <v>2336.7199999999998</v>
      </c>
      <c r="J176" s="108"/>
      <c r="K176" s="269"/>
    </row>
    <row r="177" spans="1:11" ht="36" customHeight="1">
      <c r="A177" s="144" t="s">
        <v>1216</v>
      </c>
      <c r="B177" s="250" t="s">
        <v>1217</v>
      </c>
      <c r="C177" s="55" t="s">
        <v>1097</v>
      </c>
      <c r="D177" s="14" t="s">
        <v>11</v>
      </c>
      <c r="E177" s="14" t="s">
        <v>25</v>
      </c>
      <c r="F177" s="14" t="s">
        <v>26</v>
      </c>
      <c r="G177" s="305">
        <f>'NOV-18 '!I177</f>
        <v>0</v>
      </c>
      <c r="H177" s="51"/>
      <c r="I177" s="17">
        <f t="shared" si="3"/>
        <v>0</v>
      </c>
      <c r="J177" s="108"/>
      <c r="K177" s="269"/>
    </row>
    <row r="178" spans="1:11" ht="38.25" customHeight="1">
      <c r="A178" s="144" t="s">
        <v>571</v>
      </c>
      <c r="B178" s="250" t="s">
        <v>1067</v>
      </c>
      <c r="C178" s="55" t="s">
        <v>1097</v>
      </c>
      <c r="D178" s="14" t="s">
        <v>11</v>
      </c>
      <c r="E178" s="14" t="s">
        <v>25</v>
      </c>
      <c r="F178" s="14" t="s">
        <v>26</v>
      </c>
      <c r="G178" s="305">
        <f>'NOV-18 '!I178</f>
        <v>-7.9936057773011271E-15</v>
      </c>
      <c r="H178" s="51"/>
      <c r="I178" s="17">
        <f t="shared" si="3"/>
        <v>-7.9936057773011271E-15</v>
      </c>
      <c r="J178" s="108"/>
      <c r="K178" s="269"/>
    </row>
    <row r="179" spans="1:11" ht="38.25" customHeight="1">
      <c r="A179" s="144">
        <v>54599</v>
      </c>
      <c r="B179" s="250" t="s">
        <v>1184</v>
      </c>
      <c r="C179" s="55"/>
      <c r="D179" s="14" t="s">
        <v>11</v>
      </c>
      <c r="E179" s="14" t="s">
        <v>25</v>
      </c>
      <c r="F179" s="14" t="s">
        <v>26</v>
      </c>
      <c r="G179" s="305">
        <f>'NOV-18 '!I179</f>
        <v>0</v>
      </c>
      <c r="H179" s="51"/>
      <c r="I179" s="17">
        <f t="shared" si="3"/>
        <v>0</v>
      </c>
      <c r="J179" s="108"/>
      <c r="K179" s="269"/>
    </row>
    <row r="180" spans="1:11" ht="40.5" customHeight="1">
      <c r="A180" s="144" t="s">
        <v>969</v>
      </c>
      <c r="B180" s="145" t="s">
        <v>1039</v>
      </c>
      <c r="C180" s="55" t="s">
        <v>1097</v>
      </c>
      <c r="D180" s="14" t="s">
        <v>11</v>
      </c>
      <c r="E180" s="14" t="s">
        <v>25</v>
      </c>
      <c r="F180" s="14" t="s">
        <v>26</v>
      </c>
      <c r="G180" s="305">
        <f>'NOV-18 '!I180</f>
        <v>-4.4408920985006262E-16</v>
      </c>
      <c r="H180" s="51"/>
      <c r="I180" s="17">
        <f t="shared" si="3"/>
        <v>-4.4408920985006262E-16</v>
      </c>
      <c r="J180" s="108"/>
      <c r="K180" s="65"/>
    </row>
    <row r="181" spans="1:11" ht="106.5">
      <c r="A181" s="144" t="s">
        <v>201</v>
      </c>
      <c r="B181" s="54" t="s">
        <v>204</v>
      </c>
      <c r="C181" s="343" t="s">
        <v>1098</v>
      </c>
      <c r="D181" s="14" t="s">
        <v>11</v>
      </c>
      <c r="E181" s="14" t="s">
        <v>25</v>
      </c>
      <c r="F181" s="14" t="s">
        <v>26</v>
      </c>
      <c r="G181" s="305">
        <f>'NOV-18 '!I181</f>
        <v>0</v>
      </c>
      <c r="H181" s="51"/>
      <c r="I181" s="17">
        <f t="shared" si="3"/>
        <v>0</v>
      </c>
      <c r="J181" s="62"/>
      <c r="K181" s="63"/>
    </row>
    <row r="182" spans="1:11" ht="19.5" customHeight="1">
      <c r="A182" s="11" t="s">
        <v>203</v>
      </c>
      <c r="B182" s="145" t="s">
        <v>206</v>
      </c>
      <c r="C182" s="55" t="s">
        <v>1099</v>
      </c>
      <c r="D182" s="14" t="s">
        <v>11</v>
      </c>
      <c r="E182" s="14" t="s">
        <v>25</v>
      </c>
      <c r="F182" s="14" t="s">
        <v>26</v>
      </c>
      <c r="G182" s="305">
        <f>'NOV-18 '!I182</f>
        <v>975.31999999999698</v>
      </c>
      <c r="H182" s="51">
        <f>233.38+233.38+357.3+280.08+280.08+280.08+180+180+180+180+180+180+180+180+180+180+180</f>
        <v>3644.2999999999997</v>
      </c>
      <c r="I182" s="18">
        <f t="shared" si="3"/>
        <v>287.48999999999751</v>
      </c>
      <c r="J182" s="400">
        <f>2700+256.47</f>
        <v>2956.4700000000003</v>
      </c>
      <c r="K182" s="65"/>
    </row>
    <row r="183" spans="1:11" ht="36">
      <c r="A183" s="11" t="s">
        <v>1041</v>
      </c>
      <c r="B183" s="145" t="s">
        <v>1042</v>
      </c>
      <c r="C183" s="55" t="s">
        <v>1099</v>
      </c>
      <c r="D183" s="14" t="s">
        <v>11</v>
      </c>
      <c r="E183" s="14" t="s">
        <v>25</v>
      </c>
      <c r="F183" s="14" t="s">
        <v>26</v>
      </c>
      <c r="G183" s="305">
        <f>'NOV-18 '!I183</f>
        <v>0</v>
      </c>
      <c r="H183" s="51"/>
      <c r="I183" s="17">
        <f t="shared" si="3"/>
        <v>0</v>
      </c>
      <c r="J183" s="400"/>
      <c r="K183" s="65"/>
    </row>
    <row r="184" spans="1:11" ht="20.25" customHeight="1">
      <c r="A184" s="11" t="s">
        <v>205</v>
      </c>
      <c r="B184" s="145" t="s">
        <v>207</v>
      </c>
      <c r="C184" s="55" t="s">
        <v>1099</v>
      </c>
      <c r="D184" s="14" t="s">
        <v>11</v>
      </c>
      <c r="E184" s="14" t="s">
        <v>25</v>
      </c>
      <c r="F184" s="14" t="s">
        <v>26</v>
      </c>
      <c r="G184" s="305">
        <f>'NOV-18 '!I184</f>
        <v>39.400000000000006</v>
      </c>
      <c r="H184" s="51"/>
      <c r="I184" s="17">
        <f t="shared" si="3"/>
        <v>39.400000000000006</v>
      </c>
      <c r="J184" s="456"/>
      <c r="K184" s="65"/>
    </row>
    <row r="185" spans="1:11" ht="36">
      <c r="A185" s="11" t="s">
        <v>208</v>
      </c>
      <c r="B185" s="145" t="s">
        <v>209</v>
      </c>
      <c r="C185" s="55" t="s">
        <v>1099</v>
      </c>
      <c r="D185" s="14" t="s">
        <v>11</v>
      </c>
      <c r="E185" s="14" t="s">
        <v>25</v>
      </c>
      <c r="F185" s="14" t="s">
        <v>26</v>
      </c>
      <c r="G185" s="305">
        <f>'NOV-18 '!I185</f>
        <v>248.65999999999985</v>
      </c>
      <c r="H185" s="51">
        <f>521+901</f>
        <v>1422</v>
      </c>
      <c r="I185" s="18">
        <f t="shared" si="3"/>
        <v>126.65999999999985</v>
      </c>
      <c r="J185" s="400">
        <v>1300</v>
      </c>
      <c r="K185" s="269"/>
    </row>
    <row r="186" spans="1:11" ht="24">
      <c r="A186" s="11" t="s">
        <v>210</v>
      </c>
      <c r="B186" s="145" t="s">
        <v>211</v>
      </c>
      <c r="C186" s="55" t="s">
        <v>1099</v>
      </c>
      <c r="D186" s="14" t="s">
        <v>11</v>
      </c>
      <c r="E186" s="14" t="s">
        <v>25</v>
      </c>
      <c r="F186" s="14" t="s">
        <v>26</v>
      </c>
      <c r="G186" s="305">
        <f>'NOV-18 '!I186</f>
        <v>473.43000000000006</v>
      </c>
      <c r="H186" s="276">
        <v>283.2</v>
      </c>
      <c r="I186" s="17">
        <f t="shared" si="3"/>
        <v>0</v>
      </c>
      <c r="J186" s="108"/>
      <c r="K186" s="320">
        <v>190.23</v>
      </c>
    </row>
    <row r="187" spans="1:11" ht="34.5" customHeight="1">
      <c r="A187" s="11" t="s">
        <v>212</v>
      </c>
      <c r="B187" s="145" t="s">
        <v>213</v>
      </c>
      <c r="C187" s="55" t="s">
        <v>1099</v>
      </c>
      <c r="D187" s="3" t="s">
        <v>11</v>
      </c>
      <c r="E187" s="3" t="s">
        <v>25</v>
      </c>
      <c r="F187" s="3" t="s">
        <v>26</v>
      </c>
      <c r="G187" s="305">
        <f>'NOV-18 '!I187</f>
        <v>11.49000000000003</v>
      </c>
      <c r="H187" s="51"/>
      <c r="I187" s="17">
        <f t="shared" si="3"/>
        <v>3.0198066269804258E-14</v>
      </c>
      <c r="J187" s="45"/>
      <c r="K187" s="270">
        <v>11.49</v>
      </c>
    </row>
    <row r="188" spans="1:11" ht="34.5" customHeight="1">
      <c r="A188" s="11" t="s">
        <v>1143</v>
      </c>
      <c r="B188" s="145" t="s">
        <v>1140</v>
      </c>
      <c r="C188" s="55" t="s">
        <v>1099</v>
      </c>
      <c r="D188" s="3" t="s">
        <v>11</v>
      </c>
      <c r="E188" s="3" t="s">
        <v>25</v>
      </c>
      <c r="F188" s="3" t="s">
        <v>26</v>
      </c>
      <c r="G188" s="305">
        <f>'NOV-18 '!I188</f>
        <v>0</v>
      </c>
      <c r="H188" s="51"/>
      <c r="I188" s="17">
        <f t="shared" si="3"/>
        <v>0</v>
      </c>
      <c r="J188" s="126"/>
      <c r="K188" s="270"/>
    </row>
    <row r="189" spans="1:11" ht="37.5" customHeight="1">
      <c r="A189" s="11" t="s">
        <v>1043</v>
      </c>
      <c r="B189" s="145" t="s">
        <v>1044</v>
      </c>
      <c r="C189" s="55" t="s">
        <v>1099</v>
      </c>
      <c r="D189" s="3" t="s">
        <v>11</v>
      </c>
      <c r="E189" s="3" t="s">
        <v>25</v>
      </c>
      <c r="F189" s="3" t="s">
        <v>26</v>
      </c>
      <c r="G189" s="305">
        <f>'NOV-18 '!I189</f>
        <v>1.8099999999999454</v>
      </c>
      <c r="H189" s="51"/>
      <c r="I189" s="17">
        <f t="shared" si="3"/>
        <v>-5.4622972811557702E-14</v>
      </c>
      <c r="J189" s="126"/>
      <c r="K189" s="324">
        <v>1.81</v>
      </c>
    </row>
    <row r="190" spans="1:11" ht="28.5" customHeight="1">
      <c r="A190" s="11" t="s">
        <v>215</v>
      </c>
      <c r="B190" s="145" t="s">
        <v>214</v>
      </c>
      <c r="C190" s="55" t="s">
        <v>1099</v>
      </c>
      <c r="D190" s="3" t="s">
        <v>11</v>
      </c>
      <c r="E190" s="3" t="s">
        <v>25</v>
      </c>
      <c r="F190" s="3" t="s">
        <v>26</v>
      </c>
      <c r="G190" s="305">
        <f>'NOV-18 '!I190</f>
        <v>15</v>
      </c>
      <c r="H190" s="51"/>
      <c r="I190" s="17">
        <f t="shared" si="3"/>
        <v>0</v>
      </c>
      <c r="J190" s="45"/>
      <c r="K190" s="270">
        <v>15</v>
      </c>
    </row>
    <row r="191" spans="1:11" ht="27.75" customHeight="1">
      <c r="A191" s="11" t="s">
        <v>216</v>
      </c>
      <c r="B191" s="145" t="s">
        <v>217</v>
      </c>
      <c r="C191" s="55" t="s">
        <v>1099</v>
      </c>
      <c r="D191" s="3" t="s">
        <v>11</v>
      </c>
      <c r="E191" s="3" t="s">
        <v>25</v>
      </c>
      <c r="F191" s="3" t="s">
        <v>26</v>
      </c>
      <c r="G191" s="305">
        <f>'NOV-18 '!I191</f>
        <v>64.899999999999636</v>
      </c>
      <c r="H191" s="51"/>
      <c r="I191" s="17">
        <f t="shared" si="3"/>
        <v>32.059999999999633</v>
      </c>
      <c r="J191" s="126"/>
      <c r="K191" s="270">
        <v>32.840000000000003</v>
      </c>
    </row>
    <row r="192" spans="1:11" ht="44.25" customHeight="1">
      <c r="A192" s="141" t="s">
        <v>1208</v>
      </c>
      <c r="B192" s="250" t="s">
        <v>1206</v>
      </c>
      <c r="C192" s="55"/>
      <c r="D192" s="3" t="s">
        <v>11</v>
      </c>
      <c r="E192" s="3" t="s">
        <v>25</v>
      </c>
      <c r="F192" s="3" t="s">
        <v>26</v>
      </c>
      <c r="G192" s="305">
        <f>'NOV-18 '!I192</f>
        <v>4.5</v>
      </c>
      <c r="H192" s="51"/>
      <c r="I192" s="17">
        <f t="shared" si="3"/>
        <v>4.5</v>
      </c>
      <c r="J192" s="126"/>
      <c r="K192" s="270"/>
    </row>
    <row r="193" spans="1:11" ht="36" customHeight="1">
      <c r="A193" s="11" t="s">
        <v>218</v>
      </c>
      <c r="B193" s="145" t="s">
        <v>219</v>
      </c>
      <c r="C193" s="55" t="s">
        <v>1099</v>
      </c>
      <c r="D193" s="3" t="s">
        <v>11</v>
      </c>
      <c r="E193" s="3" t="s">
        <v>25</v>
      </c>
      <c r="F193" s="3" t="s">
        <v>26</v>
      </c>
      <c r="G193" s="305">
        <f>'NOV-18 '!I193</f>
        <v>39.26</v>
      </c>
      <c r="H193" s="372">
        <v>5.65</v>
      </c>
      <c r="I193" s="17">
        <f t="shared" si="3"/>
        <v>33.61</v>
      </c>
      <c r="J193" s="45"/>
      <c r="K193" s="46"/>
    </row>
    <row r="194" spans="1:11" ht="105" customHeight="1">
      <c r="A194" s="144" t="s">
        <v>220</v>
      </c>
      <c r="B194" s="54" t="s">
        <v>221</v>
      </c>
      <c r="C194" s="343" t="s">
        <v>1100</v>
      </c>
      <c r="D194" s="3"/>
      <c r="E194" s="3"/>
      <c r="F194" s="3"/>
      <c r="G194" s="305">
        <f>'NOV-18 '!I194</f>
        <v>0</v>
      </c>
      <c r="H194" s="51"/>
      <c r="I194" s="17"/>
      <c r="J194" s="45"/>
      <c r="K194" s="46"/>
    </row>
    <row r="195" spans="1:11" ht="18" customHeight="1">
      <c r="A195" s="11" t="s">
        <v>222</v>
      </c>
      <c r="B195" s="145" t="s">
        <v>223</v>
      </c>
      <c r="C195" s="55" t="s">
        <v>1101</v>
      </c>
      <c r="D195" s="3" t="s">
        <v>11</v>
      </c>
      <c r="E195" s="3" t="s">
        <v>25</v>
      </c>
      <c r="F195" s="3" t="s">
        <v>26</v>
      </c>
      <c r="G195" s="305">
        <f>'NOV-18 '!I195</f>
        <v>-290.81000000000222</v>
      </c>
      <c r="H195" s="51">
        <f>233.38+233.38+357.3+280.08+280.08+280.08+180+180+180+180+180+180+180+180+180+180</f>
        <v>3464.2999999999997</v>
      </c>
      <c r="I195" s="18">
        <f t="shared" si="3"/>
        <v>-255.11000000000195</v>
      </c>
      <c r="J195" s="126">
        <v>3500</v>
      </c>
      <c r="K195" s="46"/>
    </row>
    <row r="196" spans="1:11" ht="24.75" customHeight="1">
      <c r="A196" s="11" t="s">
        <v>1233</v>
      </c>
      <c r="B196" s="145" t="s">
        <v>1234</v>
      </c>
      <c r="C196" s="55"/>
      <c r="D196" s="3"/>
      <c r="E196" s="3"/>
      <c r="F196" s="3"/>
      <c r="G196" s="305">
        <f>'NOV-18 '!I196</f>
        <v>559.3799999999992</v>
      </c>
      <c r="H196" s="51"/>
      <c r="I196" s="17">
        <f t="shared" si="3"/>
        <v>559.3799999999992</v>
      </c>
      <c r="J196" s="126"/>
      <c r="K196" s="46"/>
    </row>
    <row r="197" spans="1:11" ht="38.25" customHeight="1">
      <c r="A197" s="11" t="s">
        <v>1209</v>
      </c>
      <c r="B197" s="146" t="s">
        <v>1207</v>
      </c>
      <c r="C197" s="55"/>
      <c r="D197" s="3" t="s">
        <v>11</v>
      </c>
      <c r="E197" s="3" t="s">
        <v>25</v>
      </c>
      <c r="F197" s="3" t="s">
        <v>26</v>
      </c>
      <c r="G197" s="305">
        <f>'NOV-18 '!I197</f>
        <v>52</v>
      </c>
      <c r="H197" s="51"/>
      <c r="I197" s="17">
        <f t="shared" si="3"/>
        <v>52</v>
      </c>
      <c r="J197" s="126"/>
      <c r="K197" s="46"/>
    </row>
    <row r="198" spans="1:11" ht="30" customHeight="1">
      <c r="A198" s="11" t="s">
        <v>225</v>
      </c>
      <c r="B198" s="145" t="s">
        <v>224</v>
      </c>
      <c r="C198" s="55"/>
      <c r="D198" s="3" t="s">
        <v>11</v>
      </c>
      <c r="E198" s="3" t="s">
        <v>25</v>
      </c>
      <c r="F198" s="3" t="s">
        <v>26</v>
      </c>
      <c r="G198" s="305">
        <f>'NOV-18 '!I198</f>
        <v>65.69</v>
      </c>
      <c r="H198" s="51"/>
      <c r="I198" s="17">
        <f t="shared" si="3"/>
        <v>65.69</v>
      </c>
      <c r="J198" s="126"/>
      <c r="K198" s="46"/>
    </row>
    <row r="199" spans="1:11" ht="33.75" customHeight="1">
      <c r="A199" s="11" t="s">
        <v>226</v>
      </c>
      <c r="B199" s="145" t="s">
        <v>227</v>
      </c>
      <c r="C199" s="55" t="s">
        <v>1101</v>
      </c>
      <c r="D199" s="3" t="s">
        <v>11</v>
      </c>
      <c r="E199" s="3" t="s">
        <v>25</v>
      </c>
      <c r="F199" s="3" t="s">
        <v>26</v>
      </c>
      <c r="G199" s="305">
        <f>'NOV-18 '!I199</f>
        <v>6617.9500000000007</v>
      </c>
      <c r="H199" s="51">
        <f>430+1197</f>
        <v>1627</v>
      </c>
      <c r="I199" s="17">
        <f t="shared" si="3"/>
        <v>1490.9500000000007</v>
      </c>
      <c r="J199" s="126"/>
      <c r="K199" s="324">
        <v>3500</v>
      </c>
    </row>
    <row r="200" spans="1:11" ht="28.5" customHeight="1">
      <c r="A200" s="11" t="s">
        <v>228</v>
      </c>
      <c r="B200" s="145" t="s">
        <v>229</v>
      </c>
      <c r="C200" s="55"/>
      <c r="D200" s="3" t="s">
        <v>11</v>
      </c>
      <c r="E200" s="3" t="s">
        <v>25</v>
      </c>
      <c r="F200" s="3" t="s">
        <v>26</v>
      </c>
      <c r="G200" s="305">
        <f>'NOV-18 '!I200</f>
        <v>4333.0399999999991</v>
      </c>
      <c r="H200" s="51">
        <f>591</f>
        <v>591</v>
      </c>
      <c r="I200" s="17">
        <f t="shared" si="3"/>
        <v>2942.0399999999991</v>
      </c>
      <c r="J200" s="126"/>
      <c r="K200" s="324">
        <v>800</v>
      </c>
    </row>
    <row r="201" spans="1:11" ht="26.25" customHeight="1">
      <c r="A201" s="11" t="s">
        <v>230</v>
      </c>
      <c r="B201" s="145" t="s">
        <v>231</v>
      </c>
      <c r="C201" s="55"/>
      <c r="D201" s="3" t="s">
        <v>11</v>
      </c>
      <c r="E201" s="3" t="s">
        <v>25</v>
      </c>
      <c r="F201" s="3" t="s">
        <v>26</v>
      </c>
      <c r="G201" s="305">
        <f>'NOV-18 '!I201</f>
        <v>94.6</v>
      </c>
      <c r="H201" s="51"/>
      <c r="I201" s="17">
        <f t="shared" si="3"/>
        <v>94.6</v>
      </c>
      <c r="J201" s="126"/>
      <c r="K201" s="324"/>
    </row>
    <row r="202" spans="1:11" ht="33.75" customHeight="1">
      <c r="A202" s="11" t="s">
        <v>1236</v>
      </c>
      <c r="B202" s="145" t="s">
        <v>1237</v>
      </c>
      <c r="C202" s="55"/>
      <c r="D202" s="3" t="s">
        <v>11</v>
      </c>
      <c r="E202" s="3" t="s">
        <v>25</v>
      </c>
      <c r="F202" s="3" t="s">
        <v>26</v>
      </c>
      <c r="G202" s="305">
        <f>'NOV-18 '!I202</f>
        <v>30</v>
      </c>
      <c r="H202" s="51">
        <f>240+510</f>
        <v>750</v>
      </c>
      <c r="I202" s="18">
        <f t="shared" si="3"/>
        <v>80</v>
      </c>
      <c r="J202" s="126">
        <v>800</v>
      </c>
      <c r="K202" s="324"/>
    </row>
    <row r="203" spans="1:11" ht="23.25" customHeight="1">
      <c r="A203" s="11" t="s">
        <v>232</v>
      </c>
      <c r="B203" s="145" t="s">
        <v>233</v>
      </c>
      <c r="C203" s="55"/>
      <c r="D203" s="3" t="s">
        <v>11</v>
      </c>
      <c r="E203" s="3" t="s">
        <v>25</v>
      </c>
      <c r="F203" s="3" t="s">
        <v>26</v>
      </c>
      <c r="G203" s="305">
        <f>'NOV-18 '!I203</f>
        <v>2000</v>
      </c>
      <c r="H203" s="51"/>
      <c r="I203" s="17">
        <f t="shared" si="3"/>
        <v>2000</v>
      </c>
      <c r="J203" s="126"/>
      <c r="K203" s="463"/>
    </row>
    <row r="204" spans="1:11" ht="28.5" customHeight="1">
      <c r="A204" s="11" t="s">
        <v>234</v>
      </c>
      <c r="B204" s="145" t="s">
        <v>237</v>
      </c>
      <c r="C204" s="55"/>
      <c r="D204" s="3" t="s">
        <v>11</v>
      </c>
      <c r="E204" s="3" t="s">
        <v>25</v>
      </c>
      <c r="F204" s="3" t="s">
        <v>26</v>
      </c>
      <c r="G204" s="305">
        <f>'NOV-18 '!I204</f>
        <v>2500</v>
      </c>
      <c r="H204" s="51"/>
      <c r="I204" s="17">
        <f t="shared" si="3"/>
        <v>2500</v>
      </c>
      <c r="J204" s="126"/>
      <c r="K204" s="463"/>
    </row>
    <row r="205" spans="1:11" ht="45" customHeight="1">
      <c r="A205" s="11" t="s">
        <v>1182</v>
      </c>
      <c r="B205" s="145" t="s">
        <v>1185</v>
      </c>
      <c r="C205" s="55"/>
      <c r="D205" s="3" t="s">
        <v>11</v>
      </c>
      <c r="E205" s="3" t="s">
        <v>25</v>
      </c>
      <c r="F205" s="3" t="s">
        <v>1181</v>
      </c>
      <c r="G205" s="305">
        <f>'NOV-18 '!I205</f>
        <v>5</v>
      </c>
      <c r="H205" s="51"/>
      <c r="I205" s="17">
        <f t="shared" si="3"/>
        <v>5</v>
      </c>
      <c r="J205" s="126"/>
      <c r="K205" s="46"/>
    </row>
    <row r="206" spans="1:11" ht="45" customHeight="1">
      <c r="A206" s="11" t="s">
        <v>1235</v>
      </c>
      <c r="B206" s="145" t="s">
        <v>1243</v>
      </c>
      <c r="C206" s="55"/>
      <c r="D206" s="3"/>
      <c r="E206" s="3"/>
      <c r="F206" s="3"/>
      <c r="G206" s="305">
        <f>'NOV-18 '!I206</f>
        <v>1415.2999999999993</v>
      </c>
      <c r="H206" s="51"/>
      <c r="I206" s="17">
        <f t="shared" si="3"/>
        <v>1415.2999999999993</v>
      </c>
      <c r="J206" s="126"/>
      <c r="K206" s="46"/>
    </row>
    <row r="207" spans="1:11" ht="24" customHeight="1">
      <c r="A207" s="11" t="s">
        <v>235</v>
      </c>
      <c r="B207" s="145" t="s">
        <v>236</v>
      </c>
      <c r="C207" s="55" t="s">
        <v>1101</v>
      </c>
      <c r="D207" s="3" t="s">
        <v>11</v>
      </c>
      <c r="E207" s="3" t="s">
        <v>25</v>
      </c>
      <c r="F207" s="3" t="s">
        <v>26</v>
      </c>
      <c r="G207" s="305">
        <f>'NOV-18 '!I207</f>
        <v>36.660000000000004</v>
      </c>
      <c r="H207" s="51">
        <v>2.2599999999999998</v>
      </c>
      <c r="I207" s="17">
        <f t="shared" si="3"/>
        <v>34.400000000000006</v>
      </c>
      <c r="J207" s="45"/>
      <c r="K207" s="46"/>
    </row>
    <row r="208" spans="1:11" ht="87" customHeight="1">
      <c r="A208" s="144" t="s">
        <v>238</v>
      </c>
      <c r="B208" s="54" t="s">
        <v>239</v>
      </c>
      <c r="C208" s="55"/>
      <c r="D208" s="3"/>
      <c r="E208" s="3"/>
      <c r="F208" s="3"/>
      <c r="G208" s="305">
        <f>'NOV-18 '!I208</f>
        <v>0</v>
      </c>
      <c r="H208" s="51"/>
      <c r="I208" s="17"/>
      <c r="J208" s="45"/>
      <c r="K208" s="46"/>
    </row>
    <row r="209" spans="1:11" ht="24" customHeight="1">
      <c r="A209" s="11" t="s">
        <v>240</v>
      </c>
      <c r="B209" s="145" t="s">
        <v>243</v>
      </c>
      <c r="C209" s="55"/>
      <c r="D209" s="3" t="s">
        <v>11</v>
      </c>
      <c r="E209" s="3" t="s">
        <v>25</v>
      </c>
      <c r="F209" s="3" t="s">
        <v>26</v>
      </c>
      <c r="G209" s="305">
        <f>'NOV-18 '!I209</f>
        <v>0</v>
      </c>
      <c r="H209" s="51"/>
      <c r="I209" s="17">
        <f t="shared" si="3"/>
        <v>0</v>
      </c>
      <c r="J209" s="45"/>
      <c r="K209" s="280"/>
    </row>
    <row r="210" spans="1:11" ht="24" customHeight="1">
      <c r="A210" s="11" t="s">
        <v>241</v>
      </c>
      <c r="B210" s="145" t="s">
        <v>242</v>
      </c>
      <c r="C210" s="55"/>
      <c r="D210" s="3" t="s">
        <v>11</v>
      </c>
      <c r="E210" s="3" t="s">
        <v>25</v>
      </c>
      <c r="F210" s="3" t="s">
        <v>26</v>
      </c>
      <c r="G210" s="305">
        <f>'NOV-18 '!I210</f>
        <v>0</v>
      </c>
      <c r="H210" s="51"/>
      <c r="I210" s="17">
        <f t="shared" si="3"/>
        <v>0</v>
      </c>
      <c r="J210" s="45"/>
      <c r="K210" s="280"/>
    </row>
    <row r="211" spans="1:11" ht="40.5" customHeight="1">
      <c r="A211" s="11" t="s">
        <v>245</v>
      </c>
      <c r="B211" s="145" t="s">
        <v>244</v>
      </c>
      <c r="C211" s="55"/>
      <c r="D211" s="3" t="s">
        <v>11</v>
      </c>
      <c r="E211" s="3" t="s">
        <v>25</v>
      </c>
      <c r="F211" s="3" t="s">
        <v>26</v>
      </c>
      <c r="G211" s="305">
        <f>'NOV-18 '!I211</f>
        <v>0</v>
      </c>
      <c r="H211" s="51"/>
      <c r="I211" s="17">
        <f t="shared" si="3"/>
        <v>0</v>
      </c>
      <c r="J211" s="45"/>
      <c r="K211" s="280"/>
    </row>
    <row r="212" spans="1:11" ht="24" customHeight="1">
      <c r="A212" s="11" t="s">
        <v>246</v>
      </c>
      <c r="B212" s="145" t="s">
        <v>247</v>
      </c>
      <c r="C212" s="55"/>
      <c r="D212" s="3" t="s">
        <v>11</v>
      </c>
      <c r="E212" s="3" t="s">
        <v>25</v>
      </c>
      <c r="F212" s="3" t="s">
        <v>26</v>
      </c>
      <c r="G212" s="305">
        <f>'NOV-18 '!I212</f>
        <v>0</v>
      </c>
      <c r="H212" s="51"/>
      <c r="I212" s="17">
        <f t="shared" si="3"/>
        <v>0</v>
      </c>
      <c r="J212" s="45"/>
      <c r="K212" s="280"/>
    </row>
    <row r="213" spans="1:11" ht="24" customHeight="1">
      <c r="A213" s="11" t="s">
        <v>249</v>
      </c>
      <c r="B213" s="145" t="s">
        <v>248</v>
      </c>
      <c r="C213" s="55"/>
      <c r="D213" s="3" t="s">
        <v>11</v>
      </c>
      <c r="E213" s="3" t="s">
        <v>25</v>
      </c>
      <c r="F213" s="3" t="s">
        <v>26</v>
      </c>
      <c r="G213" s="305">
        <f>'NOV-18 '!I213</f>
        <v>0</v>
      </c>
      <c r="H213" s="51"/>
      <c r="I213" s="17">
        <f t="shared" si="3"/>
        <v>0</v>
      </c>
      <c r="J213" s="45"/>
      <c r="K213" s="280"/>
    </row>
    <row r="214" spans="1:11" ht="24" customHeight="1">
      <c r="A214" s="11" t="s">
        <v>251</v>
      </c>
      <c r="B214" s="145" t="s">
        <v>252</v>
      </c>
      <c r="C214" s="55"/>
      <c r="D214" s="3" t="s">
        <v>11</v>
      </c>
      <c r="E214" s="3" t="s">
        <v>25</v>
      </c>
      <c r="F214" s="3" t="s">
        <v>26</v>
      </c>
      <c r="G214" s="305">
        <f>'NOV-18 '!I214</f>
        <v>0</v>
      </c>
      <c r="H214" s="51"/>
      <c r="I214" s="17">
        <f t="shared" si="3"/>
        <v>0</v>
      </c>
      <c r="J214" s="45"/>
      <c r="K214" s="280"/>
    </row>
    <row r="215" spans="1:11" ht="24" customHeight="1">
      <c r="A215" s="11" t="s">
        <v>250</v>
      </c>
      <c r="B215" s="145" t="s">
        <v>253</v>
      </c>
      <c r="C215" s="55"/>
      <c r="D215" s="3" t="s">
        <v>11</v>
      </c>
      <c r="E215" s="3" t="s">
        <v>25</v>
      </c>
      <c r="F215" s="3" t="s">
        <v>26</v>
      </c>
      <c r="G215" s="305">
        <f>'NOV-18 '!I215</f>
        <v>0</v>
      </c>
      <c r="H215" s="51"/>
      <c r="I215" s="17">
        <f t="shared" si="3"/>
        <v>0</v>
      </c>
      <c r="J215" s="45"/>
      <c r="K215" s="280"/>
    </row>
    <row r="216" spans="1:11" ht="24" customHeight="1">
      <c r="A216" s="11" t="s">
        <v>255</v>
      </c>
      <c r="B216" s="145" t="s">
        <v>254</v>
      </c>
      <c r="C216" s="55"/>
      <c r="D216" s="3" t="s">
        <v>11</v>
      </c>
      <c r="E216" s="3" t="s">
        <v>25</v>
      </c>
      <c r="F216" s="3" t="s">
        <v>26</v>
      </c>
      <c r="G216" s="305">
        <f>'NOV-18 '!I216</f>
        <v>0</v>
      </c>
      <c r="H216" s="51"/>
      <c r="I216" s="17">
        <f t="shared" si="3"/>
        <v>0</v>
      </c>
      <c r="J216" s="45"/>
      <c r="K216" s="280"/>
    </row>
    <row r="217" spans="1:11" ht="87" customHeight="1">
      <c r="A217" s="144" t="s">
        <v>256</v>
      </c>
      <c r="B217" s="54" t="s">
        <v>257</v>
      </c>
      <c r="C217" s="55"/>
      <c r="D217" s="3"/>
      <c r="E217" s="3"/>
      <c r="F217" s="3"/>
      <c r="G217" s="305">
        <f>'NOV-18 '!I217</f>
        <v>0</v>
      </c>
      <c r="H217" s="51"/>
      <c r="I217" s="17"/>
      <c r="J217" s="45"/>
      <c r="K217" s="46"/>
    </row>
    <row r="218" spans="1:11" ht="24" customHeight="1">
      <c r="A218" s="11" t="s">
        <v>258</v>
      </c>
      <c r="B218" s="145" t="s">
        <v>263</v>
      </c>
      <c r="C218" s="55"/>
      <c r="D218" s="3" t="s">
        <v>11</v>
      </c>
      <c r="E218" s="3" t="s">
        <v>25</v>
      </c>
      <c r="F218" s="3" t="s">
        <v>26</v>
      </c>
      <c r="G218" s="305">
        <f>'NOV-18 '!I218</f>
        <v>0</v>
      </c>
      <c r="H218" s="51"/>
      <c r="I218" s="17">
        <f t="shared" si="3"/>
        <v>0</v>
      </c>
      <c r="J218" s="45"/>
      <c r="K218" s="280"/>
    </row>
    <row r="219" spans="1:11" ht="24" customHeight="1">
      <c r="A219" s="11" t="s">
        <v>259</v>
      </c>
      <c r="B219" s="145" t="s">
        <v>262</v>
      </c>
      <c r="C219" s="55"/>
      <c r="D219" s="3" t="s">
        <v>11</v>
      </c>
      <c r="E219" s="3" t="s">
        <v>25</v>
      </c>
      <c r="F219" s="3" t="s">
        <v>26</v>
      </c>
      <c r="G219" s="305">
        <f>'NOV-18 '!I219</f>
        <v>0</v>
      </c>
      <c r="H219" s="51"/>
      <c r="I219" s="17">
        <f t="shared" si="3"/>
        <v>0</v>
      </c>
      <c r="J219" s="45"/>
      <c r="K219" s="280"/>
    </row>
    <row r="220" spans="1:11" ht="24" customHeight="1">
      <c r="A220" s="11" t="s">
        <v>260</v>
      </c>
      <c r="B220" s="145" t="s">
        <v>261</v>
      </c>
      <c r="C220" s="55"/>
      <c r="D220" s="3" t="s">
        <v>11</v>
      </c>
      <c r="E220" s="3" t="s">
        <v>25</v>
      </c>
      <c r="F220" s="3" t="s">
        <v>26</v>
      </c>
      <c r="G220" s="305">
        <f>'NOV-18 '!I220</f>
        <v>0</v>
      </c>
      <c r="H220" s="51"/>
      <c r="I220" s="17">
        <f t="shared" si="3"/>
        <v>0</v>
      </c>
      <c r="J220" s="45"/>
      <c r="K220" s="280"/>
    </row>
    <row r="221" spans="1:11" ht="60" customHeight="1">
      <c r="A221" s="144" t="s">
        <v>264</v>
      </c>
      <c r="B221" s="54" t="s">
        <v>287</v>
      </c>
      <c r="C221" s="55"/>
      <c r="D221" s="3"/>
      <c r="E221" s="3"/>
      <c r="F221" s="3"/>
      <c r="G221" s="305">
        <f>'NOV-18 '!I221</f>
        <v>0</v>
      </c>
      <c r="H221" s="51"/>
      <c r="I221" s="17"/>
      <c r="J221" s="45"/>
      <c r="K221" s="46"/>
    </row>
    <row r="222" spans="1:11" ht="24" customHeight="1">
      <c r="A222" s="11" t="s">
        <v>265</v>
      </c>
      <c r="B222" s="145" t="s">
        <v>1046</v>
      </c>
      <c r="C222" s="55"/>
      <c r="D222" s="3" t="s">
        <v>11</v>
      </c>
      <c r="E222" s="3" t="s">
        <v>25</v>
      </c>
      <c r="F222" s="3" t="s">
        <v>26</v>
      </c>
      <c r="G222" s="305">
        <f>'NOV-18 '!I222</f>
        <v>0</v>
      </c>
      <c r="H222" s="51"/>
      <c r="I222" s="17">
        <f t="shared" si="3"/>
        <v>0</v>
      </c>
      <c r="J222" s="45"/>
      <c r="K222" s="385"/>
    </row>
    <row r="223" spans="1:11" ht="24" customHeight="1">
      <c r="A223" s="11" t="s">
        <v>266</v>
      </c>
      <c r="B223" s="145" t="s">
        <v>268</v>
      </c>
      <c r="C223" s="55"/>
      <c r="D223" s="3" t="s">
        <v>11</v>
      </c>
      <c r="E223" s="3" t="s">
        <v>25</v>
      </c>
      <c r="F223" s="3" t="s">
        <v>26</v>
      </c>
      <c r="G223" s="305">
        <f>'NOV-18 '!I223</f>
        <v>0</v>
      </c>
      <c r="H223" s="51"/>
      <c r="I223" s="17">
        <f t="shared" si="3"/>
        <v>0</v>
      </c>
      <c r="J223" s="45"/>
      <c r="K223" s="385"/>
    </row>
    <row r="224" spans="1:11" ht="71.25" customHeight="1">
      <c r="A224" s="144" t="s">
        <v>269</v>
      </c>
      <c r="B224" s="54" t="s">
        <v>286</v>
      </c>
      <c r="C224" s="343" t="s">
        <v>1111</v>
      </c>
      <c r="D224" s="3"/>
      <c r="E224" s="3"/>
      <c r="F224" s="3"/>
      <c r="G224" s="305">
        <f>'NOV-18 '!I224</f>
        <v>0</v>
      </c>
      <c r="H224" s="51"/>
      <c r="I224" s="17"/>
      <c r="J224" s="45"/>
      <c r="K224" s="46"/>
    </row>
    <row r="225" spans="1:11" ht="27.75" customHeight="1">
      <c r="A225" s="11" t="s">
        <v>273</v>
      </c>
      <c r="B225" s="145" t="s">
        <v>270</v>
      </c>
      <c r="C225" s="55"/>
      <c r="D225" s="3" t="s">
        <v>11</v>
      </c>
      <c r="E225" s="3" t="s">
        <v>25</v>
      </c>
      <c r="F225" s="3" t="s">
        <v>26</v>
      </c>
      <c r="G225" s="305">
        <f>'NOV-18 '!I225</f>
        <v>1012.78</v>
      </c>
      <c r="H225" s="51"/>
      <c r="I225" s="17">
        <f t="shared" si="3"/>
        <v>0</v>
      </c>
      <c r="J225" s="45"/>
      <c r="K225" s="126">
        <v>1012.78</v>
      </c>
    </row>
    <row r="226" spans="1:11" ht="24" customHeight="1">
      <c r="A226" s="11" t="s">
        <v>272</v>
      </c>
      <c r="B226" s="145" t="s">
        <v>271</v>
      </c>
      <c r="C226" s="55"/>
      <c r="D226" s="3" t="s">
        <v>11</v>
      </c>
      <c r="E226" s="3" t="s">
        <v>25</v>
      </c>
      <c r="F226" s="3" t="s">
        <v>26</v>
      </c>
      <c r="G226" s="305">
        <f>'NOV-18 '!I226</f>
        <v>343.01000000000113</v>
      </c>
      <c r="H226" s="51">
        <f>317.4+2394+370.3</f>
        <v>3081.7000000000003</v>
      </c>
      <c r="I226" s="18">
        <f t="shared" si="3"/>
        <v>1.3100000000008549</v>
      </c>
      <c r="J226" s="457">
        <v>2740</v>
      </c>
      <c r="K226" s="126"/>
    </row>
    <row r="227" spans="1:11" ht="24" customHeight="1">
      <c r="A227" s="11" t="s">
        <v>274</v>
      </c>
      <c r="B227" s="145" t="s">
        <v>275</v>
      </c>
      <c r="C227" s="55"/>
      <c r="D227" s="3" t="s">
        <v>11</v>
      </c>
      <c r="E227" s="3" t="s">
        <v>25</v>
      </c>
      <c r="F227" s="3" t="s">
        <v>26</v>
      </c>
      <c r="G227" s="305">
        <f>'NOV-18 '!I227</f>
        <v>35.589999999999918</v>
      </c>
      <c r="H227" s="51"/>
      <c r="I227" s="17">
        <f t="shared" si="3"/>
        <v>-8.5265128291212022E-14</v>
      </c>
      <c r="J227" s="126"/>
      <c r="K227" s="126">
        <v>35.590000000000003</v>
      </c>
    </row>
    <row r="228" spans="1:11" ht="24" customHeight="1">
      <c r="A228" s="11" t="s">
        <v>276</v>
      </c>
      <c r="B228" s="145" t="s">
        <v>277</v>
      </c>
      <c r="C228" s="55"/>
      <c r="D228" s="3" t="s">
        <v>11</v>
      </c>
      <c r="E228" s="3" t="s">
        <v>25</v>
      </c>
      <c r="F228" s="3" t="s">
        <v>26</v>
      </c>
      <c r="G228" s="305">
        <f>'NOV-18 '!I228</f>
        <v>3740.0199999999986</v>
      </c>
      <c r="H228" s="51">
        <f>2912.34</f>
        <v>2912.34</v>
      </c>
      <c r="I228" s="17">
        <f t="shared" si="3"/>
        <v>-1.4779288903810084E-12</v>
      </c>
      <c r="J228" s="45"/>
      <c r="K228" s="126">
        <v>827.68</v>
      </c>
    </row>
    <row r="229" spans="1:11" ht="24" customHeight="1">
      <c r="A229" s="11" t="s">
        <v>278</v>
      </c>
      <c r="B229" s="145" t="s">
        <v>279</v>
      </c>
      <c r="C229" s="55"/>
      <c r="D229" s="3" t="s">
        <v>11</v>
      </c>
      <c r="E229" s="3" t="s">
        <v>25</v>
      </c>
      <c r="F229" s="3" t="s">
        <v>26</v>
      </c>
      <c r="G229" s="305">
        <f>'NOV-18 '!I229</f>
        <v>18.100000000000023</v>
      </c>
      <c r="H229" s="51"/>
      <c r="I229" s="17">
        <f t="shared" si="3"/>
        <v>0</v>
      </c>
      <c r="J229" s="45"/>
      <c r="K229" s="126">
        <v>18.100000000000001</v>
      </c>
    </row>
    <row r="230" spans="1:11" ht="24" customHeight="1">
      <c r="A230" s="11" t="s">
        <v>280</v>
      </c>
      <c r="B230" s="145" t="s">
        <v>281</v>
      </c>
      <c r="C230" s="55"/>
      <c r="D230" s="3" t="s">
        <v>11</v>
      </c>
      <c r="E230" s="3" t="s">
        <v>25</v>
      </c>
      <c r="F230" s="3" t="s">
        <v>26</v>
      </c>
      <c r="G230" s="305">
        <f>'NOV-18 '!I230</f>
        <v>290</v>
      </c>
      <c r="H230" s="51"/>
      <c r="I230" s="17">
        <f t="shared" si="3"/>
        <v>0</v>
      </c>
      <c r="J230" s="126"/>
      <c r="K230" s="126">
        <v>290</v>
      </c>
    </row>
    <row r="231" spans="1:11" ht="24" customHeight="1">
      <c r="A231" s="11" t="s">
        <v>282</v>
      </c>
      <c r="B231" s="145" t="s">
        <v>283</v>
      </c>
      <c r="C231" s="55"/>
      <c r="D231" s="3" t="s">
        <v>11</v>
      </c>
      <c r="E231" s="3" t="s">
        <v>25</v>
      </c>
      <c r="F231" s="3" t="s">
        <v>26</v>
      </c>
      <c r="G231" s="305">
        <f>'NOV-18 '!I231</f>
        <v>127.06000000000029</v>
      </c>
      <c r="H231" s="51"/>
      <c r="I231" s="17">
        <f t="shared" si="3"/>
        <v>2.8421709430404007E-13</v>
      </c>
      <c r="J231" s="126"/>
      <c r="K231" s="126">
        <v>127.06</v>
      </c>
    </row>
    <row r="232" spans="1:11" ht="24" customHeight="1">
      <c r="A232" s="11" t="s">
        <v>284</v>
      </c>
      <c r="B232" s="145" t="s">
        <v>285</v>
      </c>
      <c r="C232" s="55"/>
      <c r="D232" s="3" t="s">
        <v>11</v>
      </c>
      <c r="E232" s="3" t="s">
        <v>25</v>
      </c>
      <c r="F232" s="3" t="s">
        <v>26</v>
      </c>
      <c r="G232" s="305">
        <f>'NOV-18 '!I232</f>
        <v>14.17</v>
      </c>
      <c r="H232" s="51"/>
      <c r="I232" s="17">
        <f t="shared" si="3"/>
        <v>0</v>
      </c>
      <c r="J232" s="45"/>
      <c r="K232" s="126">
        <v>14.17</v>
      </c>
    </row>
    <row r="233" spans="1:11" ht="102" customHeight="1">
      <c r="A233" s="144" t="s">
        <v>289</v>
      </c>
      <c r="B233" s="54" t="s">
        <v>1198</v>
      </c>
      <c r="C233" s="55" t="s">
        <v>1057</v>
      </c>
      <c r="D233" s="3"/>
      <c r="E233" s="3"/>
      <c r="F233" s="3"/>
      <c r="G233" s="305">
        <f>'NOV-18 '!I233</f>
        <v>0</v>
      </c>
      <c r="H233" s="275"/>
      <c r="I233" s="17"/>
      <c r="J233" s="45"/>
      <c r="K233" s="46"/>
    </row>
    <row r="234" spans="1:11" ht="24" customHeight="1">
      <c r="A234" s="11" t="s">
        <v>290</v>
      </c>
      <c r="B234" s="145" t="s">
        <v>291</v>
      </c>
      <c r="C234" s="55"/>
      <c r="D234" s="3" t="s">
        <v>11</v>
      </c>
      <c r="E234" s="3" t="s">
        <v>25</v>
      </c>
      <c r="F234" s="3" t="s">
        <v>26</v>
      </c>
      <c r="G234" s="305">
        <f>'NOV-18 '!I234</f>
        <v>500</v>
      </c>
      <c r="H234" s="51"/>
      <c r="I234" s="17">
        <f t="shared" si="3"/>
        <v>85.38</v>
      </c>
      <c r="J234" s="45"/>
      <c r="K234" s="457">
        <v>414.62</v>
      </c>
    </row>
    <row r="235" spans="1:11" ht="24" customHeight="1">
      <c r="A235" s="11" t="s">
        <v>292</v>
      </c>
      <c r="B235" s="145" t="s">
        <v>293</v>
      </c>
      <c r="C235" s="55"/>
      <c r="D235" s="3" t="s">
        <v>11</v>
      </c>
      <c r="E235" s="3" t="s">
        <v>25</v>
      </c>
      <c r="F235" s="3" t="s">
        <v>26</v>
      </c>
      <c r="G235" s="305">
        <f>'NOV-18 '!I235</f>
        <v>0</v>
      </c>
      <c r="H235" s="51"/>
      <c r="I235" s="17">
        <f t="shared" si="3"/>
        <v>0</v>
      </c>
      <c r="J235" s="45"/>
      <c r="K235" s="280"/>
    </row>
    <row r="236" spans="1:11" ht="18" customHeight="1">
      <c r="A236" s="11" t="s">
        <v>294</v>
      </c>
      <c r="B236" s="145" t="s">
        <v>295</v>
      </c>
      <c r="C236" s="55"/>
      <c r="D236" s="3" t="s">
        <v>11</v>
      </c>
      <c r="E236" s="3" t="s">
        <v>25</v>
      </c>
      <c r="F236" s="3" t="s">
        <v>26</v>
      </c>
      <c r="G236" s="305">
        <f>'NOV-18 '!I236</f>
        <v>97.4</v>
      </c>
      <c r="H236" s="51"/>
      <c r="I236" s="17">
        <f t="shared" si="3"/>
        <v>97.4</v>
      </c>
      <c r="J236" s="45"/>
      <c r="K236" s="46"/>
    </row>
    <row r="237" spans="1:11" ht="19.5" customHeight="1">
      <c r="A237" s="11" t="s">
        <v>296</v>
      </c>
      <c r="B237" s="145" t="s">
        <v>297</v>
      </c>
      <c r="C237" s="55"/>
      <c r="D237" s="3" t="s">
        <v>11</v>
      </c>
      <c r="E237" s="3" t="s">
        <v>25</v>
      </c>
      <c r="F237" s="3" t="s">
        <v>26</v>
      </c>
      <c r="G237" s="305">
        <f>'NOV-18 '!I237</f>
        <v>11440</v>
      </c>
      <c r="H237" s="51">
        <v>3600</v>
      </c>
      <c r="I237" s="17">
        <f t="shared" si="3"/>
        <v>480</v>
      </c>
      <c r="J237" s="45"/>
      <c r="K237" s="324">
        <f>5560+1800</f>
        <v>7360</v>
      </c>
    </row>
    <row r="238" spans="1:11" ht="21" customHeight="1">
      <c r="A238" s="11" t="s">
        <v>298</v>
      </c>
      <c r="B238" s="145" t="s">
        <v>299</v>
      </c>
      <c r="C238" s="55"/>
      <c r="D238" s="3" t="s">
        <v>11</v>
      </c>
      <c r="E238" s="3" t="s">
        <v>25</v>
      </c>
      <c r="F238" s="3" t="s">
        <v>26</v>
      </c>
      <c r="G238" s="305">
        <f>'NOV-18 '!I238</f>
        <v>862.29</v>
      </c>
      <c r="H238" s="51"/>
      <c r="I238" s="17">
        <f t="shared" si="3"/>
        <v>862.29</v>
      </c>
      <c r="J238" s="45"/>
      <c r="K238" s="385"/>
    </row>
    <row r="239" spans="1:11" ht="75" customHeight="1">
      <c r="A239" s="144" t="s">
        <v>300</v>
      </c>
      <c r="B239" s="54" t="s">
        <v>301</v>
      </c>
      <c r="C239" s="343" t="s">
        <v>1112</v>
      </c>
      <c r="D239" s="3"/>
      <c r="E239" s="3"/>
      <c r="F239" s="3"/>
      <c r="G239" s="305">
        <f>'NOV-18 '!I239</f>
        <v>0</v>
      </c>
      <c r="H239" s="51"/>
      <c r="I239" s="17"/>
      <c r="J239" s="45"/>
      <c r="K239" s="46"/>
    </row>
    <row r="240" spans="1:11" ht="18.75" customHeight="1">
      <c r="A240" s="11" t="s">
        <v>302</v>
      </c>
      <c r="B240" s="145" t="s">
        <v>309</v>
      </c>
      <c r="C240" s="55"/>
      <c r="D240" s="3" t="s">
        <v>11</v>
      </c>
      <c r="E240" s="3" t="s">
        <v>25</v>
      </c>
      <c r="F240" s="3" t="s">
        <v>26</v>
      </c>
      <c r="G240" s="305">
        <f>'NOV-18 '!I240</f>
        <v>449.9600000000006</v>
      </c>
      <c r="H240" s="51">
        <f>166.67+166.67+166.67+166.67</f>
        <v>666.68</v>
      </c>
      <c r="I240" s="18">
        <f t="shared" si="3"/>
        <v>83.280000000000655</v>
      </c>
      <c r="J240" s="126">
        <v>300</v>
      </c>
      <c r="K240" s="321"/>
    </row>
    <row r="241" spans="1:11" ht="18.75" customHeight="1">
      <c r="A241" s="11" t="s">
        <v>303</v>
      </c>
      <c r="B241" s="145" t="s">
        <v>310</v>
      </c>
      <c r="C241" s="55"/>
      <c r="D241" s="3" t="s">
        <v>11</v>
      </c>
      <c r="E241" s="3" t="s">
        <v>25</v>
      </c>
      <c r="F241" s="3" t="s">
        <v>26</v>
      </c>
      <c r="G241" s="305">
        <f>'NOV-18 '!I241</f>
        <v>2800</v>
      </c>
      <c r="H241" s="51">
        <f>360</f>
        <v>360</v>
      </c>
      <c r="I241" s="17">
        <f t="shared" si="3"/>
        <v>2140</v>
      </c>
      <c r="J241" s="45"/>
      <c r="K241" s="411">
        <v>300</v>
      </c>
    </row>
    <row r="242" spans="1:11" ht="24.75" customHeight="1">
      <c r="A242" s="11" t="s">
        <v>304</v>
      </c>
      <c r="B242" s="145" t="s">
        <v>311</v>
      </c>
      <c r="C242" s="55"/>
      <c r="D242" s="3" t="s">
        <v>11</v>
      </c>
      <c r="E242" s="3" t="s">
        <v>25</v>
      </c>
      <c r="F242" s="3" t="s">
        <v>26</v>
      </c>
      <c r="G242" s="305">
        <f>'NOV-18 '!I242</f>
        <v>1000</v>
      </c>
      <c r="H242" s="51"/>
      <c r="I242" s="17">
        <f t="shared" si="3"/>
        <v>1000</v>
      </c>
      <c r="J242" s="45"/>
      <c r="K242" s="322"/>
    </row>
    <row r="243" spans="1:11" ht="16.5" customHeight="1">
      <c r="A243" s="11" t="s">
        <v>305</v>
      </c>
      <c r="B243" s="145" t="s">
        <v>312</v>
      </c>
      <c r="C243" s="55"/>
      <c r="D243" s="3" t="s">
        <v>11</v>
      </c>
      <c r="E243" s="3" t="s">
        <v>25</v>
      </c>
      <c r="F243" s="3" t="s">
        <v>26</v>
      </c>
      <c r="G243" s="305">
        <f>'NOV-18 '!I243</f>
        <v>954.78</v>
      </c>
      <c r="H243" s="51">
        <f>175+135+143+154</f>
        <v>607</v>
      </c>
      <c r="I243" s="17">
        <f t="shared" si="3"/>
        <v>347.78</v>
      </c>
      <c r="J243" s="45"/>
      <c r="K243" s="323"/>
    </row>
    <row r="244" spans="1:11" ht="22.5" customHeight="1">
      <c r="A244" s="11" t="s">
        <v>306</v>
      </c>
      <c r="B244" s="145" t="s">
        <v>313</v>
      </c>
      <c r="C244" s="55"/>
      <c r="D244" s="3" t="s">
        <v>11</v>
      </c>
      <c r="E244" s="3" t="s">
        <v>25</v>
      </c>
      <c r="F244" s="3" t="s">
        <v>26</v>
      </c>
      <c r="G244" s="305">
        <f>'NOV-18 '!I244</f>
        <v>918.34000000000015</v>
      </c>
      <c r="H244" s="51"/>
      <c r="I244" s="17">
        <f t="shared" si="3"/>
        <v>918.34000000000015</v>
      </c>
      <c r="J244" s="45"/>
      <c r="K244" s="324"/>
    </row>
    <row r="245" spans="1:11" ht="19.5" customHeight="1">
      <c r="A245" s="11" t="s">
        <v>307</v>
      </c>
      <c r="B245" s="145" t="s">
        <v>314</v>
      </c>
      <c r="C245" s="55"/>
      <c r="D245" s="3" t="s">
        <v>11</v>
      </c>
      <c r="E245" s="3" t="s">
        <v>25</v>
      </c>
      <c r="F245" s="3" t="s">
        <v>26</v>
      </c>
      <c r="G245" s="305">
        <f>'NOV-18 '!I245</f>
        <v>9.17</v>
      </c>
      <c r="H245" s="51"/>
      <c r="I245" s="17">
        <f t="shared" si="3"/>
        <v>9.17</v>
      </c>
      <c r="J245" s="45"/>
      <c r="K245" s="324"/>
    </row>
    <row r="246" spans="1:11" ht="24" customHeight="1">
      <c r="A246" s="11" t="s">
        <v>308</v>
      </c>
      <c r="B246" s="145" t="s">
        <v>315</v>
      </c>
      <c r="C246" s="55"/>
      <c r="D246" s="3" t="s">
        <v>11</v>
      </c>
      <c r="E246" s="3" t="s">
        <v>25</v>
      </c>
      <c r="F246" s="3" t="s">
        <v>26</v>
      </c>
      <c r="G246" s="305">
        <f>'NOV-18 '!I246</f>
        <v>50</v>
      </c>
      <c r="H246" s="51"/>
      <c r="I246" s="17">
        <f t="shared" si="3"/>
        <v>50</v>
      </c>
      <c r="J246" s="126"/>
      <c r="K246" s="324"/>
    </row>
    <row r="247" spans="1:11" ht="72.75" customHeight="1">
      <c r="A247" s="144" t="s">
        <v>316</v>
      </c>
      <c r="B247" s="54" t="s">
        <v>317</v>
      </c>
      <c r="C247" s="343" t="s">
        <v>1113</v>
      </c>
      <c r="D247" s="3"/>
      <c r="E247" s="3"/>
      <c r="F247" s="3"/>
      <c r="G247" s="305">
        <f>'NOV-18 '!I247</f>
        <v>0</v>
      </c>
      <c r="H247" s="51"/>
      <c r="I247" s="17"/>
      <c r="J247" s="45"/>
      <c r="K247" s="46"/>
    </row>
    <row r="248" spans="1:11" ht="20.25" customHeight="1">
      <c r="A248" s="11" t="s">
        <v>318</v>
      </c>
      <c r="B248" s="145" t="s">
        <v>322</v>
      </c>
      <c r="C248" s="55"/>
      <c r="D248" s="3" t="s">
        <v>11</v>
      </c>
      <c r="E248" s="3" t="s">
        <v>25</v>
      </c>
      <c r="F248" s="3" t="s">
        <v>26</v>
      </c>
      <c r="G248" s="305">
        <f>'NOV-18 '!I248</f>
        <v>366.64000000000038</v>
      </c>
      <c r="H248" s="51">
        <f>333.34</f>
        <v>333.34</v>
      </c>
      <c r="I248" s="17">
        <f t="shared" ref="I248:I282" si="4">G248-H248+J248-K248</f>
        <v>33.300000000000409</v>
      </c>
      <c r="J248" s="126"/>
      <c r="K248" s="46"/>
    </row>
    <row r="249" spans="1:11" ht="36.75" customHeight="1">
      <c r="A249" s="11" t="s">
        <v>1009</v>
      </c>
      <c r="B249" s="145" t="s">
        <v>1011</v>
      </c>
      <c r="C249" s="55"/>
      <c r="D249" s="3" t="s">
        <v>11</v>
      </c>
      <c r="E249" s="3" t="s">
        <v>25</v>
      </c>
      <c r="F249" s="3" t="s">
        <v>26</v>
      </c>
      <c r="G249" s="305">
        <f>'NOV-18 '!I249</f>
        <v>175</v>
      </c>
      <c r="H249" s="51"/>
      <c r="I249" s="17">
        <f t="shared" si="4"/>
        <v>175</v>
      </c>
      <c r="J249" s="126"/>
      <c r="K249" s="46"/>
    </row>
    <row r="250" spans="1:11" ht="31.5" customHeight="1">
      <c r="A250" s="11" t="s">
        <v>319</v>
      </c>
      <c r="B250" s="145" t="s">
        <v>1010</v>
      </c>
      <c r="C250" s="55"/>
      <c r="D250" s="3" t="s">
        <v>11</v>
      </c>
      <c r="E250" s="3" t="s">
        <v>25</v>
      </c>
      <c r="F250" s="3" t="s">
        <v>26</v>
      </c>
      <c r="G250" s="305">
        <f>'NOV-18 '!I250</f>
        <v>1028</v>
      </c>
      <c r="H250" s="51">
        <v>28</v>
      </c>
      <c r="I250" s="17">
        <f t="shared" si="4"/>
        <v>1000</v>
      </c>
      <c r="J250" s="45"/>
      <c r="K250" s="260"/>
    </row>
    <row r="251" spans="1:11" ht="20.25" customHeight="1">
      <c r="A251" s="11" t="s">
        <v>320</v>
      </c>
      <c r="B251" s="145" t="s">
        <v>324</v>
      </c>
      <c r="C251" s="55"/>
      <c r="D251" s="3" t="s">
        <v>11</v>
      </c>
      <c r="E251" s="3" t="s">
        <v>25</v>
      </c>
      <c r="F251" s="3" t="s">
        <v>26</v>
      </c>
      <c r="G251" s="305">
        <f>'NOV-18 '!I251</f>
        <v>15.87</v>
      </c>
      <c r="H251" s="51"/>
      <c r="I251" s="17">
        <f t="shared" si="4"/>
        <v>15.87</v>
      </c>
      <c r="J251" s="45"/>
      <c r="K251" s="46"/>
    </row>
    <row r="252" spans="1:11" ht="29.25" customHeight="1">
      <c r="A252" s="11" t="s">
        <v>321</v>
      </c>
      <c r="B252" s="145" t="s">
        <v>325</v>
      </c>
      <c r="C252" s="55"/>
      <c r="D252" s="3" t="s">
        <v>11</v>
      </c>
      <c r="E252" s="3" t="s">
        <v>25</v>
      </c>
      <c r="F252" s="3" t="s">
        <v>26</v>
      </c>
      <c r="G252" s="305">
        <f>'NOV-18 '!I252</f>
        <v>1980</v>
      </c>
      <c r="H252" s="51"/>
      <c r="I252" s="17">
        <f t="shared" si="4"/>
        <v>1980</v>
      </c>
      <c r="J252" s="45"/>
      <c r="K252" s="46"/>
    </row>
    <row r="253" spans="1:11" ht="66" customHeight="1">
      <c r="A253" s="271" t="s">
        <v>326</v>
      </c>
      <c r="B253" s="54" t="s">
        <v>327</v>
      </c>
      <c r="C253" s="55"/>
      <c r="D253" s="3"/>
      <c r="E253" s="3"/>
      <c r="F253" s="3"/>
      <c r="G253" s="305">
        <f>'NOV-18 '!I253</f>
        <v>0</v>
      </c>
      <c r="H253" s="51"/>
      <c r="I253" s="17"/>
      <c r="J253" s="45"/>
      <c r="K253" s="46"/>
    </row>
    <row r="254" spans="1:11" ht="23.25" customHeight="1">
      <c r="A254" s="11" t="s">
        <v>328</v>
      </c>
      <c r="B254" s="145" t="s">
        <v>329</v>
      </c>
      <c r="C254" s="55"/>
      <c r="D254" s="3" t="s">
        <v>11</v>
      </c>
      <c r="E254" s="3" t="s">
        <v>25</v>
      </c>
      <c r="F254" s="3" t="s">
        <v>26</v>
      </c>
      <c r="G254" s="305">
        <f>'NOV-18 '!I254</f>
        <v>0</v>
      </c>
      <c r="H254" s="51"/>
      <c r="I254" s="17">
        <f t="shared" si="4"/>
        <v>0</v>
      </c>
      <c r="J254" s="45"/>
      <c r="K254" s="324"/>
    </row>
    <row r="255" spans="1:11" ht="26.25" customHeight="1">
      <c r="A255" s="11" t="s">
        <v>330</v>
      </c>
      <c r="B255" s="145" t="s">
        <v>331</v>
      </c>
      <c r="C255" s="55"/>
      <c r="D255" s="3" t="s">
        <v>11</v>
      </c>
      <c r="E255" s="3" t="s">
        <v>25</v>
      </c>
      <c r="F255" s="3" t="s">
        <v>26</v>
      </c>
      <c r="G255" s="305">
        <f>'NOV-18 '!I255</f>
        <v>0</v>
      </c>
      <c r="H255" s="51"/>
      <c r="I255" s="17">
        <f t="shared" si="4"/>
        <v>0</v>
      </c>
      <c r="J255" s="45"/>
      <c r="K255" s="324"/>
    </row>
    <row r="256" spans="1:11" ht="18.75" customHeight="1">
      <c r="A256" s="11" t="s">
        <v>332</v>
      </c>
      <c r="B256" s="145" t="s">
        <v>333</v>
      </c>
      <c r="C256" s="55"/>
      <c r="D256" s="3" t="s">
        <v>11</v>
      </c>
      <c r="E256" s="3" t="s">
        <v>25</v>
      </c>
      <c r="F256" s="3" t="s">
        <v>26</v>
      </c>
      <c r="G256" s="305">
        <f>'NOV-18 '!I256</f>
        <v>0</v>
      </c>
      <c r="H256" s="51"/>
      <c r="I256" s="17">
        <f t="shared" si="4"/>
        <v>0</v>
      </c>
      <c r="J256" s="45"/>
      <c r="K256" s="324"/>
    </row>
    <row r="257" spans="1:11" ht="18" customHeight="1">
      <c r="A257" s="11" t="s">
        <v>334</v>
      </c>
      <c r="B257" s="145" t="s">
        <v>335</v>
      </c>
      <c r="C257" s="55"/>
      <c r="D257" s="3" t="s">
        <v>11</v>
      </c>
      <c r="E257" s="3" t="s">
        <v>25</v>
      </c>
      <c r="F257" s="3" t="s">
        <v>26</v>
      </c>
      <c r="G257" s="305">
        <f>'NOV-18 '!I257</f>
        <v>0</v>
      </c>
      <c r="H257" s="51"/>
      <c r="I257" s="17">
        <f t="shared" si="4"/>
        <v>0</v>
      </c>
      <c r="J257" s="45"/>
      <c r="K257" s="324"/>
    </row>
    <row r="258" spans="1:11" ht="24.75" customHeight="1">
      <c r="A258" s="11" t="s">
        <v>336</v>
      </c>
      <c r="B258" s="145" t="s">
        <v>337</v>
      </c>
      <c r="C258" s="55"/>
      <c r="D258" s="3" t="s">
        <v>11</v>
      </c>
      <c r="E258" s="3" t="s">
        <v>25</v>
      </c>
      <c r="F258" s="3" t="s">
        <v>26</v>
      </c>
      <c r="G258" s="305">
        <f>'NOV-18 '!I258</f>
        <v>0</v>
      </c>
      <c r="H258" s="51"/>
      <c r="I258" s="17">
        <f t="shared" si="4"/>
        <v>0</v>
      </c>
      <c r="J258" s="45"/>
      <c r="K258" s="324"/>
    </row>
    <row r="259" spans="1:11" ht="60.75" customHeight="1">
      <c r="A259" s="144" t="s">
        <v>338</v>
      </c>
      <c r="B259" s="54" t="s">
        <v>339</v>
      </c>
      <c r="C259" s="55" t="s">
        <v>1059</v>
      </c>
      <c r="D259" s="3"/>
      <c r="E259" s="3"/>
      <c r="F259" s="3"/>
      <c r="G259" s="305">
        <f>'NOV-18 '!I259</f>
        <v>0</v>
      </c>
      <c r="H259" s="51"/>
      <c r="I259" s="17"/>
      <c r="J259" s="45"/>
      <c r="K259" s="46"/>
    </row>
    <row r="260" spans="1:11" ht="18.75" customHeight="1">
      <c r="A260" s="11" t="s">
        <v>340</v>
      </c>
      <c r="B260" s="145" t="s">
        <v>344</v>
      </c>
      <c r="C260" s="55"/>
      <c r="D260" s="3" t="s">
        <v>11</v>
      </c>
      <c r="E260" s="3" t="s">
        <v>25</v>
      </c>
      <c r="F260" s="3" t="s">
        <v>26</v>
      </c>
      <c r="G260" s="305">
        <f>'NOV-18 '!I260</f>
        <v>0</v>
      </c>
      <c r="H260" s="51"/>
      <c r="I260" s="17">
        <f t="shared" si="4"/>
        <v>0</v>
      </c>
      <c r="J260" s="45"/>
      <c r="K260" s="280"/>
    </row>
    <row r="261" spans="1:11" ht="31.5" customHeight="1">
      <c r="A261" s="11" t="s">
        <v>341</v>
      </c>
      <c r="B261" s="145" t="s">
        <v>345</v>
      </c>
      <c r="C261" s="55" t="s">
        <v>1059</v>
      </c>
      <c r="D261" s="3" t="s">
        <v>11</v>
      </c>
      <c r="E261" s="3" t="s">
        <v>25</v>
      </c>
      <c r="F261" s="3" t="s">
        <v>26</v>
      </c>
      <c r="G261" s="305">
        <f>'NOV-18 '!I261</f>
        <v>0</v>
      </c>
      <c r="H261" s="51"/>
      <c r="I261" s="17">
        <f t="shared" si="4"/>
        <v>0</v>
      </c>
      <c r="J261" s="45"/>
      <c r="K261" s="280"/>
    </row>
    <row r="262" spans="1:11" ht="20.25" customHeight="1">
      <c r="A262" s="11" t="s">
        <v>342</v>
      </c>
      <c r="B262" s="145" t="s">
        <v>346</v>
      </c>
      <c r="C262" s="55"/>
      <c r="D262" s="3" t="s">
        <v>11</v>
      </c>
      <c r="E262" s="3" t="s">
        <v>25</v>
      </c>
      <c r="F262" s="3" t="s">
        <v>26</v>
      </c>
      <c r="G262" s="305">
        <f>'NOV-18 '!I262</f>
        <v>0</v>
      </c>
      <c r="H262" s="51"/>
      <c r="I262" s="17">
        <f t="shared" si="4"/>
        <v>0</v>
      </c>
      <c r="J262" s="45"/>
      <c r="K262" s="280"/>
    </row>
    <row r="263" spans="1:11" ht="24" customHeight="1">
      <c r="A263" s="11" t="s">
        <v>343</v>
      </c>
      <c r="B263" s="145" t="s">
        <v>347</v>
      </c>
      <c r="C263" s="55"/>
      <c r="D263" s="3" t="s">
        <v>11</v>
      </c>
      <c r="E263" s="3" t="s">
        <v>25</v>
      </c>
      <c r="F263" s="3" t="s">
        <v>26</v>
      </c>
      <c r="G263" s="305">
        <f>'NOV-18 '!I263</f>
        <v>0</v>
      </c>
      <c r="H263" s="51"/>
      <c r="I263" s="17">
        <f t="shared" si="4"/>
        <v>0</v>
      </c>
      <c r="J263" s="45"/>
      <c r="K263" s="280"/>
    </row>
    <row r="264" spans="1:11" ht="70.5" customHeight="1">
      <c r="A264" s="144" t="s">
        <v>348</v>
      </c>
      <c r="B264" s="54" t="s">
        <v>349</v>
      </c>
      <c r="C264" s="55"/>
      <c r="D264" s="3"/>
      <c r="E264" s="3"/>
      <c r="F264" s="3"/>
      <c r="G264" s="305">
        <f>'NOV-18 '!I264</f>
        <v>0</v>
      </c>
      <c r="H264" s="51"/>
      <c r="I264" s="17"/>
      <c r="J264" s="45"/>
      <c r="K264" s="46"/>
    </row>
    <row r="265" spans="1:11" ht="23.25" customHeight="1">
      <c r="A265" s="11" t="s">
        <v>350</v>
      </c>
      <c r="B265" s="145" t="s">
        <v>355</v>
      </c>
      <c r="C265" s="55"/>
      <c r="D265" s="3" t="s">
        <v>11</v>
      </c>
      <c r="E265" s="3" t="s">
        <v>25</v>
      </c>
      <c r="F265" s="3" t="s">
        <v>26</v>
      </c>
      <c r="G265" s="305">
        <f>'NOV-18 '!I265</f>
        <v>0</v>
      </c>
      <c r="H265" s="51"/>
      <c r="I265" s="17">
        <f t="shared" si="4"/>
        <v>0</v>
      </c>
      <c r="J265" s="45"/>
      <c r="K265" s="324"/>
    </row>
    <row r="266" spans="1:11" ht="22.5" customHeight="1">
      <c r="A266" s="11" t="s">
        <v>351</v>
      </c>
      <c r="B266" s="145" t="s">
        <v>354</v>
      </c>
      <c r="C266" s="55"/>
      <c r="D266" s="3" t="s">
        <v>11</v>
      </c>
      <c r="E266" s="3" t="s">
        <v>25</v>
      </c>
      <c r="F266" s="3" t="s">
        <v>26</v>
      </c>
      <c r="G266" s="305">
        <f>'NOV-18 '!I266</f>
        <v>0</v>
      </c>
      <c r="H266" s="51"/>
      <c r="I266" s="17">
        <f t="shared" si="4"/>
        <v>0</v>
      </c>
      <c r="J266" s="45"/>
      <c r="K266" s="324"/>
    </row>
    <row r="267" spans="1:11" ht="24.75" customHeight="1">
      <c r="A267" s="11" t="s">
        <v>352</v>
      </c>
      <c r="B267" s="145" t="s">
        <v>356</v>
      </c>
      <c r="C267" s="55"/>
      <c r="D267" s="3" t="s">
        <v>11</v>
      </c>
      <c r="E267" s="3" t="s">
        <v>25</v>
      </c>
      <c r="F267" s="3" t="s">
        <v>26</v>
      </c>
      <c r="G267" s="305">
        <f>'NOV-18 '!I267</f>
        <v>0</v>
      </c>
      <c r="H267" s="51"/>
      <c r="I267" s="17">
        <f t="shared" si="4"/>
        <v>0</v>
      </c>
      <c r="J267" s="45"/>
      <c r="K267" s="385"/>
    </row>
    <row r="268" spans="1:11" ht="24.75" customHeight="1">
      <c r="A268" s="11" t="s">
        <v>353</v>
      </c>
      <c r="B268" s="145" t="s">
        <v>357</v>
      </c>
      <c r="C268" s="55"/>
      <c r="D268" s="3" t="s">
        <v>11</v>
      </c>
      <c r="E268" s="3" t="s">
        <v>25</v>
      </c>
      <c r="F268" s="3" t="s">
        <v>26</v>
      </c>
      <c r="G268" s="305">
        <f>'NOV-18 '!I268</f>
        <v>0</v>
      </c>
      <c r="H268" s="51"/>
      <c r="I268" s="17">
        <f t="shared" si="4"/>
        <v>0</v>
      </c>
      <c r="J268" s="45"/>
      <c r="K268" s="385"/>
    </row>
    <row r="269" spans="1:11" ht="59.25" customHeight="1">
      <c r="A269" s="144" t="s">
        <v>358</v>
      </c>
      <c r="B269" s="54" t="s">
        <v>359</v>
      </c>
      <c r="C269" s="55"/>
      <c r="D269" s="3"/>
      <c r="E269" s="3"/>
      <c r="F269" s="3"/>
      <c r="G269" s="305">
        <f>'NOV-18 '!I269</f>
        <v>0</v>
      </c>
      <c r="H269" s="51"/>
      <c r="I269" s="17"/>
      <c r="J269" s="45"/>
      <c r="K269" s="46"/>
    </row>
    <row r="270" spans="1:11" ht="18.75" customHeight="1">
      <c r="A270" s="11" t="s">
        <v>361</v>
      </c>
      <c r="B270" s="146" t="s">
        <v>360</v>
      </c>
      <c r="C270" s="55"/>
      <c r="D270" s="3" t="s">
        <v>11</v>
      </c>
      <c r="E270" s="3" t="s">
        <v>25</v>
      </c>
      <c r="F270" s="3" t="s">
        <v>26</v>
      </c>
      <c r="G270" s="305">
        <f>'NOV-18 '!I270</f>
        <v>3000</v>
      </c>
      <c r="H270" s="51"/>
      <c r="I270" s="17">
        <f t="shared" si="4"/>
        <v>0</v>
      </c>
      <c r="J270" s="45"/>
      <c r="K270" s="324">
        <v>3000</v>
      </c>
    </row>
    <row r="271" spans="1:11" ht="18.75" customHeight="1">
      <c r="A271" s="11" t="s">
        <v>362</v>
      </c>
      <c r="B271" s="145" t="s">
        <v>365</v>
      </c>
      <c r="C271" s="55"/>
      <c r="D271" s="3" t="s">
        <v>11</v>
      </c>
      <c r="E271" s="3" t="s">
        <v>25</v>
      </c>
      <c r="F271" s="3" t="s">
        <v>26</v>
      </c>
      <c r="G271" s="305">
        <f>'NOV-18 '!I271</f>
        <v>500</v>
      </c>
      <c r="H271" s="51"/>
      <c r="I271" s="17">
        <f t="shared" si="4"/>
        <v>0</v>
      </c>
      <c r="J271" s="45"/>
      <c r="K271" s="324">
        <v>500</v>
      </c>
    </row>
    <row r="272" spans="1:11" ht="24.75" customHeight="1">
      <c r="A272" s="11" t="s">
        <v>363</v>
      </c>
      <c r="B272" s="145" t="s">
        <v>366</v>
      </c>
      <c r="C272" s="55"/>
      <c r="D272" s="3" t="s">
        <v>11</v>
      </c>
      <c r="E272" s="3" t="s">
        <v>25</v>
      </c>
      <c r="F272" s="3" t="s">
        <v>26</v>
      </c>
      <c r="G272" s="305">
        <f>'NOV-18 '!I272</f>
        <v>200</v>
      </c>
      <c r="H272" s="51"/>
      <c r="I272" s="17">
        <f t="shared" si="4"/>
        <v>0</v>
      </c>
      <c r="J272" s="45"/>
      <c r="K272" s="324">
        <v>200</v>
      </c>
    </row>
    <row r="273" spans="1:11" ht="28.5" customHeight="1">
      <c r="A273" s="11" t="s">
        <v>364</v>
      </c>
      <c r="B273" s="146" t="s">
        <v>367</v>
      </c>
      <c r="C273" s="55"/>
      <c r="D273" s="3" t="s">
        <v>11</v>
      </c>
      <c r="E273" s="3" t="s">
        <v>25</v>
      </c>
      <c r="F273" s="3" t="s">
        <v>26</v>
      </c>
      <c r="G273" s="305">
        <f>'NOV-18 '!I273</f>
        <v>280</v>
      </c>
      <c r="H273" s="51"/>
      <c r="I273" s="17">
        <f t="shared" si="4"/>
        <v>0</v>
      </c>
      <c r="J273" s="45"/>
      <c r="K273" s="324">
        <v>280</v>
      </c>
    </row>
    <row r="274" spans="1:11" ht="27.75" customHeight="1">
      <c r="A274" s="11" t="s">
        <v>368</v>
      </c>
      <c r="B274" s="145" t="s">
        <v>369</v>
      </c>
      <c r="C274" s="55"/>
      <c r="D274" s="3" t="s">
        <v>11</v>
      </c>
      <c r="E274" s="3" t="s">
        <v>25</v>
      </c>
      <c r="F274" s="3" t="s">
        <v>26</v>
      </c>
      <c r="G274" s="305">
        <f>'NOV-18 '!I274</f>
        <v>0</v>
      </c>
      <c r="H274" s="51"/>
      <c r="I274" s="17">
        <f t="shared" si="4"/>
        <v>0</v>
      </c>
      <c r="J274" s="45"/>
      <c r="K274" s="324"/>
    </row>
    <row r="275" spans="1:11" ht="23.25" customHeight="1">
      <c r="A275" s="11" t="s">
        <v>370</v>
      </c>
      <c r="B275" s="145" t="s">
        <v>371</v>
      </c>
      <c r="C275" s="55"/>
      <c r="D275" s="3" t="s">
        <v>11</v>
      </c>
      <c r="E275" s="3" t="s">
        <v>25</v>
      </c>
      <c r="F275" s="3" t="s">
        <v>26</v>
      </c>
      <c r="G275" s="305">
        <f>'NOV-18 '!I275</f>
        <v>6.3999999999999773</v>
      </c>
      <c r="H275" s="51"/>
      <c r="I275" s="17">
        <f t="shared" si="4"/>
        <v>-2.3092638912203256E-14</v>
      </c>
      <c r="J275" s="45"/>
      <c r="K275" s="324">
        <v>6.4</v>
      </c>
    </row>
    <row r="276" spans="1:11" ht="24" customHeight="1">
      <c r="A276" s="11" t="s">
        <v>372</v>
      </c>
      <c r="B276" s="145" t="s">
        <v>373</v>
      </c>
      <c r="C276" s="55"/>
      <c r="D276" s="3" t="s">
        <v>11</v>
      </c>
      <c r="E276" s="3" t="s">
        <v>25</v>
      </c>
      <c r="F276" s="3" t="s">
        <v>26</v>
      </c>
      <c r="G276" s="305">
        <f>'NOV-18 '!I276</f>
        <v>18.7</v>
      </c>
      <c r="H276" s="51"/>
      <c r="I276" s="17">
        <f t="shared" si="4"/>
        <v>0</v>
      </c>
      <c r="J276" s="45"/>
      <c r="K276" s="324">
        <v>18.7</v>
      </c>
    </row>
    <row r="277" spans="1:11" ht="69" customHeight="1">
      <c r="A277" s="144" t="s">
        <v>374</v>
      </c>
      <c r="B277" s="54" t="s">
        <v>375</v>
      </c>
      <c r="C277" s="55"/>
      <c r="D277" s="3"/>
      <c r="E277" s="3"/>
      <c r="F277" s="3"/>
      <c r="G277" s="305">
        <f>'NOV-18 '!I277</f>
        <v>0</v>
      </c>
      <c r="H277" s="51"/>
      <c r="I277" s="17"/>
      <c r="J277" s="45"/>
      <c r="K277" s="46"/>
    </row>
    <row r="278" spans="1:11" ht="24" customHeight="1">
      <c r="A278" s="11" t="s">
        <v>376</v>
      </c>
      <c r="B278" s="146" t="s">
        <v>377</v>
      </c>
      <c r="C278" s="55"/>
      <c r="D278" s="3" t="s">
        <v>11</v>
      </c>
      <c r="E278" s="3" t="s">
        <v>25</v>
      </c>
      <c r="F278" s="3" t="s">
        <v>26</v>
      </c>
      <c r="G278" s="305">
        <f>'NOV-18 '!I278</f>
        <v>0</v>
      </c>
      <c r="H278" s="51"/>
      <c r="I278" s="17">
        <f t="shared" si="4"/>
        <v>0</v>
      </c>
      <c r="J278" s="45"/>
      <c r="K278" s="324"/>
    </row>
    <row r="279" spans="1:11" ht="28.5" customHeight="1">
      <c r="A279" s="11" t="s">
        <v>383</v>
      </c>
      <c r="B279" s="145" t="s">
        <v>378</v>
      </c>
      <c r="C279" s="55"/>
      <c r="D279" s="3" t="s">
        <v>11</v>
      </c>
      <c r="E279" s="3" t="s">
        <v>25</v>
      </c>
      <c r="F279" s="3" t="s">
        <v>26</v>
      </c>
      <c r="G279" s="305">
        <f>'NOV-18 '!I279</f>
        <v>0</v>
      </c>
      <c r="H279" s="51"/>
      <c r="I279" s="17">
        <f t="shared" si="4"/>
        <v>0</v>
      </c>
      <c r="J279" s="45"/>
      <c r="K279" s="324"/>
    </row>
    <row r="280" spans="1:11" ht="33" customHeight="1">
      <c r="A280" s="11" t="s">
        <v>384</v>
      </c>
      <c r="B280" s="146" t="s">
        <v>379</v>
      </c>
      <c r="C280" s="55"/>
      <c r="D280" s="3" t="s">
        <v>11</v>
      </c>
      <c r="E280" s="3" t="s">
        <v>25</v>
      </c>
      <c r="F280" s="3" t="s">
        <v>26</v>
      </c>
      <c r="G280" s="305">
        <f>'NOV-18 '!I280</f>
        <v>0</v>
      </c>
      <c r="H280" s="51"/>
      <c r="I280" s="17">
        <f t="shared" si="4"/>
        <v>0</v>
      </c>
      <c r="J280" s="45"/>
      <c r="K280" s="324"/>
    </row>
    <row r="281" spans="1:11" ht="41.25" customHeight="1">
      <c r="A281" s="11" t="s">
        <v>385</v>
      </c>
      <c r="B281" s="145" t="s">
        <v>380</v>
      </c>
      <c r="C281" s="55"/>
      <c r="D281" s="3" t="s">
        <v>11</v>
      </c>
      <c r="E281" s="3" t="s">
        <v>25</v>
      </c>
      <c r="F281" s="3" t="s">
        <v>26</v>
      </c>
      <c r="G281" s="305">
        <f>'NOV-18 '!I281</f>
        <v>0</v>
      </c>
      <c r="H281" s="51"/>
      <c r="I281" s="17">
        <f t="shared" si="4"/>
        <v>0</v>
      </c>
      <c r="J281" s="45"/>
      <c r="K281" s="324"/>
    </row>
    <row r="282" spans="1:11" ht="30" customHeight="1">
      <c r="A282" s="11" t="s">
        <v>386</v>
      </c>
      <c r="B282" s="145" t="s">
        <v>381</v>
      </c>
      <c r="C282" s="55"/>
      <c r="D282" s="3" t="s">
        <v>11</v>
      </c>
      <c r="E282" s="3" t="s">
        <v>25</v>
      </c>
      <c r="F282" s="3" t="s">
        <v>26</v>
      </c>
      <c r="G282" s="305">
        <f>'NOV-18 '!I282</f>
        <v>1464.83</v>
      </c>
      <c r="H282" s="51"/>
      <c r="I282" s="17">
        <f t="shared" si="4"/>
        <v>1464.83</v>
      </c>
      <c r="J282" s="45"/>
      <c r="K282" s="324"/>
    </row>
    <row r="283" spans="1:11" ht="27" customHeight="1">
      <c r="A283" s="11" t="s">
        <v>387</v>
      </c>
      <c r="B283" s="145" t="s">
        <v>382</v>
      </c>
      <c r="C283" s="6"/>
      <c r="D283" s="3" t="s">
        <v>11</v>
      </c>
      <c r="E283" s="3" t="s">
        <v>25</v>
      </c>
      <c r="F283" s="3" t="s">
        <v>26</v>
      </c>
      <c r="G283" s="305">
        <f>'NOV-18 '!I283</f>
        <v>20</v>
      </c>
      <c r="H283" s="51"/>
      <c r="I283" s="17">
        <f t="shared" si="3"/>
        <v>20</v>
      </c>
      <c r="J283" s="45"/>
      <c r="K283" s="385"/>
    </row>
    <row r="284" spans="1:11" ht="143.25" customHeight="1">
      <c r="A284" s="144" t="s">
        <v>388</v>
      </c>
      <c r="B284" s="54" t="s">
        <v>391</v>
      </c>
      <c r="C284" s="55"/>
      <c r="D284" s="14"/>
      <c r="E284" s="14"/>
      <c r="F284" s="14"/>
      <c r="G284" s="305">
        <f>'NOV-18 '!I284</f>
        <v>0</v>
      </c>
      <c r="H284" s="51"/>
      <c r="I284" s="17"/>
      <c r="J284" s="62"/>
      <c r="K284" s="63"/>
    </row>
    <row r="285" spans="1:11" ht="29.25">
      <c r="A285" s="11" t="s">
        <v>389</v>
      </c>
      <c r="B285" s="54" t="s">
        <v>390</v>
      </c>
      <c r="C285" s="55"/>
      <c r="D285" s="14" t="s">
        <v>11</v>
      </c>
      <c r="E285" s="14" t="s">
        <v>25</v>
      </c>
      <c r="F285" s="14" t="s">
        <v>26</v>
      </c>
      <c r="G285" s="305">
        <f>'NOV-18 '!I285</f>
        <v>0</v>
      </c>
      <c r="H285" s="51"/>
      <c r="I285" s="17">
        <f t="shared" si="3"/>
        <v>0</v>
      </c>
      <c r="J285" s="62"/>
      <c r="K285" s="324"/>
    </row>
    <row r="286" spans="1:11" ht="68.25" customHeight="1">
      <c r="A286" s="412" t="s">
        <v>392</v>
      </c>
      <c r="B286" s="54" t="s">
        <v>393</v>
      </c>
      <c r="C286" s="343" t="s">
        <v>1114</v>
      </c>
      <c r="D286" s="14"/>
      <c r="E286" s="14"/>
      <c r="F286" s="14"/>
      <c r="G286" s="305">
        <f>'NOV-18 '!I286</f>
        <v>0</v>
      </c>
      <c r="H286" s="51"/>
      <c r="I286" s="17"/>
      <c r="J286" s="62"/>
      <c r="K286" s="63"/>
    </row>
    <row r="287" spans="1:11" ht="21" customHeight="1">
      <c r="A287" s="11">
        <v>51999</v>
      </c>
      <c r="B287" s="54" t="s">
        <v>394</v>
      </c>
      <c r="C287" s="55"/>
      <c r="D287" s="14" t="s">
        <v>11</v>
      </c>
      <c r="E287" s="14" t="s">
        <v>25</v>
      </c>
      <c r="F287" s="14" t="s">
        <v>26</v>
      </c>
      <c r="G287" s="305">
        <f>'NOV-18 '!I287</f>
        <v>47.230000000000018</v>
      </c>
      <c r="H287" s="51"/>
      <c r="I287" s="17">
        <f t="shared" si="3"/>
        <v>47.230000000000018</v>
      </c>
      <c r="J287" s="108"/>
      <c r="K287" s="320"/>
    </row>
    <row r="288" spans="1:11" ht="29.25">
      <c r="A288" s="11">
        <v>54112</v>
      </c>
      <c r="B288" s="54" t="s">
        <v>395</v>
      </c>
      <c r="C288" s="55"/>
      <c r="D288" s="14" t="s">
        <v>11</v>
      </c>
      <c r="E288" s="14" t="s">
        <v>25</v>
      </c>
      <c r="F288" s="14" t="s">
        <v>26</v>
      </c>
      <c r="G288" s="305">
        <f>'NOV-18 '!I288</f>
        <v>1000</v>
      </c>
      <c r="H288" s="51"/>
      <c r="I288" s="17">
        <f t="shared" si="3"/>
        <v>1000</v>
      </c>
      <c r="J288" s="62"/>
      <c r="K288" s="320"/>
    </row>
    <row r="289" spans="1:11" ht="29.25">
      <c r="A289" s="11">
        <v>54199</v>
      </c>
      <c r="B289" s="54" t="s">
        <v>396</v>
      </c>
      <c r="C289" s="55"/>
      <c r="D289" s="14" t="s">
        <v>11</v>
      </c>
      <c r="E289" s="14" t="s">
        <v>25</v>
      </c>
      <c r="F289" s="14" t="s">
        <v>26</v>
      </c>
      <c r="G289" s="305">
        <f>'NOV-18 '!I289</f>
        <v>500</v>
      </c>
      <c r="H289" s="51"/>
      <c r="I289" s="17">
        <f t="shared" ref="I289:I352" si="5">G289-H289+J289-K289</f>
        <v>500</v>
      </c>
      <c r="J289" s="62"/>
      <c r="K289" s="320"/>
    </row>
    <row r="290" spans="1:11" ht="21.75" customHeight="1">
      <c r="A290" s="11">
        <v>54305</v>
      </c>
      <c r="B290" s="54" t="s">
        <v>397</v>
      </c>
      <c r="C290" s="55"/>
      <c r="D290" s="14" t="s">
        <v>11</v>
      </c>
      <c r="E290" s="14" t="s">
        <v>25</v>
      </c>
      <c r="F290" s="14" t="s">
        <v>26</v>
      </c>
      <c r="G290" s="305">
        <f>'NOV-18 '!I290</f>
        <v>913.41999999999985</v>
      </c>
      <c r="H290" s="51">
        <f>277.78</f>
        <v>277.77999999999997</v>
      </c>
      <c r="I290" s="17">
        <f t="shared" si="5"/>
        <v>635.63999999999987</v>
      </c>
      <c r="J290" s="62"/>
      <c r="K290" s="108"/>
    </row>
    <row r="291" spans="1:11" ht="30">
      <c r="A291" s="11">
        <v>54313</v>
      </c>
      <c r="B291" s="54" t="s">
        <v>398</v>
      </c>
      <c r="C291" s="55" t="s">
        <v>1064</v>
      </c>
      <c r="D291" s="14" t="s">
        <v>11</v>
      </c>
      <c r="E291" s="14" t="s">
        <v>25</v>
      </c>
      <c r="F291" s="14" t="s">
        <v>26</v>
      </c>
      <c r="G291" s="305">
        <f>'NOV-18 '!I291</f>
        <v>78.149999999999977</v>
      </c>
      <c r="H291" s="51"/>
      <c r="I291" s="17">
        <f t="shared" si="5"/>
        <v>78.149999999999977</v>
      </c>
      <c r="J291" s="408"/>
      <c r="K291" s="63"/>
    </row>
    <row r="292" spans="1:11" ht="29.25">
      <c r="A292" s="11">
        <v>54314</v>
      </c>
      <c r="B292" s="54" t="s">
        <v>1218</v>
      </c>
      <c r="C292" s="55"/>
      <c r="D292" s="14" t="s">
        <v>11</v>
      </c>
      <c r="E292" s="14" t="s">
        <v>25</v>
      </c>
      <c r="F292" s="14" t="s">
        <v>27</v>
      </c>
      <c r="G292" s="305">
        <f>'NOV-18 '!I292</f>
        <v>40</v>
      </c>
      <c r="H292" s="51"/>
      <c r="I292" s="17">
        <f t="shared" si="5"/>
        <v>40</v>
      </c>
      <c r="J292" s="408"/>
      <c r="K292" s="63"/>
    </row>
    <row r="293" spans="1:11" ht="30">
      <c r="A293" s="11">
        <v>54399</v>
      </c>
      <c r="B293" s="54" t="s">
        <v>399</v>
      </c>
      <c r="C293" s="55"/>
      <c r="D293" s="14" t="s">
        <v>11</v>
      </c>
      <c r="E293" s="14" t="s">
        <v>25</v>
      </c>
      <c r="F293" s="14" t="s">
        <v>26</v>
      </c>
      <c r="G293" s="305">
        <f>'NOV-18 '!I293</f>
        <v>40</v>
      </c>
      <c r="H293" s="51"/>
      <c r="I293" s="17">
        <f t="shared" si="5"/>
        <v>40</v>
      </c>
      <c r="J293" s="62"/>
      <c r="K293" s="387"/>
    </row>
    <row r="294" spans="1:11" ht="30">
      <c r="A294" s="11">
        <v>55603</v>
      </c>
      <c r="B294" s="54" t="s">
        <v>400</v>
      </c>
      <c r="C294" s="55"/>
      <c r="D294" s="14" t="s">
        <v>11</v>
      </c>
      <c r="E294" s="14" t="s">
        <v>25</v>
      </c>
      <c r="F294" s="14" t="s">
        <v>26</v>
      </c>
      <c r="G294" s="305">
        <f>'NOV-18 '!I294</f>
        <v>14.17</v>
      </c>
      <c r="H294" s="51"/>
      <c r="I294" s="17">
        <f t="shared" si="5"/>
        <v>14.17</v>
      </c>
      <c r="J294" s="62"/>
      <c r="K294" s="63"/>
    </row>
    <row r="295" spans="1:11" ht="29.25">
      <c r="A295" s="11">
        <v>61101</v>
      </c>
      <c r="B295" s="54" t="s">
        <v>1183</v>
      </c>
      <c r="C295" s="55"/>
      <c r="D295" s="14" t="s">
        <v>11</v>
      </c>
      <c r="E295" s="14" t="s">
        <v>25</v>
      </c>
      <c r="F295" s="14" t="s">
        <v>1181</v>
      </c>
      <c r="G295" s="305">
        <f>'NOV-18 '!I295</f>
        <v>23.479999999999791</v>
      </c>
      <c r="H295" s="51"/>
      <c r="I295" s="17">
        <f t="shared" si="5"/>
        <v>23.479999999999791</v>
      </c>
      <c r="J295" s="408"/>
      <c r="K295" s="63"/>
    </row>
    <row r="296" spans="1:11" ht="75.75" customHeight="1">
      <c r="A296" s="144" t="s">
        <v>401</v>
      </c>
      <c r="B296" s="54" t="s">
        <v>402</v>
      </c>
      <c r="C296" s="55" t="s">
        <v>1063</v>
      </c>
      <c r="D296" s="14"/>
      <c r="E296" s="14"/>
      <c r="F296" s="14"/>
      <c r="G296" s="305">
        <f>'NOV-18 '!I296</f>
        <v>0</v>
      </c>
      <c r="H296" s="51"/>
      <c r="I296" s="17"/>
      <c r="J296" s="62"/>
      <c r="K296" s="63"/>
    </row>
    <row r="297" spans="1:11" ht="20.25" customHeight="1">
      <c r="A297" s="147">
        <v>54119</v>
      </c>
      <c r="B297" s="145" t="s">
        <v>403</v>
      </c>
      <c r="C297" s="55" t="s">
        <v>1063</v>
      </c>
      <c r="D297" s="14" t="s">
        <v>11</v>
      </c>
      <c r="E297" s="14" t="s">
        <v>25</v>
      </c>
      <c r="F297" s="14" t="s">
        <v>26</v>
      </c>
      <c r="G297" s="305">
        <f>'NOV-18 '!I297</f>
        <v>12005.6</v>
      </c>
      <c r="H297" s="51"/>
      <c r="I297" s="134">
        <f t="shared" si="5"/>
        <v>12005.6</v>
      </c>
      <c r="J297" s="108"/>
      <c r="K297" s="433"/>
    </row>
    <row r="298" spans="1:11" ht="39.75" customHeight="1">
      <c r="A298" s="147">
        <v>51999</v>
      </c>
      <c r="B298" s="145" t="s">
        <v>1051</v>
      </c>
      <c r="C298" s="55" t="s">
        <v>1063</v>
      </c>
      <c r="D298" s="14" t="s">
        <v>11</v>
      </c>
      <c r="E298" s="14" t="s">
        <v>25</v>
      </c>
      <c r="F298" s="14" t="s">
        <v>26</v>
      </c>
      <c r="G298" s="305">
        <f>'NOV-18 '!I298</f>
        <v>3900</v>
      </c>
      <c r="H298" s="51">
        <f>500</f>
        <v>500</v>
      </c>
      <c r="I298" s="17">
        <f t="shared" si="5"/>
        <v>3400</v>
      </c>
      <c r="J298" s="108"/>
      <c r="K298" s="387"/>
    </row>
    <row r="299" spans="1:11" ht="24">
      <c r="A299" s="147">
        <v>54112</v>
      </c>
      <c r="B299" s="145" t="s">
        <v>404</v>
      </c>
      <c r="C299" s="55"/>
      <c r="D299" s="14" t="s">
        <v>11</v>
      </c>
      <c r="E299" s="14" t="s">
        <v>25</v>
      </c>
      <c r="F299" s="14" t="s">
        <v>26</v>
      </c>
      <c r="G299" s="305">
        <f>'NOV-18 '!I299</f>
        <v>0</v>
      </c>
      <c r="H299" s="51"/>
      <c r="I299" s="17">
        <f t="shared" si="5"/>
        <v>0</v>
      </c>
      <c r="J299" s="62"/>
      <c r="K299" s="387"/>
    </row>
    <row r="300" spans="1:11" ht="22.5" customHeight="1">
      <c r="A300" s="147">
        <v>54199</v>
      </c>
      <c r="B300" s="145" t="s">
        <v>405</v>
      </c>
      <c r="C300" s="55"/>
      <c r="D300" s="14" t="s">
        <v>11</v>
      </c>
      <c r="E300" s="14" t="s">
        <v>25</v>
      </c>
      <c r="F300" s="14" t="s">
        <v>26</v>
      </c>
      <c r="G300" s="305">
        <f>'NOV-18 '!I300</f>
        <v>0</v>
      </c>
      <c r="H300" s="51"/>
      <c r="I300" s="17">
        <f t="shared" si="5"/>
        <v>0</v>
      </c>
      <c r="J300" s="62"/>
      <c r="K300" s="387"/>
    </row>
    <row r="301" spans="1:11" ht="24">
      <c r="A301" s="147">
        <v>54399</v>
      </c>
      <c r="B301" s="145" t="s">
        <v>406</v>
      </c>
      <c r="C301" s="55"/>
      <c r="D301" s="14" t="s">
        <v>11</v>
      </c>
      <c r="E301" s="14" t="s">
        <v>25</v>
      </c>
      <c r="F301" s="14" t="s">
        <v>26</v>
      </c>
      <c r="G301" s="305">
        <f>'NOV-18 '!I301</f>
        <v>0</v>
      </c>
      <c r="H301" s="51"/>
      <c r="I301" s="17">
        <f t="shared" si="5"/>
        <v>0</v>
      </c>
      <c r="J301" s="62"/>
      <c r="K301" s="387"/>
    </row>
    <row r="302" spans="1:11" ht="23.25" customHeight="1">
      <c r="A302" s="147">
        <v>55603</v>
      </c>
      <c r="B302" s="145" t="s">
        <v>407</v>
      </c>
      <c r="C302" s="55"/>
      <c r="D302" s="14" t="s">
        <v>11</v>
      </c>
      <c r="E302" s="14" t="s">
        <v>25</v>
      </c>
      <c r="F302" s="14" t="s">
        <v>26</v>
      </c>
      <c r="G302" s="305">
        <f>'NOV-18 '!I302</f>
        <v>0</v>
      </c>
      <c r="H302" s="309"/>
      <c r="I302" s="17">
        <f t="shared" si="5"/>
        <v>0</v>
      </c>
      <c r="J302" s="62"/>
      <c r="K302" s="387"/>
    </row>
    <row r="303" spans="1:11" s="213" customFormat="1" ht="66.75" customHeight="1">
      <c r="A303" s="144" t="s">
        <v>408</v>
      </c>
      <c r="B303" s="54" t="s">
        <v>409</v>
      </c>
      <c r="C303" s="378" t="s">
        <v>1141</v>
      </c>
      <c r="D303" s="14"/>
      <c r="E303" s="14"/>
      <c r="F303" s="14"/>
      <c r="G303" s="305">
        <f>'NOV-18 '!I303</f>
        <v>0</v>
      </c>
      <c r="H303" s="51"/>
      <c r="I303" s="17"/>
      <c r="J303" s="62"/>
      <c r="K303" s="63"/>
    </row>
    <row r="304" spans="1:11" ht="29.25">
      <c r="A304" s="11">
        <v>51999</v>
      </c>
      <c r="B304" s="54" t="s">
        <v>410</v>
      </c>
      <c r="C304" s="55"/>
      <c r="D304" s="14" t="s">
        <v>11</v>
      </c>
      <c r="E304" s="14" t="s">
        <v>25</v>
      </c>
      <c r="F304" s="14" t="s">
        <v>26</v>
      </c>
      <c r="G304" s="305">
        <f>'NOV-18 '!I304</f>
        <v>500.32999999999993</v>
      </c>
      <c r="H304" s="51">
        <f>88+12</f>
        <v>100</v>
      </c>
      <c r="I304" s="17">
        <f t="shared" si="5"/>
        <v>400.32999999999993</v>
      </c>
      <c r="J304" s="62"/>
      <c r="K304" s="63"/>
    </row>
    <row r="305" spans="1:11" ht="43.5">
      <c r="A305" s="11">
        <v>54107</v>
      </c>
      <c r="B305" s="54" t="s">
        <v>1211</v>
      </c>
      <c r="C305" s="55"/>
      <c r="D305" s="14" t="s">
        <v>11</v>
      </c>
      <c r="E305" s="14" t="s">
        <v>25</v>
      </c>
      <c r="F305" s="14" t="s">
        <v>26</v>
      </c>
      <c r="G305" s="305">
        <f>'NOV-18 '!I305</f>
        <v>46</v>
      </c>
      <c r="H305" s="51"/>
      <c r="I305" s="17">
        <f t="shared" si="5"/>
        <v>46</v>
      </c>
      <c r="J305" s="408"/>
      <c r="K305" s="63"/>
    </row>
    <row r="306" spans="1:11" ht="29.25">
      <c r="A306" s="11">
        <v>54111</v>
      </c>
      <c r="B306" s="54" t="s">
        <v>411</v>
      </c>
      <c r="C306" s="55" t="s">
        <v>1142</v>
      </c>
      <c r="D306" s="14" t="s">
        <v>11</v>
      </c>
      <c r="E306" s="14" t="s">
        <v>25</v>
      </c>
      <c r="F306" s="14" t="s">
        <v>26</v>
      </c>
      <c r="G306" s="305">
        <f>'NOV-18 '!I306</f>
        <v>824.61999999999989</v>
      </c>
      <c r="H306" s="51"/>
      <c r="I306" s="17">
        <f t="shared" si="5"/>
        <v>824.61999999999989</v>
      </c>
      <c r="J306" s="62"/>
      <c r="K306" s="320"/>
    </row>
    <row r="307" spans="1:11" ht="29.25">
      <c r="A307" s="11">
        <v>54112</v>
      </c>
      <c r="B307" s="54" t="s">
        <v>412</v>
      </c>
      <c r="C307" s="55"/>
      <c r="D307" s="14" t="s">
        <v>11</v>
      </c>
      <c r="E307" s="14" t="s">
        <v>25</v>
      </c>
      <c r="F307" s="14" t="s">
        <v>26</v>
      </c>
      <c r="G307" s="305">
        <f>'NOV-18 '!I307</f>
        <v>818.96999999999991</v>
      </c>
      <c r="H307" s="51"/>
      <c r="I307" s="17">
        <f t="shared" si="5"/>
        <v>818.96999999999991</v>
      </c>
      <c r="J307" s="62"/>
      <c r="K307" s="434"/>
    </row>
    <row r="308" spans="1:11" ht="30">
      <c r="A308" s="11">
        <v>54118</v>
      </c>
      <c r="B308" s="54" t="s">
        <v>413</v>
      </c>
      <c r="C308" s="55" t="s">
        <v>1142</v>
      </c>
      <c r="D308" s="14" t="s">
        <v>11</v>
      </c>
      <c r="E308" s="14" t="s">
        <v>25</v>
      </c>
      <c r="F308" s="14" t="s">
        <v>26</v>
      </c>
      <c r="G308" s="305">
        <f>'NOV-18 '!I308</f>
        <v>1291.3399999999997</v>
      </c>
      <c r="H308" s="51">
        <f>54.1+25.45</f>
        <v>79.55</v>
      </c>
      <c r="I308" s="17">
        <f t="shared" si="5"/>
        <v>1211.7899999999997</v>
      </c>
      <c r="J308" s="400"/>
      <c r="K308" s="320"/>
    </row>
    <row r="309" spans="1:11" ht="29.25">
      <c r="A309" s="11">
        <v>54199</v>
      </c>
      <c r="B309" s="54" t="s">
        <v>414</v>
      </c>
      <c r="C309" s="55"/>
      <c r="D309" s="14" t="s">
        <v>11</v>
      </c>
      <c r="E309" s="14" t="s">
        <v>25</v>
      </c>
      <c r="F309" s="14" t="s">
        <v>26</v>
      </c>
      <c r="G309" s="305">
        <f>'NOV-18 '!I309</f>
        <v>625.08000000000004</v>
      </c>
      <c r="H309" s="51"/>
      <c r="I309" s="17">
        <f t="shared" si="5"/>
        <v>625.08000000000004</v>
      </c>
      <c r="J309" s="62"/>
      <c r="K309" s="320"/>
    </row>
    <row r="310" spans="1:11" ht="30">
      <c r="A310" s="11">
        <v>54301</v>
      </c>
      <c r="B310" s="54" t="s">
        <v>415</v>
      </c>
      <c r="C310" s="55" t="s">
        <v>1142</v>
      </c>
      <c r="D310" s="14" t="s">
        <v>11</v>
      </c>
      <c r="E310" s="14" t="s">
        <v>25</v>
      </c>
      <c r="F310" s="14" t="s">
        <v>26</v>
      </c>
      <c r="G310" s="305">
        <f>'NOV-18 '!I310</f>
        <v>333.25000000000023</v>
      </c>
      <c r="H310" s="51">
        <f>260</f>
        <v>260</v>
      </c>
      <c r="I310" s="17">
        <f t="shared" si="5"/>
        <v>73.250000000000227</v>
      </c>
      <c r="J310" s="62"/>
      <c r="K310" s="320"/>
    </row>
    <row r="311" spans="1:11" ht="29.25">
      <c r="A311" s="11">
        <v>54316</v>
      </c>
      <c r="B311" s="54" t="s">
        <v>1146</v>
      </c>
      <c r="C311" s="55" t="s">
        <v>1142</v>
      </c>
      <c r="D311" s="14" t="s">
        <v>11</v>
      </c>
      <c r="E311" s="14" t="s">
        <v>25</v>
      </c>
      <c r="F311" s="14" t="s">
        <v>26</v>
      </c>
      <c r="G311" s="305">
        <f>'NOV-18 '!I312</f>
        <v>206.24</v>
      </c>
      <c r="H311" s="51"/>
      <c r="I311" s="17">
        <f t="shared" si="5"/>
        <v>206.24</v>
      </c>
      <c r="J311" s="108"/>
      <c r="K311" s="320"/>
    </row>
    <row r="312" spans="1:11" ht="30">
      <c r="A312" s="11">
        <v>54399</v>
      </c>
      <c r="B312" s="54" t="s">
        <v>416</v>
      </c>
      <c r="C312" s="55"/>
      <c r="D312" s="14" t="s">
        <v>11</v>
      </c>
      <c r="E312" s="14" t="s">
        <v>25</v>
      </c>
      <c r="F312" s="14" t="s">
        <v>26</v>
      </c>
      <c r="G312" s="305">
        <f>'NOV-18 '!I313</f>
        <v>141.5</v>
      </c>
      <c r="H312" s="51"/>
      <c r="I312" s="17">
        <f t="shared" si="5"/>
        <v>141.5</v>
      </c>
      <c r="J312" s="62"/>
      <c r="K312" s="320"/>
    </row>
    <row r="313" spans="1:11" ht="29.25">
      <c r="A313" s="11">
        <v>55603</v>
      </c>
      <c r="B313" s="54" t="s">
        <v>417</v>
      </c>
      <c r="C313" s="55"/>
      <c r="D313" s="14" t="s">
        <v>11</v>
      </c>
      <c r="E313" s="14" t="s">
        <v>25</v>
      </c>
      <c r="F313" s="14" t="s">
        <v>26</v>
      </c>
      <c r="G313" s="305">
        <f>'NOV-18 '!I314</f>
        <v>1.7499999999999991</v>
      </c>
      <c r="H313" s="51"/>
      <c r="I313" s="17">
        <f t="shared" si="5"/>
        <v>1.7499999999999991</v>
      </c>
      <c r="J313" s="62"/>
      <c r="K313" s="63"/>
    </row>
    <row r="314" spans="1:11" ht="29.25">
      <c r="A314" s="11">
        <v>61101</v>
      </c>
      <c r="B314" s="54" t="s">
        <v>1219</v>
      </c>
      <c r="C314" s="55"/>
      <c r="D314" s="14" t="s">
        <v>11</v>
      </c>
      <c r="E314" s="14" t="s">
        <v>25</v>
      </c>
      <c r="F314" s="14" t="s">
        <v>27</v>
      </c>
      <c r="G314" s="305">
        <f>'NOV-18 '!I315</f>
        <v>0</v>
      </c>
      <c r="H314" s="51"/>
      <c r="I314" s="17">
        <f t="shared" si="5"/>
        <v>0</v>
      </c>
      <c r="J314" s="108"/>
      <c r="K314" s="63"/>
    </row>
    <row r="315" spans="1:11" ht="64.5" customHeight="1">
      <c r="A315" s="447" t="s">
        <v>418</v>
      </c>
      <c r="B315" s="54" t="s">
        <v>419</v>
      </c>
      <c r="C315" s="344" t="s">
        <v>1144</v>
      </c>
      <c r="D315" s="14"/>
      <c r="E315" s="14"/>
      <c r="F315" s="14"/>
      <c r="G315" s="305">
        <f>'NOV-18 '!I316</f>
        <v>0</v>
      </c>
      <c r="H315" s="51"/>
      <c r="I315" s="17"/>
      <c r="J315" s="62"/>
      <c r="K315" s="63"/>
    </row>
    <row r="316" spans="1:11" ht="20.25" customHeight="1">
      <c r="A316" s="11">
        <v>51202</v>
      </c>
      <c r="B316" s="54" t="s">
        <v>420</v>
      </c>
      <c r="C316" s="55"/>
      <c r="D316" s="14" t="s">
        <v>11</v>
      </c>
      <c r="E316" s="14" t="s">
        <v>25</v>
      </c>
      <c r="F316" s="14" t="s">
        <v>26</v>
      </c>
      <c r="G316" s="305">
        <f>'NOV-18 '!I317</f>
        <v>1.2799999999999727</v>
      </c>
      <c r="H316" s="51">
        <f>50+50+50+50+50</f>
        <v>250</v>
      </c>
      <c r="I316" s="18">
        <f t="shared" si="5"/>
        <v>151.27999999999997</v>
      </c>
      <c r="J316" s="408">
        <v>400</v>
      </c>
      <c r="K316" s="320"/>
    </row>
    <row r="317" spans="1:11" ht="25.5" customHeight="1">
      <c r="A317" s="11">
        <v>54110</v>
      </c>
      <c r="B317" s="54" t="s">
        <v>421</v>
      </c>
      <c r="C317" s="55"/>
      <c r="D317" s="14" t="s">
        <v>11</v>
      </c>
      <c r="E317" s="14" t="s">
        <v>25</v>
      </c>
      <c r="F317" s="14" t="s">
        <v>26</v>
      </c>
      <c r="G317" s="305">
        <f>'NOV-18 '!I318</f>
        <v>1931.3999999999996</v>
      </c>
      <c r="H317" s="51"/>
      <c r="I317" s="17">
        <f t="shared" si="5"/>
        <v>1931.3999999999996</v>
      </c>
      <c r="J317" s="62"/>
      <c r="K317" s="320"/>
    </row>
    <row r="318" spans="1:11" ht="29.25">
      <c r="A318" s="11">
        <v>54111</v>
      </c>
      <c r="B318" s="54" t="s">
        <v>422</v>
      </c>
      <c r="C318" s="55" t="s">
        <v>1145</v>
      </c>
      <c r="D318" s="14" t="s">
        <v>11</v>
      </c>
      <c r="E318" s="14" t="s">
        <v>25</v>
      </c>
      <c r="F318" s="14" t="s">
        <v>26</v>
      </c>
      <c r="G318" s="305">
        <f>'NOV-18 '!I319</f>
        <v>659.97999999999979</v>
      </c>
      <c r="H318" s="51">
        <v>125</v>
      </c>
      <c r="I318" s="17">
        <f t="shared" si="5"/>
        <v>534.97999999999979</v>
      </c>
      <c r="J318" s="108"/>
      <c r="K318" s="434"/>
    </row>
    <row r="319" spans="1:11" ht="29.25">
      <c r="A319" s="11">
        <v>54112</v>
      </c>
      <c r="B319" s="54" t="s">
        <v>423</v>
      </c>
      <c r="C319" s="55" t="s">
        <v>1145</v>
      </c>
      <c r="D319" s="14" t="s">
        <v>11</v>
      </c>
      <c r="E319" s="14" t="s">
        <v>25</v>
      </c>
      <c r="F319" s="14" t="s">
        <v>26</v>
      </c>
      <c r="G319" s="305">
        <f>'NOV-18 '!I320</f>
        <v>1419.25</v>
      </c>
      <c r="H319" s="51"/>
      <c r="I319" s="17">
        <f t="shared" si="5"/>
        <v>1419.25</v>
      </c>
      <c r="J319" s="62"/>
      <c r="K319" s="320"/>
    </row>
    <row r="320" spans="1:11" ht="45">
      <c r="A320" s="11">
        <v>54118</v>
      </c>
      <c r="B320" s="54" t="s">
        <v>1223</v>
      </c>
      <c r="C320" s="55"/>
      <c r="D320" s="14" t="s">
        <v>11</v>
      </c>
      <c r="E320" s="14" t="s">
        <v>25</v>
      </c>
      <c r="F320" s="14" t="s">
        <v>27</v>
      </c>
      <c r="G320" s="305">
        <f>'NOV-18 '!I321</f>
        <v>142</v>
      </c>
      <c r="H320" s="51"/>
      <c r="I320" s="17">
        <f t="shared" si="5"/>
        <v>142</v>
      </c>
      <c r="J320" s="108"/>
      <c r="K320" s="320"/>
    </row>
    <row r="321" spans="1:11" ht="29.25">
      <c r="A321" s="11">
        <v>54313</v>
      </c>
      <c r="B321" s="54" t="s">
        <v>424</v>
      </c>
      <c r="C321" s="55"/>
      <c r="D321" s="14" t="s">
        <v>11</v>
      </c>
      <c r="E321" s="14" t="s">
        <v>25</v>
      </c>
      <c r="F321" s="14" t="s">
        <v>26</v>
      </c>
      <c r="G321" s="305">
        <f>'NOV-18 '!I322</f>
        <v>490</v>
      </c>
      <c r="H321" s="51"/>
      <c r="I321" s="17">
        <f t="shared" si="5"/>
        <v>90</v>
      </c>
      <c r="J321" s="62"/>
      <c r="K321" s="408">
        <v>400</v>
      </c>
    </row>
    <row r="322" spans="1:11" ht="29.25">
      <c r="A322" s="11">
        <v>54316</v>
      </c>
      <c r="B322" s="54" t="s">
        <v>425</v>
      </c>
      <c r="C322" s="55"/>
      <c r="D322" s="14" t="s">
        <v>11</v>
      </c>
      <c r="E322" s="14" t="s">
        <v>25</v>
      </c>
      <c r="F322" s="14" t="s">
        <v>26</v>
      </c>
      <c r="G322" s="305">
        <f>'NOV-18 '!I323</f>
        <v>2080</v>
      </c>
      <c r="H322" s="51"/>
      <c r="I322" s="17">
        <f t="shared" si="5"/>
        <v>2080</v>
      </c>
      <c r="J322" s="408"/>
      <c r="K322" s="63"/>
    </row>
    <row r="323" spans="1:11" ht="30">
      <c r="A323" s="11">
        <v>54399</v>
      </c>
      <c r="B323" s="54" t="s">
        <v>399</v>
      </c>
      <c r="C323" s="55"/>
      <c r="D323" s="14" t="s">
        <v>11</v>
      </c>
      <c r="E323" s="14" t="s">
        <v>25</v>
      </c>
      <c r="F323" s="14" t="s">
        <v>26</v>
      </c>
      <c r="G323" s="305">
        <f>'NOV-18 '!I324</f>
        <v>0</v>
      </c>
      <c r="H323" s="51"/>
      <c r="I323" s="17">
        <f t="shared" si="5"/>
        <v>0</v>
      </c>
      <c r="J323" s="62"/>
      <c r="K323" s="434"/>
    </row>
    <row r="324" spans="1:11">
      <c r="A324" s="11">
        <v>55603</v>
      </c>
      <c r="B324" s="54" t="s">
        <v>427</v>
      </c>
      <c r="C324" s="55"/>
      <c r="D324" s="14" t="s">
        <v>11</v>
      </c>
      <c r="E324" s="14" t="s">
        <v>25</v>
      </c>
      <c r="F324" s="14" t="s">
        <v>26</v>
      </c>
      <c r="G324" s="305">
        <f>'NOV-18 '!I325</f>
        <v>1.1799999999999993</v>
      </c>
      <c r="H324" s="51"/>
      <c r="I324" s="17">
        <f t="shared" si="5"/>
        <v>1.1799999999999993</v>
      </c>
      <c r="J324" s="62"/>
      <c r="K324" s="63"/>
    </row>
    <row r="325" spans="1:11" ht="20.25" customHeight="1">
      <c r="A325" s="11">
        <v>55799</v>
      </c>
      <c r="B325" s="54" t="s">
        <v>428</v>
      </c>
      <c r="C325" s="55"/>
      <c r="D325" s="14" t="s">
        <v>11</v>
      </c>
      <c r="E325" s="14" t="s">
        <v>25</v>
      </c>
      <c r="F325" s="14" t="s">
        <v>26</v>
      </c>
      <c r="G325" s="305">
        <f>'NOV-18 '!I326</f>
        <v>0</v>
      </c>
      <c r="H325" s="51"/>
      <c r="I325" s="17">
        <f t="shared" si="5"/>
        <v>0</v>
      </c>
      <c r="J325" s="62"/>
      <c r="K325" s="434"/>
    </row>
    <row r="326" spans="1:11" ht="77.25" customHeight="1">
      <c r="A326" s="144" t="s">
        <v>429</v>
      </c>
      <c r="B326" s="399" t="s">
        <v>430</v>
      </c>
      <c r="C326" s="343" t="s">
        <v>1102</v>
      </c>
      <c r="D326" s="14"/>
      <c r="E326" s="14"/>
      <c r="F326" s="14"/>
      <c r="G326" s="305">
        <f>'NOV-18 '!I327</f>
        <v>0</v>
      </c>
      <c r="H326" s="51"/>
      <c r="I326" s="17"/>
      <c r="J326" s="62"/>
      <c r="K326" s="63"/>
    </row>
    <row r="327" spans="1:11" ht="33.75" customHeight="1">
      <c r="A327" s="148">
        <v>54199</v>
      </c>
      <c r="B327" s="54" t="s">
        <v>431</v>
      </c>
      <c r="C327" s="55" t="s">
        <v>1103</v>
      </c>
      <c r="D327" s="14" t="s">
        <v>11</v>
      </c>
      <c r="E327" s="14" t="s">
        <v>25</v>
      </c>
      <c r="F327" s="14" t="s">
        <v>26</v>
      </c>
      <c r="G327" s="305">
        <f>'NOV-18 '!I328</f>
        <v>315</v>
      </c>
      <c r="H327" s="51">
        <f>1120+560+2800+260+560+560</f>
        <v>5860</v>
      </c>
      <c r="I327" s="18">
        <f t="shared" si="5"/>
        <v>55</v>
      </c>
      <c r="J327" s="108">
        <v>5600</v>
      </c>
      <c r="K327" s="63"/>
    </row>
    <row r="328" spans="1:11" ht="73.5" customHeight="1">
      <c r="A328" s="148">
        <v>54314</v>
      </c>
      <c r="B328" s="179" t="s">
        <v>1202</v>
      </c>
      <c r="C328" s="55" t="s">
        <v>1103</v>
      </c>
      <c r="D328" s="14" t="s">
        <v>11</v>
      </c>
      <c r="E328" s="14" t="s">
        <v>25</v>
      </c>
      <c r="F328" s="14" t="s">
        <v>26</v>
      </c>
      <c r="G328" s="305">
        <f>'NOV-18 '!I329</f>
        <v>5486.91</v>
      </c>
      <c r="H328" s="135">
        <f>250+250+375+400+45+500</f>
        <v>1820</v>
      </c>
      <c r="I328" s="17">
        <f t="shared" si="5"/>
        <v>3666.91</v>
      </c>
      <c r="J328" s="62"/>
      <c r="K328" s="63"/>
    </row>
    <row r="329" spans="1:11" ht="30.75" customHeight="1">
      <c r="A329" s="148">
        <v>54399</v>
      </c>
      <c r="B329" s="54" t="s">
        <v>433</v>
      </c>
      <c r="C329" s="55"/>
      <c r="D329" s="14" t="s">
        <v>11</v>
      </c>
      <c r="E329" s="14" t="s">
        <v>25</v>
      </c>
      <c r="F329" s="14" t="s">
        <v>26</v>
      </c>
      <c r="G329" s="305">
        <f>'NOV-18 '!I330</f>
        <v>4000</v>
      </c>
      <c r="H329" s="51"/>
      <c r="I329" s="17">
        <f t="shared" si="5"/>
        <v>2000</v>
      </c>
      <c r="J329" s="62"/>
      <c r="K329" s="108">
        <v>2000</v>
      </c>
    </row>
    <row r="330" spans="1:11" ht="33" customHeight="1">
      <c r="A330" s="148">
        <v>55603</v>
      </c>
      <c r="B330" s="54" t="s">
        <v>434</v>
      </c>
      <c r="C330" s="55"/>
      <c r="D330" s="14" t="s">
        <v>11</v>
      </c>
      <c r="E330" s="14" t="s">
        <v>25</v>
      </c>
      <c r="F330" s="14" t="s">
        <v>26</v>
      </c>
      <c r="G330" s="305">
        <f>'NOV-18 '!I331</f>
        <v>4.169999999999999</v>
      </c>
      <c r="H330" s="51"/>
      <c r="I330" s="17">
        <f t="shared" si="5"/>
        <v>4.169999999999999</v>
      </c>
      <c r="J330" s="62"/>
      <c r="K330" s="63"/>
    </row>
    <row r="331" spans="1:11" ht="31.5" customHeight="1">
      <c r="A331" s="148">
        <v>56303</v>
      </c>
      <c r="B331" s="54" t="s">
        <v>986</v>
      </c>
      <c r="C331" s="55"/>
      <c r="D331" s="14" t="s">
        <v>11</v>
      </c>
      <c r="E331" s="14" t="s">
        <v>25</v>
      </c>
      <c r="F331" s="14" t="s">
        <v>26</v>
      </c>
      <c r="G331" s="305">
        <f>'NOV-18 '!I332</f>
        <v>9990</v>
      </c>
      <c r="H331" s="108"/>
      <c r="I331" s="17">
        <f t="shared" si="5"/>
        <v>6390</v>
      </c>
      <c r="J331" s="62"/>
      <c r="K331" s="108">
        <v>3600</v>
      </c>
    </row>
    <row r="332" spans="1:11" ht="77.25" customHeight="1">
      <c r="A332" s="144" t="s">
        <v>437</v>
      </c>
      <c r="B332" s="54" t="s">
        <v>436</v>
      </c>
      <c r="C332" s="55"/>
      <c r="D332" s="14" t="s">
        <v>11</v>
      </c>
      <c r="E332" s="14" t="s">
        <v>25</v>
      </c>
      <c r="F332" s="14" t="s">
        <v>26</v>
      </c>
      <c r="G332" s="305">
        <f>'NOV-18 '!I333</f>
        <v>0</v>
      </c>
      <c r="H332" s="51"/>
      <c r="I332" s="17"/>
      <c r="J332" s="62"/>
      <c r="K332" s="63"/>
    </row>
    <row r="333" spans="1:11" ht="28.5" customHeight="1">
      <c r="A333" s="148">
        <v>54199</v>
      </c>
      <c r="B333" s="54" t="s">
        <v>438</v>
      </c>
      <c r="C333" s="55"/>
      <c r="D333" s="14" t="s">
        <v>11</v>
      </c>
      <c r="E333" s="14" t="s">
        <v>25</v>
      </c>
      <c r="F333" s="14" t="s">
        <v>26</v>
      </c>
      <c r="G333" s="305">
        <f>'NOV-18 '!I334</f>
        <v>0</v>
      </c>
      <c r="H333" s="51"/>
      <c r="I333" s="17">
        <f t="shared" si="5"/>
        <v>0</v>
      </c>
      <c r="J333" s="62"/>
      <c r="K333" s="281"/>
    </row>
    <row r="334" spans="1:11" ht="15" customHeight="1">
      <c r="A334" s="148">
        <v>54314</v>
      </c>
      <c r="B334" s="54" t="s">
        <v>439</v>
      </c>
      <c r="C334" s="55"/>
      <c r="D334" s="14" t="s">
        <v>11</v>
      </c>
      <c r="E334" s="14" t="s">
        <v>25</v>
      </c>
      <c r="F334" s="14" t="s">
        <v>26</v>
      </c>
      <c r="G334" s="305">
        <f>'NOV-18 '!I335</f>
        <v>0</v>
      </c>
      <c r="H334" s="51"/>
      <c r="I334" s="17">
        <f t="shared" si="5"/>
        <v>0</v>
      </c>
      <c r="J334" s="62"/>
      <c r="K334" s="281"/>
    </row>
    <row r="335" spans="1:11" ht="27.75" customHeight="1">
      <c r="A335" s="148">
        <v>54399</v>
      </c>
      <c r="B335" s="54" t="s">
        <v>440</v>
      </c>
      <c r="C335" s="55"/>
      <c r="D335" s="14" t="s">
        <v>11</v>
      </c>
      <c r="E335" s="14" t="s">
        <v>25</v>
      </c>
      <c r="F335" s="14" t="s">
        <v>26</v>
      </c>
      <c r="G335" s="305">
        <f>'NOV-18 '!I336</f>
        <v>0</v>
      </c>
      <c r="H335" s="51"/>
      <c r="I335" s="17">
        <f t="shared" si="5"/>
        <v>0</v>
      </c>
      <c r="J335" s="62"/>
      <c r="K335" s="281"/>
    </row>
    <row r="336" spans="1:11" ht="29.25" customHeight="1">
      <c r="A336" s="148">
        <v>55603</v>
      </c>
      <c r="B336" s="54" t="s">
        <v>441</v>
      </c>
      <c r="C336" s="55"/>
      <c r="D336" s="14" t="s">
        <v>11</v>
      </c>
      <c r="E336" s="14" t="s">
        <v>25</v>
      </c>
      <c r="F336" s="14" t="s">
        <v>26</v>
      </c>
      <c r="G336" s="305">
        <f>'NOV-18 '!I337</f>
        <v>0</v>
      </c>
      <c r="H336" s="51"/>
      <c r="I336" s="17">
        <f t="shared" si="5"/>
        <v>0</v>
      </c>
      <c r="J336" s="62"/>
      <c r="K336" s="281"/>
    </row>
    <row r="337" spans="1:11" ht="18" customHeight="1">
      <c r="A337" s="148">
        <v>55799</v>
      </c>
      <c r="B337" s="54" t="s">
        <v>442</v>
      </c>
      <c r="C337" s="55"/>
      <c r="D337" s="14" t="s">
        <v>11</v>
      </c>
      <c r="E337" s="14" t="s">
        <v>25</v>
      </c>
      <c r="F337" s="14" t="s">
        <v>26</v>
      </c>
      <c r="G337" s="305">
        <f>'NOV-18 '!I338</f>
        <v>0</v>
      </c>
      <c r="H337" s="51"/>
      <c r="I337" s="17">
        <f t="shared" si="5"/>
        <v>0</v>
      </c>
      <c r="J337" s="62"/>
      <c r="K337" s="281"/>
    </row>
    <row r="338" spans="1:11" ht="68.25" customHeight="1">
      <c r="A338" s="144" t="s">
        <v>443</v>
      </c>
      <c r="B338" s="339" t="s">
        <v>1136</v>
      </c>
      <c r="C338" s="343" t="s">
        <v>1122</v>
      </c>
      <c r="D338" s="14"/>
      <c r="E338" s="14"/>
      <c r="F338" s="14"/>
      <c r="G338" s="305">
        <f>'NOV-18 '!I339</f>
        <v>0</v>
      </c>
      <c r="H338" s="51"/>
      <c r="I338" s="17"/>
      <c r="J338" s="62"/>
      <c r="K338" s="63"/>
    </row>
    <row r="339" spans="1:11" ht="27.75" customHeight="1">
      <c r="A339" s="148">
        <v>54199</v>
      </c>
      <c r="B339" s="54" t="s">
        <v>445</v>
      </c>
      <c r="C339" s="55"/>
      <c r="D339" s="14" t="s">
        <v>11</v>
      </c>
      <c r="E339" s="14" t="s">
        <v>25</v>
      </c>
      <c r="F339" s="14" t="s">
        <v>26</v>
      </c>
      <c r="G339" s="305">
        <f>'NOV-18 '!I340</f>
        <v>0</v>
      </c>
      <c r="H339" s="51"/>
      <c r="I339" s="17">
        <f t="shared" si="5"/>
        <v>0</v>
      </c>
      <c r="J339" s="62"/>
      <c r="K339" s="320"/>
    </row>
    <row r="340" spans="1:11" ht="24.75" customHeight="1">
      <c r="A340" s="148">
        <v>54314</v>
      </c>
      <c r="B340" s="54" t="s">
        <v>446</v>
      </c>
      <c r="C340" s="55"/>
      <c r="D340" s="14" t="s">
        <v>11</v>
      </c>
      <c r="E340" s="14" t="s">
        <v>25</v>
      </c>
      <c r="F340" s="14" t="s">
        <v>26</v>
      </c>
      <c r="G340" s="305">
        <f>'NOV-18 '!I341</f>
        <v>2.7284841053187847E-12</v>
      </c>
      <c r="H340" s="51"/>
      <c r="I340" s="18">
        <f t="shared" si="5"/>
        <v>2.7284841053187847E-12</v>
      </c>
      <c r="J340" s="108"/>
      <c r="K340" s="320"/>
    </row>
    <row r="341" spans="1:11" ht="33.75" customHeight="1">
      <c r="A341" s="148">
        <v>54313</v>
      </c>
      <c r="B341" s="54" t="s">
        <v>447</v>
      </c>
      <c r="C341" s="55"/>
      <c r="D341" s="14" t="s">
        <v>11</v>
      </c>
      <c r="E341" s="14" t="s">
        <v>25</v>
      </c>
      <c r="F341" s="14" t="s">
        <v>26</v>
      </c>
      <c r="G341" s="305">
        <f>'NOV-18 '!I342</f>
        <v>0</v>
      </c>
      <c r="H341" s="51"/>
      <c r="I341" s="17">
        <f t="shared" si="5"/>
        <v>0</v>
      </c>
      <c r="J341" s="62"/>
      <c r="K341" s="320"/>
    </row>
    <row r="342" spans="1:11" ht="28.5" customHeight="1">
      <c r="A342" s="148">
        <v>55399</v>
      </c>
      <c r="B342" s="149" t="s">
        <v>450</v>
      </c>
      <c r="C342" s="55"/>
      <c r="D342" s="14" t="s">
        <v>11</v>
      </c>
      <c r="E342" s="14" t="s">
        <v>25</v>
      </c>
      <c r="F342" s="14" t="s">
        <v>26</v>
      </c>
      <c r="G342" s="305">
        <f>'NOV-18 '!I343</f>
        <v>0</v>
      </c>
      <c r="H342" s="51"/>
      <c r="I342" s="18">
        <f t="shared" si="5"/>
        <v>0</v>
      </c>
      <c r="J342" s="108"/>
      <c r="K342" s="320"/>
    </row>
    <row r="343" spans="1:11" ht="30.75" customHeight="1">
      <c r="A343" s="148">
        <v>55603</v>
      </c>
      <c r="B343" s="54" t="s">
        <v>448</v>
      </c>
      <c r="C343" s="55"/>
      <c r="D343" s="14" t="s">
        <v>11</v>
      </c>
      <c r="E343" s="14" t="s">
        <v>25</v>
      </c>
      <c r="F343" s="14" t="s">
        <v>26</v>
      </c>
      <c r="G343" s="305">
        <f>'NOV-18 '!I344</f>
        <v>0</v>
      </c>
      <c r="H343" s="51"/>
      <c r="I343" s="17">
        <f t="shared" si="5"/>
        <v>0</v>
      </c>
      <c r="J343" s="62"/>
      <c r="K343" s="320"/>
    </row>
    <row r="344" spans="1:11" ht="31.5" customHeight="1">
      <c r="A344" s="148">
        <v>56303</v>
      </c>
      <c r="B344" s="54" t="s">
        <v>449</v>
      </c>
      <c r="C344" s="55"/>
      <c r="D344" s="14" t="s">
        <v>11</v>
      </c>
      <c r="E344" s="14" t="s">
        <v>25</v>
      </c>
      <c r="F344" s="14" t="s">
        <v>26</v>
      </c>
      <c r="G344" s="305">
        <f>'NOV-18 '!I345</f>
        <v>0</v>
      </c>
      <c r="H344" s="51"/>
      <c r="I344" s="17">
        <f t="shared" si="5"/>
        <v>0</v>
      </c>
      <c r="J344" s="62"/>
      <c r="K344" s="320"/>
    </row>
    <row r="345" spans="1:11" ht="102.75" customHeight="1">
      <c r="A345" s="415" t="s">
        <v>451</v>
      </c>
      <c r="B345" s="54" t="s">
        <v>452</v>
      </c>
      <c r="C345" s="55"/>
      <c r="D345" s="14"/>
      <c r="E345" s="14"/>
      <c r="F345" s="14"/>
      <c r="G345" s="305">
        <f>'NOV-18 '!I346</f>
        <v>0</v>
      </c>
      <c r="H345" s="51"/>
      <c r="I345" s="17"/>
      <c r="J345" s="52"/>
      <c r="K345" s="52"/>
    </row>
    <row r="346" spans="1:11" ht="27.75" customHeight="1">
      <c r="A346" s="271">
        <v>54110</v>
      </c>
      <c r="B346" s="54" t="s">
        <v>1238</v>
      </c>
      <c r="C346" s="55"/>
      <c r="D346" s="14" t="s">
        <v>11</v>
      </c>
      <c r="E346" s="14" t="s">
        <v>25</v>
      </c>
      <c r="F346" s="14" t="s">
        <v>26</v>
      </c>
      <c r="G346" s="305">
        <f>'NOV-18 '!I347</f>
        <v>0</v>
      </c>
      <c r="H346" s="51"/>
      <c r="I346" s="17">
        <f t="shared" si="5"/>
        <v>0</v>
      </c>
      <c r="J346" s="408"/>
      <c r="K346" s="52"/>
    </row>
    <row r="347" spans="1:11" ht="30.75" customHeight="1">
      <c r="A347" s="4">
        <v>54199</v>
      </c>
      <c r="B347" s="5" t="s">
        <v>453</v>
      </c>
      <c r="C347" s="10"/>
      <c r="D347" s="14" t="s">
        <v>11</v>
      </c>
      <c r="E347" s="14" t="s">
        <v>25</v>
      </c>
      <c r="F347" s="14" t="s">
        <v>26</v>
      </c>
      <c r="G347" s="305">
        <f>'NOV-18 '!I348</f>
        <v>0</v>
      </c>
      <c r="H347" s="51"/>
      <c r="I347" s="17">
        <f t="shared" si="5"/>
        <v>0</v>
      </c>
      <c r="J347" s="425"/>
      <c r="K347" s="414"/>
    </row>
    <row r="348" spans="1:11" ht="40.5" customHeight="1">
      <c r="A348" s="11">
        <v>54314</v>
      </c>
      <c r="B348" s="150" t="s">
        <v>454</v>
      </c>
      <c r="C348" s="55"/>
      <c r="D348" s="14" t="s">
        <v>11</v>
      </c>
      <c r="E348" s="14" t="s">
        <v>25</v>
      </c>
      <c r="F348" s="14" t="s">
        <v>26</v>
      </c>
      <c r="G348" s="305">
        <f>'NOV-18 '!I349</f>
        <v>3.0020430585864233E-13</v>
      </c>
      <c r="H348" s="51"/>
      <c r="I348" s="17">
        <f t="shared" si="5"/>
        <v>3.0020430585864233E-13</v>
      </c>
      <c r="J348" s="108"/>
      <c r="K348" s="320"/>
    </row>
    <row r="349" spans="1:11" ht="44.25" customHeight="1">
      <c r="A349" s="11">
        <v>54304</v>
      </c>
      <c r="B349" s="150" t="s">
        <v>1210</v>
      </c>
      <c r="C349" s="55"/>
      <c r="D349" s="14" t="s">
        <v>11</v>
      </c>
      <c r="E349" s="14" t="s">
        <v>25</v>
      </c>
      <c r="F349" s="14" t="s">
        <v>26</v>
      </c>
      <c r="G349" s="305">
        <f>'NOV-18 '!I350</f>
        <v>0</v>
      </c>
      <c r="H349" s="51"/>
      <c r="I349" s="17">
        <f t="shared" si="5"/>
        <v>0</v>
      </c>
      <c r="J349" s="108"/>
      <c r="K349" s="320"/>
    </row>
    <row r="350" spans="1:11" ht="43.5" customHeight="1">
      <c r="A350" s="11">
        <v>54399</v>
      </c>
      <c r="B350" s="429" t="s">
        <v>455</v>
      </c>
      <c r="C350" s="13"/>
      <c r="D350" s="14" t="s">
        <v>11</v>
      </c>
      <c r="E350" s="14" t="s">
        <v>25</v>
      </c>
      <c r="F350" s="14" t="s">
        <v>26</v>
      </c>
      <c r="G350" s="305">
        <f>'NOV-18 '!I351</f>
        <v>0</v>
      </c>
      <c r="H350" s="51"/>
      <c r="I350" s="134">
        <f t="shared" si="5"/>
        <v>0</v>
      </c>
      <c r="J350" s="52"/>
      <c r="K350" s="301"/>
    </row>
    <row r="351" spans="1:11" ht="29.25">
      <c r="A351" s="4">
        <v>55603</v>
      </c>
      <c r="B351" s="150" t="s">
        <v>456</v>
      </c>
      <c r="C351" s="9"/>
      <c r="D351" s="14" t="s">
        <v>11</v>
      </c>
      <c r="E351" s="14" t="s">
        <v>25</v>
      </c>
      <c r="F351" s="14" t="s">
        <v>26</v>
      </c>
      <c r="G351" s="305">
        <f>'NOV-18 '!I352</f>
        <v>0</v>
      </c>
      <c r="H351" s="51"/>
      <c r="I351" s="17">
        <f t="shared" si="5"/>
        <v>0</v>
      </c>
      <c r="J351" s="44"/>
      <c r="K351" s="414"/>
    </row>
    <row r="352" spans="1:11" ht="37.5" customHeight="1">
      <c r="A352" s="4">
        <v>55799</v>
      </c>
      <c r="B352" s="150" t="s">
        <v>457</v>
      </c>
      <c r="C352" s="9"/>
      <c r="D352" s="14" t="s">
        <v>11</v>
      </c>
      <c r="E352" s="14" t="s">
        <v>25</v>
      </c>
      <c r="F352" s="14" t="s">
        <v>26</v>
      </c>
      <c r="G352" s="305">
        <f>'NOV-18 '!I353</f>
        <v>0</v>
      </c>
      <c r="H352" s="51"/>
      <c r="I352" s="17">
        <f t="shared" si="5"/>
        <v>0</v>
      </c>
      <c r="J352" s="44"/>
      <c r="K352" s="414"/>
    </row>
    <row r="353" spans="1:11" ht="68.25" customHeight="1">
      <c r="A353" s="144" t="s">
        <v>459</v>
      </c>
      <c r="B353" s="54" t="s">
        <v>458</v>
      </c>
      <c r="C353" s="9"/>
      <c r="D353" s="3"/>
      <c r="E353" s="3"/>
      <c r="F353" s="3"/>
      <c r="G353" s="305">
        <f>'NOV-18 '!I354</f>
        <v>0</v>
      </c>
      <c r="H353" s="51"/>
      <c r="I353" s="17"/>
      <c r="J353" s="44"/>
      <c r="K353" s="44"/>
    </row>
    <row r="354" spans="1:11" ht="25.5" customHeight="1">
      <c r="A354" s="4">
        <v>54314</v>
      </c>
      <c r="B354" s="70" t="s">
        <v>460</v>
      </c>
      <c r="C354" s="5"/>
      <c r="D354" s="14" t="s">
        <v>11</v>
      </c>
      <c r="E354" s="14" t="s">
        <v>25</v>
      </c>
      <c r="F354" s="14" t="s">
        <v>26</v>
      </c>
      <c r="G354" s="305">
        <f>'NOV-18 '!I355</f>
        <v>0</v>
      </c>
      <c r="H354" s="51"/>
      <c r="I354" s="17">
        <f>G354-H354+J354-K354</f>
        <v>0</v>
      </c>
      <c r="J354" s="44"/>
      <c r="K354" s="419"/>
    </row>
    <row r="355" spans="1:11" ht="63.75" customHeight="1">
      <c r="A355" s="144" t="s">
        <v>461</v>
      </c>
      <c r="B355" s="54" t="s">
        <v>470</v>
      </c>
      <c r="C355" s="55"/>
      <c r="D355" s="14"/>
      <c r="E355" s="14"/>
      <c r="F355" s="14"/>
      <c r="G355" s="305">
        <f>'NOV-18 '!I356</f>
        <v>0</v>
      </c>
      <c r="H355" s="51"/>
      <c r="I355" s="17"/>
      <c r="J355" s="62"/>
      <c r="K355" s="63"/>
    </row>
    <row r="356" spans="1:11" ht="33" customHeight="1">
      <c r="A356" s="11">
        <v>54199</v>
      </c>
      <c r="B356" s="70" t="s">
        <v>462</v>
      </c>
      <c r="C356" s="55"/>
      <c r="D356" s="14" t="s">
        <v>11</v>
      </c>
      <c r="E356" s="14" t="s">
        <v>25</v>
      </c>
      <c r="F356" s="14" t="s">
        <v>26</v>
      </c>
      <c r="G356" s="305">
        <f>'NOV-18 '!I357</f>
        <v>0</v>
      </c>
      <c r="H356" s="51"/>
      <c r="I356" s="17">
        <f>G356-H356+J356-K356</f>
        <v>0</v>
      </c>
      <c r="J356" s="62"/>
      <c r="K356" s="419"/>
    </row>
    <row r="357" spans="1:11" ht="36.75" customHeight="1">
      <c r="A357" s="11">
        <v>54314</v>
      </c>
      <c r="B357" s="151" t="s">
        <v>463</v>
      </c>
      <c r="C357" s="55"/>
      <c r="D357" s="14" t="s">
        <v>11</v>
      </c>
      <c r="E357" s="14" t="s">
        <v>25</v>
      </c>
      <c r="F357" s="14" t="s">
        <v>26</v>
      </c>
      <c r="G357" s="305">
        <f>'NOV-18 '!I358</f>
        <v>0</v>
      </c>
      <c r="H357" s="51"/>
      <c r="I357" s="17">
        <f t="shared" ref="I357:I423" si="6">G357-H357+J357-K357</f>
        <v>0</v>
      </c>
      <c r="J357" s="62"/>
      <c r="K357" s="419"/>
    </row>
    <row r="358" spans="1:11" ht="39" customHeight="1">
      <c r="A358" s="11">
        <v>54313</v>
      </c>
      <c r="B358" s="151" t="s">
        <v>464</v>
      </c>
      <c r="C358" s="55"/>
      <c r="D358" s="14" t="s">
        <v>11</v>
      </c>
      <c r="E358" s="14" t="s">
        <v>25</v>
      </c>
      <c r="F358" s="14" t="s">
        <v>26</v>
      </c>
      <c r="G358" s="305">
        <f>'NOV-18 '!I359</f>
        <v>0</v>
      </c>
      <c r="H358" s="51"/>
      <c r="I358" s="17">
        <f t="shared" si="6"/>
        <v>0</v>
      </c>
      <c r="J358" s="62"/>
      <c r="K358" s="419"/>
    </row>
    <row r="359" spans="1:11" ht="33.75" customHeight="1">
      <c r="A359" s="11">
        <v>54399</v>
      </c>
      <c r="B359" s="151" t="s">
        <v>465</v>
      </c>
      <c r="C359" s="13"/>
      <c r="D359" s="14" t="s">
        <v>11</v>
      </c>
      <c r="E359" s="14" t="s">
        <v>25</v>
      </c>
      <c r="F359" s="14" t="s">
        <v>26</v>
      </c>
      <c r="G359" s="305">
        <f>'NOV-18 '!I360</f>
        <v>0</v>
      </c>
      <c r="H359" s="51"/>
      <c r="I359" s="17">
        <f t="shared" si="6"/>
        <v>0</v>
      </c>
      <c r="J359" s="52"/>
      <c r="K359" s="419"/>
    </row>
    <row r="360" spans="1:11" ht="35.25" customHeight="1">
      <c r="A360" s="11">
        <v>55603</v>
      </c>
      <c r="B360" s="151" t="s">
        <v>466</v>
      </c>
      <c r="C360" s="13"/>
      <c r="D360" s="14" t="s">
        <v>11</v>
      </c>
      <c r="E360" s="14" t="s">
        <v>25</v>
      </c>
      <c r="F360" s="14" t="s">
        <v>26</v>
      </c>
      <c r="G360" s="305">
        <f>'NOV-18 '!I361</f>
        <v>0</v>
      </c>
      <c r="H360" s="51"/>
      <c r="I360" s="17">
        <f t="shared" si="6"/>
        <v>0</v>
      </c>
      <c r="J360" s="52"/>
      <c r="K360" s="419"/>
    </row>
    <row r="361" spans="1:11" ht="34.5" customHeight="1">
      <c r="A361" s="11">
        <v>56603</v>
      </c>
      <c r="B361" s="151" t="s">
        <v>467</v>
      </c>
      <c r="C361" s="61"/>
      <c r="D361" s="14" t="s">
        <v>11</v>
      </c>
      <c r="E361" s="14" t="s">
        <v>25</v>
      </c>
      <c r="F361" s="14" t="s">
        <v>26</v>
      </c>
      <c r="G361" s="305">
        <f>'NOV-18 '!I362</f>
        <v>0</v>
      </c>
      <c r="H361" s="51"/>
      <c r="I361" s="17">
        <f t="shared" si="6"/>
        <v>0</v>
      </c>
      <c r="J361" s="11"/>
      <c r="K361" s="419"/>
    </row>
    <row r="362" spans="1:11" ht="68.25" customHeight="1">
      <c r="A362" s="144" t="s">
        <v>468</v>
      </c>
      <c r="B362" s="54" t="s">
        <v>987</v>
      </c>
      <c r="C362" s="344" t="s">
        <v>1115</v>
      </c>
      <c r="D362" s="14"/>
      <c r="E362" s="14"/>
      <c r="F362" s="14"/>
      <c r="G362" s="305">
        <f>'NOV-18 '!I363</f>
        <v>0</v>
      </c>
      <c r="H362" s="51"/>
      <c r="I362" s="17"/>
      <c r="J362" s="52"/>
      <c r="K362" s="52"/>
    </row>
    <row r="363" spans="1:11" ht="33" customHeight="1">
      <c r="A363" s="11">
        <v>51202</v>
      </c>
      <c r="B363" s="70" t="s">
        <v>471</v>
      </c>
      <c r="C363" s="61"/>
      <c r="D363" s="14" t="s">
        <v>11</v>
      </c>
      <c r="E363" s="14" t="s">
        <v>25</v>
      </c>
      <c r="F363" s="14" t="s">
        <v>26</v>
      </c>
      <c r="G363" s="305">
        <f>'NOV-18 '!I364</f>
        <v>-5.4001247917767614E-13</v>
      </c>
      <c r="H363" s="51"/>
      <c r="I363" s="17">
        <f t="shared" si="6"/>
        <v>-5.4001247917767614E-13</v>
      </c>
      <c r="J363" s="237"/>
      <c r="K363" s="392"/>
    </row>
    <row r="364" spans="1:11" ht="34.5" customHeight="1">
      <c r="A364" s="11">
        <v>54111</v>
      </c>
      <c r="B364" s="70" t="s">
        <v>472</v>
      </c>
      <c r="C364" s="61"/>
      <c r="D364" s="14" t="s">
        <v>11</v>
      </c>
      <c r="E364" s="14" t="s">
        <v>25</v>
      </c>
      <c r="F364" s="14" t="s">
        <v>26</v>
      </c>
      <c r="G364" s="305">
        <f>'NOV-18 '!I365</f>
        <v>0</v>
      </c>
      <c r="H364" s="51"/>
      <c r="I364" s="17">
        <f t="shared" si="6"/>
        <v>0</v>
      </c>
      <c r="J364" s="44"/>
      <c r="K364" s="316"/>
    </row>
    <row r="365" spans="1:11" ht="41.25" customHeight="1">
      <c r="A365" s="11">
        <v>54112</v>
      </c>
      <c r="B365" s="70" t="s">
        <v>473</v>
      </c>
      <c r="C365" s="12"/>
      <c r="D365" s="14" t="s">
        <v>11</v>
      </c>
      <c r="E365" s="14" t="s">
        <v>25</v>
      </c>
      <c r="F365" s="14" t="s">
        <v>26</v>
      </c>
      <c r="G365" s="305">
        <f>'NOV-18 '!I366</f>
        <v>0</v>
      </c>
      <c r="H365" s="51"/>
      <c r="I365" s="17">
        <f t="shared" si="6"/>
        <v>0</v>
      </c>
      <c r="J365" s="44"/>
      <c r="K365" s="316"/>
    </row>
    <row r="366" spans="1:11" ht="29.25">
      <c r="A366" s="11">
        <v>54118</v>
      </c>
      <c r="B366" s="151" t="s">
        <v>474</v>
      </c>
      <c r="C366" s="61"/>
      <c r="D366" s="14" t="s">
        <v>11</v>
      </c>
      <c r="E366" s="14" t="s">
        <v>25</v>
      </c>
      <c r="F366" s="14" t="s">
        <v>26</v>
      </c>
      <c r="G366" s="305">
        <f>'NOV-18 '!I367</f>
        <v>0</v>
      </c>
      <c r="H366" s="51"/>
      <c r="I366" s="17">
        <f t="shared" si="6"/>
        <v>0</v>
      </c>
      <c r="J366" s="44"/>
      <c r="K366" s="316"/>
    </row>
    <row r="367" spans="1:11" ht="29.25">
      <c r="A367" s="11">
        <v>54313</v>
      </c>
      <c r="B367" s="151" t="s">
        <v>475</v>
      </c>
      <c r="C367" s="12"/>
      <c r="D367" s="14" t="s">
        <v>11</v>
      </c>
      <c r="E367" s="14" t="s">
        <v>25</v>
      </c>
      <c r="F367" s="14" t="s">
        <v>26</v>
      </c>
      <c r="G367" s="305">
        <f>'NOV-18 '!I368</f>
        <v>0</v>
      </c>
      <c r="H367" s="51"/>
      <c r="I367" s="17">
        <f t="shared" si="6"/>
        <v>0</v>
      </c>
      <c r="J367" s="44"/>
      <c r="K367" s="316"/>
    </row>
    <row r="368" spans="1:11" ht="29.25">
      <c r="A368" s="152">
        <v>55603</v>
      </c>
      <c r="B368" s="151" t="s">
        <v>476</v>
      </c>
      <c r="C368" s="154"/>
      <c r="D368" s="14" t="s">
        <v>11</v>
      </c>
      <c r="E368" s="14" t="s">
        <v>25</v>
      </c>
      <c r="F368" s="14" t="s">
        <v>26</v>
      </c>
      <c r="G368" s="305">
        <f>'NOV-18 '!I369</f>
        <v>0</v>
      </c>
      <c r="H368" s="157"/>
      <c r="I368" s="17">
        <f t="shared" si="6"/>
        <v>0</v>
      </c>
      <c r="J368" s="159"/>
      <c r="K368" s="381"/>
    </row>
    <row r="369" spans="1:11" ht="85.5">
      <c r="A369" s="144" t="s">
        <v>477</v>
      </c>
      <c r="B369" s="54" t="s">
        <v>1085</v>
      </c>
      <c r="C369" s="154"/>
      <c r="D369" s="155"/>
      <c r="E369" s="155"/>
      <c r="F369" s="155"/>
      <c r="G369" s="305">
        <f>'NOV-18 '!I370</f>
        <v>0</v>
      </c>
      <c r="H369" s="157"/>
      <c r="I369" s="158"/>
      <c r="J369" s="159"/>
      <c r="K369" s="159"/>
    </row>
    <row r="370" spans="1:11" ht="29.25">
      <c r="A370" s="152">
        <v>51202</v>
      </c>
      <c r="B370" s="164" t="s">
        <v>479</v>
      </c>
      <c r="C370" s="154"/>
      <c r="D370" s="14" t="s">
        <v>11</v>
      </c>
      <c r="E370" s="14" t="s">
        <v>25</v>
      </c>
      <c r="F370" s="14" t="s">
        <v>26</v>
      </c>
      <c r="G370" s="305">
        <f>'NOV-18 '!I371</f>
        <v>0</v>
      </c>
      <c r="H370" s="157"/>
      <c r="I370" s="17">
        <f t="shared" si="6"/>
        <v>0</v>
      </c>
      <c r="J370" s="159"/>
      <c r="K370" s="325"/>
    </row>
    <row r="371" spans="1:11" ht="44.25">
      <c r="A371" s="152">
        <v>54111</v>
      </c>
      <c r="B371" s="164" t="s">
        <v>480</v>
      </c>
      <c r="C371" s="154"/>
      <c r="D371" s="14" t="s">
        <v>11</v>
      </c>
      <c r="E371" s="14" t="s">
        <v>25</v>
      </c>
      <c r="F371" s="14" t="s">
        <v>26</v>
      </c>
      <c r="G371" s="305">
        <f>'NOV-18 '!I372</f>
        <v>0</v>
      </c>
      <c r="H371" s="157"/>
      <c r="I371" s="17">
        <f t="shared" si="6"/>
        <v>0</v>
      </c>
      <c r="J371" s="159"/>
      <c r="K371" s="325"/>
    </row>
    <row r="372" spans="1:11" ht="30">
      <c r="A372" s="152">
        <v>54112</v>
      </c>
      <c r="B372" s="164" t="s">
        <v>481</v>
      </c>
      <c r="C372" s="154"/>
      <c r="D372" s="14" t="s">
        <v>11</v>
      </c>
      <c r="E372" s="14" t="s">
        <v>25</v>
      </c>
      <c r="F372" s="14" t="s">
        <v>26</v>
      </c>
      <c r="G372" s="305">
        <f>'NOV-18 '!I373</f>
        <v>0</v>
      </c>
      <c r="H372" s="157"/>
      <c r="I372" s="17">
        <f t="shared" si="6"/>
        <v>0</v>
      </c>
      <c r="J372" s="159"/>
      <c r="K372" s="325"/>
    </row>
    <row r="373" spans="1:11" ht="29.25">
      <c r="A373" s="152">
        <v>54118</v>
      </c>
      <c r="B373" s="164" t="s">
        <v>482</v>
      </c>
      <c r="C373" s="154"/>
      <c r="D373" s="14" t="s">
        <v>11</v>
      </c>
      <c r="E373" s="14" t="s">
        <v>25</v>
      </c>
      <c r="F373" s="14" t="s">
        <v>26</v>
      </c>
      <c r="G373" s="305">
        <f>'NOV-18 '!I374</f>
        <v>0</v>
      </c>
      <c r="H373" s="157"/>
      <c r="I373" s="17">
        <f t="shared" si="6"/>
        <v>0</v>
      </c>
      <c r="J373" s="159"/>
      <c r="K373" s="325"/>
    </row>
    <row r="374" spans="1:11" ht="30">
      <c r="A374" s="152">
        <v>54313</v>
      </c>
      <c r="B374" s="164" t="s">
        <v>483</v>
      </c>
      <c r="C374" s="154"/>
      <c r="D374" s="14" t="s">
        <v>11</v>
      </c>
      <c r="E374" s="14" t="s">
        <v>25</v>
      </c>
      <c r="F374" s="14" t="s">
        <v>26</v>
      </c>
      <c r="G374" s="305">
        <f>'NOV-18 '!I375</f>
        <v>0</v>
      </c>
      <c r="H374" s="157"/>
      <c r="I374" s="17">
        <f t="shared" si="6"/>
        <v>0</v>
      </c>
      <c r="J374" s="159"/>
      <c r="K374" s="325"/>
    </row>
    <row r="375" spans="1:11" ht="30">
      <c r="A375" s="152">
        <v>54399</v>
      </c>
      <c r="B375" s="164" t="s">
        <v>484</v>
      </c>
      <c r="C375" s="154"/>
      <c r="D375" s="14" t="s">
        <v>11</v>
      </c>
      <c r="E375" s="14" t="s">
        <v>25</v>
      </c>
      <c r="F375" s="14" t="s">
        <v>26</v>
      </c>
      <c r="G375" s="305">
        <f>'NOV-18 '!I376</f>
        <v>0</v>
      </c>
      <c r="H375" s="157"/>
      <c r="I375" s="17">
        <f t="shared" si="6"/>
        <v>0</v>
      </c>
      <c r="J375" s="159"/>
      <c r="K375" s="325"/>
    </row>
    <row r="376" spans="1:11" ht="29.25">
      <c r="A376" s="152">
        <v>55603</v>
      </c>
      <c r="B376" s="164" t="s">
        <v>485</v>
      </c>
      <c r="C376" s="154"/>
      <c r="D376" s="14" t="s">
        <v>11</v>
      </c>
      <c r="E376" s="14" t="s">
        <v>25</v>
      </c>
      <c r="F376" s="14" t="s">
        <v>26</v>
      </c>
      <c r="G376" s="305">
        <f>'NOV-18 '!I377</f>
        <v>0</v>
      </c>
      <c r="H376" s="157"/>
      <c r="I376" s="17">
        <f t="shared" si="6"/>
        <v>0</v>
      </c>
      <c r="J376" s="159"/>
      <c r="K376" s="325"/>
    </row>
    <row r="377" spans="1:11" ht="80.25" customHeight="1">
      <c r="A377" s="144" t="s">
        <v>486</v>
      </c>
      <c r="B377" s="54" t="s">
        <v>487</v>
      </c>
      <c r="C377" s="154"/>
      <c r="D377" s="155"/>
      <c r="E377" s="155"/>
      <c r="F377" s="155"/>
      <c r="G377" s="305">
        <f>'NOV-18 '!I378</f>
        <v>0</v>
      </c>
      <c r="H377" s="157"/>
      <c r="I377" s="158"/>
      <c r="J377" s="159"/>
      <c r="K377" s="159"/>
    </row>
    <row r="378" spans="1:11" ht="29.25">
      <c r="A378" s="152">
        <v>51202</v>
      </c>
      <c r="B378" s="164" t="s">
        <v>488</v>
      </c>
      <c r="C378" s="154"/>
      <c r="D378" s="14" t="s">
        <v>11</v>
      </c>
      <c r="E378" s="14" t="s">
        <v>25</v>
      </c>
      <c r="F378" s="14" t="s">
        <v>26</v>
      </c>
      <c r="G378" s="305">
        <f>'NOV-18 '!I379</f>
        <v>0</v>
      </c>
      <c r="H378" s="157"/>
      <c r="I378" s="17">
        <f t="shared" si="6"/>
        <v>0</v>
      </c>
      <c r="J378" s="326"/>
      <c r="K378" s="326"/>
    </row>
    <row r="379" spans="1:11" ht="29.25">
      <c r="A379" s="152">
        <v>51999</v>
      </c>
      <c r="B379" s="164" t="s">
        <v>489</v>
      </c>
      <c r="C379" s="154"/>
      <c r="D379" s="14" t="s">
        <v>11</v>
      </c>
      <c r="E379" s="14" t="s">
        <v>25</v>
      </c>
      <c r="F379" s="14" t="s">
        <v>26</v>
      </c>
      <c r="G379" s="305">
        <f>'NOV-18 '!I380</f>
        <v>0</v>
      </c>
      <c r="H379" s="157"/>
      <c r="I379" s="17">
        <f t="shared" si="6"/>
        <v>0</v>
      </c>
      <c r="J379" s="326"/>
      <c r="K379" s="326"/>
    </row>
    <row r="380" spans="1:11" ht="29.25">
      <c r="A380" s="152">
        <v>54111</v>
      </c>
      <c r="B380" s="164" t="s">
        <v>490</v>
      </c>
      <c r="C380" s="154"/>
      <c r="D380" s="14" t="s">
        <v>11</v>
      </c>
      <c r="E380" s="14" t="s">
        <v>25</v>
      </c>
      <c r="F380" s="14" t="s">
        <v>26</v>
      </c>
      <c r="G380" s="305">
        <f>'NOV-18 '!I381</f>
        <v>0</v>
      </c>
      <c r="H380" s="157"/>
      <c r="I380" s="17">
        <f t="shared" si="6"/>
        <v>0</v>
      </c>
      <c r="J380" s="326"/>
      <c r="K380" s="326"/>
    </row>
    <row r="381" spans="1:11" ht="29.25">
      <c r="A381" s="152">
        <v>54112</v>
      </c>
      <c r="B381" s="164" t="s">
        <v>491</v>
      </c>
      <c r="C381" s="154"/>
      <c r="D381" s="14" t="s">
        <v>11</v>
      </c>
      <c r="E381" s="14" t="s">
        <v>25</v>
      </c>
      <c r="F381" s="14" t="s">
        <v>26</v>
      </c>
      <c r="G381" s="305">
        <f>'NOV-18 '!I382</f>
        <v>0</v>
      </c>
      <c r="H381" s="157"/>
      <c r="I381" s="17">
        <f t="shared" si="6"/>
        <v>0</v>
      </c>
      <c r="J381" s="326"/>
      <c r="K381" s="326"/>
    </row>
    <row r="382" spans="1:11" ht="29.25">
      <c r="A382" s="152">
        <v>54118</v>
      </c>
      <c r="B382" s="164" t="s">
        <v>492</v>
      </c>
      <c r="C382" s="154"/>
      <c r="D382" s="14" t="s">
        <v>11</v>
      </c>
      <c r="E382" s="14" t="s">
        <v>25</v>
      </c>
      <c r="F382" s="14" t="s">
        <v>26</v>
      </c>
      <c r="G382" s="305">
        <f>'NOV-18 '!I383</f>
        <v>0</v>
      </c>
      <c r="H382" s="157"/>
      <c r="I382" s="17">
        <f t="shared" si="6"/>
        <v>0</v>
      </c>
      <c r="J382" s="326"/>
      <c r="K382" s="326"/>
    </row>
    <row r="383" spans="1:11" ht="29.25">
      <c r="A383" s="152">
        <v>54199</v>
      </c>
      <c r="B383" s="164" t="s">
        <v>493</v>
      </c>
      <c r="C383" s="154"/>
      <c r="D383" s="14" t="s">
        <v>11</v>
      </c>
      <c r="E383" s="14" t="s">
        <v>25</v>
      </c>
      <c r="F383" s="14" t="s">
        <v>26</v>
      </c>
      <c r="G383" s="305">
        <f>'NOV-18 '!I384</f>
        <v>0</v>
      </c>
      <c r="H383" s="157"/>
      <c r="I383" s="17">
        <f t="shared" si="6"/>
        <v>0</v>
      </c>
      <c r="J383" s="326"/>
      <c r="K383" s="326"/>
    </row>
    <row r="384" spans="1:11" ht="29.25">
      <c r="A384" s="152">
        <v>54399</v>
      </c>
      <c r="B384" s="164" t="s">
        <v>494</v>
      </c>
      <c r="C384" s="154"/>
      <c r="D384" s="14" t="s">
        <v>11</v>
      </c>
      <c r="E384" s="14" t="s">
        <v>25</v>
      </c>
      <c r="F384" s="14" t="s">
        <v>26</v>
      </c>
      <c r="G384" s="305">
        <f>'NOV-18 '!I385</f>
        <v>0</v>
      </c>
      <c r="H384" s="157"/>
      <c r="I384" s="17">
        <f t="shared" si="6"/>
        <v>0</v>
      </c>
      <c r="J384" s="326"/>
      <c r="K384" s="326"/>
    </row>
    <row r="385" spans="1:11" ht="29.25">
      <c r="A385" s="152">
        <v>55603</v>
      </c>
      <c r="B385" s="164" t="s">
        <v>495</v>
      </c>
      <c r="C385" s="154"/>
      <c r="D385" s="14" t="s">
        <v>11</v>
      </c>
      <c r="E385" s="14" t="s">
        <v>25</v>
      </c>
      <c r="F385" s="14" t="s">
        <v>26</v>
      </c>
      <c r="G385" s="305">
        <f>'NOV-18 '!I386</f>
        <v>0</v>
      </c>
      <c r="H385" s="157"/>
      <c r="I385" s="17">
        <f t="shared" si="6"/>
        <v>0</v>
      </c>
      <c r="J385" s="326"/>
      <c r="K385" s="326"/>
    </row>
    <row r="386" spans="1:11" ht="55.5">
      <c r="A386" s="144" t="s">
        <v>504</v>
      </c>
      <c r="B386" s="54" t="s">
        <v>496</v>
      </c>
      <c r="C386" s="154" t="s">
        <v>1066</v>
      </c>
      <c r="D386" s="155"/>
      <c r="E386" s="155"/>
      <c r="F386" s="155"/>
      <c r="G386" s="305">
        <f>'NOV-18 '!I387</f>
        <v>0</v>
      </c>
      <c r="H386" s="157"/>
      <c r="I386" s="158"/>
      <c r="J386" s="159"/>
      <c r="K386" s="159"/>
    </row>
    <row r="387" spans="1:11" ht="29.25">
      <c r="A387" s="152">
        <v>51202</v>
      </c>
      <c r="B387" s="164" t="s">
        <v>500</v>
      </c>
      <c r="C387" s="154"/>
      <c r="D387" s="14" t="s">
        <v>11</v>
      </c>
      <c r="E387" s="14" t="s">
        <v>25</v>
      </c>
      <c r="F387" s="14" t="s">
        <v>26</v>
      </c>
      <c r="G387" s="305">
        <f>'NOV-18 '!I388</f>
        <v>0</v>
      </c>
      <c r="H387" s="157"/>
      <c r="I387" s="17">
        <f t="shared" si="6"/>
        <v>0</v>
      </c>
      <c r="J387" s="159"/>
      <c r="K387" s="326"/>
    </row>
    <row r="388" spans="1:11" ht="29.25">
      <c r="A388" s="152">
        <v>54111</v>
      </c>
      <c r="B388" s="164" t="s">
        <v>499</v>
      </c>
      <c r="C388" s="154" t="s">
        <v>1066</v>
      </c>
      <c r="D388" s="14" t="s">
        <v>11</v>
      </c>
      <c r="E388" s="14" t="s">
        <v>25</v>
      </c>
      <c r="F388" s="14" t="s">
        <v>26</v>
      </c>
      <c r="G388" s="305">
        <f>'NOV-18 '!I389</f>
        <v>826.19999999999982</v>
      </c>
      <c r="H388" s="157"/>
      <c r="I388" s="17">
        <f t="shared" si="6"/>
        <v>826.19999999999982</v>
      </c>
      <c r="J388" s="159"/>
      <c r="K388" s="326"/>
    </row>
    <row r="389" spans="1:11" ht="29.25">
      <c r="A389" s="152">
        <v>54112</v>
      </c>
      <c r="B389" s="164" t="s">
        <v>497</v>
      </c>
      <c r="C389" s="154" t="s">
        <v>1066</v>
      </c>
      <c r="D389" s="14" t="s">
        <v>11</v>
      </c>
      <c r="E389" s="14" t="s">
        <v>25</v>
      </c>
      <c r="F389" s="14" t="s">
        <v>26</v>
      </c>
      <c r="G389" s="305">
        <f>'NOV-18 '!I390</f>
        <v>41.799999999999272</v>
      </c>
      <c r="H389" s="157"/>
      <c r="I389" s="17">
        <f t="shared" si="6"/>
        <v>1841.7999999999993</v>
      </c>
      <c r="J389" s="442">
        <f>1800</f>
        <v>1800</v>
      </c>
      <c r="K389" s="327"/>
    </row>
    <row r="390" spans="1:11" ht="29.25">
      <c r="A390" s="152">
        <v>54118</v>
      </c>
      <c r="B390" s="164" t="s">
        <v>498</v>
      </c>
      <c r="C390" s="154"/>
      <c r="D390" s="14" t="s">
        <v>11</v>
      </c>
      <c r="E390" s="14" t="s">
        <v>25</v>
      </c>
      <c r="F390" s="14" t="s">
        <v>26</v>
      </c>
      <c r="G390" s="305">
        <f>'NOV-18 '!I391</f>
        <v>0</v>
      </c>
      <c r="H390" s="157"/>
      <c r="I390" s="17">
        <f t="shared" si="6"/>
        <v>0</v>
      </c>
      <c r="J390" s="159"/>
      <c r="K390" s="327"/>
    </row>
    <row r="391" spans="1:11" ht="29.25">
      <c r="A391" s="152">
        <v>54313</v>
      </c>
      <c r="B391" s="164" t="s">
        <v>501</v>
      </c>
      <c r="C391" s="154"/>
      <c r="D391" s="14" t="s">
        <v>11</v>
      </c>
      <c r="E391" s="14" t="s">
        <v>25</v>
      </c>
      <c r="F391" s="14" t="s">
        <v>26</v>
      </c>
      <c r="G391" s="305">
        <f>'NOV-18 '!I392</f>
        <v>0</v>
      </c>
      <c r="H391" s="157"/>
      <c r="I391" s="17">
        <f t="shared" si="6"/>
        <v>0</v>
      </c>
      <c r="J391" s="159"/>
      <c r="K391" s="326"/>
    </row>
    <row r="392" spans="1:11" ht="29.25">
      <c r="A392" s="152">
        <v>54399</v>
      </c>
      <c r="B392" s="164" t="s">
        <v>502</v>
      </c>
      <c r="C392" s="154"/>
      <c r="D392" s="14" t="s">
        <v>11</v>
      </c>
      <c r="E392" s="14" t="s">
        <v>25</v>
      </c>
      <c r="F392" s="14" t="s">
        <v>26</v>
      </c>
      <c r="G392" s="305">
        <f>'NOV-18 '!I393</f>
        <v>0</v>
      </c>
      <c r="H392" s="157"/>
      <c r="I392" s="17">
        <f t="shared" si="6"/>
        <v>0</v>
      </c>
      <c r="J392" s="159"/>
      <c r="K392" s="326"/>
    </row>
    <row r="393" spans="1:11" ht="33.75" customHeight="1">
      <c r="A393" s="152">
        <v>55603</v>
      </c>
      <c r="B393" s="164" t="s">
        <v>503</v>
      </c>
      <c r="C393" s="154"/>
      <c r="D393" s="14" t="s">
        <v>11</v>
      </c>
      <c r="E393" s="14" t="s">
        <v>25</v>
      </c>
      <c r="F393" s="14" t="s">
        <v>26</v>
      </c>
      <c r="G393" s="305">
        <f>'NOV-18 '!I394</f>
        <v>1.1799999999999997</v>
      </c>
      <c r="H393" s="157"/>
      <c r="I393" s="17">
        <f t="shared" si="6"/>
        <v>1.1799999999999997</v>
      </c>
      <c r="J393" s="159"/>
      <c r="K393" s="159"/>
    </row>
    <row r="394" spans="1:11" ht="84.75">
      <c r="A394" s="144" t="s">
        <v>505</v>
      </c>
      <c r="B394" s="53" t="s">
        <v>510</v>
      </c>
      <c r="C394" s="154"/>
      <c r="D394" s="155"/>
      <c r="E394" s="155"/>
      <c r="F394" s="155"/>
      <c r="G394" s="305">
        <f>'NOV-18 '!I395</f>
        <v>0</v>
      </c>
      <c r="H394" s="157"/>
      <c r="I394" s="158"/>
      <c r="J394" s="159"/>
      <c r="K394" s="159"/>
    </row>
    <row r="395" spans="1:11" ht="29.25">
      <c r="A395" s="152">
        <v>51999</v>
      </c>
      <c r="B395" s="153" t="s">
        <v>506</v>
      </c>
      <c r="C395" s="154"/>
      <c r="D395" s="14" t="s">
        <v>11</v>
      </c>
      <c r="E395" s="14" t="s">
        <v>25</v>
      </c>
      <c r="F395" s="14" t="s">
        <v>26</v>
      </c>
      <c r="G395" s="305">
        <f>'NOV-18 '!I396</f>
        <v>0</v>
      </c>
      <c r="H395" s="157"/>
      <c r="I395" s="17">
        <f t="shared" si="6"/>
        <v>0</v>
      </c>
      <c r="J395" s="159"/>
      <c r="K395" s="326"/>
    </row>
    <row r="396" spans="1:11" ht="29.25">
      <c r="A396" s="152">
        <v>54199</v>
      </c>
      <c r="B396" s="153" t="s">
        <v>507</v>
      </c>
      <c r="C396" s="154"/>
      <c r="D396" s="14" t="s">
        <v>11</v>
      </c>
      <c r="E396" s="14" t="s">
        <v>25</v>
      </c>
      <c r="F396" s="14" t="s">
        <v>26</v>
      </c>
      <c r="G396" s="305">
        <f>'NOV-18 '!I397</f>
        <v>0</v>
      </c>
      <c r="H396" s="157"/>
      <c r="I396" s="17">
        <f t="shared" si="6"/>
        <v>0</v>
      </c>
      <c r="J396" s="159"/>
      <c r="K396" s="326"/>
    </row>
    <row r="397" spans="1:11" ht="43.5">
      <c r="A397" s="152">
        <v>54399</v>
      </c>
      <c r="B397" s="153" t="s">
        <v>508</v>
      </c>
      <c r="C397" s="154"/>
      <c r="D397" s="14" t="s">
        <v>11</v>
      </c>
      <c r="E397" s="14" t="s">
        <v>25</v>
      </c>
      <c r="F397" s="14" t="s">
        <v>26</v>
      </c>
      <c r="G397" s="305">
        <f>'NOV-18 '!I398</f>
        <v>0</v>
      </c>
      <c r="H397" s="157"/>
      <c r="I397" s="17">
        <f t="shared" si="6"/>
        <v>0</v>
      </c>
      <c r="J397" s="159"/>
      <c r="K397" s="326"/>
    </row>
    <row r="398" spans="1:11" ht="29.25">
      <c r="A398" s="152">
        <v>55603</v>
      </c>
      <c r="B398" s="153" t="s">
        <v>509</v>
      </c>
      <c r="C398" s="154"/>
      <c r="D398" s="14" t="s">
        <v>11</v>
      </c>
      <c r="E398" s="14" t="s">
        <v>25</v>
      </c>
      <c r="F398" s="14" t="s">
        <v>26</v>
      </c>
      <c r="G398" s="305">
        <f>'NOV-18 '!I399</f>
        <v>0</v>
      </c>
      <c r="H398" s="157"/>
      <c r="I398" s="17">
        <f t="shared" si="6"/>
        <v>0</v>
      </c>
      <c r="J398" s="159"/>
      <c r="K398" s="326"/>
    </row>
    <row r="399" spans="1:11" ht="94.5" customHeight="1">
      <c r="A399" s="384" t="s">
        <v>511</v>
      </c>
      <c r="B399" s="53" t="s">
        <v>512</v>
      </c>
      <c r="C399" s="154"/>
      <c r="D399" s="155"/>
      <c r="E399" s="155"/>
      <c r="F399" s="155"/>
      <c r="G399" s="305">
        <f>'NOV-18 '!I400</f>
        <v>0</v>
      </c>
      <c r="H399" s="157"/>
      <c r="I399" s="158"/>
      <c r="J399" s="159"/>
      <c r="K399" s="159"/>
    </row>
    <row r="400" spans="1:11" ht="29.25">
      <c r="A400" s="152">
        <v>51999</v>
      </c>
      <c r="B400" s="164" t="s">
        <v>513</v>
      </c>
      <c r="C400" s="154"/>
      <c r="D400" s="14" t="s">
        <v>11</v>
      </c>
      <c r="E400" s="14" t="s">
        <v>25</v>
      </c>
      <c r="F400" s="14" t="s">
        <v>26</v>
      </c>
      <c r="G400" s="305">
        <f>'NOV-18 '!I401</f>
        <v>1000</v>
      </c>
      <c r="H400" s="157">
        <v>450</v>
      </c>
      <c r="I400" s="17">
        <f t="shared" si="6"/>
        <v>550</v>
      </c>
      <c r="J400" s="159"/>
      <c r="K400" s="159"/>
    </row>
    <row r="401" spans="1:11" ht="29.25">
      <c r="A401" s="152">
        <v>54115</v>
      </c>
      <c r="B401" s="164" t="s">
        <v>514</v>
      </c>
      <c r="C401" s="154"/>
      <c r="D401" s="14" t="s">
        <v>11</v>
      </c>
      <c r="E401" s="14" t="s">
        <v>25</v>
      </c>
      <c r="F401" s="14" t="s">
        <v>26</v>
      </c>
      <c r="G401" s="305">
        <f>'NOV-18 '!I402</f>
        <v>490</v>
      </c>
      <c r="H401" s="157"/>
      <c r="I401" s="17">
        <f t="shared" si="6"/>
        <v>490</v>
      </c>
      <c r="J401" s="159"/>
      <c r="K401" s="426"/>
    </row>
    <row r="402" spans="1:11" ht="29.25">
      <c r="A402" s="152">
        <v>61104</v>
      </c>
      <c r="B402" s="164" t="s">
        <v>515</v>
      </c>
      <c r="C402" s="154"/>
      <c r="D402" s="14" t="s">
        <v>11</v>
      </c>
      <c r="E402" s="14" t="s">
        <v>25</v>
      </c>
      <c r="F402" s="14" t="s">
        <v>26</v>
      </c>
      <c r="G402" s="305">
        <f>'NOV-18 '!I403</f>
        <v>74.5</v>
      </c>
      <c r="H402" s="157"/>
      <c r="I402" s="17">
        <f t="shared" si="6"/>
        <v>74.5</v>
      </c>
      <c r="J402" s="426"/>
      <c r="K402" s="159"/>
    </row>
    <row r="403" spans="1:11" ht="29.25">
      <c r="A403" s="152">
        <v>55603</v>
      </c>
      <c r="B403" s="164" t="s">
        <v>516</v>
      </c>
      <c r="C403" s="154"/>
      <c r="D403" s="14" t="s">
        <v>11</v>
      </c>
      <c r="E403" s="14" t="s">
        <v>25</v>
      </c>
      <c r="F403" s="14" t="s">
        <v>26</v>
      </c>
      <c r="G403" s="305">
        <f>'NOV-18 '!I404</f>
        <v>8.59</v>
      </c>
      <c r="H403" s="157"/>
      <c r="I403" s="17">
        <f t="shared" si="6"/>
        <v>8.59</v>
      </c>
      <c r="J403" s="159"/>
      <c r="K403" s="159"/>
    </row>
    <row r="404" spans="1:11" ht="63" customHeight="1">
      <c r="A404" s="144" t="s">
        <v>517</v>
      </c>
      <c r="B404" s="53" t="s">
        <v>518</v>
      </c>
      <c r="C404" s="154"/>
      <c r="D404" s="155"/>
      <c r="E404" s="155"/>
      <c r="F404" s="155"/>
      <c r="G404" s="305">
        <f>'NOV-18 '!I405</f>
        <v>0</v>
      </c>
      <c r="H404" s="157"/>
      <c r="I404" s="158"/>
      <c r="J404" s="159"/>
      <c r="K404" s="159"/>
    </row>
    <row r="405" spans="1:11" ht="29.25">
      <c r="A405" s="152">
        <v>51999</v>
      </c>
      <c r="B405" s="164" t="s">
        <v>519</v>
      </c>
      <c r="C405" s="154"/>
      <c r="D405" s="14" t="s">
        <v>11</v>
      </c>
      <c r="E405" s="14" t="s">
        <v>25</v>
      </c>
      <c r="F405" s="14" t="s">
        <v>26</v>
      </c>
      <c r="G405" s="305">
        <f>'NOV-18 '!I406</f>
        <v>10000</v>
      </c>
      <c r="H405" s="157"/>
      <c r="I405" s="17">
        <f t="shared" si="6"/>
        <v>10000</v>
      </c>
      <c r="J405" s="159"/>
      <c r="K405" s="159"/>
    </row>
    <row r="406" spans="1:11" ht="30">
      <c r="A406" s="152">
        <v>54313</v>
      </c>
      <c r="B406" s="164" t="s">
        <v>520</v>
      </c>
      <c r="C406" s="154"/>
      <c r="D406" s="14" t="s">
        <v>11</v>
      </c>
      <c r="E406" s="14" t="s">
        <v>25</v>
      </c>
      <c r="F406" s="14" t="s">
        <v>26</v>
      </c>
      <c r="G406" s="305">
        <f>'NOV-18 '!I407</f>
        <v>500</v>
      </c>
      <c r="H406" s="157"/>
      <c r="I406" s="17">
        <f t="shared" si="6"/>
        <v>500</v>
      </c>
      <c r="J406" s="159"/>
      <c r="K406" s="159"/>
    </row>
    <row r="407" spans="1:11" ht="30">
      <c r="A407" s="152">
        <v>54399</v>
      </c>
      <c r="B407" s="164" t="s">
        <v>521</v>
      </c>
      <c r="C407" s="154"/>
      <c r="D407" s="14" t="s">
        <v>11</v>
      </c>
      <c r="E407" s="14" t="s">
        <v>25</v>
      </c>
      <c r="F407" s="14" t="s">
        <v>26</v>
      </c>
      <c r="G407" s="305">
        <f>'NOV-18 '!I408</f>
        <v>990</v>
      </c>
      <c r="H407" s="157"/>
      <c r="I407" s="17">
        <f t="shared" si="6"/>
        <v>990</v>
      </c>
      <c r="J407" s="159"/>
      <c r="K407" s="159"/>
    </row>
    <row r="408" spans="1:11" ht="29.25">
      <c r="A408" s="152">
        <v>54599</v>
      </c>
      <c r="B408" s="164" t="s">
        <v>522</v>
      </c>
      <c r="C408" s="154"/>
      <c r="D408" s="14" t="s">
        <v>11</v>
      </c>
      <c r="E408" s="14" t="s">
        <v>25</v>
      </c>
      <c r="F408" s="14" t="s">
        <v>26</v>
      </c>
      <c r="G408" s="305">
        <f>'NOV-18 '!I409</f>
        <v>13500</v>
      </c>
      <c r="H408" s="157"/>
      <c r="I408" s="17">
        <f t="shared" si="6"/>
        <v>13500</v>
      </c>
      <c r="J408" s="159"/>
      <c r="K408" s="159"/>
    </row>
    <row r="409" spans="1:11" ht="29.25">
      <c r="A409" s="152">
        <v>55603</v>
      </c>
      <c r="B409" s="164" t="s">
        <v>523</v>
      </c>
      <c r="C409" s="154"/>
      <c r="D409" s="14" t="s">
        <v>11</v>
      </c>
      <c r="E409" s="14" t="s">
        <v>25</v>
      </c>
      <c r="F409" s="14" t="s">
        <v>26</v>
      </c>
      <c r="G409" s="305">
        <f>'NOV-18 '!I410</f>
        <v>10</v>
      </c>
      <c r="H409" s="157"/>
      <c r="I409" s="17">
        <f t="shared" si="6"/>
        <v>10</v>
      </c>
      <c r="J409" s="159"/>
      <c r="K409" s="159"/>
    </row>
    <row r="410" spans="1:11" ht="69.75">
      <c r="A410" s="144" t="s">
        <v>524</v>
      </c>
      <c r="B410" s="53" t="s">
        <v>525</v>
      </c>
      <c r="C410" s="154"/>
      <c r="D410" s="14" t="s">
        <v>11</v>
      </c>
      <c r="E410" s="14" t="s">
        <v>25</v>
      </c>
      <c r="F410" s="14" t="s">
        <v>26</v>
      </c>
      <c r="G410" s="305">
        <f>'NOV-18 '!I411</f>
        <v>0</v>
      </c>
      <c r="H410" s="157"/>
      <c r="I410" s="158">
        <f t="shared" si="6"/>
        <v>0</v>
      </c>
      <c r="J410" s="159"/>
      <c r="K410" s="328"/>
    </row>
    <row r="411" spans="1:11" ht="44.25">
      <c r="A411" s="144" t="s">
        <v>526</v>
      </c>
      <c r="B411" s="53" t="s">
        <v>527</v>
      </c>
      <c r="C411" s="154"/>
      <c r="D411" s="14" t="s">
        <v>11</v>
      </c>
      <c r="E411" s="14" t="s">
        <v>25</v>
      </c>
      <c r="F411" s="14" t="s">
        <v>26</v>
      </c>
      <c r="G411" s="305">
        <f>'NOV-18 '!I412</f>
        <v>0</v>
      </c>
      <c r="H411" s="157"/>
      <c r="I411" s="158">
        <f t="shared" si="6"/>
        <v>0</v>
      </c>
      <c r="J411" s="381"/>
      <c r="K411" s="329"/>
    </row>
    <row r="412" spans="1:11" ht="39.75">
      <c r="A412" s="144" t="s">
        <v>528</v>
      </c>
      <c r="B412" s="53" t="s">
        <v>529</v>
      </c>
      <c r="C412" s="154"/>
      <c r="D412" s="14" t="s">
        <v>11</v>
      </c>
      <c r="E412" s="14" t="s">
        <v>25</v>
      </c>
      <c r="F412" s="14" t="s">
        <v>26</v>
      </c>
      <c r="G412" s="305">
        <f>'NOV-18 '!I413</f>
        <v>0</v>
      </c>
      <c r="H412" s="157"/>
      <c r="I412" s="158">
        <f t="shared" si="6"/>
        <v>0</v>
      </c>
      <c r="J412" s="381"/>
      <c r="K412" s="329"/>
    </row>
    <row r="413" spans="1:11" ht="39.75">
      <c r="A413" s="144" t="s">
        <v>530</v>
      </c>
      <c r="B413" s="53" t="s">
        <v>531</v>
      </c>
      <c r="C413" s="154"/>
      <c r="D413" s="14" t="s">
        <v>11</v>
      </c>
      <c r="E413" s="14" t="s">
        <v>25</v>
      </c>
      <c r="F413" s="14" t="s">
        <v>26</v>
      </c>
      <c r="G413" s="305">
        <f>'NOV-18 '!I414</f>
        <v>0</v>
      </c>
      <c r="H413" s="157"/>
      <c r="I413" s="158">
        <f t="shared" si="6"/>
        <v>0</v>
      </c>
      <c r="J413" s="381"/>
      <c r="K413" s="329"/>
    </row>
    <row r="414" spans="1:11" ht="55.5">
      <c r="A414" s="144" t="s">
        <v>532</v>
      </c>
      <c r="B414" s="53" t="s">
        <v>533</v>
      </c>
      <c r="C414" s="154"/>
      <c r="D414" s="155"/>
      <c r="E414" s="155"/>
      <c r="F414" s="155"/>
      <c r="G414" s="305">
        <f>'NOV-18 '!I415</f>
        <v>0</v>
      </c>
      <c r="H414" s="157"/>
      <c r="I414" s="158">
        <f t="shared" si="6"/>
        <v>0</v>
      </c>
      <c r="J414" s="159"/>
      <c r="K414" s="159"/>
    </row>
    <row r="415" spans="1:11">
      <c r="A415" s="152">
        <v>51202</v>
      </c>
      <c r="B415" s="153" t="s">
        <v>534</v>
      </c>
      <c r="C415" s="154"/>
      <c r="D415" s="14" t="s">
        <v>11</v>
      </c>
      <c r="E415" s="14" t="s">
        <v>25</v>
      </c>
      <c r="F415" s="14" t="s">
        <v>26</v>
      </c>
      <c r="G415" s="305">
        <f>'NOV-18 '!I416</f>
        <v>8000</v>
      </c>
      <c r="H415" s="157"/>
      <c r="I415" s="158">
        <f t="shared" si="6"/>
        <v>8000</v>
      </c>
      <c r="J415" s="159"/>
      <c r="K415" s="159"/>
    </row>
    <row r="416" spans="1:11" ht="29.25">
      <c r="A416" s="152">
        <v>54111</v>
      </c>
      <c r="B416" s="153" t="s">
        <v>535</v>
      </c>
      <c r="C416" s="154"/>
      <c r="D416" s="14" t="s">
        <v>11</v>
      </c>
      <c r="E416" s="14" t="s">
        <v>25</v>
      </c>
      <c r="F416" s="14" t="s">
        <v>26</v>
      </c>
      <c r="G416" s="305">
        <f>'NOV-18 '!I417</f>
        <v>5500</v>
      </c>
      <c r="H416" s="157"/>
      <c r="I416" s="158">
        <f t="shared" si="6"/>
        <v>5500</v>
      </c>
      <c r="J416" s="159"/>
      <c r="K416" s="159"/>
    </row>
    <row r="417" spans="1:27" ht="29.25">
      <c r="A417" s="152">
        <v>54112</v>
      </c>
      <c r="B417" s="153" t="s">
        <v>536</v>
      </c>
      <c r="C417" s="154"/>
      <c r="D417" s="14" t="s">
        <v>11</v>
      </c>
      <c r="E417" s="14" t="s">
        <v>25</v>
      </c>
      <c r="F417" s="14" t="s">
        <v>26</v>
      </c>
      <c r="G417" s="305">
        <f>'NOV-18 '!I418</f>
        <v>5000</v>
      </c>
      <c r="H417" s="157"/>
      <c r="I417" s="158">
        <f t="shared" si="6"/>
        <v>5000</v>
      </c>
      <c r="J417" s="159"/>
      <c r="K417" s="159"/>
    </row>
    <row r="418" spans="1:27" ht="30">
      <c r="A418" s="152">
        <v>54313</v>
      </c>
      <c r="B418" s="153" t="s">
        <v>537</v>
      </c>
      <c r="C418" s="154"/>
      <c r="D418" s="14" t="s">
        <v>11</v>
      </c>
      <c r="E418" s="14" t="s">
        <v>25</v>
      </c>
      <c r="F418" s="14" t="s">
        <v>26</v>
      </c>
      <c r="G418" s="305">
        <f>'NOV-18 '!I419</f>
        <v>500</v>
      </c>
      <c r="H418" s="157"/>
      <c r="I418" s="158">
        <f t="shared" si="6"/>
        <v>500</v>
      </c>
      <c r="J418" s="159"/>
      <c r="K418" s="159"/>
    </row>
    <row r="419" spans="1:27" ht="30">
      <c r="A419" s="152">
        <v>54399</v>
      </c>
      <c r="B419" s="153" t="s">
        <v>538</v>
      </c>
      <c r="C419" s="154"/>
      <c r="D419" s="14" t="s">
        <v>11</v>
      </c>
      <c r="E419" s="14" t="s">
        <v>25</v>
      </c>
      <c r="F419" s="14" t="s">
        <v>26</v>
      </c>
      <c r="G419" s="305">
        <f>'NOV-18 '!I420</f>
        <v>990</v>
      </c>
      <c r="H419" s="157"/>
      <c r="I419" s="158">
        <f t="shared" si="6"/>
        <v>990</v>
      </c>
      <c r="J419" s="159"/>
      <c r="K419" s="159"/>
    </row>
    <row r="420" spans="1:27" ht="29.25">
      <c r="A420" s="152">
        <v>55603</v>
      </c>
      <c r="B420" s="153" t="s">
        <v>539</v>
      </c>
      <c r="C420" s="154"/>
      <c r="D420" s="14" t="s">
        <v>11</v>
      </c>
      <c r="E420" s="14" t="s">
        <v>25</v>
      </c>
      <c r="F420" s="14" t="s">
        <v>26</v>
      </c>
      <c r="G420" s="305">
        <f>'NOV-18 '!I421</f>
        <v>10</v>
      </c>
      <c r="H420" s="157"/>
      <c r="I420" s="158">
        <f t="shared" si="6"/>
        <v>10</v>
      </c>
      <c r="J420" s="159"/>
      <c r="K420" s="159"/>
    </row>
    <row r="421" spans="1:27" ht="55.5">
      <c r="A421" s="384" t="s">
        <v>540</v>
      </c>
      <c r="B421" s="53" t="s">
        <v>541</v>
      </c>
      <c r="C421" s="154"/>
      <c r="D421" s="155"/>
      <c r="E421" s="155"/>
      <c r="F421" s="155"/>
      <c r="G421" s="305">
        <f>'NOV-18 '!I422</f>
        <v>0</v>
      </c>
      <c r="H421" s="157"/>
      <c r="I421" s="158"/>
      <c r="J421" s="159"/>
      <c r="K421" s="159"/>
    </row>
    <row r="422" spans="1:27" ht="29.25">
      <c r="A422" s="152">
        <v>51202</v>
      </c>
      <c r="B422" s="153" t="s">
        <v>542</v>
      </c>
      <c r="C422" s="154"/>
      <c r="D422" s="14" t="s">
        <v>11</v>
      </c>
      <c r="E422" s="14" t="s">
        <v>25</v>
      </c>
      <c r="F422" s="14" t="s">
        <v>26</v>
      </c>
      <c r="G422" s="305">
        <f>'NOV-18 '!I423</f>
        <v>0</v>
      </c>
      <c r="H422" s="157"/>
      <c r="I422" s="158">
        <f t="shared" si="6"/>
        <v>0</v>
      </c>
      <c r="J422" s="159"/>
      <c r="K422" s="326"/>
    </row>
    <row r="423" spans="1:27" ht="46.5" customHeight="1">
      <c r="A423" s="152">
        <v>54111</v>
      </c>
      <c r="B423" s="153" t="s">
        <v>543</v>
      </c>
      <c r="C423" s="154"/>
      <c r="D423" s="14" t="s">
        <v>11</v>
      </c>
      <c r="E423" s="14" t="s">
        <v>25</v>
      </c>
      <c r="F423" s="14" t="s">
        <v>26</v>
      </c>
      <c r="G423" s="305">
        <f>'NOV-18 '!I424</f>
        <v>0</v>
      </c>
      <c r="H423" s="157"/>
      <c r="I423" s="158">
        <f t="shared" si="6"/>
        <v>0</v>
      </c>
      <c r="J423" s="159"/>
      <c r="K423" s="326"/>
    </row>
    <row r="424" spans="1:27" ht="35.25" customHeight="1">
      <c r="A424" s="152">
        <v>54112</v>
      </c>
      <c r="B424" s="153" t="s">
        <v>544</v>
      </c>
      <c r="C424" s="154"/>
      <c r="D424" s="14" t="s">
        <v>11</v>
      </c>
      <c r="E424" s="14" t="s">
        <v>25</v>
      </c>
      <c r="F424" s="14" t="s">
        <v>26</v>
      </c>
      <c r="G424" s="305">
        <f>'NOV-18 '!I425</f>
        <v>0</v>
      </c>
      <c r="H424" s="157"/>
      <c r="I424" s="158">
        <f t="shared" ref="I424:I439" si="7">G424-H424+J424-K424</f>
        <v>0</v>
      </c>
      <c r="J424" s="159"/>
      <c r="K424" s="326"/>
    </row>
    <row r="425" spans="1:27" ht="36.75" customHeight="1">
      <c r="A425" s="152">
        <v>54313</v>
      </c>
      <c r="B425" s="153" t="s">
        <v>545</v>
      </c>
      <c r="C425" s="154"/>
      <c r="D425" s="14" t="s">
        <v>11</v>
      </c>
      <c r="E425" s="14" t="s">
        <v>25</v>
      </c>
      <c r="F425" s="14" t="s">
        <v>26</v>
      </c>
      <c r="G425" s="305">
        <f>'NOV-18 '!I426</f>
        <v>0</v>
      </c>
      <c r="H425" s="157"/>
      <c r="I425" s="158">
        <f t="shared" si="7"/>
        <v>0</v>
      </c>
      <c r="J425" s="159"/>
      <c r="K425" s="326"/>
      <c r="M425" s="167"/>
      <c r="N425" s="167"/>
      <c r="O425" s="167"/>
      <c r="P425" s="167"/>
      <c r="Q425" s="167"/>
    </row>
    <row r="426" spans="1:27" ht="42" customHeight="1">
      <c r="A426" s="152">
        <v>54399</v>
      </c>
      <c r="B426" s="153" t="s">
        <v>546</v>
      </c>
      <c r="C426" s="154"/>
      <c r="D426" s="14" t="s">
        <v>11</v>
      </c>
      <c r="E426" s="14" t="s">
        <v>25</v>
      </c>
      <c r="F426" s="14" t="s">
        <v>26</v>
      </c>
      <c r="G426" s="305">
        <f>'NOV-18 '!I427</f>
        <v>0</v>
      </c>
      <c r="H426" s="157"/>
      <c r="I426" s="158">
        <f t="shared" si="7"/>
        <v>0</v>
      </c>
      <c r="J426" s="159"/>
      <c r="K426" s="326"/>
      <c r="M426" s="167"/>
      <c r="N426" s="167"/>
      <c r="O426" s="167"/>
      <c r="P426" s="167"/>
      <c r="Q426" s="167"/>
    </row>
    <row r="427" spans="1:27" s="47" customFormat="1" ht="29.25">
      <c r="A427" s="11">
        <v>55603</v>
      </c>
      <c r="B427" s="153" t="s">
        <v>547</v>
      </c>
      <c r="C427" s="12"/>
      <c r="D427" s="14" t="s">
        <v>11</v>
      </c>
      <c r="E427" s="14" t="s">
        <v>25</v>
      </c>
      <c r="F427" s="14" t="s">
        <v>26</v>
      </c>
      <c r="G427" s="305">
        <f>'NOV-18 '!I428</f>
        <v>0</v>
      </c>
      <c r="H427" s="51"/>
      <c r="I427" s="158">
        <f t="shared" si="7"/>
        <v>0</v>
      </c>
      <c r="J427" s="44"/>
      <c r="K427" s="330"/>
      <c r="L427" s="167"/>
      <c r="M427" s="167"/>
      <c r="N427" s="167"/>
      <c r="O427" s="167"/>
      <c r="P427" s="167"/>
      <c r="Q427" s="167"/>
      <c r="R427" s="167"/>
      <c r="S427" s="167"/>
      <c r="T427" s="167"/>
      <c r="U427" s="167"/>
      <c r="V427" s="167"/>
      <c r="W427" s="167"/>
      <c r="X427" s="167"/>
      <c r="Y427" s="167"/>
      <c r="Z427" s="167"/>
      <c r="AA427" s="166"/>
    </row>
    <row r="428" spans="1:27" s="47" customFormat="1" ht="28.5">
      <c r="A428" s="144" t="s">
        <v>548</v>
      </c>
      <c r="B428" s="53" t="s">
        <v>549</v>
      </c>
      <c r="C428" s="12"/>
      <c r="D428" s="14" t="s">
        <v>11</v>
      </c>
      <c r="E428" s="14" t="s">
        <v>25</v>
      </c>
      <c r="F428" s="14" t="s">
        <v>26</v>
      </c>
      <c r="G428" s="305">
        <f>'NOV-18 '!I429</f>
        <v>5000</v>
      </c>
      <c r="H428" s="51"/>
      <c r="I428" s="17">
        <f t="shared" si="7"/>
        <v>5000</v>
      </c>
      <c r="J428" s="44"/>
      <c r="K428" s="44"/>
      <c r="L428" s="167"/>
      <c r="M428" s="167"/>
      <c r="N428" s="167"/>
      <c r="O428" s="167"/>
      <c r="P428" s="167"/>
      <c r="Q428" s="167"/>
      <c r="R428" s="167"/>
      <c r="S428" s="167"/>
      <c r="T428" s="167"/>
      <c r="U428" s="167"/>
      <c r="V428" s="167"/>
      <c r="W428" s="167"/>
      <c r="X428" s="167"/>
      <c r="Y428" s="167"/>
      <c r="Z428" s="167"/>
      <c r="AA428" s="166"/>
    </row>
    <row r="429" spans="1:27" s="47" customFormat="1" ht="40.5">
      <c r="A429" s="144" t="s">
        <v>550</v>
      </c>
      <c r="B429" s="53" t="s">
        <v>1026</v>
      </c>
      <c r="C429" s="12"/>
      <c r="D429" s="3"/>
      <c r="E429" s="3"/>
      <c r="F429" s="3"/>
      <c r="G429" s="305">
        <f>'NOV-18 '!I430</f>
        <v>0</v>
      </c>
      <c r="H429" s="51"/>
      <c r="I429" s="17"/>
      <c r="J429" s="44"/>
      <c r="K429" s="52"/>
      <c r="L429" s="167"/>
      <c r="M429" s="167"/>
      <c r="N429" s="167"/>
      <c r="O429" s="167"/>
      <c r="P429" s="167"/>
      <c r="Q429" s="167"/>
      <c r="R429" s="167"/>
      <c r="S429" s="167"/>
      <c r="T429" s="167"/>
      <c r="U429" s="167"/>
      <c r="V429" s="167"/>
      <c r="W429" s="167"/>
      <c r="X429" s="167"/>
      <c r="Y429" s="167"/>
      <c r="Z429" s="167"/>
      <c r="AA429" s="166"/>
    </row>
    <row r="430" spans="1:27" s="47" customFormat="1" ht="20.25" customHeight="1">
      <c r="A430" s="11">
        <v>51999</v>
      </c>
      <c r="B430" s="70" t="s">
        <v>552</v>
      </c>
      <c r="C430" s="12"/>
      <c r="D430" s="14" t="s">
        <v>11</v>
      </c>
      <c r="E430" s="14" t="s">
        <v>25</v>
      </c>
      <c r="F430" s="14" t="s">
        <v>26</v>
      </c>
      <c r="G430" s="305">
        <f>'NOV-18 '!I431</f>
        <v>0</v>
      </c>
      <c r="H430" s="51"/>
      <c r="I430" s="17">
        <f t="shared" si="7"/>
        <v>0</v>
      </c>
      <c r="J430" s="44"/>
      <c r="K430" s="266"/>
      <c r="L430" s="167"/>
      <c r="M430" s="167"/>
      <c r="N430" s="167"/>
      <c r="O430" s="167"/>
      <c r="P430" s="167"/>
      <c r="Q430" s="167"/>
      <c r="R430" s="167"/>
      <c r="S430" s="167"/>
      <c r="T430" s="167"/>
      <c r="U430" s="167"/>
      <c r="V430" s="167"/>
      <c r="W430" s="167"/>
      <c r="X430" s="167"/>
      <c r="Y430" s="167"/>
      <c r="Z430" s="167"/>
    </row>
    <row r="431" spans="1:27" s="47" customFormat="1" ht="23.25" customHeight="1">
      <c r="A431" s="11">
        <v>54399</v>
      </c>
      <c r="B431" s="70" t="s">
        <v>553</v>
      </c>
      <c r="C431" s="12"/>
      <c r="D431" s="14" t="s">
        <v>11</v>
      </c>
      <c r="E431" s="14" t="s">
        <v>25</v>
      </c>
      <c r="F431" s="14" t="s">
        <v>26</v>
      </c>
      <c r="G431" s="305">
        <f>'NOV-18 '!I432</f>
        <v>0</v>
      </c>
      <c r="H431" s="51"/>
      <c r="I431" s="17">
        <f t="shared" si="7"/>
        <v>0</v>
      </c>
      <c r="J431" s="44"/>
      <c r="K431" s="266"/>
      <c r="L431" s="167"/>
      <c r="M431" s="167"/>
      <c r="N431" s="167"/>
      <c r="O431" s="167"/>
      <c r="P431" s="167"/>
      <c r="Q431" s="167"/>
      <c r="R431" s="167"/>
      <c r="S431" s="167"/>
      <c r="T431" s="167"/>
      <c r="U431" s="167"/>
      <c r="V431" s="167"/>
      <c r="W431" s="167"/>
      <c r="X431" s="167"/>
      <c r="Y431" s="167"/>
      <c r="Z431" s="167"/>
    </row>
    <row r="432" spans="1:27" s="47" customFormat="1" ht="20.25" customHeight="1">
      <c r="A432" s="11">
        <v>54599</v>
      </c>
      <c r="B432" s="70" t="s">
        <v>554</v>
      </c>
      <c r="C432" s="12"/>
      <c r="D432" s="14" t="s">
        <v>11</v>
      </c>
      <c r="E432" s="14" t="s">
        <v>25</v>
      </c>
      <c r="F432" s="14" t="s">
        <v>26</v>
      </c>
      <c r="G432" s="305">
        <f>'NOV-18 '!I433</f>
        <v>0</v>
      </c>
      <c r="H432" s="51"/>
      <c r="I432" s="17">
        <f t="shared" si="7"/>
        <v>0</v>
      </c>
      <c r="J432" s="44"/>
      <c r="K432" s="266"/>
      <c r="L432" s="167"/>
      <c r="M432" s="167"/>
      <c r="N432" s="167"/>
      <c r="O432" s="167"/>
      <c r="P432" s="167"/>
      <c r="Q432" s="167"/>
      <c r="R432" s="167"/>
      <c r="S432" s="167"/>
      <c r="T432" s="167"/>
      <c r="U432" s="167"/>
      <c r="V432" s="167"/>
      <c r="W432" s="167"/>
      <c r="X432" s="167"/>
      <c r="Y432" s="167"/>
      <c r="Z432" s="167"/>
    </row>
    <row r="433" spans="1:26" s="47" customFormat="1" ht="44.25" customHeight="1">
      <c r="A433" s="144" t="s">
        <v>909</v>
      </c>
      <c r="B433" s="349" t="s">
        <v>1089</v>
      </c>
      <c r="C433" s="12"/>
      <c r="D433" s="14"/>
      <c r="E433" s="14"/>
      <c r="F433" s="14"/>
      <c r="G433" s="305">
        <f>'NOV-18 '!I434</f>
        <v>0</v>
      </c>
      <c r="H433" s="51"/>
      <c r="I433" s="17"/>
      <c r="J433" s="44"/>
      <c r="K433" s="266"/>
      <c r="L433" s="167"/>
      <c r="M433" s="167"/>
      <c r="N433" s="167"/>
      <c r="O433" s="167"/>
      <c r="P433" s="167"/>
      <c r="Q433" s="167"/>
      <c r="R433" s="167"/>
      <c r="S433" s="167"/>
      <c r="T433" s="167"/>
      <c r="U433" s="167"/>
      <c r="V433" s="167"/>
      <c r="W433" s="167"/>
      <c r="X433" s="167"/>
      <c r="Y433" s="167"/>
      <c r="Z433" s="167"/>
    </row>
    <row r="434" spans="1:26" s="47" customFormat="1" ht="45" customHeight="1">
      <c r="A434" s="11">
        <v>54314</v>
      </c>
      <c r="B434" s="70" t="s">
        <v>1125</v>
      </c>
      <c r="C434" s="12"/>
      <c r="D434" s="14" t="s">
        <v>11</v>
      </c>
      <c r="E434" s="14" t="s">
        <v>25</v>
      </c>
      <c r="F434" s="14" t="s">
        <v>26</v>
      </c>
      <c r="G434" s="305">
        <f>'NOV-18 '!I435</f>
        <v>0</v>
      </c>
      <c r="H434" s="51"/>
      <c r="I434" s="17">
        <f t="shared" si="7"/>
        <v>0</v>
      </c>
      <c r="J434" s="347"/>
      <c r="K434" s="266"/>
      <c r="L434" s="167"/>
      <c r="M434" s="167"/>
      <c r="N434" s="167"/>
      <c r="O434" s="167"/>
      <c r="P434" s="167"/>
      <c r="Q434" s="167"/>
      <c r="R434" s="167"/>
      <c r="S434" s="167"/>
      <c r="T434" s="167"/>
      <c r="U434" s="167"/>
      <c r="V434" s="167"/>
      <c r="W434" s="167"/>
      <c r="X434" s="167"/>
      <c r="Y434" s="167"/>
      <c r="Z434" s="167"/>
    </row>
    <row r="435" spans="1:26" s="47" customFormat="1" ht="30">
      <c r="A435" s="47">
        <v>55603</v>
      </c>
      <c r="B435" s="5" t="s">
        <v>1091</v>
      </c>
      <c r="C435" s="12"/>
      <c r="D435" s="14" t="s">
        <v>11</v>
      </c>
      <c r="E435" s="14" t="s">
        <v>25</v>
      </c>
      <c r="F435" s="14" t="s">
        <v>26</v>
      </c>
      <c r="G435" s="305">
        <f>'NOV-18 '!I436</f>
        <v>0</v>
      </c>
      <c r="H435" s="375"/>
      <c r="I435" s="17">
        <f t="shared" si="7"/>
        <v>0</v>
      </c>
      <c r="J435" s="316"/>
      <c r="K435" s="44"/>
      <c r="L435" s="167"/>
      <c r="M435" s="167"/>
      <c r="N435" s="167"/>
      <c r="O435" s="167"/>
      <c r="P435" s="167"/>
      <c r="Q435" s="167"/>
      <c r="R435" s="167"/>
      <c r="S435" s="167"/>
      <c r="T435" s="167"/>
      <c r="U435" s="167"/>
      <c r="V435" s="167"/>
      <c r="W435" s="167"/>
      <c r="X435" s="167"/>
      <c r="Y435" s="167"/>
      <c r="Z435" s="167"/>
    </row>
    <row r="436" spans="1:26" s="47" customFormat="1">
      <c r="B436" s="5"/>
      <c r="C436" s="12"/>
      <c r="D436" s="14"/>
      <c r="E436" s="14"/>
      <c r="F436" s="14"/>
      <c r="G436" s="305">
        <f>'NOV-18 '!I437</f>
        <v>0</v>
      </c>
      <c r="H436" s="51"/>
      <c r="I436" s="17"/>
      <c r="J436" s="316"/>
      <c r="K436" s="44"/>
      <c r="L436" s="167"/>
      <c r="M436" s="167"/>
      <c r="N436" s="167"/>
      <c r="O436" s="167"/>
      <c r="P436" s="167"/>
      <c r="Q436" s="167"/>
      <c r="R436" s="167"/>
      <c r="S436" s="167"/>
      <c r="T436" s="167"/>
      <c r="U436" s="167"/>
      <c r="V436" s="167"/>
      <c r="W436" s="167"/>
      <c r="X436" s="167"/>
      <c r="Y436" s="167"/>
      <c r="Z436" s="167"/>
    </row>
    <row r="437" spans="1:26" s="47" customFormat="1" ht="75" customHeight="1">
      <c r="A437" s="317" t="s">
        <v>1149</v>
      </c>
      <c r="B437" s="338" t="s">
        <v>1186</v>
      </c>
      <c r="C437" s="318"/>
      <c r="D437" s="14" t="s">
        <v>11</v>
      </c>
      <c r="E437" s="14" t="s">
        <v>25</v>
      </c>
      <c r="F437" s="14" t="s">
        <v>26</v>
      </c>
      <c r="G437" s="305">
        <f>'NOV-18 '!I438</f>
        <v>9676.3600000000133</v>
      </c>
      <c r="H437" s="51">
        <f>1927.16</f>
        <v>1927.16</v>
      </c>
      <c r="I437" s="17">
        <f t="shared" si="7"/>
        <v>7749.2000000000135</v>
      </c>
      <c r="J437" s="316"/>
      <c r="K437" s="458"/>
      <c r="L437" s="167">
        <v>3500</v>
      </c>
      <c r="M437" s="167"/>
      <c r="N437" s="167"/>
      <c r="O437" s="167"/>
      <c r="P437" s="167"/>
      <c r="Q437" s="167"/>
      <c r="R437" s="167"/>
      <c r="S437" s="167"/>
      <c r="T437" s="167"/>
      <c r="U437" s="167"/>
      <c r="V437" s="167"/>
      <c r="W437" s="167"/>
      <c r="X437" s="167"/>
      <c r="Y437" s="167"/>
      <c r="Z437" s="167"/>
    </row>
    <row r="438" spans="1:26" s="47" customFormat="1" ht="86.25" customHeight="1">
      <c r="A438" s="47">
        <v>61599</v>
      </c>
      <c r="B438" s="179" t="s">
        <v>1187</v>
      </c>
      <c r="C438" s="12"/>
      <c r="D438" s="14" t="s">
        <v>11</v>
      </c>
      <c r="E438" s="14" t="s">
        <v>25</v>
      </c>
      <c r="F438" s="14" t="s">
        <v>1181</v>
      </c>
      <c r="G438" s="305">
        <f>'NOV-18 '!I439</f>
        <v>0</v>
      </c>
      <c r="H438" s="51"/>
      <c r="I438" s="386">
        <f t="shared" si="7"/>
        <v>0</v>
      </c>
      <c r="J438" s="389"/>
      <c r="K438" s="347"/>
      <c r="L438" s="167"/>
      <c r="M438" s="167"/>
      <c r="N438" s="167"/>
      <c r="O438" s="167"/>
      <c r="P438" s="167"/>
      <c r="Q438" s="167"/>
      <c r="R438" s="167"/>
      <c r="S438" s="167"/>
      <c r="T438" s="167"/>
      <c r="U438" s="167"/>
      <c r="V438" s="167"/>
      <c r="W438" s="167"/>
      <c r="X438" s="167"/>
      <c r="Y438" s="167"/>
      <c r="Z438" s="167"/>
    </row>
    <row r="439" spans="1:26" s="47" customFormat="1" ht="57" customHeight="1">
      <c r="A439" s="47" t="s">
        <v>1150</v>
      </c>
      <c r="B439" s="340" t="s">
        <v>1116</v>
      </c>
      <c r="C439" s="319"/>
      <c r="D439" s="14" t="s">
        <v>11</v>
      </c>
      <c r="E439" s="14" t="s">
        <v>25</v>
      </c>
      <c r="F439" s="14" t="s">
        <v>26</v>
      </c>
      <c r="G439" s="305">
        <f>'NOV-18 '!I440</f>
        <v>800.00000000000364</v>
      </c>
      <c r="H439" s="51"/>
      <c r="I439" s="17">
        <f t="shared" si="7"/>
        <v>800.00000000000364</v>
      </c>
      <c r="J439" s="347"/>
      <c r="K439" s="389"/>
      <c r="L439" s="167"/>
      <c r="M439" s="167"/>
      <c r="N439" s="167"/>
      <c r="O439" s="167"/>
      <c r="P439" s="167"/>
      <c r="Q439" s="167"/>
      <c r="R439" s="167"/>
      <c r="S439" s="167"/>
      <c r="T439" s="167"/>
      <c r="U439" s="167"/>
      <c r="V439" s="167"/>
      <c r="W439" s="167"/>
      <c r="X439" s="167"/>
      <c r="Y439" s="167"/>
      <c r="Z439" s="167"/>
    </row>
    <row r="440" spans="1:26" s="47" customFormat="1" ht="51.75" customHeight="1">
      <c r="A440" s="47">
        <v>54107</v>
      </c>
      <c r="B440" s="5" t="s">
        <v>1148</v>
      </c>
      <c r="C440" s="12"/>
      <c r="D440" s="14"/>
      <c r="E440" s="14"/>
      <c r="F440" s="14"/>
      <c r="G440" s="305">
        <f>'NOV-18 '!I441</f>
        <v>0</v>
      </c>
      <c r="H440" s="51"/>
      <c r="I440" s="17"/>
      <c r="J440" s="316"/>
      <c r="K440" s="44"/>
      <c r="L440" s="167"/>
      <c r="M440" s="167"/>
      <c r="N440" s="167"/>
      <c r="O440" s="167"/>
      <c r="P440" s="167"/>
      <c r="Q440" s="167"/>
      <c r="R440" s="167"/>
      <c r="S440" s="167"/>
      <c r="T440" s="167"/>
      <c r="U440" s="167"/>
      <c r="V440" s="167"/>
      <c r="W440" s="167"/>
      <c r="X440" s="167"/>
      <c r="Y440" s="167"/>
      <c r="Z440" s="167"/>
    </row>
    <row r="441" spans="1:26" s="47" customFormat="1" ht="81.75">
      <c r="A441" s="379" t="s">
        <v>1151</v>
      </c>
      <c r="B441" s="53" t="s">
        <v>1170</v>
      </c>
      <c r="C441" s="344" t="s">
        <v>1157</v>
      </c>
      <c r="D441" s="14"/>
      <c r="E441" s="14"/>
      <c r="F441" s="14"/>
      <c r="G441" s="305">
        <f>'NOV-18 '!I442</f>
        <v>0</v>
      </c>
      <c r="H441" s="51"/>
      <c r="I441" s="17"/>
      <c r="J441" s="316"/>
      <c r="K441" s="44"/>
      <c r="L441" s="167"/>
      <c r="M441" s="167"/>
      <c r="N441" s="167"/>
      <c r="O441" s="167"/>
      <c r="P441" s="167"/>
      <c r="Q441" s="167"/>
      <c r="R441" s="167"/>
      <c r="S441" s="167"/>
      <c r="T441" s="167"/>
      <c r="U441" s="167"/>
      <c r="V441" s="167"/>
      <c r="W441" s="167"/>
      <c r="X441" s="167"/>
      <c r="Y441" s="167"/>
      <c r="Z441" s="167"/>
    </row>
    <row r="442" spans="1:26" s="47" customFormat="1" ht="29.25">
      <c r="A442" s="152">
        <v>51202</v>
      </c>
      <c r="B442" s="153" t="s">
        <v>1152</v>
      </c>
      <c r="C442" s="12" t="s">
        <v>1158</v>
      </c>
      <c r="D442" s="14" t="s">
        <v>11</v>
      </c>
      <c r="E442" s="14" t="s">
        <v>25</v>
      </c>
      <c r="F442" s="14" t="s">
        <v>26</v>
      </c>
      <c r="G442" s="305">
        <f>'NOV-18 '!I443</f>
        <v>2041.1999999999998</v>
      </c>
      <c r="H442" s="51"/>
      <c r="I442" s="17">
        <f t="shared" ref="I442:I465" si="8">G442-H442+J442-K442</f>
        <v>2041.1999999999998</v>
      </c>
      <c r="J442" s="347"/>
      <c r="K442" s="347"/>
      <c r="L442" s="167"/>
      <c r="M442" s="167"/>
      <c r="N442" s="167"/>
      <c r="O442" s="167"/>
      <c r="P442" s="167"/>
      <c r="Q442" s="167"/>
      <c r="R442" s="167"/>
      <c r="S442" s="167"/>
      <c r="T442" s="167"/>
      <c r="U442" s="167"/>
      <c r="V442" s="167"/>
      <c r="W442" s="167"/>
      <c r="X442" s="167"/>
      <c r="Y442" s="167"/>
      <c r="Z442" s="167"/>
    </row>
    <row r="443" spans="1:26" s="47" customFormat="1" ht="57.75">
      <c r="A443" s="152">
        <v>51999</v>
      </c>
      <c r="B443" s="153" t="s">
        <v>1220</v>
      </c>
      <c r="C443" s="12"/>
      <c r="D443" s="14" t="s">
        <v>11</v>
      </c>
      <c r="E443" s="14" t="s">
        <v>25</v>
      </c>
      <c r="F443" s="14" t="s">
        <v>27</v>
      </c>
      <c r="G443" s="305">
        <f>'NOV-18 '!I444</f>
        <v>63</v>
      </c>
      <c r="H443" s="51">
        <v>800</v>
      </c>
      <c r="I443" s="18">
        <f t="shared" si="8"/>
        <v>13</v>
      </c>
      <c r="J443" s="347">
        <v>750</v>
      </c>
      <c r="K443" s="44"/>
      <c r="L443" s="167"/>
      <c r="M443" s="167"/>
      <c r="N443" s="167"/>
      <c r="O443" s="167"/>
      <c r="P443" s="167"/>
      <c r="Q443" s="167"/>
      <c r="R443" s="167"/>
      <c r="S443" s="167"/>
      <c r="T443" s="167"/>
      <c r="U443" s="167"/>
      <c r="V443" s="167"/>
      <c r="W443" s="167"/>
      <c r="X443" s="167"/>
      <c r="Y443" s="167"/>
      <c r="Z443" s="167"/>
    </row>
    <row r="444" spans="1:26" s="47" customFormat="1" ht="59.25">
      <c r="A444" s="152">
        <v>54107</v>
      </c>
      <c r="B444" s="164" t="s">
        <v>1188</v>
      </c>
      <c r="C444" s="12"/>
      <c r="D444" s="14" t="s">
        <v>11</v>
      </c>
      <c r="E444" s="14" t="s">
        <v>25</v>
      </c>
      <c r="F444" s="14" t="s">
        <v>1181</v>
      </c>
      <c r="G444" s="305">
        <f>'NOV-18 '!I445</f>
        <v>0</v>
      </c>
      <c r="H444" s="51"/>
      <c r="I444" s="35">
        <f t="shared" si="8"/>
        <v>0</v>
      </c>
      <c r="J444" s="347"/>
      <c r="K444" s="44"/>
      <c r="L444" s="167"/>
      <c r="M444" s="167"/>
      <c r="N444" s="167"/>
      <c r="O444" s="167"/>
      <c r="P444" s="167"/>
      <c r="Q444" s="167"/>
      <c r="R444" s="167"/>
      <c r="S444" s="167"/>
      <c r="T444" s="167"/>
      <c r="U444" s="167"/>
      <c r="V444" s="167"/>
      <c r="W444" s="167"/>
      <c r="X444" s="167"/>
      <c r="Y444" s="167"/>
      <c r="Z444" s="167"/>
    </row>
    <row r="445" spans="1:26" s="47" customFormat="1" ht="30">
      <c r="A445" s="152">
        <v>54110</v>
      </c>
      <c r="B445" s="164" t="s">
        <v>1239</v>
      </c>
      <c r="C445" s="12"/>
      <c r="D445" s="14"/>
      <c r="E445" s="14"/>
      <c r="F445" s="14"/>
      <c r="G445" s="305">
        <f>'NOV-18 '!I446</f>
        <v>8.9799999999999969</v>
      </c>
      <c r="H445" s="51"/>
      <c r="I445" s="134">
        <f t="shared" si="8"/>
        <v>8.9799999999999969</v>
      </c>
      <c r="J445" s="414"/>
      <c r="K445" s="44"/>
      <c r="L445" s="167"/>
      <c r="M445" s="167"/>
      <c r="N445" s="167"/>
      <c r="O445" s="167"/>
      <c r="P445" s="167"/>
      <c r="Q445" s="167"/>
      <c r="R445" s="167"/>
      <c r="S445" s="167"/>
      <c r="T445" s="167"/>
      <c r="U445" s="167"/>
      <c r="V445" s="167"/>
      <c r="W445" s="167"/>
      <c r="X445" s="167"/>
      <c r="Y445" s="167"/>
      <c r="Z445" s="167"/>
    </row>
    <row r="446" spans="1:26" s="47" customFormat="1" ht="44.25">
      <c r="A446" s="152">
        <v>54111</v>
      </c>
      <c r="B446" s="153" t="s">
        <v>1154</v>
      </c>
      <c r="C446" s="12"/>
      <c r="D446" s="14" t="s">
        <v>11</v>
      </c>
      <c r="E446" s="14" t="s">
        <v>25</v>
      </c>
      <c r="F446" s="14" t="s">
        <v>26</v>
      </c>
      <c r="G446" s="305">
        <f>'NOV-18 '!I447</f>
        <v>2060.1099999999997</v>
      </c>
      <c r="H446" s="51">
        <v>600</v>
      </c>
      <c r="I446" s="17">
        <f t="shared" si="8"/>
        <v>1460.1099999999997</v>
      </c>
      <c r="J446" s="347"/>
      <c r="K446" s="347"/>
      <c r="L446" s="167"/>
      <c r="M446" s="167"/>
      <c r="N446" s="167"/>
      <c r="O446" s="167"/>
      <c r="P446" s="167"/>
      <c r="Q446" s="167"/>
      <c r="R446" s="167"/>
      <c r="S446" s="167"/>
      <c r="T446" s="167"/>
      <c r="U446" s="167"/>
      <c r="V446" s="167"/>
      <c r="W446" s="167"/>
      <c r="X446" s="167"/>
      <c r="Y446" s="167"/>
      <c r="Z446" s="167"/>
    </row>
    <row r="447" spans="1:26" s="47" customFormat="1" ht="44.25">
      <c r="A447" s="152">
        <v>54112</v>
      </c>
      <c r="B447" s="153" t="s">
        <v>1153</v>
      </c>
      <c r="C447" s="12"/>
      <c r="D447" s="14" t="s">
        <v>11</v>
      </c>
      <c r="E447" s="14" t="s">
        <v>25</v>
      </c>
      <c r="F447" s="14" t="s">
        <v>26</v>
      </c>
      <c r="G447" s="305">
        <f>'NOV-18 '!I448</f>
        <v>335.66999999999973</v>
      </c>
      <c r="H447" s="51">
        <v>1350</v>
      </c>
      <c r="I447" s="18">
        <f t="shared" si="8"/>
        <v>295.66999999999973</v>
      </c>
      <c r="J447" s="347">
        <f>1100+210</f>
        <v>1310</v>
      </c>
      <c r="K447" s="44"/>
      <c r="L447" s="167"/>
      <c r="M447" s="167"/>
      <c r="N447" s="167"/>
      <c r="O447" s="167"/>
      <c r="P447" s="167"/>
      <c r="Q447" s="167"/>
      <c r="R447" s="167"/>
      <c r="S447" s="167"/>
      <c r="T447" s="167"/>
      <c r="U447" s="167"/>
      <c r="V447" s="167"/>
      <c r="W447" s="167"/>
      <c r="X447" s="167"/>
      <c r="Y447" s="167"/>
      <c r="Z447" s="167"/>
    </row>
    <row r="448" spans="1:26" s="47" customFormat="1" ht="43.5">
      <c r="A448" s="152">
        <v>54118</v>
      </c>
      <c r="B448" s="153" t="s">
        <v>1155</v>
      </c>
      <c r="C448" s="12"/>
      <c r="D448" s="14" t="s">
        <v>11</v>
      </c>
      <c r="E448" s="14" t="s">
        <v>25</v>
      </c>
      <c r="F448" s="14" t="s">
        <v>26</v>
      </c>
      <c r="G448" s="305">
        <f>'NOV-18 '!I449</f>
        <v>361.90999999999985</v>
      </c>
      <c r="H448" s="51"/>
      <c r="I448" s="17">
        <f t="shared" si="8"/>
        <v>361.90999999999985</v>
      </c>
      <c r="J448" s="347"/>
      <c r="K448" s="390"/>
      <c r="L448" s="167"/>
      <c r="M448" s="167"/>
      <c r="N448" s="167"/>
      <c r="O448" s="167"/>
      <c r="P448" s="167"/>
      <c r="Q448" s="167"/>
      <c r="R448" s="167"/>
      <c r="S448" s="167"/>
      <c r="T448" s="167"/>
      <c r="U448" s="167"/>
      <c r="V448" s="167"/>
      <c r="W448" s="167"/>
      <c r="X448" s="167"/>
      <c r="Y448" s="167"/>
      <c r="Z448" s="167"/>
    </row>
    <row r="449" spans="1:26" s="47" customFormat="1" ht="30.75" customHeight="1">
      <c r="A449" s="152">
        <v>54119</v>
      </c>
      <c r="B449" s="153" t="s">
        <v>1240</v>
      </c>
      <c r="C449" s="12"/>
      <c r="D449" s="14" t="s">
        <v>11</v>
      </c>
      <c r="E449" s="14" t="s">
        <v>25</v>
      </c>
      <c r="F449" s="14" t="s">
        <v>26</v>
      </c>
      <c r="G449" s="305">
        <f>'NOV-18 '!I450</f>
        <v>50.599999999999909</v>
      </c>
      <c r="H449" s="51"/>
      <c r="I449" s="17">
        <f t="shared" si="8"/>
        <v>50.599999999999909</v>
      </c>
      <c r="J449" s="347"/>
      <c r="K449" s="390"/>
      <c r="L449" s="167"/>
      <c r="M449" s="167"/>
      <c r="N449" s="167"/>
      <c r="O449" s="167"/>
      <c r="P449" s="167"/>
      <c r="Q449" s="167"/>
      <c r="R449" s="167"/>
      <c r="S449" s="167"/>
      <c r="T449" s="167"/>
      <c r="U449" s="167"/>
      <c r="V449" s="167"/>
      <c r="W449" s="167"/>
      <c r="X449" s="167"/>
      <c r="Y449" s="167"/>
      <c r="Z449" s="167"/>
    </row>
    <row r="450" spans="1:26" s="47" customFormat="1" ht="29.25">
      <c r="A450" s="152">
        <v>55603</v>
      </c>
      <c r="B450" s="153" t="s">
        <v>1156</v>
      </c>
      <c r="C450" s="12"/>
      <c r="D450" s="14" t="s">
        <v>11</v>
      </c>
      <c r="E450" s="14" t="s">
        <v>25</v>
      </c>
      <c r="F450" s="14" t="s">
        <v>26</v>
      </c>
      <c r="G450" s="305">
        <f>'NOV-18 '!I451</f>
        <v>5.8699999999999992</v>
      </c>
      <c r="H450" s="51"/>
      <c r="I450" s="17">
        <f t="shared" si="8"/>
        <v>5.8699999999999992</v>
      </c>
      <c r="J450" s="347"/>
      <c r="K450" s="390"/>
      <c r="L450" s="167"/>
      <c r="M450" s="167"/>
      <c r="N450" s="167"/>
      <c r="O450" s="167"/>
      <c r="P450" s="167"/>
      <c r="Q450" s="167"/>
      <c r="R450" s="167"/>
      <c r="S450" s="167"/>
      <c r="T450" s="167"/>
      <c r="U450" s="167"/>
      <c r="V450" s="167"/>
      <c r="W450" s="167"/>
      <c r="X450" s="167"/>
      <c r="Y450" s="167"/>
      <c r="Z450" s="167"/>
    </row>
    <row r="451" spans="1:26" s="47" customFormat="1" ht="57">
      <c r="A451" s="152">
        <v>61101</v>
      </c>
      <c r="B451" s="153" t="s">
        <v>1269</v>
      </c>
      <c r="C451" s="12"/>
      <c r="D451" s="14" t="s">
        <v>11</v>
      </c>
      <c r="E451" s="14" t="s">
        <v>25</v>
      </c>
      <c r="F451" s="14" t="s">
        <v>26</v>
      </c>
      <c r="G451" s="305"/>
      <c r="H451" s="51">
        <f>1250+2200</f>
        <v>3450</v>
      </c>
      <c r="I451" s="18">
        <f t="shared" si="8"/>
        <v>50</v>
      </c>
      <c r="J451" s="459">
        <v>3500</v>
      </c>
      <c r="K451" s="44"/>
      <c r="L451" s="167"/>
      <c r="M451" s="167"/>
      <c r="N451" s="167"/>
      <c r="O451" s="167"/>
      <c r="P451" s="167"/>
      <c r="Q451" s="167"/>
      <c r="R451" s="167"/>
      <c r="S451" s="167"/>
      <c r="T451" s="167"/>
      <c r="U451" s="167"/>
      <c r="V451" s="167"/>
      <c r="W451" s="167"/>
      <c r="X451" s="167"/>
      <c r="Y451" s="167"/>
      <c r="Z451" s="167"/>
    </row>
    <row r="452" spans="1:26" s="47" customFormat="1" ht="67.5">
      <c r="A452" s="379" t="s">
        <v>1190</v>
      </c>
      <c r="B452" s="53" t="s">
        <v>1191</v>
      </c>
      <c r="C452" s="12"/>
      <c r="D452" s="14"/>
      <c r="E452" s="14"/>
      <c r="F452" s="14"/>
      <c r="G452" s="305">
        <f>'NOV-18 '!I452</f>
        <v>0</v>
      </c>
      <c r="H452" s="51"/>
      <c r="I452" s="17"/>
      <c r="J452" s="347"/>
      <c r="K452" s="44"/>
      <c r="L452" s="167"/>
      <c r="M452" s="167"/>
      <c r="N452" s="167"/>
      <c r="O452" s="167"/>
      <c r="P452" s="167"/>
      <c r="Q452" s="167"/>
      <c r="R452" s="167"/>
      <c r="S452" s="167"/>
      <c r="T452" s="167"/>
      <c r="U452" s="167"/>
      <c r="V452" s="167"/>
      <c r="W452" s="167"/>
      <c r="X452" s="167"/>
      <c r="Y452" s="167"/>
      <c r="Z452" s="167"/>
    </row>
    <row r="453" spans="1:26" s="47" customFormat="1" ht="29.25">
      <c r="A453" s="152">
        <v>51202</v>
      </c>
      <c r="B453" s="153" t="s">
        <v>1192</v>
      </c>
      <c r="C453" s="12"/>
      <c r="D453" s="14" t="s">
        <v>11</v>
      </c>
      <c r="E453" s="14" t="s">
        <v>25</v>
      </c>
      <c r="F453" s="14" t="s">
        <v>26</v>
      </c>
      <c r="G453" s="305">
        <f>'NOV-18 '!I453</f>
        <v>1333</v>
      </c>
      <c r="H453" s="51">
        <f>135+90+90</f>
        <v>315</v>
      </c>
      <c r="I453" s="17">
        <f t="shared" si="8"/>
        <v>1018</v>
      </c>
      <c r="J453" s="347"/>
      <c r="K453" s="143"/>
      <c r="L453" s="167"/>
      <c r="M453" s="167"/>
      <c r="N453" s="167"/>
      <c r="O453" s="167"/>
      <c r="P453" s="167"/>
      <c r="Q453" s="167"/>
      <c r="R453" s="167"/>
      <c r="S453" s="167"/>
      <c r="T453" s="167"/>
      <c r="U453" s="167"/>
      <c r="V453" s="167"/>
      <c r="W453" s="167"/>
      <c r="X453" s="167"/>
      <c r="Y453" s="167"/>
      <c r="Z453" s="167"/>
    </row>
    <row r="454" spans="1:26" s="47" customFormat="1" ht="44.25">
      <c r="A454" s="152">
        <v>54111</v>
      </c>
      <c r="B454" s="153" t="s">
        <v>1193</v>
      </c>
      <c r="C454" s="12"/>
      <c r="D454" s="14" t="s">
        <v>11</v>
      </c>
      <c r="E454" s="14" t="s">
        <v>25</v>
      </c>
      <c r="F454" s="14" t="s">
        <v>26</v>
      </c>
      <c r="G454" s="305">
        <f>'NOV-18 '!I454</f>
        <v>963</v>
      </c>
      <c r="H454" s="51">
        <v>40</v>
      </c>
      <c r="I454" s="17">
        <f t="shared" si="8"/>
        <v>923</v>
      </c>
      <c r="J454" s="347"/>
      <c r="K454" s="136"/>
      <c r="L454" s="167"/>
      <c r="M454" s="167"/>
      <c r="N454" s="167"/>
      <c r="O454" s="167"/>
      <c r="P454" s="167"/>
      <c r="Q454" s="167"/>
      <c r="R454" s="167"/>
      <c r="S454" s="167"/>
      <c r="T454" s="167"/>
      <c r="U454" s="167"/>
      <c r="V454" s="167"/>
      <c r="W454" s="167"/>
      <c r="X454" s="167"/>
      <c r="Y454" s="167"/>
      <c r="Z454" s="167"/>
    </row>
    <row r="455" spans="1:26" s="47" customFormat="1" ht="44.25">
      <c r="A455" s="152">
        <v>54112</v>
      </c>
      <c r="B455" s="153" t="s">
        <v>1194</v>
      </c>
      <c r="C455" s="12"/>
      <c r="D455" s="14" t="s">
        <v>11</v>
      </c>
      <c r="E455" s="14" t="s">
        <v>25</v>
      </c>
      <c r="F455" s="14" t="s">
        <v>26</v>
      </c>
      <c r="G455" s="305">
        <f>'NOV-18 '!I455</f>
        <v>1024.0999999999999</v>
      </c>
      <c r="H455" s="51"/>
      <c r="I455" s="17">
        <f t="shared" si="8"/>
        <v>1024.0999999999999</v>
      </c>
      <c r="J455" s="347"/>
      <c r="K455" s="143"/>
      <c r="L455" s="167"/>
      <c r="M455" s="167"/>
      <c r="N455" s="167"/>
      <c r="O455" s="167"/>
      <c r="P455" s="167"/>
      <c r="Q455" s="167"/>
      <c r="R455" s="167"/>
      <c r="S455" s="167"/>
      <c r="T455" s="167"/>
      <c r="U455" s="167"/>
      <c r="V455" s="167"/>
      <c r="W455" s="167"/>
      <c r="X455" s="167"/>
      <c r="Y455" s="167"/>
      <c r="Z455" s="167"/>
    </row>
    <row r="456" spans="1:26" s="47" customFormat="1" ht="29.25">
      <c r="A456" s="152">
        <v>54118</v>
      </c>
      <c r="B456" s="153" t="s">
        <v>1195</v>
      </c>
      <c r="C456" s="12"/>
      <c r="D456" s="14" t="s">
        <v>11</v>
      </c>
      <c r="E456" s="14" t="s">
        <v>25</v>
      </c>
      <c r="F456" s="14" t="s">
        <v>26</v>
      </c>
      <c r="G456" s="305">
        <f>'NOV-18 '!I456</f>
        <v>1485.63</v>
      </c>
      <c r="H456" s="51"/>
      <c r="I456" s="17">
        <f t="shared" si="8"/>
        <v>1485.63</v>
      </c>
      <c r="J456" s="347"/>
      <c r="K456" s="143"/>
      <c r="L456" s="167"/>
      <c r="M456" s="167"/>
      <c r="N456" s="167"/>
      <c r="O456" s="167"/>
      <c r="P456" s="167"/>
      <c r="Q456" s="167"/>
      <c r="R456" s="167"/>
      <c r="S456" s="167"/>
      <c r="T456" s="167"/>
      <c r="U456" s="167"/>
      <c r="V456" s="167"/>
      <c r="W456" s="167"/>
      <c r="X456" s="167"/>
      <c r="Y456" s="167"/>
      <c r="Z456" s="167"/>
    </row>
    <row r="457" spans="1:26" s="47" customFormat="1" ht="29.25">
      <c r="A457" s="152">
        <v>55603</v>
      </c>
      <c r="B457" s="153" t="s">
        <v>1196</v>
      </c>
      <c r="C457" s="12"/>
      <c r="D457" s="14" t="s">
        <v>11</v>
      </c>
      <c r="E457" s="14" t="s">
        <v>25</v>
      </c>
      <c r="F457" s="14" t="s">
        <v>26</v>
      </c>
      <c r="G457" s="305">
        <f>'NOV-18 '!I457</f>
        <v>5.2</v>
      </c>
      <c r="H457" s="51"/>
      <c r="I457" s="17">
        <f t="shared" si="8"/>
        <v>5.2</v>
      </c>
      <c r="J457" s="347"/>
      <c r="K457" s="44"/>
      <c r="L457" s="167"/>
      <c r="M457" s="167"/>
      <c r="N457" s="167"/>
      <c r="O457" s="167"/>
      <c r="P457" s="167"/>
      <c r="Q457" s="167"/>
      <c r="R457" s="167"/>
      <c r="S457" s="167"/>
      <c r="T457" s="167"/>
      <c r="U457" s="167"/>
      <c r="V457" s="167"/>
      <c r="W457" s="167"/>
      <c r="X457" s="167"/>
      <c r="Y457" s="167"/>
      <c r="Z457" s="167"/>
    </row>
    <row r="458" spans="1:26" s="47" customFormat="1" ht="92.25">
      <c r="A458" s="152"/>
      <c r="B458" s="53" t="s">
        <v>1258</v>
      </c>
      <c r="C458" s="12"/>
      <c r="D458" s="14"/>
      <c r="E458" s="14"/>
      <c r="F458" s="14"/>
      <c r="G458" s="305">
        <f>'NOV-18 '!I458</f>
        <v>0</v>
      </c>
      <c r="H458" s="51"/>
      <c r="I458" s="17"/>
      <c r="J458" s="347"/>
      <c r="K458" s="44"/>
      <c r="L458" s="167"/>
      <c r="M458" s="167"/>
      <c r="N458" s="167"/>
      <c r="O458" s="167"/>
      <c r="P458" s="167"/>
      <c r="Q458" s="167"/>
      <c r="R458" s="167"/>
      <c r="S458" s="167"/>
      <c r="T458" s="167"/>
      <c r="U458" s="167"/>
      <c r="V458" s="167"/>
      <c r="W458" s="167"/>
      <c r="X458" s="167"/>
      <c r="Y458" s="167"/>
      <c r="Z458" s="167"/>
    </row>
    <row r="459" spans="1:26" s="47" customFormat="1" ht="42.75">
      <c r="A459" s="152">
        <v>54199</v>
      </c>
      <c r="B459" s="153" t="s">
        <v>1271</v>
      </c>
      <c r="C459" s="12"/>
      <c r="D459" s="14" t="s">
        <v>11</v>
      </c>
      <c r="E459" s="14" t="s">
        <v>25</v>
      </c>
      <c r="F459" s="14" t="s">
        <v>26</v>
      </c>
      <c r="G459" s="305">
        <f>'NOV-18 '!I459</f>
        <v>6000</v>
      </c>
      <c r="H459" s="51">
        <f>55+800</f>
        <v>855</v>
      </c>
      <c r="I459" s="18">
        <f t="shared" si="8"/>
        <v>5145</v>
      </c>
      <c r="J459" s="347"/>
      <c r="K459" s="44"/>
      <c r="L459" s="167"/>
      <c r="M459" s="167"/>
      <c r="N459" s="167"/>
      <c r="O459" s="167"/>
      <c r="P459" s="167"/>
      <c r="Q459" s="167"/>
      <c r="R459" s="167"/>
      <c r="S459" s="167"/>
      <c r="T459" s="167"/>
      <c r="U459" s="167"/>
      <c r="V459" s="167"/>
      <c r="W459" s="167"/>
      <c r="X459" s="167"/>
      <c r="Y459" s="167"/>
      <c r="Z459" s="167"/>
    </row>
    <row r="460" spans="1:26" s="47" customFormat="1" ht="28.5">
      <c r="A460" s="152">
        <v>54314</v>
      </c>
      <c r="B460" s="153" t="s">
        <v>1272</v>
      </c>
      <c r="C460" s="12"/>
      <c r="D460" s="14" t="s">
        <v>11</v>
      </c>
      <c r="E460" s="14" t="s">
        <v>25</v>
      </c>
      <c r="F460" s="14" t="s">
        <v>26</v>
      </c>
      <c r="G460" s="305">
        <f>'NOV-18 '!I460</f>
        <v>23000</v>
      </c>
      <c r="H460" s="51">
        <f>1100+13200.24+1005+600+300+400+54.8+1500</f>
        <v>18160.039999999997</v>
      </c>
      <c r="I460" s="17">
        <f t="shared" si="8"/>
        <v>4839.9600000000028</v>
      </c>
      <c r="J460" s="347"/>
      <c r="K460" s="44"/>
      <c r="L460" s="167"/>
      <c r="M460" s="167"/>
      <c r="N460" s="167"/>
      <c r="O460" s="167"/>
      <c r="P460" s="167"/>
      <c r="Q460" s="167"/>
      <c r="R460" s="167"/>
      <c r="S460" s="167"/>
      <c r="T460" s="167"/>
      <c r="U460" s="167"/>
      <c r="V460" s="167"/>
      <c r="W460" s="167"/>
      <c r="X460" s="167"/>
      <c r="Y460" s="167"/>
      <c r="Z460" s="167"/>
    </row>
    <row r="461" spans="1:26" s="47" customFormat="1" ht="42.75">
      <c r="A461" s="152">
        <v>54304</v>
      </c>
      <c r="B461" s="153" t="s">
        <v>1270</v>
      </c>
      <c r="C461" s="12"/>
      <c r="D461" s="14" t="s">
        <v>11</v>
      </c>
      <c r="E461" s="14" t="s">
        <v>25</v>
      </c>
      <c r="F461" s="14" t="s">
        <v>26</v>
      </c>
      <c r="G461" s="305"/>
      <c r="H461" s="51">
        <f>205+100</f>
        <v>305</v>
      </c>
      <c r="I461" s="18">
        <f t="shared" si="8"/>
        <v>45</v>
      </c>
      <c r="J461" s="347">
        <v>350</v>
      </c>
      <c r="K461" s="44"/>
      <c r="L461" s="167"/>
      <c r="M461" s="167"/>
      <c r="N461" s="167"/>
      <c r="O461" s="167"/>
      <c r="P461" s="167"/>
      <c r="Q461" s="167"/>
      <c r="R461" s="167"/>
      <c r="S461" s="167"/>
      <c r="T461" s="167"/>
      <c r="U461" s="167"/>
      <c r="V461" s="167"/>
      <c r="W461" s="167"/>
      <c r="X461" s="167"/>
      <c r="Y461" s="167"/>
      <c r="Z461" s="167"/>
    </row>
    <row r="462" spans="1:26" s="47" customFormat="1" ht="42.75">
      <c r="A462" s="152">
        <v>54316</v>
      </c>
      <c r="B462" s="153" t="s">
        <v>1277</v>
      </c>
      <c r="C462" s="12"/>
      <c r="D462" s="14" t="s">
        <v>11</v>
      </c>
      <c r="E462" s="14" t="s">
        <v>25</v>
      </c>
      <c r="F462" s="14" t="s">
        <v>26</v>
      </c>
      <c r="G462" s="305">
        <f>'NOV-18 '!I461</f>
        <v>13000</v>
      </c>
      <c r="H462" s="51">
        <f>12850+230+100</f>
        <v>13180</v>
      </c>
      <c r="I462" s="18">
        <f t="shared" si="8"/>
        <v>0</v>
      </c>
      <c r="J462" s="347">
        <v>180</v>
      </c>
      <c r="K462" s="44"/>
      <c r="L462" s="167"/>
      <c r="M462" s="167"/>
      <c r="N462" s="167"/>
      <c r="O462" s="167"/>
      <c r="P462" s="167"/>
      <c r="Q462" s="167"/>
      <c r="R462" s="167"/>
      <c r="S462" s="167"/>
      <c r="T462" s="167"/>
      <c r="U462" s="167"/>
      <c r="V462" s="167"/>
      <c r="W462" s="167"/>
      <c r="X462" s="167"/>
      <c r="Y462" s="167"/>
      <c r="Z462" s="167"/>
    </row>
    <row r="463" spans="1:26" s="47" customFormat="1" ht="42.75">
      <c r="A463" s="152">
        <v>54399</v>
      </c>
      <c r="B463" s="153" t="s">
        <v>1276</v>
      </c>
      <c r="C463" s="12"/>
      <c r="D463" s="14" t="s">
        <v>11</v>
      </c>
      <c r="E463" s="14" t="s">
        <v>25</v>
      </c>
      <c r="F463" s="14" t="s">
        <v>26</v>
      </c>
      <c r="G463" s="305"/>
      <c r="H463" s="51"/>
      <c r="I463" s="18">
        <f t="shared" si="8"/>
        <v>350</v>
      </c>
      <c r="J463" s="347">
        <v>350</v>
      </c>
      <c r="K463" s="44"/>
      <c r="L463" s="167"/>
      <c r="M463" s="167"/>
      <c r="N463" s="167"/>
      <c r="O463" s="167"/>
      <c r="P463" s="167"/>
      <c r="Q463" s="167"/>
      <c r="R463" s="167"/>
      <c r="S463" s="167"/>
      <c r="T463" s="167"/>
      <c r="U463" s="167"/>
      <c r="V463" s="167"/>
      <c r="W463" s="167"/>
      <c r="X463" s="167"/>
      <c r="Y463" s="167"/>
      <c r="Z463" s="167"/>
    </row>
    <row r="464" spans="1:26" s="47" customFormat="1" ht="28.5">
      <c r="A464" s="152">
        <v>55603</v>
      </c>
      <c r="B464" s="153" t="s">
        <v>1273</v>
      </c>
      <c r="C464" s="12"/>
      <c r="D464" s="14" t="s">
        <v>11</v>
      </c>
      <c r="E464" s="14" t="s">
        <v>25</v>
      </c>
      <c r="F464" s="14" t="s">
        <v>26</v>
      </c>
      <c r="G464" s="305">
        <f>'NOV-18 '!I462</f>
        <v>5</v>
      </c>
      <c r="H464" s="51">
        <v>2.2599999999999998</v>
      </c>
      <c r="I464" s="17">
        <f t="shared" si="8"/>
        <v>2.74</v>
      </c>
      <c r="J464" s="347"/>
      <c r="K464" s="44"/>
      <c r="L464" s="167"/>
      <c r="M464" s="167"/>
      <c r="N464" s="167"/>
      <c r="O464" s="167"/>
      <c r="P464" s="167"/>
      <c r="Q464" s="167"/>
      <c r="R464" s="167"/>
      <c r="S464" s="167"/>
      <c r="T464" s="167"/>
      <c r="U464" s="167"/>
      <c r="V464" s="167"/>
      <c r="W464" s="167"/>
      <c r="X464" s="167"/>
      <c r="Y464" s="167"/>
      <c r="Z464" s="167"/>
    </row>
    <row r="465" spans="1:26" s="47" customFormat="1" ht="42.75">
      <c r="A465" s="152">
        <v>56303</v>
      </c>
      <c r="B465" s="153" t="s">
        <v>1274</v>
      </c>
      <c r="C465" s="12"/>
      <c r="D465" s="14" t="s">
        <v>11</v>
      </c>
      <c r="E465" s="14" t="s">
        <v>25</v>
      </c>
      <c r="F465" s="14" t="s">
        <v>26</v>
      </c>
      <c r="G465" s="305">
        <f>'NOV-18 '!I463</f>
        <v>2995</v>
      </c>
      <c r="H465" s="51"/>
      <c r="I465" s="17">
        <f t="shared" si="8"/>
        <v>2115</v>
      </c>
      <c r="J465" s="347"/>
      <c r="K465" s="347">
        <v>880</v>
      </c>
      <c r="L465" s="167"/>
      <c r="M465" s="167"/>
      <c r="N465" s="167"/>
      <c r="O465" s="167"/>
      <c r="P465" s="167"/>
      <c r="Q465" s="167"/>
      <c r="R465" s="167"/>
      <c r="S465" s="167"/>
      <c r="T465" s="167"/>
      <c r="U465" s="167"/>
      <c r="V465" s="167"/>
      <c r="W465" s="167"/>
      <c r="X465" s="167"/>
      <c r="Y465" s="167"/>
      <c r="Z465" s="167"/>
    </row>
    <row r="466" spans="1:26" s="47" customFormat="1">
      <c r="B466" s="5"/>
      <c r="C466" s="12"/>
      <c r="D466" s="14"/>
      <c r="E466" s="14"/>
      <c r="F466" s="14"/>
      <c r="G466" s="305">
        <f>'NOV-18 '!I464</f>
        <v>0</v>
      </c>
      <c r="H466" s="51"/>
      <c r="I466" s="17"/>
      <c r="J466" s="316"/>
      <c r="K466" s="44"/>
      <c r="L466" s="167"/>
      <c r="M466" s="167"/>
      <c r="N466" s="167"/>
      <c r="O466" s="167"/>
      <c r="P466" s="167"/>
      <c r="Q466" s="167"/>
      <c r="R466" s="167"/>
      <c r="S466" s="167"/>
      <c r="T466" s="167"/>
      <c r="U466" s="167"/>
      <c r="V466" s="167"/>
      <c r="W466" s="167"/>
      <c r="X466" s="167"/>
      <c r="Y466" s="167"/>
      <c r="Z466" s="167"/>
    </row>
    <row r="467" spans="1:26" s="47" customFormat="1">
      <c r="A467" s="11"/>
      <c r="B467" s="5"/>
      <c r="C467" s="12"/>
      <c r="D467" s="3"/>
      <c r="E467" s="3"/>
      <c r="F467" s="3"/>
      <c r="G467" s="305">
        <f>'NOV-18 '!I465</f>
        <v>0</v>
      </c>
      <c r="H467" s="51"/>
      <c r="I467" s="17"/>
      <c r="J467" s="44"/>
      <c r="K467" s="44"/>
      <c r="L467" s="167"/>
      <c r="M467" s="167"/>
      <c r="N467" s="167"/>
      <c r="O467" s="167"/>
      <c r="P467" s="167"/>
      <c r="Q467" s="167"/>
      <c r="R467" s="167"/>
      <c r="S467" s="167"/>
      <c r="T467" s="167"/>
      <c r="U467" s="167"/>
      <c r="V467" s="167"/>
      <c r="W467" s="167"/>
      <c r="X467" s="167"/>
      <c r="Y467" s="167"/>
      <c r="Z467" s="167"/>
    </row>
    <row r="468" spans="1:26">
      <c r="A468" s="160"/>
      <c r="B468" s="161" t="s">
        <v>17</v>
      </c>
      <c r="C468" s="161"/>
      <c r="D468" s="161"/>
      <c r="E468" s="161"/>
      <c r="F468" s="161"/>
      <c r="G468" s="305">
        <f>'NOV-18 '!I466</f>
        <v>266414.77</v>
      </c>
      <c r="H468" s="163">
        <f>SUM(H160:H467)</f>
        <v>77439.78</v>
      </c>
      <c r="I468" s="162">
        <f>SUM(I160:I467)</f>
        <v>188974.99000000002</v>
      </c>
      <c r="J468" s="162">
        <f>SUM(J160:J467)</f>
        <v>25836.47</v>
      </c>
      <c r="K468" s="162">
        <f>SUM(K160:K467)</f>
        <v>25836.470000000005</v>
      </c>
      <c r="M468" s="167"/>
      <c r="N468" s="167"/>
      <c r="O468" s="167"/>
      <c r="P468" s="167"/>
      <c r="Q468" s="167"/>
      <c r="R468" s="167"/>
      <c r="S468" s="167"/>
      <c r="T468" s="167"/>
      <c r="U468" s="167"/>
      <c r="V468" s="167"/>
      <c r="W468" s="167"/>
      <c r="X468" s="167"/>
      <c r="Y468" s="167"/>
      <c r="Z468" s="167"/>
    </row>
    <row r="469" spans="1:26" ht="58.5">
      <c r="A469" s="11" t="s">
        <v>555</v>
      </c>
      <c r="B469" s="57" t="s">
        <v>557</v>
      </c>
      <c r="C469" s="344" t="s">
        <v>1159</v>
      </c>
      <c r="D469" s="14" t="s">
        <v>18</v>
      </c>
      <c r="E469" s="14" t="s">
        <v>28</v>
      </c>
      <c r="F469" s="14" t="s">
        <v>26</v>
      </c>
      <c r="G469" s="305">
        <f>'NOV-18 '!I467</f>
        <v>0</v>
      </c>
      <c r="H469" s="51"/>
      <c r="I469" s="17">
        <f t="shared" ref="I469:I540" si="9">G469-H469+J469-K469</f>
        <v>0</v>
      </c>
      <c r="J469" s="52"/>
      <c r="K469" s="143"/>
      <c r="M469" s="167"/>
      <c r="N469" s="167"/>
      <c r="O469" s="167"/>
      <c r="P469" s="167"/>
      <c r="Q469" s="167"/>
      <c r="R469" s="167"/>
      <c r="S469" s="167"/>
      <c r="T469" s="167"/>
      <c r="U469" s="167"/>
      <c r="V469" s="167"/>
      <c r="W469" s="167"/>
      <c r="X469" s="167"/>
      <c r="Y469" s="167"/>
      <c r="Z469" s="167"/>
    </row>
    <row r="470" spans="1:26" ht="58.5">
      <c r="A470" s="11" t="s">
        <v>556</v>
      </c>
      <c r="B470" s="57" t="s">
        <v>558</v>
      </c>
      <c r="C470" s="58"/>
      <c r="D470" s="14" t="s">
        <v>18</v>
      </c>
      <c r="E470" s="14" t="s">
        <v>28</v>
      </c>
      <c r="F470" s="14" t="s">
        <v>26</v>
      </c>
      <c r="G470" s="305">
        <f>'NOV-18 '!I468</f>
        <v>-1.3820056210533949E-12</v>
      </c>
      <c r="H470" s="51"/>
      <c r="I470" s="17">
        <f t="shared" si="9"/>
        <v>-1.3820056210533949E-12</v>
      </c>
      <c r="J470" s="391"/>
      <c r="K470" s="266"/>
      <c r="M470" s="167"/>
      <c r="N470" s="167"/>
      <c r="O470" s="167"/>
      <c r="P470" s="167"/>
      <c r="Q470" s="167"/>
    </row>
    <row r="471" spans="1:26" ht="72.75">
      <c r="A471" s="11" t="s">
        <v>560</v>
      </c>
      <c r="B471" s="57" t="s">
        <v>559</v>
      </c>
      <c r="C471" s="59"/>
      <c r="D471" s="14" t="s">
        <v>18</v>
      </c>
      <c r="E471" s="14" t="s">
        <v>28</v>
      </c>
      <c r="F471" s="14" t="s">
        <v>26</v>
      </c>
      <c r="G471" s="305">
        <f>'NOV-18 '!I469</f>
        <v>0</v>
      </c>
      <c r="H471" s="51"/>
      <c r="I471" s="17">
        <f t="shared" si="9"/>
        <v>0</v>
      </c>
      <c r="J471" s="52"/>
      <c r="K471" s="143"/>
    </row>
    <row r="472" spans="1:26" ht="72.75">
      <c r="A472" s="11" t="s">
        <v>561</v>
      </c>
      <c r="B472" s="57" t="s">
        <v>562</v>
      </c>
      <c r="C472" s="59"/>
      <c r="D472" s="14" t="s">
        <v>18</v>
      </c>
      <c r="E472" s="14" t="s">
        <v>28</v>
      </c>
      <c r="F472" s="14" t="s">
        <v>26</v>
      </c>
      <c r="G472" s="305">
        <f>'NOV-18 '!I470</f>
        <v>0</v>
      </c>
      <c r="H472" s="51"/>
      <c r="I472" s="17">
        <f t="shared" si="9"/>
        <v>0</v>
      </c>
      <c r="J472" s="56"/>
      <c r="K472" s="391"/>
    </row>
    <row r="473" spans="1:26" ht="72.75">
      <c r="A473" s="11" t="s">
        <v>1160</v>
      </c>
      <c r="B473" s="57" t="s">
        <v>1161</v>
      </c>
      <c r="C473" s="59"/>
      <c r="D473" s="14" t="s">
        <v>18</v>
      </c>
      <c r="E473" s="14" t="s">
        <v>28</v>
      </c>
      <c r="F473" s="14" t="s">
        <v>26</v>
      </c>
      <c r="G473" s="305">
        <f>'NOV-18 '!I471</f>
        <v>0</v>
      </c>
      <c r="H473" s="51"/>
      <c r="I473" s="17">
        <f t="shared" si="9"/>
        <v>0</v>
      </c>
      <c r="J473" s="137"/>
      <c r="K473" s="392"/>
    </row>
    <row r="474" spans="1:26" ht="72.75">
      <c r="A474" s="11" t="s">
        <v>564</v>
      </c>
      <c r="B474" s="57" t="s">
        <v>563</v>
      </c>
      <c r="C474" s="59"/>
      <c r="D474" s="14" t="s">
        <v>18</v>
      </c>
      <c r="E474" s="14" t="s">
        <v>28</v>
      </c>
      <c r="F474" s="14" t="s">
        <v>26</v>
      </c>
      <c r="G474" s="305">
        <f>'NOV-18 '!I472</f>
        <v>0</v>
      </c>
      <c r="H474" s="51"/>
      <c r="I474" s="17">
        <f t="shared" si="9"/>
        <v>0</v>
      </c>
      <c r="J474" s="52"/>
      <c r="K474" s="391"/>
    </row>
    <row r="475" spans="1:26" ht="72.75">
      <c r="A475" s="11" t="s">
        <v>566</v>
      </c>
      <c r="B475" s="57" t="s">
        <v>567</v>
      </c>
      <c r="C475" s="380" t="s">
        <v>1162</v>
      </c>
      <c r="D475" s="14" t="s">
        <v>18</v>
      </c>
      <c r="E475" s="14" t="s">
        <v>28</v>
      </c>
      <c r="F475" s="14" t="s">
        <v>26</v>
      </c>
      <c r="G475" s="305">
        <f>'NOV-18 '!I473</f>
        <v>4.3769432522822171E-12</v>
      </c>
      <c r="H475" s="51"/>
      <c r="I475" s="134">
        <f t="shared" si="9"/>
        <v>4.3769432522822171E-12</v>
      </c>
      <c r="J475" s="143"/>
      <c r="K475" s="392"/>
    </row>
    <row r="476" spans="1:26" ht="72.75">
      <c r="A476" s="11" t="s">
        <v>565</v>
      </c>
      <c r="B476" s="57" t="s">
        <v>568</v>
      </c>
      <c r="C476" s="59"/>
      <c r="D476" s="14" t="s">
        <v>18</v>
      </c>
      <c r="E476" s="14" t="s">
        <v>28</v>
      </c>
      <c r="F476" s="14" t="s">
        <v>26</v>
      </c>
      <c r="G476" s="305">
        <f>'NOV-18 '!I474</f>
        <v>-4.5474735088646412E-13</v>
      </c>
      <c r="H476" s="51"/>
      <c r="I476" s="17">
        <f t="shared" si="9"/>
        <v>-4.5474735088646412E-13</v>
      </c>
      <c r="J476" s="52"/>
      <c r="K476" s="393"/>
    </row>
    <row r="477" spans="1:26" ht="87">
      <c r="A477" s="11" t="s">
        <v>1117</v>
      </c>
      <c r="B477" s="57" t="s">
        <v>1118</v>
      </c>
      <c r="C477" s="59"/>
      <c r="D477" s="14" t="s">
        <v>18</v>
      </c>
      <c r="E477" s="14" t="s">
        <v>28</v>
      </c>
      <c r="F477" s="14" t="s">
        <v>26</v>
      </c>
      <c r="G477" s="305">
        <f>'NOV-18 '!I475</f>
        <v>0</v>
      </c>
      <c r="H477" s="51"/>
      <c r="I477" s="134">
        <f>G477-H477+J477-K477</f>
        <v>0</v>
      </c>
      <c r="J477" s="137"/>
      <c r="K477" s="393"/>
    </row>
    <row r="478" spans="1:26" ht="87">
      <c r="A478" s="11" t="s">
        <v>1163</v>
      </c>
      <c r="B478" s="57" t="s">
        <v>1164</v>
      </c>
      <c r="C478" s="59"/>
      <c r="D478" s="14" t="s">
        <v>18</v>
      </c>
      <c r="E478" s="14" t="s">
        <v>28</v>
      </c>
      <c r="F478" s="14" t="s">
        <v>26</v>
      </c>
      <c r="G478" s="305">
        <f>'NOV-18 '!I476</f>
        <v>0</v>
      </c>
      <c r="H478" s="51"/>
      <c r="I478" s="134">
        <f>G478-H478+J478-K478</f>
        <v>0</v>
      </c>
      <c r="J478" s="137"/>
      <c r="K478" s="393"/>
    </row>
    <row r="479" spans="1:26" ht="72.75">
      <c r="A479" s="11" t="s">
        <v>569</v>
      </c>
      <c r="B479" s="57" t="s">
        <v>570</v>
      </c>
      <c r="C479" s="286" t="s">
        <v>1072</v>
      </c>
      <c r="D479" s="14" t="s">
        <v>18</v>
      </c>
      <c r="E479" s="14" t="s">
        <v>28</v>
      </c>
      <c r="F479" s="14" t="s">
        <v>26</v>
      </c>
      <c r="G479" s="305">
        <f>'NOV-18 '!I477</f>
        <v>0</v>
      </c>
      <c r="H479" s="51"/>
      <c r="I479" s="17">
        <f t="shared" si="9"/>
        <v>0</v>
      </c>
      <c r="J479" s="52"/>
      <c r="K479" s="301"/>
    </row>
    <row r="480" spans="1:26" ht="72.75">
      <c r="A480" s="11" t="s">
        <v>571</v>
      </c>
      <c r="B480" s="57" t="s">
        <v>572</v>
      </c>
      <c r="C480" s="286"/>
      <c r="D480" s="14" t="s">
        <v>18</v>
      </c>
      <c r="E480" s="14" t="s">
        <v>28</v>
      </c>
      <c r="F480" s="14" t="s">
        <v>26</v>
      </c>
      <c r="G480" s="305">
        <f>'NOV-18 '!I478</f>
        <v>6.8212102632969618E-13</v>
      </c>
      <c r="H480" s="51"/>
      <c r="I480" s="17">
        <f t="shared" si="9"/>
        <v>6.8212102632969618E-13</v>
      </c>
      <c r="J480" s="391"/>
      <c r="K480" s="137"/>
    </row>
    <row r="481" spans="1:510" ht="72.75">
      <c r="A481" s="11" t="s">
        <v>969</v>
      </c>
      <c r="B481" s="57" t="s">
        <v>970</v>
      </c>
      <c r="C481" s="59"/>
      <c r="D481" s="14" t="s">
        <v>18</v>
      </c>
      <c r="E481" s="14" t="s">
        <v>28</v>
      </c>
      <c r="F481" s="14" t="s">
        <v>26</v>
      </c>
      <c r="G481" s="305">
        <f>'NOV-18 '!I479</f>
        <v>0</v>
      </c>
      <c r="H481" s="51"/>
      <c r="I481" s="17">
        <f t="shared" si="9"/>
        <v>0</v>
      </c>
      <c r="J481" s="137"/>
      <c r="K481" s="392"/>
    </row>
    <row r="482" spans="1:510" ht="39" customHeight="1">
      <c r="A482" s="11">
        <v>54109</v>
      </c>
      <c r="B482" s="54" t="s">
        <v>1180</v>
      </c>
      <c r="C482" s="13" t="s">
        <v>1165</v>
      </c>
      <c r="D482" s="14" t="s">
        <v>18</v>
      </c>
      <c r="E482" s="14" t="s">
        <v>28</v>
      </c>
      <c r="F482" s="14" t="s">
        <v>26</v>
      </c>
      <c r="G482" s="305">
        <f>'NOV-18 '!I480</f>
        <v>1183.8199999999995</v>
      </c>
      <c r="H482" s="51">
        <f>496.14</f>
        <v>496.14</v>
      </c>
      <c r="I482" s="17">
        <f t="shared" si="9"/>
        <v>687.6799999999995</v>
      </c>
      <c r="J482" s="52"/>
      <c r="K482" s="52"/>
    </row>
    <row r="483" spans="1:510" ht="60">
      <c r="A483" s="11" t="s">
        <v>574</v>
      </c>
      <c r="B483" s="54" t="s">
        <v>575</v>
      </c>
      <c r="C483" s="61" t="s">
        <v>1167</v>
      </c>
      <c r="D483" s="14" t="s">
        <v>18</v>
      </c>
      <c r="E483" s="14" t="s">
        <v>28</v>
      </c>
      <c r="F483" s="14" t="s">
        <v>26</v>
      </c>
      <c r="G483" s="305">
        <f>'NOV-18 '!I481</f>
        <v>642.55000000000041</v>
      </c>
      <c r="H483" s="51"/>
      <c r="I483" s="17">
        <f t="shared" si="9"/>
        <v>642.55000000000041</v>
      </c>
      <c r="J483" s="52"/>
      <c r="K483" s="300"/>
    </row>
    <row r="484" spans="1:510" ht="75">
      <c r="A484" s="11" t="s">
        <v>212</v>
      </c>
      <c r="B484" s="54" t="s">
        <v>576</v>
      </c>
      <c r="C484" s="61" t="s">
        <v>1167</v>
      </c>
      <c r="D484" s="14" t="s">
        <v>18</v>
      </c>
      <c r="E484" s="14" t="s">
        <v>28</v>
      </c>
      <c r="F484" s="14" t="s">
        <v>26</v>
      </c>
      <c r="G484" s="305">
        <f>'NOV-18 '!I482</f>
        <v>3410.5</v>
      </c>
      <c r="H484" s="51">
        <f>27.98</f>
        <v>27.98</v>
      </c>
      <c r="I484" s="17">
        <f t="shared" si="9"/>
        <v>3382.52</v>
      </c>
      <c r="J484" s="52"/>
      <c r="K484" s="300"/>
    </row>
    <row r="485" spans="1:510" ht="75">
      <c r="A485" s="11" t="s">
        <v>577</v>
      </c>
      <c r="B485" s="54" t="s">
        <v>1094</v>
      </c>
      <c r="C485" s="13"/>
      <c r="D485" s="14" t="s">
        <v>18</v>
      </c>
      <c r="E485" s="14" t="s">
        <v>28</v>
      </c>
      <c r="F485" s="14" t="s">
        <v>26</v>
      </c>
      <c r="G485" s="305">
        <f>'NOV-18 '!I483</f>
        <v>8025.6299999999983</v>
      </c>
      <c r="H485" s="51">
        <f>165+70</f>
        <v>235</v>
      </c>
      <c r="I485" s="17">
        <f t="shared" si="9"/>
        <v>7790.6299999999983</v>
      </c>
      <c r="J485" s="56"/>
      <c r="K485" s="300"/>
    </row>
    <row r="486" spans="1:510" s="220" customFormat="1" ht="30">
      <c r="A486" s="11" t="s">
        <v>218</v>
      </c>
      <c r="B486" s="54" t="s">
        <v>579</v>
      </c>
      <c r="C486" s="13"/>
      <c r="D486" s="14" t="s">
        <v>18</v>
      </c>
      <c r="E486" s="14" t="s">
        <v>28</v>
      </c>
      <c r="F486" s="14" t="s">
        <v>26</v>
      </c>
      <c r="G486" s="305">
        <f>'NOV-18 '!I484</f>
        <v>2.87</v>
      </c>
      <c r="H486" s="51"/>
      <c r="I486" s="17">
        <f t="shared" si="9"/>
        <v>2.87</v>
      </c>
      <c r="J486" s="56"/>
      <c r="K486" s="56"/>
      <c r="L486" s="167"/>
      <c r="M486" s="167"/>
      <c r="N486" s="167"/>
      <c r="O486" s="167"/>
      <c r="P486" s="167"/>
      <c r="Q486" s="167"/>
      <c r="R486" s="167"/>
      <c r="S486" s="167"/>
      <c r="T486" s="167"/>
      <c r="U486" s="167"/>
      <c r="V486" s="167"/>
      <c r="W486" s="167"/>
      <c r="X486" s="167"/>
      <c r="Y486" s="167"/>
      <c r="Z486" s="167"/>
      <c r="AA486" s="167"/>
      <c r="AB486" s="167"/>
      <c r="AC486" s="167"/>
      <c r="AD486" s="167"/>
      <c r="AE486" s="167"/>
      <c r="AF486" s="167"/>
      <c r="AG486" s="167"/>
      <c r="AH486" s="167"/>
      <c r="AI486" s="167"/>
      <c r="AJ486" s="167"/>
      <c r="AK486" s="167"/>
      <c r="AL486" s="167"/>
      <c r="AM486" s="167"/>
      <c r="AN486" s="167"/>
      <c r="AO486" s="167"/>
      <c r="AP486" s="167"/>
      <c r="AQ486" s="167"/>
      <c r="AR486" s="167"/>
      <c r="AS486" s="167"/>
      <c r="AT486" s="167"/>
      <c r="AU486" s="167"/>
      <c r="AV486" s="167"/>
      <c r="AW486" s="167"/>
      <c r="AX486" s="167"/>
      <c r="AY486" s="167"/>
      <c r="AZ486" s="167"/>
      <c r="BA486" s="167"/>
      <c r="BB486" s="167"/>
      <c r="BC486" s="167"/>
      <c r="BD486" s="167"/>
      <c r="BE486" s="167"/>
      <c r="BF486" s="167"/>
      <c r="BG486" s="167"/>
      <c r="BH486" s="167"/>
      <c r="BI486" s="167"/>
      <c r="BJ486" s="167"/>
      <c r="BK486" s="167"/>
      <c r="BL486" s="167"/>
      <c r="BM486" s="167"/>
      <c r="BN486" s="167"/>
      <c r="BO486" s="167"/>
      <c r="BP486" s="167"/>
      <c r="BQ486" s="167"/>
      <c r="BR486" s="167"/>
      <c r="BS486" s="167"/>
      <c r="BT486" s="167"/>
      <c r="BU486" s="167"/>
      <c r="BV486" s="167"/>
      <c r="BW486" s="167"/>
      <c r="BX486" s="167"/>
      <c r="BY486" s="167"/>
      <c r="BZ486" s="167"/>
      <c r="CA486" s="167"/>
      <c r="CB486" s="167"/>
      <c r="CC486" s="167"/>
      <c r="CD486" s="167"/>
      <c r="CE486" s="167"/>
      <c r="CF486" s="167"/>
      <c r="CG486" s="167"/>
      <c r="CH486" s="167"/>
      <c r="CI486" s="167"/>
      <c r="CJ486" s="167"/>
      <c r="CK486" s="167"/>
      <c r="CL486" s="167"/>
      <c r="CM486" s="167"/>
      <c r="CN486" s="167"/>
      <c r="CO486" s="167"/>
      <c r="CP486" s="167"/>
      <c r="CQ486" s="167"/>
      <c r="CR486" s="167"/>
      <c r="CS486" s="167"/>
      <c r="CT486" s="167"/>
      <c r="CU486" s="167"/>
      <c r="CV486" s="167"/>
      <c r="CW486" s="167"/>
      <c r="CX486" s="167"/>
      <c r="CY486" s="167"/>
      <c r="CZ486" s="167"/>
      <c r="DA486" s="167"/>
      <c r="DB486" s="167"/>
      <c r="DC486" s="167"/>
      <c r="DD486" s="167"/>
      <c r="DE486" s="167"/>
      <c r="DF486" s="167"/>
      <c r="DG486" s="167"/>
      <c r="DH486" s="167"/>
      <c r="DI486" s="167"/>
      <c r="DJ486" s="167"/>
      <c r="DK486" s="167"/>
      <c r="DL486" s="167"/>
      <c r="DM486" s="167"/>
      <c r="DN486" s="167"/>
      <c r="DO486" s="167"/>
      <c r="DP486" s="167"/>
      <c r="DQ486" s="167"/>
      <c r="DR486" s="167"/>
      <c r="DS486" s="167"/>
      <c r="DT486" s="167"/>
      <c r="DU486" s="167"/>
      <c r="DV486" s="167"/>
      <c r="DW486" s="167"/>
      <c r="DX486" s="167"/>
      <c r="DY486" s="167"/>
      <c r="DZ486" s="167"/>
      <c r="EA486" s="167"/>
      <c r="EB486" s="167"/>
      <c r="EC486" s="167"/>
      <c r="ED486" s="167"/>
      <c r="EE486" s="167"/>
      <c r="EF486" s="167"/>
      <c r="EG486" s="167"/>
      <c r="EH486" s="167"/>
      <c r="EI486" s="167"/>
      <c r="EJ486" s="167"/>
      <c r="EK486" s="167"/>
      <c r="EL486" s="167"/>
      <c r="EM486" s="167"/>
      <c r="EN486" s="167"/>
      <c r="EO486" s="167"/>
      <c r="EP486" s="167"/>
      <c r="EQ486" s="167"/>
      <c r="ER486" s="167"/>
      <c r="ES486" s="167"/>
      <c r="ET486" s="167"/>
      <c r="EU486" s="167"/>
      <c r="EV486" s="167"/>
      <c r="EW486" s="167"/>
      <c r="EX486" s="167"/>
      <c r="EY486" s="167"/>
      <c r="EZ486" s="167"/>
      <c r="FA486" s="167"/>
      <c r="FB486" s="167"/>
      <c r="FC486" s="167"/>
      <c r="FD486" s="167"/>
      <c r="FE486" s="167"/>
      <c r="FF486" s="167"/>
      <c r="FG486" s="167"/>
      <c r="FH486" s="167"/>
      <c r="FI486" s="167"/>
      <c r="FJ486" s="167"/>
      <c r="FK486" s="167"/>
      <c r="FL486" s="167"/>
      <c r="FM486" s="167"/>
      <c r="FN486" s="167"/>
      <c r="FO486" s="167"/>
      <c r="FP486" s="167"/>
      <c r="FQ486" s="167"/>
      <c r="FR486" s="167"/>
      <c r="FS486" s="167"/>
      <c r="FT486" s="167"/>
      <c r="FU486" s="167"/>
      <c r="FV486" s="167"/>
      <c r="FW486" s="167"/>
      <c r="FX486" s="167"/>
      <c r="FY486" s="167"/>
      <c r="FZ486" s="167"/>
      <c r="GA486" s="167"/>
      <c r="GB486" s="167"/>
      <c r="GC486" s="167"/>
      <c r="GD486" s="167"/>
      <c r="GE486" s="167"/>
      <c r="GF486" s="167"/>
      <c r="GG486" s="167"/>
      <c r="GH486" s="167"/>
      <c r="GI486" s="167"/>
      <c r="GJ486" s="167"/>
      <c r="GK486" s="167"/>
      <c r="GL486" s="167"/>
      <c r="GM486" s="167"/>
      <c r="GN486" s="167"/>
      <c r="GO486" s="167"/>
      <c r="GP486" s="167"/>
      <c r="GQ486" s="167"/>
      <c r="GR486" s="167"/>
      <c r="GS486" s="167"/>
      <c r="GT486" s="167"/>
      <c r="GU486" s="167"/>
      <c r="GV486" s="167"/>
      <c r="GW486" s="167"/>
      <c r="GX486" s="167"/>
      <c r="GY486" s="167"/>
      <c r="GZ486" s="167"/>
      <c r="HA486" s="167"/>
      <c r="HB486" s="167"/>
      <c r="HC486" s="167"/>
      <c r="HD486" s="167"/>
      <c r="HE486" s="167"/>
      <c r="HF486" s="167"/>
      <c r="HG486" s="167"/>
      <c r="HH486" s="167"/>
      <c r="HI486" s="167"/>
      <c r="HJ486" s="167"/>
      <c r="HK486" s="167"/>
      <c r="HL486" s="167"/>
      <c r="HM486" s="167"/>
      <c r="HN486" s="167"/>
      <c r="HO486" s="167"/>
      <c r="HP486" s="167"/>
      <c r="HQ486" s="167"/>
      <c r="HR486" s="167"/>
      <c r="HS486" s="167"/>
      <c r="HT486" s="167"/>
      <c r="HU486" s="167"/>
      <c r="HV486" s="167"/>
      <c r="HW486" s="167"/>
      <c r="HX486" s="167"/>
      <c r="HY486" s="167"/>
      <c r="HZ486" s="167"/>
      <c r="IA486" s="167"/>
      <c r="IB486" s="167"/>
      <c r="IC486" s="167"/>
      <c r="ID486" s="167"/>
      <c r="IE486" s="167"/>
      <c r="IF486" s="167"/>
      <c r="IG486" s="167"/>
      <c r="IH486" s="167"/>
      <c r="II486" s="167"/>
      <c r="IJ486" s="167"/>
      <c r="IK486" s="167"/>
      <c r="IL486" s="167"/>
      <c r="IM486" s="167"/>
      <c r="IN486" s="167"/>
      <c r="IO486" s="167"/>
      <c r="IP486" s="167"/>
      <c r="IQ486" s="167"/>
      <c r="IR486" s="167"/>
      <c r="IS486" s="167"/>
      <c r="IT486" s="167"/>
      <c r="IU486" s="167"/>
      <c r="IV486" s="167"/>
      <c r="IW486" s="167"/>
      <c r="IX486" s="167"/>
      <c r="IY486" s="167"/>
      <c r="IZ486" s="167"/>
      <c r="JA486" s="167"/>
      <c r="JB486" s="167"/>
      <c r="JC486" s="167"/>
      <c r="JD486" s="167"/>
      <c r="JE486" s="167"/>
      <c r="JF486" s="167"/>
      <c r="JG486" s="167"/>
      <c r="JH486" s="167"/>
      <c r="JI486" s="167"/>
      <c r="JJ486" s="167"/>
      <c r="JK486" s="167"/>
      <c r="JL486" s="167"/>
      <c r="JM486" s="167"/>
      <c r="JN486" s="167"/>
      <c r="JO486" s="167"/>
      <c r="JP486" s="167"/>
      <c r="JQ486" s="167"/>
      <c r="JR486" s="167"/>
      <c r="JS486" s="167"/>
      <c r="JT486" s="167"/>
      <c r="JU486" s="167"/>
      <c r="JV486" s="167"/>
      <c r="JW486" s="167"/>
      <c r="JX486" s="167"/>
      <c r="JY486" s="167"/>
      <c r="JZ486" s="167"/>
      <c r="KA486" s="167"/>
      <c r="KB486" s="167"/>
      <c r="KC486" s="167"/>
      <c r="KD486" s="167"/>
      <c r="KE486" s="167"/>
      <c r="KF486" s="167"/>
      <c r="KG486" s="167"/>
      <c r="KH486" s="167"/>
      <c r="KI486" s="167"/>
      <c r="KJ486" s="167"/>
      <c r="KK486" s="167"/>
      <c r="KL486" s="167"/>
      <c r="KM486" s="167"/>
      <c r="KN486" s="167"/>
      <c r="KO486" s="167"/>
      <c r="KP486" s="167"/>
      <c r="KQ486" s="167"/>
      <c r="KR486" s="167"/>
      <c r="KS486" s="167"/>
      <c r="KT486" s="167"/>
      <c r="KU486" s="167"/>
      <c r="KV486" s="167"/>
      <c r="KW486" s="167"/>
      <c r="KX486" s="167"/>
      <c r="KY486" s="167"/>
      <c r="KZ486" s="167"/>
      <c r="LA486" s="167"/>
      <c r="LB486" s="167"/>
      <c r="LC486" s="167"/>
      <c r="LD486" s="167"/>
      <c r="LE486" s="167"/>
      <c r="LF486" s="167"/>
      <c r="LG486" s="167"/>
      <c r="LH486" s="167"/>
      <c r="LI486" s="167"/>
      <c r="LJ486" s="167"/>
      <c r="LK486" s="167"/>
      <c r="LL486" s="167"/>
      <c r="LM486" s="167"/>
      <c r="LN486" s="167"/>
      <c r="LO486" s="167"/>
      <c r="LP486" s="167"/>
      <c r="LQ486" s="167"/>
      <c r="LR486" s="167"/>
      <c r="LS486" s="167"/>
      <c r="LT486" s="167"/>
      <c r="LU486" s="167"/>
      <c r="LV486" s="167"/>
      <c r="LW486" s="167"/>
      <c r="LX486" s="167"/>
      <c r="LY486" s="167"/>
      <c r="LZ486" s="167"/>
      <c r="MA486" s="167"/>
      <c r="MB486" s="167"/>
      <c r="MC486" s="167"/>
      <c r="MD486" s="167"/>
      <c r="ME486" s="167"/>
      <c r="MF486" s="167"/>
      <c r="MG486" s="167"/>
      <c r="MH486" s="167"/>
      <c r="MI486" s="167"/>
      <c r="MJ486" s="167"/>
      <c r="MK486" s="167"/>
      <c r="ML486" s="167"/>
      <c r="MM486" s="167"/>
      <c r="MN486" s="167"/>
      <c r="MO486" s="167"/>
      <c r="MP486" s="167"/>
      <c r="MQ486" s="167"/>
      <c r="MR486" s="167"/>
      <c r="MS486" s="167"/>
      <c r="MT486" s="167"/>
      <c r="MU486" s="167"/>
      <c r="MV486" s="167"/>
      <c r="MW486" s="167"/>
      <c r="MX486" s="167"/>
      <c r="MY486" s="167"/>
      <c r="MZ486" s="167"/>
      <c r="NA486" s="167"/>
      <c r="NB486" s="167"/>
      <c r="NC486" s="167"/>
      <c r="ND486" s="167"/>
      <c r="NE486" s="167"/>
      <c r="NF486" s="167"/>
      <c r="NG486" s="167"/>
      <c r="NH486" s="167"/>
      <c r="NI486" s="167"/>
      <c r="NJ486" s="167"/>
      <c r="NK486" s="167"/>
      <c r="NL486" s="167"/>
      <c r="NM486" s="167"/>
      <c r="NN486" s="167"/>
      <c r="NO486" s="167"/>
      <c r="NP486" s="167"/>
      <c r="NQ486" s="167"/>
      <c r="NR486" s="167"/>
      <c r="NS486" s="167"/>
      <c r="NT486" s="167"/>
      <c r="NU486" s="167"/>
      <c r="NV486" s="167"/>
      <c r="NW486" s="167"/>
      <c r="NX486" s="167"/>
      <c r="NY486" s="167"/>
      <c r="NZ486" s="167"/>
      <c r="OA486" s="167"/>
      <c r="OB486" s="167"/>
      <c r="OC486" s="167"/>
      <c r="OD486" s="167"/>
      <c r="OE486" s="167"/>
      <c r="OF486" s="167"/>
      <c r="OG486" s="167"/>
      <c r="OH486" s="167"/>
      <c r="OI486" s="167"/>
      <c r="OJ486" s="167"/>
      <c r="OK486" s="167"/>
      <c r="OL486" s="167"/>
      <c r="OM486" s="167"/>
      <c r="ON486" s="167"/>
      <c r="OO486" s="167"/>
      <c r="OP486" s="167"/>
      <c r="OQ486" s="167"/>
      <c r="OR486" s="167"/>
      <c r="OS486" s="167"/>
      <c r="OT486" s="167"/>
      <c r="OU486" s="167"/>
      <c r="OV486" s="167"/>
      <c r="OW486" s="167"/>
      <c r="OX486" s="167"/>
      <c r="OY486" s="167"/>
      <c r="OZ486" s="167"/>
      <c r="PA486" s="167"/>
      <c r="PB486" s="167"/>
      <c r="PC486" s="167"/>
      <c r="PD486" s="167"/>
      <c r="PE486" s="167"/>
      <c r="PF486" s="167"/>
      <c r="PG486" s="167"/>
      <c r="PH486" s="167"/>
      <c r="PI486" s="167"/>
      <c r="PJ486" s="167"/>
      <c r="PK486" s="167"/>
      <c r="PL486" s="167"/>
      <c r="PM486" s="167"/>
      <c r="PN486" s="167"/>
      <c r="PO486" s="167"/>
      <c r="PP486" s="167"/>
      <c r="PQ486" s="167"/>
      <c r="PR486" s="167"/>
      <c r="PS486" s="167"/>
      <c r="PT486" s="167"/>
      <c r="PU486" s="167"/>
      <c r="PV486" s="167"/>
      <c r="PW486" s="167"/>
      <c r="PX486" s="167"/>
      <c r="PY486" s="167"/>
      <c r="PZ486" s="167"/>
      <c r="QA486" s="167"/>
      <c r="QB486" s="167"/>
      <c r="QC486" s="167"/>
      <c r="QD486" s="167"/>
      <c r="QE486" s="167"/>
      <c r="QF486" s="167"/>
      <c r="QG486" s="167"/>
      <c r="QH486" s="167"/>
      <c r="QI486" s="167"/>
      <c r="QJ486" s="167"/>
      <c r="QK486" s="167"/>
      <c r="QL486" s="167"/>
      <c r="QM486" s="167"/>
      <c r="QN486" s="167"/>
      <c r="QO486" s="167"/>
      <c r="QP486" s="167"/>
      <c r="QQ486" s="167"/>
      <c r="QR486" s="167"/>
      <c r="QS486" s="167"/>
      <c r="QT486" s="167"/>
      <c r="QU486" s="167"/>
      <c r="QV486" s="167"/>
      <c r="QW486" s="167"/>
      <c r="QX486" s="167"/>
      <c r="QY486" s="167"/>
      <c r="QZ486" s="167"/>
      <c r="RA486" s="167"/>
      <c r="RB486" s="167"/>
      <c r="RC486" s="167"/>
      <c r="RD486" s="167"/>
      <c r="RE486" s="167"/>
      <c r="RF486" s="167"/>
      <c r="RG486" s="167"/>
      <c r="RH486" s="167"/>
      <c r="RI486" s="167"/>
      <c r="RJ486" s="167"/>
      <c r="RK486" s="167"/>
      <c r="RL486" s="167"/>
      <c r="RM486" s="167"/>
      <c r="RN486" s="167"/>
      <c r="RO486" s="167"/>
      <c r="RP486" s="167"/>
      <c r="RQ486" s="167"/>
      <c r="RR486" s="167"/>
      <c r="RS486" s="167"/>
      <c r="RT486" s="167"/>
      <c r="RU486" s="167"/>
      <c r="RV486" s="167"/>
      <c r="RW486" s="167"/>
      <c r="RX486" s="167"/>
      <c r="RY486" s="167"/>
      <c r="RZ486" s="167"/>
      <c r="SA486" s="167"/>
      <c r="SB486" s="167"/>
      <c r="SC486" s="167"/>
      <c r="SD486" s="167"/>
      <c r="SE486" s="167"/>
      <c r="SF486" s="167"/>
      <c r="SG486" s="167"/>
      <c r="SH486" s="167"/>
      <c r="SI486" s="167"/>
      <c r="SJ486" s="167"/>
      <c r="SK486" s="167"/>
      <c r="SL486" s="167"/>
      <c r="SM486" s="167"/>
      <c r="SN486" s="167"/>
      <c r="SO486" s="167"/>
      <c r="SP486" s="167"/>
    </row>
    <row r="487" spans="1:510" s="229" customFormat="1" ht="9.75" customHeight="1">
      <c r="A487" s="221"/>
      <c r="B487" s="222"/>
      <c r="C487" s="223"/>
      <c r="D487" s="224"/>
      <c r="E487" s="224"/>
      <c r="F487" s="224"/>
      <c r="G487" s="305">
        <f>'NOV-18 '!I485</f>
        <v>0</v>
      </c>
      <c r="H487" s="226"/>
      <c r="I487" s="227"/>
      <c r="J487" s="228"/>
      <c r="K487" s="397"/>
      <c r="L487" s="199"/>
      <c r="M487" s="199"/>
      <c r="N487" s="199"/>
      <c r="O487" s="199"/>
      <c r="P487" s="199"/>
      <c r="Q487" s="199"/>
      <c r="R487" s="199"/>
      <c r="S487" s="199"/>
      <c r="T487" s="199"/>
      <c r="U487" s="199"/>
      <c r="V487" s="199"/>
      <c r="W487" s="199"/>
      <c r="X487" s="199"/>
      <c r="Y487" s="199"/>
      <c r="Z487" s="199"/>
      <c r="AA487" s="199"/>
      <c r="AB487" s="199"/>
      <c r="AC487" s="199"/>
      <c r="AD487" s="199"/>
      <c r="AE487" s="199"/>
      <c r="AF487" s="199"/>
      <c r="AG487" s="199"/>
      <c r="AH487" s="199"/>
      <c r="AI487" s="199"/>
      <c r="AJ487" s="199"/>
      <c r="AK487" s="199"/>
      <c r="AL487" s="199"/>
      <c r="AM487" s="199"/>
      <c r="AN487" s="199"/>
      <c r="AO487" s="199"/>
      <c r="AP487" s="199"/>
      <c r="AQ487" s="199"/>
      <c r="AR487" s="199"/>
      <c r="AS487" s="199"/>
      <c r="AT487" s="199"/>
      <c r="AU487" s="199"/>
      <c r="AV487" s="199"/>
      <c r="AW487" s="199"/>
      <c r="AX487" s="199"/>
      <c r="AY487" s="199"/>
      <c r="AZ487" s="199"/>
      <c r="BA487" s="199"/>
      <c r="BB487" s="199"/>
      <c r="BC487" s="199"/>
      <c r="BD487" s="199"/>
      <c r="BE487" s="199"/>
      <c r="BF487" s="199"/>
      <c r="BG487" s="199"/>
      <c r="BH487" s="199"/>
      <c r="BI487" s="199"/>
      <c r="BJ487" s="199"/>
      <c r="BK487" s="199"/>
      <c r="BL487" s="199"/>
      <c r="BM487" s="199"/>
      <c r="BN487" s="199"/>
      <c r="BO487" s="199"/>
      <c r="BP487" s="199"/>
      <c r="BQ487" s="199"/>
      <c r="BR487" s="199"/>
      <c r="BS487" s="199"/>
      <c r="BT487" s="199"/>
      <c r="BU487" s="199"/>
      <c r="BV487" s="199"/>
      <c r="BW487" s="199"/>
      <c r="BX487" s="199"/>
      <c r="BY487" s="199"/>
      <c r="BZ487" s="199"/>
      <c r="CA487" s="199"/>
      <c r="CB487" s="199"/>
      <c r="CC487" s="199"/>
      <c r="CD487" s="199"/>
      <c r="CE487" s="199"/>
      <c r="CF487" s="199"/>
      <c r="CG487" s="199"/>
      <c r="CH487" s="199"/>
      <c r="CI487" s="199"/>
      <c r="CJ487" s="199"/>
      <c r="CK487" s="199"/>
      <c r="CL487" s="199"/>
      <c r="CM487" s="199"/>
      <c r="CN487" s="199"/>
      <c r="CO487" s="199"/>
      <c r="CP487" s="199"/>
      <c r="CQ487" s="199"/>
      <c r="CR487" s="199"/>
      <c r="CS487" s="199"/>
      <c r="CT487" s="199"/>
      <c r="CU487" s="199"/>
      <c r="CV487" s="199"/>
      <c r="CW487" s="199"/>
      <c r="CX487" s="199"/>
      <c r="CY487" s="199"/>
      <c r="CZ487" s="199"/>
      <c r="DA487" s="199"/>
      <c r="DB487" s="199"/>
      <c r="DC487" s="199"/>
      <c r="DD487" s="199"/>
      <c r="DE487" s="199"/>
      <c r="DF487" s="199"/>
      <c r="DG487" s="199"/>
      <c r="DH487" s="199"/>
      <c r="DI487" s="199"/>
      <c r="DJ487" s="199"/>
      <c r="DK487" s="199"/>
      <c r="DL487" s="199"/>
      <c r="DM487" s="199"/>
      <c r="DN487" s="199"/>
      <c r="DO487" s="199"/>
      <c r="DP487" s="199"/>
      <c r="DQ487" s="199"/>
      <c r="DR487" s="199"/>
      <c r="DS487" s="199"/>
      <c r="DT487" s="199"/>
      <c r="DU487" s="199"/>
      <c r="DV487" s="199"/>
      <c r="DW487" s="199"/>
      <c r="DX487" s="199"/>
      <c r="DY487" s="199"/>
      <c r="DZ487" s="199"/>
      <c r="EA487" s="199"/>
      <c r="EB487" s="199"/>
      <c r="EC487" s="199"/>
      <c r="ED487" s="199"/>
      <c r="EE487" s="199"/>
      <c r="EF487" s="199"/>
      <c r="EG487" s="199"/>
      <c r="EH487" s="199"/>
      <c r="EI487" s="199"/>
      <c r="EJ487" s="199"/>
      <c r="EK487" s="199"/>
      <c r="EL487" s="199"/>
      <c r="EM487" s="199"/>
      <c r="EN487" s="199"/>
      <c r="EO487" s="199"/>
      <c r="EP487" s="199"/>
      <c r="EQ487" s="199"/>
      <c r="ER487" s="199"/>
      <c r="ES487" s="199"/>
      <c r="ET487" s="199"/>
      <c r="EU487" s="199"/>
      <c r="EV487" s="199"/>
      <c r="EW487" s="199"/>
      <c r="EX487" s="199"/>
      <c r="EY487" s="199"/>
      <c r="EZ487" s="199"/>
      <c r="FA487" s="199"/>
      <c r="FB487" s="199"/>
      <c r="FC487" s="199"/>
      <c r="FD487" s="199"/>
      <c r="FE487" s="199"/>
      <c r="FF487" s="199"/>
      <c r="FG487" s="199"/>
      <c r="FH487" s="199"/>
      <c r="FI487" s="199"/>
      <c r="FJ487" s="199"/>
      <c r="FK487" s="199"/>
      <c r="FL487" s="199"/>
      <c r="FM487" s="199"/>
      <c r="FN487" s="199"/>
      <c r="FO487" s="199"/>
      <c r="FP487" s="199"/>
      <c r="FQ487" s="199"/>
      <c r="FR487" s="199"/>
      <c r="FS487" s="199"/>
      <c r="FT487" s="199"/>
      <c r="FU487" s="199"/>
      <c r="FV487" s="199"/>
      <c r="FW487" s="199"/>
      <c r="FX487" s="199"/>
      <c r="FY487" s="199"/>
      <c r="FZ487" s="199"/>
      <c r="GA487" s="199"/>
      <c r="GB487" s="199"/>
      <c r="GC487" s="199"/>
      <c r="GD487" s="199"/>
      <c r="GE487" s="199"/>
      <c r="GF487" s="199"/>
      <c r="GG487" s="199"/>
      <c r="GH487" s="199"/>
      <c r="GI487" s="199"/>
      <c r="GJ487" s="199"/>
      <c r="GK487" s="199"/>
      <c r="GL487" s="199"/>
      <c r="GM487" s="199"/>
      <c r="GN487" s="199"/>
      <c r="GO487" s="199"/>
      <c r="GP487" s="199"/>
      <c r="GQ487" s="199"/>
      <c r="GR487" s="199"/>
      <c r="GS487" s="199"/>
      <c r="GT487" s="199"/>
      <c r="GU487" s="199"/>
      <c r="GV487" s="199"/>
      <c r="GW487" s="199"/>
      <c r="GX487" s="199"/>
      <c r="GY487" s="199"/>
      <c r="GZ487" s="199"/>
      <c r="HA487" s="199"/>
      <c r="HB487" s="199"/>
      <c r="HC487" s="199"/>
      <c r="HD487" s="199"/>
      <c r="HE487" s="199"/>
      <c r="HF487" s="199"/>
      <c r="HG487" s="199"/>
      <c r="HH487" s="199"/>
      <c r="HI487" s="199"/>
      <c r="HJ487" s="199"/>
      <c r="HK487" s="199"/>
      <c r="HL487" s="199"/>
      <c r="HM487" s="199"/>
      <c r="HN487" s="199"/>
      <c r="HO487" s="199"/>
      <c r="HP487" s="199"/>
      <c r="HQ487" s="199"/>
      <c r="HR487" s="199"/>
      <c r="HS487" s="199"/>
      <c r="HT487" s="199"/>
      <c r="HU487" s="199"/>
      <c r="HV487" s="199"/>
      <c r="HW487" s="199"/>
      <c r="HX487" s="199"/>
      <c r="HY487" s="199"/>
      <c r="HZ487" s="199"/>
      <c r="IA487" s="199"/>
      <c r="IB487" s="199"/>
      <c r="IC487" s="199"/>
      <c r="ID487" s="199"/>
      <c r="IE487" s="199"/>
      <c r="IF487" s="199"/>
      <c r="IG487" s="199"/>
      <c r="IH487" s="199"/>
      <c r="II487" s="199"/>
      <c r="IJ487" s="199"/>
      <c r="IK487" s="199"/>
      <c r="IL487" s="199"/>
      <c r="IM487" s="199"/>
      <c r="IN487" s="199"/>
      <c r="IO487" s="199"/>
      <c r="IP487" s="199"/>
      <c r="IQ487" s="199"/>
      <c r="IR487" s="199"/>
      <c r="IS487" s="199"/>
      <c r="IT487" s="199"/>
      <c r="IU487" s="199"/>
      <c r="IV487" s="199"/>
      <c r="IW487" s="199"/>
      <c r="IX487" s="199"/>
      <c r="IY487" s="199"/>
      <c r="IZ487" s="199"/>
      <c r="JA487" s="199"/>
      <c r="JB487" s="199"/>
      <c r="JC487" s="199"/>
      <c r="JD487" s="199"/>
      <c r="JE487" s="199"/>
      <c r="JF487" s="199"/>
      <c r="JG487" s="199"/>
      <c r="JH487" s="199"/>
      <c r="JI487" s="199"/>
      <c r="JJ487" s="199"/>
      <c r="JK487" s="199"/>
      <c r="JL487" s="199"/>
      <c r="JM487" s="199"/>
      <c r="JN487" s="199"/>
      <c r="JO487" s="199"/>
      <c r="JP487" s="199"/>
      <c r="JQ487" s="199"/>
      <c r="JR487" s="199"/>
      <c r="JS487" s="199"/>
      <c r="JT487" s="199"/>
      <c r="JU487" s="199"/>
      <c r="JV487" s="199"/>
      <c r="JW487" s="199"/>
      <c r="JX487" s="199"/>
      <c r="JY487" s="199"/>
      <c r="JZ487" s="199"/>
      <c r="KA487" s="199"/>
      <c r="KB487" s="199"/>
      <c r="KC487" s="199"/>
      <c r="KD487" s="199"/>
      <c r="KE487" s="199"/>
      <c r="KF487" s="199"/>
      <c r="KG487" s="199"/>
      <c r="KH487" s="199"/>
      <c r="KI487" s="199"/>
      <c r="KJ487" s="199"/>
      <c r="KK487" s="199"/>
      <c r="KL487" s="199"/>
      <c r="KM487" s="199"/>
      <c r="KN487" s="199"/>
      <c r="KO487" s="199"/>
      <c r="KP487" s="199"/>
      <c r="KQ487" s="199"/>
      <c r="KR487" s="199"/>
      <c r="KS487" s="199"/>
      <c r="KT487" s="199"/>
      <c r="KU487" s="199"/>
      <c r="KV487" s="199"/>
      <c r="KW487" s="199"/>
      <c r="KX487" s="199"/>
      <c r="KY487" s="199"/>
      <c r="KZ487" s="199"/>
      <c r="LA487" s="199"/>
      <c r="LB487" s="199"/>
      <c r="LC487" s="199"/>
      <c r="LD487" s="199"/>
      <c r="LE487" s="199"/>
      <c r="LF487" s="199"/>
      <c r="LG487" s="199"/>
      <c r="LH487" s="199"/>
      <c r="LI487" s="199"/>
      <c r="LJ487" s="199"/>
      <c r="LK487" s="199"/>
      <c r="LL487" s="199"/>
      <c r="LM487" s="199"/>
      <c r="LN487" s="199"/>
      <c r="LO487" s="199"/>
      <c r="LP487" s="199"/>
      <c r="LQ487" s="199"/>
      <c r="LR487" s="199"/>
      <c r="LS487" s="199"/>
      <c r="LT487" s="199"/>
      <c r="LU487" s="199"/>
      <c r="LV487" s="199"/>
      <c r="LW487" s="199"/>
      <c r="LX487" s="199"/>
      <c r="LY487" s="199"/>
      <c r="LZ487" s="199"/>
      <c r="MA487" s="199"/>
      <c r="MB487" s="199"/>
      <c r="MC487" s="199"/>
      <c r="MD487" s="199"/>
      <c r="ME487" s="199"/>
      <c r="MF487" s="199"/>
      <c r="MG487" s="199"/>
      <c r="MH487" s="199"/>
      <c r="MI487" s="199"/>
      <c r="MJ487" s="199"/>
      <c r="MK487" s="199"/>
      <c r="ML487" s="199"/>
      <c r="MM487" s="199"/>
      <c r="MN487" s="199"/>
      <c r="MO487" s="199"/>
      <c r="MP487" s="199"/>
      <c r="MQ487" s="199"/>
      <c r="MR487" s="199"/>
      <c r="MS487" s="199"/>
      <c r="MT487" s="199"/>
      <c r="MU487" s="199"/>
      <c r="MV487" s="199"/>
      <c r="MW487" s="199"/>
      <c r="MX487" s="199"/>
      <c r="MY487" s="199"/>
      <c r="MZ487" s="199"/>
      <c r="NA487" s="199"/>
      <c r="NB487" s="199"/>
      <c r="NC487" s="199"/>
      <c r="ND487" s="199"/>
      <c r="NE487" s="199"/>
      <c r="NF487" s="199"/>
      <c r="NG487" s="199"/>
      <c r="NH487" s="199"/>
      <c r="NI487" s="199"/>
      <c r="NJ487" s="199"/>
      <c r="NK487" s="199"/>
      <c r="NL487" s="199"/>
      <c r="NM487" s="199"/>
      <c r="NN487" s="199"/>
      <c r="NO487" s="199"/>
      <c r="NP487" s="199"/>
      <c r="NQ487" s="199"/>
      <c r="NR487" s="199"/>
      <c r="NS487" s="199"/>
      <c r="NT487" s="199"/>
      <c r="NU487" s="199"/>
      <c r="NV487" s="199"/>
      <c r="NW487" s="199"/>
      <c r="NX487" s="199"/>
      <c r="NY487" s="199"/>
      <c r="NZ487" s="199"/>
      <c r="OA487" s="199"/>
      <c r="OB487" s="199"/>
      <c r="OC487" s="199"/>
      <c r="OD487" s="199"/>
      <c r="OE487" s="199"/>
      <c r="OF487" s="199"/>
      <c r="OG487" s="199"/>
      <c r="OH487" s="199"/>
      <c r="OI487" s="199"/>
      <c r="OJ487" s="199"/>
      <c r="OK487" s="199"/>
      <c r="OL487" s="199"/>
      <c r="OM487" s="199"/>
      <c r="ON487" s="199"/>
      <c r="OO487" s="199"/>
      <c r="OP487" s="199"/>
      <c r="OQ487" s="199"/>
      <c r="OR487" s="199"/>
      <c r="OS487" s="199"/>
      <c r="OT487" s="199"/>
      <c r="OU487" s="199"/>
      <c r="OV487" s="199"/>
      <c r="OW487" s="199"/>
      <c r="OX487" s="199"/>
      <c r="OY487" s="199"/>
      <c r="OZ487" s="199"/>
      <c r="PA487" s="199"/>
      <c r="PB487" s="199"/>
      <c r="PC487" s="199"/>
      <c r="PD487" s="199"/>
      <c r="PE487" s="199"/>
      <c r="PF487" s="199"/>
      <c r="PG487" s="199"/>
      <c r="PH487" s="199"/>
      <c r="PI487" s="199"/>
      <c r="PJ487" s="199"/>
      <c r="PK487" s="199"/>
      <c r="PL487" s="199"/>
      <c r="PM487" s="199"/>
      <c r="PN487" s="199"/>
      <c r="PO487" s="199"/>
      <c r="PP487" s="199"/>
      <c r="PQ487" s="199"/>
      <c r="PR487" s="199"/>
      <c r="PS487" s="199"/>
      <c r="PT487" s="199"/>
      <c r="PU487" s="199"/>
      <c r="PV487" s="199"/>
      <c r="PW487" s="199"/>
      <c r="PX487" s="199"/>
      <c r="PY487" s="199"/>
      <c r="PZ487" s="199"/>
      <c r="QA487" s="199"/>
      <c r="QB487" s="199"/>
      <c r="QC487" s="199"/>
      <c r="QD487" s="199"/>
      <c r="QE487" s="199"/>
      <c r="QF487" s="199"/>
      <c r="QG487" s="199"/>
      <c r="QH487" s="199"/>
      <c r="QI487" s="199"/>
      <c r="QJ487" s="199"/>
      <c r="QK487" s="199"/>
      <c r="QL487" s="199"/>
      <c r="QM487" s="199"/>
      <c r="QN487" s="199"/>
      <c r="QO487" s="199"/>
      <c r="QP487" s="199"/>
      <c r="QQ487" s="199"/>
      <c r="QR487" s="199"/>
      <c r="QS487" s="199"/>
      <c r="QT487" s="199"/>
      <c r="QU487" s="199"/>
      <c r="QV487" s="199"/>
      <c r="QW487" s="199"/>
      <c r="QX487" s="199"/>
      <c r="QY487" s="199"/>
      <c r="QZ487" s="199"/>
      <c r="RA487" s="199"/>
      <c r="RB487" s="199"/>
      <c r="RC487" s="199"/>
      <c r="RD487" s="199"/>
      <c r="RE487" s="199"/>
      <c r="RF487" s="199"/>
      <c r="RG487" s="199"/>
      <c r="RH487" s="199"/>
      <c r="RI487" s="199"/>
      <c r="RJ487" s="199"/>
      <c r="RK487" s="199"/>
      <c r="RL487" s="199"/>
      <c r="RM487" s="199"/>
      <c r="RN487" s="199"/>
      <c r="RO487" s="199"/>
      <c r="RP487" s="199"/>
      <c r="RQ487" s="199"/>
      <c r="RR487" s="199"/>
      <c r="RS487" s="199"/>
      <c r="RT487" s="199"/>
      <c r="RU487" s="199"/>
      <c r="RV487" s="199"/>
      <c r="RW487" s="199"/>
      <c r="RX487" s="199"/>
      <c r="RY487" s="199"/>
      <c r="RZ487" s="199"/>
      <c r="SA487" s="199"/>
      <c r="SB487" s="199"/>
      <c r="SC487" s="199"/>
      <c r="SD487" s="199"/>
      <c r="SE487" s="199"/>
      <c r="SF487" s="199"/>
      <c r="SG487" s="199"/>
      <c r="SH487" s="199"/>
      <c r="SI487" s="199"/>
      <c r="SJ487" s="199"/>
      <c r="SK487" s="199"/>
      <c r="SL487" s="199"/>
      <c r="SM487" s="199"/>
      <c r="SN487" s="199"/>
      <c r="SO487" s="199"/>
      <c r="SP487" s="199"/>
    </row>
    <row r="488" spans="1:510" ht="52.5">
      <c r="A488" s="214" t="s">
        <v>988</v>
      </c>
      <c r="B488" s="215" t="s">
        <v>581</v>
      </c>
      <c r="C488" s="344" t="s">
        <v>1104</v>
      </c>
      <c r="D488" s="187" t="s">
        <v>18</v>
      </c>
      <c r="E488" s="187" t="s">
        <v>28</v>
      </c>
      <c r="F488" s="187" t="s">
        <v>27</v>
      </c>
      <c r="G488" s="305">
        <f>'NOV-18 '!I486</f>
        <v>2435.4500000000003</v>
      </c>
      <c r="H488" s="348">
        <f>982.06+865.9</f>
        <v>1847.96</v>
      </c>
      <c r="I488" s="460">
        <f t="shared" si="9"/>
        <v>587.49000000000024</v>
      </c>
      <c r="J488" s="448"/>
      <c r="K488" s="219"/>
    </row>
    <row r="489" spans="1:510" ht="30">
      <c r="A489" s="11" t="s">
        <v>235</v>
      </c>
      <c r="B489" s="54" t="s">
        <v>582</v>
      </c>
      <c r="C489" s="13"/>
      <c r="D489" s="14" t="s">
        <v>18</v>
      </c>
      <c r="E489" s="14" t="s">
        <v>28</v>
      </c>
      <c r="F489" s="14" t="s">
        <v>27</v>
      </c>
      <c r="G489" s="305">
        <f>'NOV-18 '!I487</f>
        <v>2.8699999999999992</v>
      </c>
      <c r="H489" s="276"/>
      <c r="I489" s="17">
        <f t="shared" si="9"/>
        <v>2.8699999999999992</v>
      </c>
      <c r="J489" s="56"/>
      <c r="K489" s="56"/>
    </row>
    <row r="490" spans="1:510" ht="96" customHeight="1">
      <c r="A490" s="11" t="s">
        <v>200</v>
      </c>
      <c r="B490" s="53" t="s">
        <v>584</v>
      </c>
      <c r="C490" s="61"/>
      <c r="D490" s="14"/>
      <c r="E490" s="14"/>
      <c r="F490" s="14"/>
      <c r="G490" s="305">
        <f>'NOV-18 '!I488</f>
        <v>0</v>
      </c>
      <c r="H490" s="51"/>
      <c r="I490" s="17"/>
      <c r="J490" s="56"/>
      <c r="K490" s="56"/>
    </row>
    <row r="491" spans="1:510" ht="30">
      <c r="A491" s="11">
        <v>54111</v>
      </c>
      <c r="B491" s="54" t="s">
        <v>583</v>
      </c>
      <c r="C491" s="13"/>
      <c r="D491" s="14" t="s">
        <v>18</v>
      </c>
      <c r="E491" s="14" t="s">
        <v>28</v>
      </c>
      <c r="F491" s="14" t="s">
        <v>27</v>
      </c>
      <c r="G491" s="305">
        <f>'NOV-18 '!I489</f>
        <v>0</v>
      </c>
      <c r="H491" s="51"/>
      <c r="I491" s="17">
        <f t="shared" si="9"/>
        <v>0</v>
      </c>
      <c r="J491" s="56"/>
      <c r="K491" s="300"/>
    </row>
    <row r="492" spans="1:510" ht="75">
      <c r="A492" s="141" t="s">
        <v>201</v>
      </c>
      <c r="B492" s="53" t="s">
        <v>585</v>
      </c>
      <c r="C492" s="13"/>
      <c r="D492" s="14"/>
      <c r="E492" s="14"/>
      <c r="F492" s="14"/>
      <c r="G492" s="305">
        <f>'NOV-18 '!I490</f>
        <v>0</v>
      </c>
      <c r="H492" s="51"/>
      <c r="I492" s="17"/>
      <c r="J492" s="56"/>
      <c r="K492" s="56"/>
    </row>
    <row r="493" spans="1:510" ht="29.25">
      <c r="A493" s="11">
        <v>54110</v>
      </c>
      <c r="B493" s="54" t="s">
        <v>586</v>
      </c>
      <c r="C493" s="13"/>
      <c r="D493" s="14" t="s">
        <v>18</v>
      </c>
      <c r="E493" s="14" t="s">
        <v>28</v>
      </c>
      <c r="F493" s="14" t="s">
        <v>27</v>
      </c>
      <c r="G493" s="305">
        <f>'NOV-18 '!I491</f>
        <v>0</v>
      </c>
      <c r="H493" s="51"/>
      <c r="I493" s="17">
        <f t="shared" si="9"/>
        <v>0</v>
      </c>
      <c r="J493" s="56"/>
      <c r="K493" s="300"/>
    </row>
    <row r="494" spans="1:510" ht="30">
      <c r="A494" s="11">
        <v>54111</v>
      </c>
      <c r="B494" s="54" t="s">
        <v>587</v>
      </c>
      <c r="C494" s="13"/>
      <c r="D494" s="14" t="s">
        <v>18</v>
      </c>
      <c r="E494" s="14" t="s">
        <v>28</v>
      </c>
      <c r="F494" s="14" t="s">
        <v>27</v>
      </c>
      <c r="G494" s="305">
        <f>'NOV-18 '!I492</f>
        <v>0</v>
      </c>
      <c r="H494" s="51"/>
      <c r="I494" s="17">
        <f t="shared" si="9"/>
        <v>0</v>
      </c>
      <c r="J494" s="56"/>
      <c r="K494" s="300"/>
    </row>
    <row r="495" spans="1:510" ht="29.25">
      <c r="A495" s="11">
        <v>54112</v>
      </c>
      <c r="B495" s="54" t="s">
        <v>588</v>
      </c>
      <c r="C495" s="59"/>
      <c r="D495" s="14" t="s">
        <v>18</v>
      </c>
      <c r="E495" s="14" t="s">
        <v>28</v>
      </c>
      <c r="F495" s="14" t="s">
        <v>27</v>
      </c>
      <c r="G495" s="305">
        <f>'NOV-18 '!I493</f>
        <v>0</v>
      </c>
      <c r="H495" s="51"/>
      <c r="I495" s="17">
        <f t="shared" si="9"/>
        <v>0</v>
      </c>
      <c r="J495" s="56"/>
      <c r="K495" s="300"/>
    </row>
    <row r="496" spans="1:510" ht="29.25">
      <c r="A496" s="11">
        <v>55603</v>
      </c>
      <c r="B496" s="54" t="s">
        <v>974</v>
      </c>
      <c r="C496" s="55"/>
      <c r="D496" s="14" t="s">
        <v>18</v>
      </c>
      <c r="E496" s="14" t="s">
        <v>28</v>
      </c>
      <c r="F496" s="14" t="s">
        <v>27</v>
      </c>
      <c r="G496" s="305">
        <f>'NOV-18 '!I494</f>
        <v>0</v>
      </c>
      <c r="H496" s="51"/>
      <c r="I496" s="17">
        <f t="shared" si="9"/>
        <v>0</v>
      </c>
      <c r="J496" s="11"/>
      <c r="K496" s="129"/>
    </row>
    <row r="497" spans="1:11" ht="90">
      <c r="A497" s="11" t="s">
        <v>220</v>
      </c>
      <c r="B497" s="53" t="s">
        <v>966</v>
      </c>
      <c r="C497" s="55"/>
      <c r="D497" s="14"/>
      <c r="E497" s="14"/>
      <c r="F497" s="14"/>
      <c r="G497" s="305">
        <f>'NOV-18 '!I495</f>
        <v>0</v>
      </c>
      <c r="H497" s="51"/>
      <c r="I497" s="17"/>
      <c r="J497" s="11"/>
      <c r="K497" s="54"/>
    </row>
    <row r="498" spans="1:11" ht="29.25">
      <c r="A498" s="11">
        <v>51202</v>
      </c>
      <c r="B498" s="54" t="s">
        <v>589</v>
      </c>
      <c r="C498" s="55"/>
      <c r="D498" s="14" t="s">
        <v>18</v>
      </c>
      <c r="E498" s="14" t="s">
        <v>28</v>
      </c>
      <c r="F498" s="14" t="s">
        <v>27</v>
      </c>
      <c r="G498" s="305">
        <f>'NOV-18 '!I496</f>
        <v>0</v>
      </c>
      <c r="H498" s="51"/>
      <c r="I498" s="17">
        <f t="shared" si="9"/>
        <v>0</v>
      </c>
      <c r="J498" s="11"/>
      <c r="K498" s="251"/>
    </row>
    <row r="499" spans="1:11" ht="29.25" customHeight="1">
      <c r="A499" s="11">
        <v>54110</v>
      </c>
      <c r="B499" s="54" t="s">
        <v>590</v>
      </c>
      <c r="C499" s="55"/>
      <c r="D499" s="14" t="s">
        <v>18</v>
      </c>
      <c r="E499" s="14" t="s">
        <v>28</v>
      </c>
      <c r="F499" s="14" t="s">
        <v>27</v>
      </c>
      <c r="G499" s="305">
        <f>'NOV-18 '!I497</f>
        <v>0</v>
      </c>
      <c r="H499" s="51"/>
      <c r="I499" s="17">
        <f t="shared" si="9"/>
        <v>0</v>
      </c>
      <c r="J499" s="11"/>
      <c r="K499" s="251"/>
    </row>
    <row r="500" spans="1:11" ht="30">
      <c r="A500" s="11">
        <v>54111</v>
      </c>
      <c r="B500" s="54" t="s">
        <v>591</v>
      </c>
      <c r="C500" s="55"/>
      <c r="D500" s="14" t="s">
        <v>18</v>
      </c>
      <c r="E500" s="14" t="s">
        <v>28</v>
      </c>
      <c r="F500" s="14" t="s">
        <v>27</v>
      </c>
      <c r="G500" s="305">
        <f>'NOV-18 '!I498</f>
        <v>-6.3726801613483985E-14</v>
      </c>
      <c r="H500" s="51"/>
      <c r="I500" s="17">
        <f t="shared" si="9"/>
        <v>-6.3726801613483985E-14</v>
      </c>
      <c r="J500" s="252"/>
      <c r="K500" s="251"/>
    </row>
    <row r="501" spans="1:11" ht="29.25">
      <c r="A501" s="11">
        <v>54112</v>
      </c>
      <c r="B501" s="54" t="s">
        <v>592</v>
      </c>
      <c r="C501" s="55"/>
      <c r="D501" s="14" t="s">
        <v>18</v>
      </c>
      <c r="E501" s="14" t="s">
        <v>28</v>
      </c>
      <c r="F501" s="14" t="s">
        <v>27</v>
      </c>
      <c r="G501" s="305">
        <f>'NOV-18 '!I499</f>
        <v>0</v>
      </c>
      <c r="H501" s="51"/>
      <c r="I501" s="17">
        <f t="shared" si="9"/>
        <v>0</v>
      </c>
      <c r="J501" s="11"/>
      <c r="K501" s="251"/>
    </row>
    <row r="502" spans="1:11" ht="29.25">
      <c r="A502" s="11">
        <v>54313</v>
      </c>
      <c r="B502" s="54" t="s">
        <v>593</v>
      </c>
      <c r="C502" s="55"/>
      <c r="D502" s="14" t="s">
        <v>18</v>
      </c>
      <c r="E502" s="14" t="s">
        <v>28</v>
      </c>
      <c r="F502" s="14" t="s">
        <v>27</v>
      </c>
      <c r="G502" s="305">
        <f>'NOV-18 '!I500</f>
        <v>0</v>
      </c>
      <c r="H502" s="51"/>
      <c r="I502" s="17">
        <f t="shared" si="9"/>
        <v>0</v>
      </c>
      <c r="J502" s="11"/>
      <c r="K502" s="251"/>
    </row>
    <row r="503" spans="1:11" ht="105" customHeight="1">
      <c r="A503" s="11" t="s">
        <v>238</v>
      </c>
      <c r="B503" s="53" t="s">
        <v>595</v>
      </c>
      <c r="C503" s="343" t="s">
        <v>1105</v>
      </c>
      <c r="D503" s="14"/>
      <c r="E503" s="14"/>
      <c r="F503" s="14"/>
      <c r="G503" s="305">
        <f>'NOV-18 '!I501</f>
        <v>0</v>
      </c>
      <c r="H503" s="51"/>
      <c r="I503" s="17"/>
      <c r="J503" s="11"/>
      <c r="K503" s="54"/>
    </row>
    <row r="504" spans="1:11" ht="29.25">
      <c r="A504" s="11">
        <v>51202</v>
      </c>
      <c r="B504" s="54" t="s">
        <v>594</v>
      </c>
      <c r="C504" s="55"/>
      <c r="D504" s="14" t="s">
        <v>18</v>
      </c>
      <c r="E504" s="14" t="s">
        <v>28</v>
      </c>
      <c r="F504" s="14" t="s">
        <v>27</v>
      </c>
      <c r="G504" s="305">
        <f>'NOV-18 '!I502</f>
        <v>0</v>
      </c>
      <c r="H504" s="51"/>
      <c r="I504" s="17">
        <f t="shared" si="9"/>
        <v>0</v>
      </c>
      <c r="J504" s="272"/>
      <c r="K504" s="129"/>
    </row>
    <row r="505" spans="1:11" ht="29.25">
      <c r="A505" s="11">
        <v>54110</v>
      </c>
      <c r="B505" s="54" t="s">
        <v>596</v>
      </c>
      <c r="C505" s="55"/>
      <c r="D505" s="14" t="s">
        <v>18</v>
      </c>
      <c r="E505" s="14" t="s">
        <v>28</v>
      </c>
      <c r="F505" s="14" t="s">
        <v>27</v>
      </c>
      <c r="G505" s="305">
        <f>'NOV-18 '!I503</f>
        <v>0</v>
      </c>
      <c r="H505" s="51"/>
      <c r="I505" s="17">
        <f t="shared" si="9"/>
        <v>0</v>
      </c>
      <c r="J505" s="272"/>
      <c r="K505" s="129"/>
    </row>
    <row r="506" spans="1:11" ht="29.25">
      <c r="A506" s="11">
        <v>54111</v>
      </c>
      <c r="B506" s="54" t="s">
        <v>597</v>
      </c>
      <c r="C506" s="55"/>
      <c r="D506" s="14" t="s">
        <v>18</v>
      </c>
      <c r="E506" s="14" t="s">
        <v>28</v>
      </c>
      <c r="F506" s="14" t="s">
        <v>27</v>
      </c>
      <c r="G506" s="305">
        <f>'NOV-18 '!I504</f>
        <v>0</v>
      </c>
      <c r="H506" s="51"/>
      <c r="I506" s="17">
        <f t="shared" si="9"/>
        <v>0</v>
      </c>
      <c r="J506" s="128"/>
      <c r="K506" s="129"/>
    </row>
    <row r="507" spans="1:11" ht="29.25">
      <c r="A507" s="11">
        <v>54112</v>
      </c>
      <c r="B507" s="54" t="s">
        <v>598</v>
      </c>
      <c r="C507" s="55"/>
      <c r="D507" s="14" t="s">
        <v>18</v>
      </c>
      <c r="E507" s="14" t="s">
        <v>28</v>
      </c>
      <c r="F507" s="14" t="s">
        <v>27</v>
      </c>
      <c r="G507" s="305">
        <f>'NOV-18 '!I505</f>
        <v>0</v>
      </c>
      <c r="H507" s="51"/>
      <c r="I507" s="17">
        <f t="shared" si="9"/>
        <v>0</v>
      </c>
      <c r="J507" s="128"/>
      <c r="K507" s="129"/>
    </row>
    <row r="508" spans="1:11" ht="29.25">
      <c r="A508" s="11">
        <v>54118</v>
      </c>
      <c r="B508" s="54" t="s">
        <v>599</v>
      </c>
      <c r="C508" s="55"/>
      <c r="D508" s="14" t="s">
        <v>18</v>
      </c>
      <c r="E508" s="14" t="s">
        <v>28</v>
      </c>
      <c r="F508" s="14" t="s">
        <v>27</v>
      </c>
      <c r="G508" s="305">
        <f>'NOV-18 '!I506</f>
        <v>0</v>
      </c>
      <c r="H508" s="51"/>
      <c r="I508" s="17">
        <f t="shared" si="9"/>
        <v>0</v>
      </c>
      <c r="J508" s="142"/>
      <c r="K508" s="142"/>
    </row>
    <row r="509" spans="1:11" ht="29.25">
      <c r="A509" s="11">
        <v>54304</v>
      </c>
      <c r="B509" s="54" t="s">
        <v>600</v>
      </c>
      <c r="C509" s="55"/>
      <c r="D509" s="14" t="s">
        <v>18</v>
      </c>
      <c r="E509" s="14" t="s">
        <v>28</v>
      </c>
      <c r="F509" s="14" t="s">
        <v>27</v>
      </c>
      <c r="G509" s="305">
        <f>'NOV-18 '!I507</f>
        <v>0</v>
      </c>
      <c r="H509" s="51"/>
      <c r="I509" s="17">
        <f t="shared" si="9"/>
        <v>0</v>
      </c>
      <c r="J509" s="56"/>
      <c r="K509" s="237"/>
    </row>
    <row r="510" spans="1:11" ht="29.25">
      <c r="A510" s="11">
        <v>54313</v>
      </c>
      <c r="B510" s="54" t="s">
        <v>601</v>
      </c>
      <c r="C510" s="55"/>
      <c r="D510" s="14" t="s">
        <v>18</v>
      </c>
      <c r="E510" s="14" t="s">
        <v>28</v>
      </c>
      <c r="F510" s="14" t="s">
        <v>27</v>
      </c>
      <c r="G510" s="305">
        <f>'NOV-18 '!I508</f>
        <v>0</v>
      </c>
      <c r="H510" s="51"/>
      <c r="I510" s="17">
        <f t="shared" si="9"/>
        <v>0</v>
      </c>
      <c r="J510" s="56"/>
      <c r="K510" s="237"/>
    </row>
    <row r="511" spans="1:11" ht="57.75">
      <c r="A511" s="11">
        <v>54316</v>
      </c>
      <c r="B511" s="54" t="s">
        <v>1047</v>
      </c>
      <c r="C511" s="55"/>
      <c r="D511" s="14" t="s">
        <v>18</v>
      </c>
      <c r="E511" s="14" t="s">
        <v>28</v>
      </c>
      <c r="F511" s="14" t="s">
        <v>27</v>
      </c>
      <c r="G511" s="305">
        <f>'NOV-18 '!I509</f>
        <v>0</v>
      </c>
      <c r="H511" s="51"/>
      <c r="I511" s="17">
        <f t="shared" si="9"/>
        <v>0</v>
      </c>
      <c r="J511" s="137"/>
      <c r="K511" s="237"/>
    </row>
    <row r="512" spans="1:11" ht="29.25">
      <c r="A512" s="11">
        <v>54399</v>
      </c>
      <c r="B512" s="54" t="s">
        <v>602</v>
      </c>
      <c r="C512" s="13"/>
      <c r="D512" s="14" t="s">
        <v>18</v>
      </c>
      <c r="E512" s="14" t="s">
        <v>28</v>
      </c>
      <c r="F512" s="14" t="s">
        <v>27</v>
      </c>
      <c r="G512" s="305">
        <f>'NOV-18 '!I510</f>
        <v>0</v>
      </c>
      <c r="H512" s="51"/>
      <c r="I512" s="17">
        <f t="shared" si="9"/>
        <v>0</v>
      </c>
      <c r="J512" s="56"/>
      <c r="K512" s="300"/>
    </row>
    <row r="513" spans="1:11" ht="29.25">
      <c r="A513" s="11">
        <v>55603</v>
      </c>
      <c r="B513" s="54" t="s">
        <v>603</v>
      </c>
      <c r="C513" s="55"/>
      <c r="D513" s="14" t="s">
        <v>18</v>
      </c>
      <c r="E513" s="14" t="s">
        <v>28</v>
      </c>
      <c r="F513" s="14" t="s">
        <v>27</v>
      </c>
      <c r="G513" s="305">
        <f>'NOV-18 '!I511</f>
        <v>0</v>
      </c>
      <c r="H513" s="51"/>
      <c r="I513" s="17">
        <f t="shared" si="9"/>
        <v>0</v>
      </c>
      <c r="J513" s="56"/>
      <c r="K513" s="300"/>
    </row>
    <row r="514" spans="1:11" ht="102.75" customHeight="1">
      <c r="A514" s="141" t="s">
        <v>256</v>
      </c>
      <c r="B514" s="53" t="s">
        <v>982</v>
      </c>
      <c r="C514" s="13"/>
      <c r="D514" s="14"/>
      <c r="E514" s="14"/>
      <c r="F514" s="14"/>
      <c r="G514" s="305">
        <f>'NOV-18 '!I512</f>
        <v>0</v>
      </c>
      <c r="H514" s="51"/>
      <c r="I514" s="17"/>
      <c r="J514" s="56"/>
      <c r="K514" s="56"/>
    </row>
    <row r="515" spans="1:11" ht="29.25">
      <c r="A515" s="11">
        <v>51202</v>
      </c>
      <c r="B515" s="53" t="s">
        <v>605</v>
      </c>
      <c r="C515" s="13"/>
      <c r="D515" s="14" t="s">
        <v>18</v>
      </c>
      <c r="E515" s="14" t="s">
        <v>28</v>
      </c>
      <c r="F515" s="14" t="s">
        <v>27</v>
      </c>
      <c r="G515" s="305">
        <f>'NOV-18 '!I513</f>
        <v>0</v>
      </c>
      <c r="H515" s="51"/>
      <c r="I515" s="17">
        <f t="shared" si="9"/>
        <v>0</v>
      </c>
      <c r="J515" s="237"/>
      <c r="K515" s="333"/>
    </row>
    <row r="516" spans="1:11" ht="29.25">
      <c r="A516" s="11">
        <v>54110</v>
      </c>
      <c r="B516" s="53" t="s">
        <v>606</v>
      </c>
      <c r="C516" s="13"/>
      <c r="D516" s="14" t="s">
        <v>18</v>
      </c>
      <c r="E516" s="14" t="s">
        <v>28</v>
      </c>
      <c r="F516" s="14" t="s">
        <v>27</v>
      </c>
      <c r="G516" s="305">
        <f>'NOV-18 '!I514</f>
        <v>0</v>
      </c>
      <c r="H516" s="51"/>
      <c r="I516" s="17">
        <f t="shared" si="9"/>
        <v>0</v>
      </c>
      <c r="J516" s="237"/>
      <c r="K516" s="333"/>
    </row>
    <row r="517" spans="1:11" ht="30">
      <c r="A517" s="11">
        <v>54111</v>
      </c>
      <c r="B517" s="53" t="s">
        <v>607</v>
      </c>
      <c r="C517" s="13"/>
      <c r="D517" s="14" t="s">
        <v>18</v>
      </c>
      <c r="E517" s="14" t="s">
        <v>28</v>
      </c>
      <c r="F517" s="14" t="s">
        <v>27</v>
      </c>
      <c r="G517" s="305">
        <f>'NOV-18 '!I515</f>
        <v>0</v>
      </c>
      <c r="H517" s="212"/>
      <c r="I517" s="17">
        <f t="shared" si="9"/>
        <v>0</v>
      </c>
      <c r="J517" s="253"/>
      <c r="K517" s="333"/>
    </row>
    <row r="518" spans="1:11" ht="29.25">
      <c r="A518" s="11">
        <v>54112</v>
      </c>
      <c r="B518" s="53" t="s">
        <v>608</v>
      </c>
      <c r="C518" s="13"/>
      <c r="D518" s="14" t="s">
        <v>18</v>
      </c>
      <c r="E518" s="14" t="s">
        <v>28</v>
      </c>
      <c r="F518" s="14" t="s">
        <v>27</v>
      </c>
      <c r="G518" s="305">
        <f>'NOV-18 '!I516</f>
        <v>0</v>
      </c>
      <c r="H518" s="51"/>
      <c r="I518" s="17">
        <f t="shared" si="9"/>
        <v>0</v>
      </c>
      <c r="J518" s="237"/>
      <c r="K518" s="334"/>
    </row>
    <row r="519" spans="1:11" ht="29.25">
      <c r="A519" s="11">
        <v>54118</v>
      </c>
      <c r="B519" s="53" t="s">
        <v>609</v>
      </c>
      <c r="C519" s="13"/>
      <c r="D519" s="14" t="s">
        <v>18</v>
      </c>
      <c r="E519" s="14" t="s">
        <v>28</v>
      </c>
      <c r="F519" s="14" t="s">
        <v>27</v>
      </c>
      <c r="G519" s="305">
        <f>'NOV-18 '!I517</f>
        <v>0</v>
      </c>
      <c r="H519" s="51"/>
      <c r="I519" s="17">
        <f t="shared" si="9"/>
        <v>0</v>
      </c>
      <c r="J519" s="237"/>
      <c r="K519" s="333"/>
    </row>
    <row r="520" spans="1:11" ht="29.25">
      <c r="A520" s="11">
        <v>54304</v>
      </c>
      <c r="B520" s="53" t="s">
        <v>610</v>
      </c>
      <c r="C520" s="13"/>
      <c r="D520" s="14" t="s">
        <v>18</v>
      </c>
      <c r="E520" s="14" t="s">
        <v>28</v>
      </c>
      <c r="F520" s="14" t="s">
        <v>27</v>
      </c>
      <c r="G520" s="305">
        <f>'NOV-18 '!I518</f>
        <v>0</v>
      </c>
      <c r="H520" s="51"/>
      <c r="I520" s="17">
        <f t="shared" si="9"/>
        <v>0</v>
      </c>
      <c r="J520" s="56"/>
      <c r="K520" s="300"/>
    </row>
    <row r="521" spans="1:11" ht="29.25">
      <c r="A521" s="11">
        <v>54313</v>
      </c>
      <c r="B521" s="53" t="s">
        <v>611</v>
      </c>
      <c r="C521" s="13"/>
      <c r="D521" s="14" t="s">
        <v>18</v>
      </c>
      <c r="E521" s="14" t="s">
        <v>28</v>
      </c>
      <c r="F521" s="14" t="s">
        <v>27</v>
      </c>
      <c r="G521" s="305">
        <f>'NOV-18 '!I519</f>
        <v>0</v>
      </c>
      <c r="H521" s="51"/>
      <c r="I521" s="17">
        <f t="shared" si="9"/>
        <v>0</v>
      </c>
      <c r="J521" s="56"/>
      <c r="K521" s="300"/>
    </row>
    <row r="522" spans="1:11" ht="105">
      <c r="A522" s="141" t="s">
        <v>264</v>
      </c>
      <c r="B522" s="53" t="s">
        <v>981</v>
      </c>
      <c r="C522" s="13"/>
      <c r="D522" s="14"/>
      <c r="E522" s="14"/>
      <c r="F522" s="14"/>
      <c r="G522" s="305">
        <f>'NOV-18 '!I520</f>
        <v>0</v>
      </c>
      <c r="H522" s="51"/>
      <c r="I522" s="17"/>
      <c r="J522" s="56"/>
      <c r="K522" s="331"/>
    </row>
    <row r="523" spans="1:11" ht="29.25">
      <c r="A523" s="11">
        <v>51202</v>
      </c>
      <c r="B523" s="53" t="s">
        <v>613</v>
      </c>
      <c r="C523" s="13"/>
      <c r="D523" s="14" t="s">
        <v>18</v>
      </c>
      <c r="E523" s="14" t="s">
        <v>28</v>
      </c>
      <c r="F523" s="14" t="s">
        <v>27</v>
      </c>
      <c r="G523" s="305">
        <f>'NOV-18 '!I521</f>
        <v>0</v>
      </c>
      <c r="H523" s="51"/>
      <c r="I523" s="17">
        <f t="shared" si="9"/>
        <v>0</v>
      </c>
      <c r="J523" s="56"/>
      <c r="K523" s="335"/>
    </row>
    <row r="524" spans="1:11" ht="29.25">
      <c r="A524" s="11">
        <v>54110</v>
      </c>
      <c r="B524" s="53" t="s">
        <v>614</v>
      </c>
      <c r="C524" s="13"/>
      <c r="D524" s="14" t="s">
        <v>18</v>
      </c>
      <c r="E524" s="14" t="s">
        <v>28</v>
      </c>
      <c r="F524" s="14" t="s">
        <v>27</v>
      </c>
      <c r="G524" s="305">
        <f>'NOV-18 '!I522</f>
        <v>0</v>
      </c>
      <c r="H524" s="51"/>
      <c r="I524" s="17">
        <f t="shared" si="9"/>
        <v>0</v>
      </c>
      <c r="J524" s="56"/>
      <c r="K524" s="336"/>
    </row>
    <row r="525" spans="1:11" ht="43.5">
      <c r="A525" s="11">
        <v>54111</v>
      </c>
      <c r="B525" s="53" t="s">
        <v>615</v>
      </c>
      <c r="C525" s="13"/>
      <c r="D525" s="14" t="s">
        <v>18</v>
      </c>
      <c r="E525" s="14" t="s">
        <v>28</v>
      </c>
      <c r="F525" s="14" t="s">
        <v>27</v>
      </c>
      <c r="G525" s="305">
        <f>'NOV-18 '!I523</f>
        <v>0</v>
      </c>
      <c r="H525" s="51"/>
      <c r="I525" s="17">
        <f t="shared" si="9"/>
        <v>0</v>
      </c>
      <c r="J525" s="239"/>
      <c r="K525" s="333"/>
    </row>
    <row r="526" spans="1:11" ht="43.5">
      <c r="A526" s="11">
        <v>54112</v>
      </c>
      <c r="B526" s="53" t="s">
        <v>616</v>
      </c>
      <c r="C526" s="13"/>
      <c r="D526" s="14" t="s">
        <v>18</v>
      </c>
      <c r="E526" s="14" t="s">
        <v>28</v>
      </c>
      <c r="F526" s="14" t="s">
        <v>27</v>
      </c>
      <c r="G526" s="305">
        <f>'NOV-18 '!I524</f>
        <v>0</v>
      </c>
      <c r="H526" s="51"/>
      <c r="I526" s="17">
        <f t="shared" si="9"/>
        <v>0</v>
      </c>
      <c r="J526" s="56"/>
      <c r="K526" s="336"/>
    </row>
    <row r="527" spans="1:11" ht="43.5">
      <c r="A527" s="11">
        <v>54118</v>
      </c>
      <c r="B527" s="53" t="s">
        <v>617</v>
      </c>
      <c r="C527" s="13"/>
      <c r="D527" s="14" t="s">
        <v>18</v>
      </c>
      <c r="E527" s="14" t="s">
        <v>28</v>
      </c>
      <c r="F527" s="14" t="s">
        <v>27</v>
      </c>
      <c r="G527" s="305">
        <f>'NOV-18 '!I525</f>
        <v>-9.9920072216264089E-16</v>
      </c>
      <c r="H527" s="51"/>
      <c r="I527" s="17">
        <f t="shared" si="9"/>
        <v>-9.9920072216264089E-16</v>
      </c>
      <c r="J527" s="56"/>
      <c r="K527" s="301"/>
    </row>
    <row r="528" spans="1:11" ht="43.5">
      <c r="A528" s="11">
        <v>54304</v>
      </c>
      <c r="B528" s="53" t="s">
        <v>618</v>
      </c>
      <c r="C528" s="13"/>
      <c r="D528" s="14" t="s">
        <v>18</v>
      </c>
      <c r="E528" s="14" t="s">
        <v>28</v>
      </c>
      <c r="F528" s="14" t="s">
        <v>27</v>
      </c>
      <c r="G528" s="305">
        <f>'NOV-18 '!I526</f>
        <v>0</v>
      </c>
      <c r="H528" s="51"/>
      <c r="I528" s="17">
        <f t="shared" si="9"/>
        <v>0</v>
      </c>
      <c r="J528" s="56"/>
      <c r="K528" s="142"/>
    </row>
    <row r="529" spans="1:11" ht="43.5">
      <c r="A529" s="11">
        <v>54313</v>
      </c>
      <c r="B529" s="53" t="s">
        <v>619</v>
      </c>
      <c r="C529" s="13"/>
      <c r="D529" s="14" t="s">
        <v>18</v>
      </c>
      <c r="E529" s="14" t="s">
        <v>28</v>
      </c>
      <c r="F529" s="14" t="s">
        <v>27</v>
      </c>
      <c r="G529" s="305">
        <f>'NOV-18 '!I527</f>
        <v>0</v>
      </c>
      <c r="H529" s="51"/>
      <c r="I529" s="17">
        <f t="shared" si="9"/>
        <v>0</v>
      </c>
      <c r="J529" s="237"/>
      <c r="K529" s="137"/>
    </row>
    <row r="530" spans="1:11" ht="105">
      <c r="A530" s="144" t="s">
        <v>269</v>
      </c>
      <c r="B530" s="53" t="s">
        <v>983</v>
      </c>
      <c r="C530" s="13"/>
      <c r="D530" s="14"/>
      <c r="E530" s="14"/>
      <c r="F530" s="14"/>
      <c r="G530" s="305">
        <f>'NOV-18 '!I528</f>
        <v>0</v>
      </c>
      <c r="H530" s="51"/>
      <c r="I530" s="17"/>
      <c r="J530" s="331"/>
      <c r="K530" s="56"/>
    </row>
    <row r="531" spans="1:11" ht="29.25">
      <c r="A531" s="11">
        <v>51202</v>
      </c>
      <c r="B531" s="54" t="s">
        <v>620</v>
      </c>
      <c r="C531" s="13"/>
      <c r="D531" s="14" t="s">
        <v>18</v>
      </c>
      <c r="E531" s="14" t="s">
        <v>28</v>
      </c>
      <c r="F531" s="14" t="s">
        <v>27</v>
      </c>
      <c r="G531" s="305">
        <f>'NOV-18 '!I529</f>
        <v>6000</v>
      </c>
      <c r="H531" s="51"/>
      <c r="I531" s="17">
        <f t="shared" si="9"/>
        <v>6000</v>
      </c>
      <c r="J531" s="142"/>
      <c r="K531" s="300"/>
    </row>
    <row r="532" spans="1:11" ht="35.25" customHeight="1">
      <c r="A532" s="11">
        <v>54110</v>
      </c>
      <c r="B532" s="54" t="s">
        <v>622</v>
      </c>
      <c r="C532" s="13"/>
      <c r="D532" s="14" t="s">
        <v>18</v>
      </c>
      <c r="E532" s="14" t="s">
        <v>28</v>
      </c>
      <c r="F532" s="14" t="s">
        <v>27</v>
      </c>
      <c r="G532" s="305">
        <f>'NOV-18 '!I530</f>
        <v>300</v>
      </c>
      <c r="H532" s="51"/>
      <c r="I532" s="17">
        <f t="shared" si="9"/>
        <v>300</v>
      </c>
      <c r="J532" s="142"/>
      <c r="K532" s="300"/>
    </row>
    <row r="533" spans="1:11" ht="43.5">
      <c r="A533" s="11">
        <v>54111</v>
      </c>
      <c r="B533" s="54" t="s">
        <v>621</v>
      </c>
      <c r="C533" s="13"/>
      <c r="D533" s="14" t="s">
        <v>18</v>
      </c>
      <c r="E533" s="14" t="s">
        <v>28</v>
      </c>
      <c r="F533" s="14" t="s">
        <v>27</v>
      </c>
      <c r="G533" s="305">
        <f>'NOV-18 '!I531</f>
        <v>7095.87</v>
      </c>
      <c r="H533" s="51"/>
      <c r="I533" s="17">
        <f t="shared" si="9"/>
        <v>7095.87</v>
      </c>
      <c r="J533" s="142"/>
      <c r="K533" s="300"/>
    </row>
    <row r="534" spans="1:11" ht="43.5">
      <c r="A534" s="11">
        <v>54112</v>
      </c>
      <c r="B534" s="54" t="s">
        <v>623</v>
      </c>
      <c r="C534" s="13"/>
      <c r="D534" s="14" t="s">
        <v>18</v>
      </c>
      <c r="E534" s="14" t="s">
        <v>28</v>
      </c>
      <c r="F534" s="14" t="s">
        <v>27</v>
      </c>
      <c r="G534" s="305">
        <f>'NOV-18 '!I532</f>
        <v>5000</v>
      </c>
      <c r="H534" s="51"/>
      <c r="I534" s="17">
        <f t="shared" si="9"/>
        <v>5000</v>
      </c>
      <c r="J534" s="142"/>
      <c r="K534" s="300"/>
    </row>
    <row r="535" spans="1:11" ht="43.5">
      <c r="A535" s="11">
        <v>54118</v>
      </c>
      <c r="B535" s="54" t="s">
        <v>624</v>
      </c>
      <c r="C535" s="13"/>
      <c r="D535" s="14" t="s">
        <v>18</v>
      </c>
      <c r="E535" s="14" t="s">
        <v>28</v>
      </c>
      <c r="F535" s="14" t="s">
        <v>27</v>
      </c>
      <c r="G535" s="305">
        <f>'NOV-18 '!I533</f>
        <v>1000</v>
      </c>
      <c r="H535" s="51"/>
      <c r="I535" s="17">
        <f t="shared" si="9"/>
        <v>1000</v>
      </c>
      <c r="J535" s="142"/>
      <c r="K535" s="300"/>
    </row>
    <row r="536" spans="1:11" ht="43.5">
      <c r="A536" s="11">
        <v>54304</v>
      </c>
      <c r="B536" s="54" t="s">
        <v>625</v>
      </c>
      <c r="C536" s="13"/>
      <c r="D536" s="14" t="s">
        <v>18</v>
      </c>
      <c r="E536" s="14" t="s">
        <v>28</v>
      </c>
      <c r="F536" s="14" t="s">
        <v>27</v>
      </c>
      <c r="G536" s="305">
        <f>'NOV-18 '!I534</f>
        <v>300</v>
      </c>
      <c r="H536" s="51"/>
      <c r="I536" s="17">
        <f t="shared" si="9"/>
        <v>300</v>
      </c>
      <c r="J536" s="142"/>
      <c r="K536" s="300"/>
    </row>
    <row r="537" spans="1:11" ht="43.5">
      <c r="A537" s="11">
        <v>54313</v>
      </c>
      <c r="B537" s="54" t="s">
        <v>626</v>
      </c>
      <c r="C537" s="13"/>
      <c r="D537" s="14" t="s">
        <v>18</v>
      </c>
      <c r="E537" s="14" t="s">
        <v>28</v>
      </c>
      <c r="F537" s="14" t="s">
        <v>27</v>
      </c>
      <c r="G537" s="305">
        <f>'NOV-18 '!I535</f>
        <v>300</v>
      </c>
      <c r="H537" s="51"/>
      <c r="I537" s="17">
        <f t="shared" si="9"/>
        <v>300</v>
      </c>
      <c r="J537" s="142"/>
      <c r="K537" s="300"/>
    </row>
    <row r="538" spans="1:11" ht="105">
      <c r="A538" s="144" t="s">
        <v>289</v>
      </c>
      <c r="B538" s="53" t="s">
        <v>984</v>
      </c>
      <c r="C538" s="13"/>
      <c r="D538" s="14"/>
      <c r="E538" s="14"/>
      <c r="F538" s="14"/>
      <c r="G538" s="305">
        <f>'NOV-18 '!I536</f>
        <v>0</v>
      </c>
      <c r="H538" s="51"/>
      <c r="I538" s="17"/>
      <c r="J538" s="56"/>
      <c r="K538" s="56"/>
    </row>
    <row r="539" spans="1:11" ht="29.25">
      <c r="A539" s="11">
        <v>51202</v>
      </c>
      <c r="B539" s="53" t="s">
        <v>628</v>
      </c>
      <c r="C539" s="13"/>
      <c r="D539" s="14" t="s">
        <v>18</v>
      </c>
      <c r="E539" s="14" t="s">
        <v>28</v>
      </c>
      <c r="F539" s="14" t="s">
        <v>27</v>
      </c>
      <c r="G539" s="305">
        <f>'NOV-18 '!I537</f>
        <v>0</v>
      </c>
      <c r="H539" s="108"/>
      <c r="I539" s="17">
        <f t="shared" si="9"/>
        <v>0</v>
      </c>
      <c r="J539" s="56"/>
      <c r="K539" s="142"/>
    </row>
    <row r="540" spans="1:11" ht="29.25">
      <c r="A540" s="11">
        <v>54110</v>
      </c>
      <c r="B540" s="53" t="s">
        <v>629</v>
      </c>
      <c r="C540" s="13"/>
      <c r="D540" s="14" t="s">
        <v>18</v>
      </c>
      <c r="E540" s="14" t="s">
        <v>28</v>
      </c>
      <c r="F540" s="14" t="s">
        <v>27</v>
      </c>
      <c r="G540" s="305">
        <f>'NOV-18 '!I538</f>
        <v>0</v>
      </c>
      <c r="H540" s="51"/>
      <c r="I540" s="17">
        <f t="shared" si="9"/>
        <v>0</v>
      </c>
      <c r="J540" s="56"/>
      <c r="K540" s="142"/>
    </row>
    <row r="541" spans="1:11" ht="29.25">
      <c r="A541" s="11">
        <v>54111</v>
      </c>
      <c r="B541" s="53" t="s">
        <v>630</v>
      </c>
      <c r="C541" s="13"/>
      <c r="D541" s="14" t="s">
        <v>18</v>
      </c>
      <c r="E541" s="14" t="s">
        <v>28</v>
      </c>
      <c r="F541" s="14" t="s">
        <v>27</v>
      </c>
      <c r="G541" s="305">
        <f>'NOV-18 '!I539</f>
        <v>0</v>
      </c>
      <c r="H541" s="51"/>
      <c r="I541" s="17">
        <f t="shared" ref="I541:I604" si="10">G541-H541+J541-K541</f>
        <v>0</v>
      </c>
      <c r="J541" s="142"/>
      <c r="K541" s="142"/>
    </row>
    <row r="542" spans="1:11" ht="29.25">
      <c r="A542" s="11">
        <v>54112</v>
      </c>
      <c r="B542" s="53" t="s">
        <v>631</v>
      </c>
      <c r="C542" s="13"/>
      <c r="D542" s="14" t="s">
        <v>18</v>
      </c>
      <c r="E542" s="14" t="s">
        <v>28</v>
      </c>
      <c r="F542" s="14" t="s">
        <v>27</v>
      </c>
      <c r="G542" s="305">
        <f>'NOV-18 '!I540</f>
        <v>0</v>
      </c>
      <c r="H542" s="51"/>
      <c r="I542" s="17">
        <f t="shared" si="10"/>
        <v>0</v>
      </c>
      <c r="J542" s="56"/>
      <c r="K542" s="142"/>
    </row>
    <row r="543" spans="1:11" ht="29.25">
      <c r="A543" s="11">
        <v>54118</v>
      </c>
      <c r="B543" s="53" t="s">
        <v>632</v>
      </c>
      <c r="C543" s="13"/>
      <c r="D543" s="14" t="s">
        <v>18</v>
      </c>
      <c r="E543" s="14" t="s">
        <v>28</v>
      </c>
      <c r="F543" s="14" t="s">
        <v>27</v>
      </c>
      <c r="G543" s="305">
        <f>'NOV-18 '!I541</f>
        <v>0</v>
      </c>
      <c r="H543" s="51"/>
      <c r="I543" s="17">
        <f t="shared" si="10"/>
        <v>0</v>
      </c>
      <c r="J543" s="56"/>
      <c r="K543" s="137"/>
    </row>
    <row r="544" spans="1:11" ht="29.25">
      <c r="A544" s="11">
        <v>54304</v>
      </c>
      <c r="B544" s="53" t="s">
        <v>633</v>
      </c>
      <c r="C544" s="13"/>
      <c r="D544" s="14" t="s">
        <v>18</v>
      </c>
      <c r="E544" s="14" t="s">
        <v>28</v>
      </c>
      <c r="F544" s="14" t="s">
        <v>27</v>
      </c>
      <c r="G544" s="305">
        <f>'NOV-18 '!I542</f>
        <v>0</v>
      </c>
      <c r="H544" s="51"/>
      <c r="I544" s="17">
        <f t="shared" si="10"/>
        <v>0</v>
      </c>
      <c r="J544" s="56"/>
      <c r="K544" s="137"/>
    </row>
    <row r="545" spans="1:11" ht="29.25">
      <c r="A545" s="11">
        <v>54313</v>
      </c>
      <c r="B545" s="53" t="s">
        <v>634</v>
      </c>
      <c r="C545" s="13"/>
      <c r="D545" s="14" t="s">
        <v>18</v>
      </c>
      <c r="E545" s="14" t="s">
        <v>28</v>
      </c>
      <c r="F545" s="14" t="s">
        <v>27</v>
      </c>
      <c r="G545" s="305">
        <f>'NOV-18 '!I543</f>
        <v>0</v>
      </c>
      <c r="H545" s="51"/>
      <c r="I545" s="17">
        <f t="shared" si="10"/>
        <v>0</v>
      </c>
      <c r="J545" s="56"/>
      <c r="K545" s="142"/>
    </row>
    <row r="546" spans="1:11" ht="90">
      <c r="A546" s="141" t="s">
        <v>300</v>
      </c>
      <c r="B546" s="53" t="s">
        <v>635</v>
      </c>
      <c r="C546" s="13"/>
      <c r="D546" s="14"/>
      <c r="E546" s="14"/>
      <c r="F546" s="14"/>
      <c r="G546" s="305">
        <f>'NOV-18 '!I544</f>
        <v>0</v>
      </c>
      <c r="H546" s="51"/>
      <c r="I546" s="17"/>
      <c r="J546" s="56"/>
      <c r="K546" s="56"/>
    </row>
    <row r="547" spans="1:11" ht="29.25">
      <c r="A547" s="11">
        <v>51202</v>
      </c>
      <c r="B547" s="53" t="s">
        <v>636</v>
      </c>
      <c r="C547" s="13"/>
      <c r="D547" s="14" t="s">
        <v>18</v>
      </c>
      <c r="E547" s="14" t="s">
        <v>28</v>
      </c>
      <c r="F547" s="14" t="s">
        <v>27</v>
      </c>
      <c r="G547" s="305">
        <f>'NOV-18 '!I545</f>
        <v>0</v>
      </c>
      <c r="H547" s="51"/>
      <c r="I547" s="17">
        <f t="shared" si="10"/>
        <v>0</v>
      </c>
      <c r="J547" s="56"/>
      <c r="K547" s="142"/>
    </row>
    <row r="548" spans="1:11" ht="29.25">
      <c r="A548" s="11">
        <v>54110</v>
      </c>
      <c r="B548" s="53" t="s">
        <v>637</v>
      </c>
      <c r="C548" s="13"/>
      <c r="D548" s="14" t="s">
        <v>18</v>
      </c>
      <c r="E548" s="14" t="s">
        <v>28</v>
      </c>
      <c r="F548" s="14" t="s">
        <v>27</v>
      </c>
      <c r="G548" s="305">
        <f>'NOV-18 '!I546</f>
        <v>0</v>
      </c>
      <c r="H548" s="51"/>
      <c r="I548" s="17">
        <f t="shared" si="10"/>
        <v>0</v>
      </c>
      <c r="J548" s="56"/>
      <c r="K548" s="142"/>
    </row>
    <row r="549" spans="1:11" ht="29.25">
      <c r="A549" s="11">
        <v>54111</v>
      </c>
      <c r="B549" s="53" t="s">
        <v>638</v>
      </c>
      <c r="C549" s="13"/>
      <c r="D549" s="14" t="s">
        <v>18</v>
      </c>
      <c r="E549" s="14" t="s">
        <v>28</v>
      </c>
      <c r="F549" s="14" t="s">
        <v>27</v>
      </c>
      <c r="G549" s="305">
        <f>'NOV-18 '!I547</f>
        <v>1.8207657603852567E-13</v>
      </c>
      <c r="H549" s="211"/>
      <c r="I549" s="17">
        <f t="shared" si="10"/>
        <v>1.8207657603852567E-13</v>
      </c>
      <c r="J549" s="142"/>
      <c r="K549" s="137"/>
    </row>
    <row r="550" spans="1:11" ht="29.25">
      <c r="A550" s="11">
        <v>54304</v>
      </c>
      <c r="B550" s="53" t="s">
        <v>639</v>
      </c>
      <c r="C550" s="55"/>
      <c r="D550" s="14" t="s">
        <v>18</v>
      </c>
      <c r="E550" s="14" t="s">
        <v>28</v>
      </c>
      <c r="F550" s="14" t="s">
        <v>27</v>
      </c>
      <c r="G550" s="305">
        <f>'NOV-18 '!I548</f>
        <v>0</v>
      </c>
      <c r="H550" s="51"/>
      <c r="I550" s="17">
        <f t="shared" si="10"/>
        <v>0</v>
      </c>
      <c r="J550" s="56"/>
      <c r="K550" s="142"/>
    </row>
    <row r="551" spans="1:11" ht="38.25" customHeight="1">
      <c r="A551" s="11">
        <v>54313</v>
      </c>
      <c r="B551" s="53" t="s">
        <v>640</v>
      </c>
      <c r="C551" s="60"/>
      <c r="D551" s="14" t="s">
        <v>18</v>
      </c>
      <c r="E551" s="14" t="s">
        <v>28</v>
      </c>
      <c r="F551" s="14" t="s">
        <v>27</v>
      </c>
      <c r="G551" s="305">
        <f>'NOV-18 '!I549</f>
        <v>0</v>
      </c>
      <c r="H551" s="51"/>
      <c r="I551" s="17">
        <f t="shared" si="10"/>
        <v>0</v>
      </c>
      <c r="J551" s="56"/>
      <c r="K551" s="142"/>
    </row>
    <row r="552" spans="1:11" ht="106.5" customHeight="1">
      <c r="A552" s="141" t="s">
        <v>316</v>
      </c>
      <c r="B552" s="53" t="s">
        <v>641</v>
      </c>
      <c r="C552" s="60" t="s">
        <v>1013</v>
      </c>
      <c r="D552" s="14"/>
      <c r="E552" s="14"/>
      <c r="F552" s="14"/>
      <c r="G552" s="305">
        <f>'NOV-18 '!I550</f>
        <v>0</v>
      </c>
      <c r="H552" s="51"/>
      <c r="I552" s="17"/>
      <c r="J552" s="56"/>
      <c r="K552" s="56"/>
    </row>
    <row r="553" spans="1:11" ht="38.25" customHeight="1">
      <c r="A553" s="11">
        <v>51202</v>
      </c>
      <c r="B553" s="53" t="s">
        <v>642</v>
      </c>
      <c r="C553" s="60"/>
      <c r="D553" s="14" t="s">
        <v>18</v>
      </c>
      <c r="E553" s="14" t="s">
        <v>28</v>
      </c>
      <c r="F553" s="14" t="s">
        <v>27</v>
      </c>
      <c r="G553" s="305">
        <f>'NOV-18 '!I551</f>
        <v>7.2830630415410269E-14</v>
      </c>
      <c r="H553" s="51"/>
      <c r="I553" s="17">
        <f t="shared" si="10"/>
        <v>7.2830630415410269E-14</v>
      </c>
      <c r="J553" s="56"/>
      <c r="K553" s="142"/>
    </row>
    <row r="554" spans="1:11" ht="38.25" customHeight="1">
      <c r="A554" s="11">
        <v>54110</v>
      </c>
      <c r="B554" s="53" t="s">
        <v>643</v>
      </c>
      <c r="C554" s="60"/>
      <c r="D554" s="14" t="s">
        <v>18</v>
      </c>
      <c r="E554" s="14" t="s">
        <v>28</v>
      </c>
      <c r="F554" s="14" t="s">
        <v>27</v>
      </c>
      <c r="G554" s="305">
        <f>'NOV-18 '!I552</f>
        <v>0</v>
      </c>
      <c r="H554" s="51"/>
      <c r="I554" s="17">
        <f t="shared" si="10"/>
        <v>0</v>
      </c>
      <c r="J554" s="56"/>
      <c r="K554" s="142"/>
    </row>
    <row r="555" spans="1:11" ht="38.25" customHeight="1">
      <c r="A555" s="11">
        <v>54111</v>
      </c>
      <c r="B555" s="53" t="s">
        <v>644</v>
      </c>
      <c r="C555" s="60"/>
      <c r="D555" s="14" t="s">
        <v>18</v>
      </c>
      <c r="E555" s="14" t="s">
        <v>28</v>
      </c>
      <c r="F555" s="14" t="s">
        <v>27</v>
      </c>
      <c r="G555" s="305">
        <f>'NOV-18 '!I553</f>
        <v>2.2737367544323206E-13</v>
      </c>
      <c r="H555" s="51"/>
      <c r="I555" s="17">
        <f t="shared" si="10"/>
        <v>2.2737367544323206E-13</v>
      </c>
      <c r="J555" s="137"/>
      <c r="K555" s="142"/>
    </row>
    <row r="556" spans="1:11" ht="38.25" customHeight="1">
      <c r="A556" s="11">
        <v>54304</v>
      </c>
      <c r="B556" s="53" t="s">
        <v>645</v>
      </c>
      <c r="C556" s="60"/>
      <c r="D556" s="14" t="s">
        <v>18</v>
      </c>
      <c r="E556" s="14" t="s">
        <v>28</v>
      </c>
      <c r="F556" s="14" t="s">
        <v>27</v>
      </c>
      <c r="G556" s="305">
        <f>'NOV-18 '!I554</f>
        <v>0</v>
      </c>
      <c r="H556" s="51"/>
      <c r="I556" s="17">
        <f t="shared" si="10"/>
        <v>0</v>
      </c>
      <c r="J556" s="56"/>
      <c r="K556" s="142"/>
    </row>
    <row r="557" spans="1:11" ht="38.25" customHeight="1">
      <c r="A557" s="11">
        <v>54313</v>
      </c>
      <c r="B557" s="53" t="s">
        <v>646</v>
      </c>
      <c r="C557" s="60"/>
      <c r="D557" s="14" t="s">
        <v>18</v>
      </c>
      <c r="E557" s="14" t="s">
        <v>28</v>
      </c>
      <c r="F557" s="14" t="s">
        <v>27</v>
      </c>
      <c r="G557" s="305">
        <f>'NOV-18 '!I555</f>
        <v>0</v>
      </c>
      <c r="H557" s="51"/>
      <c r="I557" s="17">
        <f t="shared" si="10"/>
        <v>0</v>
      </c>
      <c r="J557" s="56"/>
      <c r="K557" s="142"/>
    </row>
    <row r="558" spans="1:11" ht="99" customHeight="1">
      <c r="A558" s="240" t="s">
        <v>326</v>
      </c>
      <c r="B558" s="53" t="s">
        <v>647</v>
      </c>
      <c r="C558" s="345" t="s">
        <v>1106</v>
      </c>
      <c r="D558" s="14"/>
      <c r="E558" s="14"/>
      <c r="F558" s="14"/>
      <c r="G558" s="305">
        <f>'NOV-18 '!I556</f>
        <v>0</v>
      </c>
      <c r="H558" s="51"/>
      <c r="I558" s="17"/>
      <c r="J558" s="56"/>
      <c r="K558" s="56"/>
    </row>
    <row r="559" spans="1:11" ht="38.25" customHeight="1">
      <c r="A559" s="11">
        <v>51202</v>
      </c>
      <c r="B559" s="53" t="s">
        <v>648</v>
      </c>
      <c r="C559" s="60"/>
      <c r="D559" s="14" t="s">
        <v>18</v>
      </c>
      <c r="E559" s="14" t="s">
        <v>28</v>
      </c>
      <c r="F559" s="14" t="s">
        <v>27</v>
      </c>
      <c r="G559" s="305">
        <f>'NOV-18 '!I557</f>
        <v>0</v>
      </c>
      <c r="H559" s="51"/>
      <c r="I559" s="17">
        <f t="shared" si="10"/>
        <v>0</v>
      </c>
      <c r="J559" s="301"/>
      <c r="K559" s="237"/>
    </row>
    <row r="560" spans="1:11" ht="38.25" customHeight="1">
      <c r="A560" s="11">
        <v>54110</v>
      </c>
      <c r="B560" s="53" t="s">
        <v>649</v>
      </c>
      <c r="C560" s="60"/>
      <c r="D560" s="14" t="s">
        <v>18</v>
      </c>
      <c r="E560" s="14" t="s">
        <v>28</v>
      </c>
      <c r="F560" s="14" t="s">
        <v>27</v>
      </c>
      <c r="G560" s="305">
        <f>'NOV-18 '!I558</f>
        <v>0</v>
      </c>
      <c r="H560" s="51"/>
      <c r="I560" s="17">
        <f t="shared" si="10"/>
        <v>0</v>
      </c>
      <c r="J560" s="237"/>
      <c r="K560" s="237"/>
    </row>
    <row r="561" spans="1:11" ht="38.25" customHeight="1">
      <c r="A561" s="11">
        <v>54111</v>
      </c>
      <c r="B561" s="53" t="s">
        <v>650</v>
      </c>
      <c r="C561" s="60" t="s">
        <v>1107</v>
      </c>
      <c r="D561" s="14" t="s">
        <v>18</v>
      </c>
      <c r="E561" s="14" t="s">
        <v>28</v>
      </c>
      <c r="F561" s="14" t="s">
        <v>27</v>
      </c>
      <c r="G561" s="305">
        <f>'NOV-18 '!I559</f>
        <v>0</v>
      </c>
      <c r="H561" s="51"/>
      <c r="I561" s="134">
        <f t="shared" si="10"/>
        <v>0</v>
      </c>
      <c r="J561" s="346"/>
      <c r="K561" s="237"/>
    </row>
    <row r="562" spans="1:11" ht="29.25">
      <c r="A562" s="11">
        <v>54112</v>
      </c>
      <c r="B562" s="53" t="s">
        <v>651</v>
      </c>
      <c r="C562" s="13"/>
      <c r="D562" s="14" t="s">
        <v>18</v>
      </c>
      <c r="E562" s="14" t="s">
        <v>28</v>
      </c>
      <c r="F562" s="14" t="s">
        <v>27</v>
      </c>
      <c r="G562" s="305">
        <f>'NOV-18 '!I560</f>
        <v>0</v>
      </c>
      <c r="H562" s="51"/>
      <c r="I562" s="17">
        <f t="shared" si="10"/>
        <v>0</v>
      </c>
      <c r="J562" s="237"/>
      <c r="K562" s="237"/>
    </row>
    <row r="563" spans="1:11" ht="29.25">
      <c r="A563" s="11">
        <v>54118</v>
      </c>
      <c r="B563" s="53" t="s">
        <v>652</v>
      </c>
      <c r="C563" s="13"/>
      <c r="D563" s="14" t="s">
        <v>18</v>
      </c>
      <c r="E563" s="14" t="s">
        <v>28</v>
      </c>
      <c r="F563" s="14" t="s">
        <v>27</v>
      </c>
      <c r="G563" s="305">
        <f>'NOV-18 '!I561</f>
        <v>0</v>
      </c>
      <c r="H563" s="51"/>
      <c r="I563" s="17">
        <f t="shared" si="10"/>
        <v>0</v>
      </c>
      <c r="J563" s="237"/>
      <c r="K563" s="237"/>
    </row>
    <row r="564" spans="1:11" ht="29.25">
      <c r="A564" s="11">
        <v>54304</v>
      </c>
      <c r="B564" s="53" t="s">
        <v>653</v>
      </c>
      <c r="C564" s="13"/>
      <c r="D564" s="14" t="s">
        <v>18</v>
      </c>
      <c r="E564" s="14" t="s">
        <v>28</v>
      </c>
      <c r="F564" s="14" t="s">
        <v>27</v>
      </c>
      <c r="G564" s="305">
        <f>'NOV-18 '!I562</f>
        <v>0</v>
      </c>
      <c r="H564" s="51"/>
      <c r="I564" s="17">
        <f t="shared" si="10"/>
        <v>0</v>
      </c>
      <c r="J564" s="237"/>
      <c r="K564" s="237"/>
    </row>
    <row r="565" spans="1:11" ht="29.25">
      <c r="A565" s="11">
        <v>54313</v>
      </c>
      <c r="B565" s="53" t="s">
        <v>654</v>
      </c>
      <c r="C565" s="13"/>
      <c r="D565" s="14" t="s">
        <v>18</v>
      </c>
      <c r="E565" s="14" t="s">
        <v>28</v>
      </c>
      <c r="F565" s="14" t="s">
        <v>27</v>
      </c>
      <c r="G565" s="305">
        <f>'NOV-18 '!I563</f>
        <v>0</v>
      </c>
      <c r="H565" s="51"/>
      <c r="I565" s="17">
        <f t="shared" si="10"/>
        <v>0</v>
      </c>
      <c r="J565" s="237"/>
      <c r="K565" s="346"/>
    </row>
    <row r="566" spans="1:11" ht="29.25">
      <c r="A566" s="11">
        <v>54399</v>
      </c>
      <c r="B566" s="53" t="s">
        <v>655</v>
      </c>
      <c r="C566" s="13"/>
      <c r="D566" s="14" t="s">
        <v>18</v>
      </c>
      <c r="E566" s="14" t="s">
        <v>28</v>
      </c>
      <c r="F566" s="14" t="s">
        <v>27</v>
      </c>
      <c r="G566" s="305">
        <f>'NOV-18 '!I564</f>
        <v>0</v>
      </c>
      <c r="H566" s="51"/>
      <c r="I566" s="17">
        <f t="shared" si="10"/>
        <v>0</v>
      </c>
      <c r="J566" s="237"/>
      <c r="K566" s="237"/>
    </row>
    <row r="567" spans="1:11" ht="75">
      <c r="A567" s="141" t="s">
        <v>338</v>
      </c>
      <c r="B567" s="53" t="s">
        <v>656</v>
      </c>
      <c r="C567" s="13"/>
      <c r="D567" s="14"/>
      <c r="E567" s="14"/>
      <c r="F567" s="14"/>
      <c r="G567" s="305">
        <f>'NOV-18 '!I565</f>
        <v>0</v>
      </c>
      <c r="H567" s="51"/>
      <c r="I567" s="17"/>
      <c r="J567" s="56"/>
      <c r="K567" s="56"/>
    </row>
    <row r="568" spans="1:11" ht="29.25">
      <c r="A568" s="11">
        <v>51202</v>
      </c>
      <c r="B568" s="54" t="s">
        <v>657</v>
      </c>
      <c r="C568" s="13"/>
      <c r="D568" s="14" t="s">
        <v>18</v>
      </c>
      <c r="E568" s="14" t="s">
        <v>28</v>
      </c>
      <c r="F568" s="14" t="s">
        <v>27</v>
      </c>
      <c r="G568" s="305">
        <f>'NOV-18 '!I566</f>
        <v>0</v>
      </c>
      <c r="H568" s="51"/>
      <c r="I568" s="17">
        <f t="shared" si="10"/>
        <v>0</v>
      </c>
      <c r="J568" s="56"/>
      <c r="K568" s="137"/>
    </row>
    <row r="569" spans="1:11" ht="29.25">
      <c r="A569" s="11">
        <v>54110</v>
      </c>
      <c r="B569" s="54" t="s">
        <v>658</v>
      </c>
      <c r="C569" s="13"/>
      <c r="D569" s="14" t="s">
        <v>18</v>
      </c>
      <c r="E569" s="14" t="s">
        <v>28</v>
      </c>
      <c r="F569" s="14" t="s">
        <v>27</v>
      </c>
      <c r="G569" s="305">
        <f>'NOV-18 '!I567</f>
        <v>0</v>
      </c>
      <c r="H569" s="51"/>
      <c r="I569" s="17">
        <f t="shared" si="10"/>
        <v>0</v>
      </c>
      <c r="J569" s="56"/>
      <c r="K569" s="137"/>
    </row>
    <row r="570" spans="1:11" ht="44.25">
      <c r="A570" s="11">
        <v>54111</v>
      </c>
      <c r="B570" s="54" t="s">
        <v>659</v>
      </c>
      <c r="C570" s="13"/>
      <c r="D570" s="14" t="s">
        <v>18</v>
      </c>
      <c r="E570" s="14" t="s">
        <v>28</v>
      </c>
      <c r="F570" s="14" t="s">
        <v>27</v>
      </c>
      <c r="G570" s="305">
        <f>'NOV-18 '!I568</f>
        <v>0</v>
      </c>
      <c r="H570" s="51"/>
      <c r="I570" s="17">
        <f t="shared" si="10"/>
        <v>0</v>
      </c>
      <c r="J570" s="56"/>
      <c r="K570" s="137"/>
    </row>
    <row r="571" spans="1:11" ht="44.25">
      <c r="A571" s="11">
        <v>54112</v>
      </c>
      <c r="B571" s="54" t="s">
        <v>660</v>
      </c>
      <c r="C571" s="13"/>
      <c r="D571" s="14" t="s">
        <v>18</v>
      </c>
      <c r="E571" s="14" t="s">
        <v>28</v>
      </c>
      <c r="F571" s="14" t="s">
        <v>27</v>
      </c>
      <c r="G571" s="305">
        <f>'NOV-18 '!I569</f>
        <v>0</v>
      </c>
      <c r="H571" s="51"/>
      <c r="I571" s="17">
        <f t="shared" si="10"/>
        <v>0</v>
      </c>
      <c r="J571" s="56"/>
      <c r="K571" s="137"/>
    </row>
    <row r="572" spans="1:11" ht="44.25">
      <c r="A572" s="11">
        <v>54304</v>
      </c>
      <c r="B572" s="54" t="s">
        <v>661</v>
      </c>
      <c r="C572" s="13"/>
      <c r="D572" s="14" t="s">
        <v>18</v>
      </c>
      <c r="E572" s="14" t="s">
        <v>28</v>
      </c>
      <c r="F572" s="14" t="s">
        <v>27</v>
      </c>
      <c r="G572" s="305">
        <f>'NOV-18 '!I570</f>
        <v>0</v>
      </c>
      <c r="H572" s="51"/>
      <c r="I572" s="17">
        <f t="shared" si="10"/>
        <v>0</v>
      </c>
      <c r="J572" s="56"/>
      <c r="K572" s="137"/>
    </row>
    <row r="573" spans="1:11" ht="44.25">
      <c r="A573" s="11">
        <v>54313</v>
      </c>
      <c r="B573" s="54" t="s">
        <v>662</v>
      </c>
      <c r="C573" s="13"/>
      <c r="D573" s="14" t="s">
        <v>18</v>
      </c>
      <c r="E573" s="14" t="s">
        <v>28</v>
      </c>
      <c r="F573" s="14" t="s">
        <v>27</v>
      </c>
      <c r="G573" s="305">
        <f>'NOV-18 '!I571</f>
        <v>0</v>
      </c>
      <c r="H573" s="51"/>
      <c r="I573" s="17">
        <f t="shared" si="10"/>
        <v>0</v>
      </c>
      <c r="J573" s="56"/>
      <c r="K573" s="137"/>
    </row>
    <row r="574" spans="1:11" ht="44.25">
      <c r="A574" s="11">
        <v>54399</v>
      </c>
      <c r="B574" s="54" t="s">
        <v>663</v>
      </c>
      <c r="C574" s="13"/>
      <c r="D574" s="14" t="s">
        <v>18</v>
      </c>
      <c r="E574" s="14" t="s">
        <v>28</v>
      </c>
      <c r="F574" s="14" t="s">
        <v>27</v>
      </c>
      <c r="G574" s="305">
        <f>'NOV-18 '!I572</f>
        <v>0</v>
      </c>
      <c r="H574" s="51"/>
      <c r="I574" s="17">
        <f t="shared" si="10"/>
        <v>0</v>
      </c>
      <c r="J574" s="56"/>
      <c r="K574" s="137"/>
    </row>
    <row r="575" spans="1:11" ht="29.25">
      <c r="A575" s="11">
        <v>55603</v>
      </c>
      <c r="B575" s="54" t="s">
        <v>664</v>
      </c>
      <c r="C575" s="13"/>
      <c r="D575" s="14" t="s">
        <v>18</v>
      </c>
      <c r="E575" s="14" t="s">
        <v>28</v>
      </c>
      <c r="F575" s="14" t="s">
        <v>27</v>
      </c>
      <c r="G575" s="305">
        <f>'NOV-18 '!I573</f>
        <v>0</v>
      </c>
      <c r="H575" s="51"/>
      <c r="I575" s="17">
        <f t="shared" si="10"/>
        <v>0</v>
      </c>
      <c r="J575" s="56"/>
      <c r="K575" s="137"/>
    </row>
    <row r="576" spans="1:11" ht="90">
      <c r="A576" s="141" t="s">
        <v>348</v>
      </c>
      <c r="B576" s="53" t="s">
        <v>665</v>
      </c>
      <c r="C576" s="13"/>
      <c r="D576" s="14"/>
      <c r="E576" s="14"/>
      <c r="F576" s="14"/>
      <c r="G576" s="305">
        <f>'NOV-18 '!I574</f>
        <v>0</v>
      </c>
      <c r="H576" s="51"/>
      <c r="I576" s="17"/>
      <c r="J576" s="56"/>
      <c r="K576" s="56"/>
    </row>
    <row r="577" spans="1:11" ht="29.25">
      <c r="A577" s="11">
        <v>51202</v>
      </c>
      <c r="B577" s="54" t="s">
        <v>666</v>
      </c>
      <c r="C577" s="13"/>
      <c r="D577" s="14" t="s">
        <v>18</v>
      </c>
      <c r="E577" s="14" t="s">
        <v>28</v>
      </c>
      <c r="F577" s="14" t="s">
        <v>27</v>
      </c>
      <c r="G577" s="305">
        <f>'NOV-18 '!I575</f>
        <v>0</v>
      </c>
      <c r="H577" s="51"/>
      <c r="I577" s="17">
        <f t="shared" si="10"/>
        <v>0</v>
      </c>
      <c r="J577" s="56"/>
      <c r="K577" s="300"/>
    </row>
    <row r="578" spans="1:11" ht="29.25">
      <c r="A578" s="11">
        <v>54110</v>
      </c>
      <c r="B578" s="54" t="s">
        <v>667</v>
      </c>
      <c r="C578" s="13"/>
      <c r="D578" s="14" t="s">
        <v>18</v>
      </c>
      <c r="E578" s="14" t="s">
        <v>28</v>
      </c>
      <c r="F578" s="14" t="s">
        <v>27</v>
      </c>
      <c r="G578" s="305">
        <f>'NOV-18 '!I576</f>
        <v>0</v>
      </c>
      <c r="H578" s="51"/>
      <c r="I578" s="17">
        <f t="shared" si="10"/>
        <v>0</v>
      </c>
      <c r="J578" s="56"/>
      <c r="K578" s="300"/>
    </row>
    <row r="579" spans="1:11" ht="44.25">
      <c r="A579" s="11">
        <v>54111</v>
      </c>
      <c r="B579" s="54" t="s">
        <v>668</v>
      </c>
      <c r="C579" s="13"/>
      <c r="D579" s="14" t="s">
        <v>18</v>
      </c>
      <c r="E579" s="14" t="s">
        <v>28</v>
      </c>
      <c r="F579" s="14" t="s">
        <v>27</v>
      </c>
      <c r="G579" s="305">
        <f>'NOV-18 '!I577</f>
        <v>0</v>
      </c>
      <c r="H579" s="51"/>
      <c r="I579" s="17">
        <f t="shared" si="10"/>
        <v>0</v>
      </c>
      <c r="J579" s="56"/>
      <c r="K579" s="300"/>
    </row>
    <row r="580" spans="1:11" ht="44.25">
      <c r="A580" s="11">
        <v>54112</v>
      </c>
      <c r="B580" s="54" t="s">
        <v>669</v>
      </c>
      <c r="C580" s="13"/>
      <c r="D580" s="14" t="s">
        <v>18</v>
      </c>
      <c r="E580" s="14" t="s">
        <v>28</v>
      </c>
      <c r="F580" s="14" t="s">
        <v>27</v>
      </c>
      <c r="G580" s="305">
        <f>'NOV-18 '!I578</f>
        <v>0</v>
      </c>
      <c r="H580" s="51"/>
      <c r="I580" s="17">
        <f t="shared" si="10"/>
        <v>0</v>
      </c>
      <c r="J580" s="56"/>
      <c r="K580" s="300"/>
    </row>
    <row r="581" spans="1:11" ht="44.25">
      <c r="A581" s="11">
        <v>54313</v>
      </c>
      <c r="B581" s="54" t="s">
        <v>670</v>
      </c>
      <c r="C581" s="13"/>
      <c r="D581" s="14" t="s">
        <v>18</v>
      </c>
      <c r="E581" s="14" t="s">
        <v>28</v>
      </c>
      <c r="F581" s="14" t="s">
        <v>27</v>
      </c>
      <c r="G581" s="305">
        <f>'NOV-18 '!I579</f>
        <v>0</v>
      </c>
      <c r="H581" s="51"/>
      <c r="I581" s="17">
        <f t="shared" si="10"/>
        <v>0</v>
      </c>
      <c r="J581" s="56"/>
      <c r="K581" s="300"/>
    </row>
    <row r="582" spans="1:11" ht="44.25">
      <c r="A582" s="11">
        <v>54399</v>
      </c>
      <c r="B582" s="54" t="s">
        <v>671</v>
      </c>
      <c r="C582" s="13"/>
      <c r="D582" s="14" t="s">
        <v>18</v>
      </c>
      <c r="E582" s="14" t="s">
        <v>28</v>
      </c>
      <c r="F582" s="14" t="s">
        <v>27</v>
      </c>
      <c r="G582" s="305">
        <f>'NOV-18 '!I580</f>
        <v>0</v>
      </c>
      <c r="H582" s="51"/>
      <c r="I582" s="17">
        <f t="shared" si="10"/>
        <v>0</v>
      </c>
      <c r="J582" s="56"/>
      <c r="K582" s="300"/>
    </row>
    <row r="583" spans="1:11" ht="29.25">
      <c r="A583" s="11">
        <v>55603</v>
      </c>
      <c r="B583" s="54" t="s">
        <v>672</v>
      </c>
      <c r="C583" s="13"/>
      <c r="D583" s="14" t="s">
        <v>18</v>
      </c>
      <c r="E583" s="14" t="s">
        <v>28</v>
      </c>
      <c r="F583" s="14" t="s">
        <v>27</v>
      </c>
      <c r="G583" s="305">
        <f>'NOV-18 '!I581</f>
        <v>0</v>
      </c>
      <c r="H583" s="51"/>
      <c r="I583" s="17">
        <f t="shared" si="10"/>
        <v>0</v>
      </c>
      <c r="J583" s="56"/>
      <c r="K583" s="300"/>
    </row>
    <row r="584" spans="1:11" ht="119.25" customHeight="1">
      <c r="A584" s="141" t="s">
        <v>358</v>
      </c>
      <c r="B584" s="53" t="s">
        <v>673</v>
      </c>
      <c r="C584" s="13"/>
      <c r="D584" s="14"/>
      <c r="E584" s="14"/>
      <c r="F584" s="14"/>
      <c r="G584" s="305">
        <f>'NOV-18 '!I582</f>
        <v>0</v>
      </c>
      <c r="H584" s="51"/>
      <c r="I584" s="17"/>
      <c r="J584" s="56"/>
      <c r="K584" s="56"/>
    </row>
    <row r="585" spans="1:11" ht="29.25">
      <c r="A585" s="11">
        <v>51202</v>
      </c>
      <c r="B585" s="54" t="s">
        <v>674</v>
      </c>
      <c r="C585" s="13"/>
      <c r="D585" s="14" t="s">
        <v>18</v>
      </c>
      <c r="E585" s="14" t="s">
        <v>28</v>
      </c>
      <c r="F585" s="14" t="s">
        <v>27</v>
      </c>
      <c r="G585" s="305">
        <f>'NOV-18 '!I583</f>
        <v>0</v>
      </c>
      <c r="H585" s="51"/>
      <c r="I585" s="17">
        <f t="shared" si="10"/>
        <v>0</v>
      </c>
      <c r="J585" s="56"/>
      <c r="K585" s="300"/>
    </row>
    <row r="586" spans="1:11" ht="29.25">
      <c r="A586" s="11">
        <v>54110</v>
      </c>
      <c r="B586" s="54" t="s">
        <v>675</v>
      </c>
      <c r="C586" s="13"/>
      <c r="D586" s="14" t="s">
        <v>18</v>
      </c>
      <c r="E586" s="14" t="s">
        <v>28</v>
      </c>
      <c r="F586" s="14" t="s">
        <v>27</v>
      </c>
      <c r="G586" s="305">
        <f>'NOV-18 '!I584</f>
        <v>0</v>
      </c>
      <c r="H586" s="51"/>
      <c r="I586" s="17">
        <f t="shared" si="10"/>
        <v>0</v>
      </c>
      <c r="J586" s="56"/>
      <c r="K586" s="300"/>
    </row>
    <row r="587" spans="1:11" ht="29.25">
      <c r="A587" s="11">
        <v>54111</v>
      </c>
      <c r="B587" s="54" t="s">
        <v>677</v>
      </c>
      <c r="C587" s="13"/>
      <c r="D587" s="14" t="s">
        <v>18</v>
      </c>
      <c r="E587" s="14" t="s">
        <v>28</v>
      </c>
      <c r="F587" s="14" t="s">
        <v>27</v>
      </c>
      <c r="G587" s="305">
        <f>'NOV-18 '!I585</f>
        <v>0</v>
      </c>
      <c r="H587" s="51"/>
      <c r="I587" s="17">
        <f t="shared" si="10"/>
        <v>0</v>
      </c>
      <c r="J587" s="56"/>
      <c r="K587" s="300"/>
    </row>
    <row r="588" spans="1:11" ht="29.25">
      <c r="A588" s="11">
        <v>54112</v>
      </c>
      <c r="B588" s="54" t="s">
        <v>676</v>
      </c>
      <c r="C588" s="13"/>
      <c r="D588" s="14" t="s">
        <v>18</v>
      </c>
      <c r="E588" s="14" t="s">
        <v>28</v>
      </c>
      <c r="F588" s="14" t="s">
        <v>27</v>
      </c>
      <c r="G588" s="305">
        <f>'NOV-18 '!I586</f>
        <v>0</v>
      </c>
      <c r="H588" s="51"/>
      <c r="I588" s="17">
        <f t="shared" si="10"/>
        <v>0</v>
      </c>
      <c r="J588" s="56"/>
      <c r="K588" s="300"/>
    </row>
    <row r="589" spans="1:11" ht="29.25">
      <c r="A589" s="11">
        <v>54118</v>
      </c>
      <c r="B589" s="54" t="s">
        <v>678</v>
      </c>
      <c r="C589" s="13"/>
      <c r="D589" s="14" t="s">
        <v>18</v>
      </c>
      <c r="E589" s="14" t="s">
        <v>28</v>
      </c>
      <c r="F589" s="14" t="s">
        <v>27</v>
      </c>
      <c r="G589" s="305">
        <f>'NOV-18 '!I587</f>
        <v>0</v>
      </c>
      <c r="H589" s="51"/>
      <c r="I589" s="17">
        <f t="shared" si="10"/>
        <v>0</v>
      </c>
      <c r="J589" s="56"/>
      <c r="K589" s="300"/>
    </row>
    <row r="590" spans="1:11" ht="29.25">
      <c r="A590" s="11">
        <v>54313</v>
      </c>
      <c r="B590" s="54" t="s">
        <v>679</v>
      </c>
      <c r="C590" s="13"/>
      <c r="D590" s="14" t="s">
        <v>18</v>
      </c>
      <c r="E590" s="14" t="s">
        <v>28</v>
      </c>
      <c r="F590" s="14" t="s">
        <v>27</v>
      </c>
      <c r="G590" s="305">
        <f>'NOV-18 '!I588</f>
        <v>0</v>
      </c>
      <c r="H590" s="51"/>
      <c r="I590" s="17">
        <f t="shared" si="10"/>
        <v>0</v>
      </c>
      <c r="J590" s="56"/>
      <c r="K590" s="300"/>
    </row>
    <row r="591" spans="1:11" ht="36.75" customHeight="1">
      <c r="A591" s="11">
        <v>54399</v>
      </c>
      <c r="B591" s="54" t="s">
        <v>680</v>
      </c>
      <c r="C591" s="13"/>
      <c r="D591" s="14" t="s">
        <v>18</v>
      </c>
      <c r="E591" s="14" t="s">
        <v>28</v>
      </c>
      <c r="F591" s="14" t="s">
        <v>27</v>
      </c>
      <c r="G591" s="305">
        <f>'NOV-18 '!I589</f>
        <v>0</v>
      </c>
      <c r="H591" s="51"/>
      <c r="I591" s="17">
        <f t="shared" si="10"/>
        <v>0</v>
      </c>
      <c r="J591" s="56"/>
      <c r="K591" s="300"/>
    </row>
    <row r="592" spans="1:11" ht="29.25">
      <c r="A592" s="11">
        <v>55603</v>
      </c>
      <c r="B592" s="54" t="s">
        <v>681</v>
      </c>
      <c r="C592" s="13"/>
      <c r="D592" s="14" t="s">
        <v>18</v>
      </c>
      <c r="E592" s="14" t="s">
        <v>28</v>
      </c>
      <c r="F592" s="14" t="s">
        <v>27</v>
      </c>
      <c r="G592" s="305">
        <f>'NOV-18 '!I590</f>
        <v>0</v>
      </c>
      <c r="H592" s="51"/>
      <c r="I592" s="17">
        <f t="shared" si="10"/>
        <v>0</v>
      </c>
      <c r="J592" s="56"/>
      <c r="K592" s="300"/>
    </row>
    <row r="593" spans="1:11" ht="74.25">
      <c r="A593" s="141" t="s">
        <v>374</v>
      </c>
      <c r="B593" s="53" t="s">
        <v>690</v>
      </c>
      <c r="C593" s="13"/>
      <c r="D593" s="14"/>
      <c r="E593" s="14"/>
      <c r="F593" s="14"/>
      <c r="G593" s="305">
        <f>'NOV-18 '!I591</f>
        <v>0</v>
      </c>
      <c r="H593" s="51"/>
      <c r="I593" s="17"/>
      <c r="J593" s="56"/>
      <c r="K593" s="56"/>
    </row>
    <row r="594" spans="1:11">
      <c r="A594" s="11">
        <v>51202</v>
      </c>
      <c r="B594" s="54" t="s">
        <v>682</v>
      </c>
      <c r="C594" s="13"/>
      <c r="D594" s="14" t="s">
        <v>18</v>
      </c>
      <c r="E594" s="14" t="s">
        <v>28</v>
      </c>
      <c r="F594" s="14" t="s">
        <v>27</v>
      </c>
      <c r="G594" s="305">
        <f>'NOV-18 '!I592</f>
        <v>7000</v>
      </c>
      <c r="H594" s="51"/>
      <c r="I594" s="17">
        <f t="shared" si="10"/>
        <v>7000</v>
      </c>
      <c r="J594" s="142"/>
      <c r="K594" s="300"/>
    </row>
    <row r="595" spans="1:11" ht="29.25">
      <c r="A595" s="11">
        <v>54110</v>
      </c>
      <c r="B595" s="54" t="s">
        <v>683</v>
      </c>
      <c r="C595" s="13"/>
      <c r="D595" s="14" t="s">
        <v>18</v>
      </c>
      <c r="E595" s="14" t="s">
        <v>28</v>
      </c>
      <c r="F595" s="14" t="s">
        <v>27</v>
      </c>
      <c r="G595" s="305">
        <f>'NOV-18 '!I593</f>
        <v>300</v>
      </c>
      <c r="H595" s="51"/>
      <c r="I595" s="17">
        <f t="shared" si="10"/>
        <v>300</v>
      </c>
      <c r="J595" s="142"/>
      <c r="K595" s="300"/>
    </row>
    <row r="596" spans="1:11" ht="30">
      <c r="A596" s="11">
        <v>54111</v>
      </c>
      <c r="B596" s="53" t="s">
        <v>689</v>
      </c>
      <c r="C596" s="13"/>
      <c r="D596" s="14" t="s">
        <v>18</v>
      </c>
      <c r="E596" s="14" t="s">
        <v>28</v>
      </c>
      <c r="F596" s="14" t="s">
        <v>27</v>
      </c>
      <c r="G596" s="305">
        <f>'NOV-18 '!I594</f>
        <v>8000</v>
      </c>
      <c r="H596" s="51"/>
      <c r="I596" s="17">
        <f t="shared" si="10"/>
        <v>8000</v>
      </c>
      <c r="J596" s="142"/>
      <c r="K596" s="300"/>
    </row>
    <row r="597" spans="1:11" ht="29.25">
      <c r="A597" s="11">
        <v>54112</v>
      </c>
      <c r="B597" s="53" t="s">
        <v>684</v>
      </c>
      <c r="C597" s="13"/>
      <c r="D597" s="14" t="s">
        <v>18</v>
      </c>
      <c r="E597" s="14" t="s">
        <v>28</v>
      </c>
      <c r="F597" s="14" t="s">
        <v>27</v>
      </c>
      <c r="G597" s="305">
        <f>'NOV-18 '!I595</f>
        <v>6000</v>
      </c>
      <c r="H597" s="51"/>
      <c r="I597" s="17">
        <f t="shared" si="10"/>
        <v>6000</v>
      </c>
      <c r="J597" s="142"/>
      <c r="K597" s="300"/>
    </row>
    <row r="598" spans="1:11" ht="29.25">
      <c r="A598" s="11">
        <v>54118</v>
      </c>
      <c r="B598" s="53" t="s">
        <v>685</v>
      </c>
      <c r="C598" s="13"/>
      <c r="D598" s="14" t="s">
        <v>18</v>
      </c>
      <c r="E598" s="14" t="s">
        <v>28</v>
      </c>
      <c r="F598" s="14" t="s">
        <v>27</v>
      </c>
      <c r="G598" s="305">
        <f>'NOV-18 '!I596</f>
        <v>3000</v>
      </c>
      <c r="H598" s="51"/>
      <c r="I598" s="17">
        <f t="shared" si="10"/>
        <v>3000</v>
      </c>
      <c r="J598" s="142"/>
      <c r="K598" s="300"/>
    </row>
    <row r="599" spans="1:11" ht="29.25">
      <c r="A599" s="11">
        <v>54313</v>
      </c>
      <c r="B599" s="53" t="s">
        <v>686</v>
      </c>
      <c r="C599" s="13"/>
      <c r="D599" s="14" t="s">
        <v>18</v>
      </c>
      <c r="E599" s="14" t="s">
        <v>28</v>
      </c>
      <c r="F599" s="14" t="s">
        <v>27</v>
      </c>
      <c r="G599" s="305">
        <f>'NOV-18 '!I597</f>
        <v>200</v>
      </c>
      <c r="H599" s="51"/>
      <c r="I599" s="17">
        <f t="shared" si="10"/>
        <v>200</v>
      </c>
      <c r="J599" s="142"/>
      <c r="K599" s="300"/>
    </row>
    <row r="600" spans="1:11" ht="29.25">
      <c r="A600" s="11">
        <v>54399</v>
      </c>
      <c r="B600" s="54" t="s">
        <v>687</v>
      </c>
      <c r="C600" s="13"/>
      <c r="D600" s="14" t="s">
        <v>18</v>
      </c>
      <c r="E600" s="14" t="s">
        <v>28</v>
      </c>
      <c r="F600" s="14" t="s">
        <v>27</v>
      </c>
      <c r="G600" s="305">
        <f>'NOV-18 '!I598</f>
        <v>490</v>
      </c>
      <c r="H600" s="51"/>
      <c r="I600" s="17">
        <f t="shared" si="10"/>
        <v>490</v>
      </c>
      <c r="J600" s="142"/>
      <c r="K600" s="300"/>
    </row>
    <row r="601" spans="1:11" ht="29.25">
      <c r="A601" s="11">
        <v>55603</v>
      </c>
      <c r="B601" s="53" t="s">
        <v>688</v>
      </c>
      <c r="C601" s="13"/>
      <c r="D601" s="14" t="s">
        <v>18</v>
      </c>
      <c r="E601" s="14" t="s">
        <v>28</v>
      </c>
      <c r="F601" s="14" t="s">
        <v>27</v>
      </c>
      <c r="G601" s="305">
        <f>'NOV-18 '!I599</f>
        <v>10</v>
      </c>
      <c r="H601" s="51"/>
      <c r="I601" s="17">
        <f t="shared" si="10"/>
        <v>10</v>
      </c>
      <c r="J601" s="142"/>
      <c r="K601" s="300"/>
    </row>
    <row r="602" spans="1:11" ht="60">
      <c r="A602" s="141" t="s">
        <v>388</v>
      </c>
      <c r="B602" s="53" t="s">
        <v>699</v>
      </c>
      <c r="C602" s="13"/>
      <c r="D602" s="14"/>
      <c r="E602" s="14"/>
      <c r="F602" s="14"/>
      <c r="G602" s="305">
        <f>'NOV-18 '!I600</f>
        <v>0</v>
      </c>
      <c r="H602" s="51"/>
      <c r="I602" s="17"/>
      <c r="J602" s="56"/>
      <c r="K602" s="56"/>
    </row>
    <row r="603" spans="1:11" ht="29.25">
      <c r="A603" s="11">
        <v>51202</v>
      </c>
      <c r="B603" s="54" t="s">
        <v>691</v>
      </c>
      <c r="C603" s="13"/>
      <c r="D603" s="14" t="s">
        <v>18</v>
      </c>
      <c r="E603" s="14" t="s">
        <v>28</v>
      </c>
      <c r="F603" s="14" t="s">
        <v>27</v>
      </c>
      <c r="G603" s="305">
        <f>'NOV-18 '!I601</f>
        <v>7000</v>
      </c>
      <c r="H603" s="51"/>
      <c r="I603" s="17">
        <f t="shared" si="10"/>
        <v>7000</v>
      </c>
      <c r="J603" s="142"/>
      <c r="K603" s="300"/>
    </row>
    <row r="604" spans="1:11" ht="29.25">
      <c r="A604" s="11">
        <v>54110</v>
      </c>
      <c r="B604" s="54" t="s">
        <v>692</v>
      </c>
      <c r="C604" s="13"/>
      <c r="D604" s="14" t="s">
        <v>18</v>
      </c>
      <c r="E604" s="14" t="s">
        <v>28</v>
      </c>
      <c r="F604" s="14" t="s">
        <v>27</v>
      </c>
      <c r="G604" s="305">
        <f>'NOV-18 '!I602</f>
        <v>300</v>
      </c>
      <c r="H604" s="51"/>
      <c r="I604" s="17">
        <f t="shared" si="10"/>
        <v>300</v>
      </c>
      <c r="J604" s="142"/>
      <c r="K604" s="300"/>
    </row>
    <row r="605" spans="1:11" ht="44.25">
      <c r="A605" s="11">
        <v>54111</v>
      </c>
      <c r="B605" s="53" t="s">
        <v>693</v>
      </c>
      <c r="C605" s="13"/>
      <c r="D605" s="14" t="s">
        <v>18</v>
      </c>
      <c r="E605" s="14" t="s">
        <v>28</v>
      </c>
      <c r="F605" s="14" t="s">
        <v>27</v>
      </c>
      <c r="G605" s="305">
        <f>'NOV-18 '!I603</f>
        <v>8000</v>
      </c>
      <c r="H605" s="51"/>
      <c r="I605" s="17">
        <f t="shared" ref="I605:I615" si="11">G605-H605+J605-K605</f>
        <v>8000</v>
      </c>
      <c r="J605" s="142"/>
      <c r="K605" s="300"/>
    </row>
    <row r="606" spans="1:11" ht="29.25">
      <c r="A606" s="11">
        <v>54112</v>
      </c>
      <c r="B606" s="54" t="s">
        <v>694</v>
      </c>
      <c r="C606" s="13"/>
      <c r="D606" s="14" t="s">
        <v>18</v>
      </c>
      <c r="E606" s="14" t="s">
        <v>28</v>
      </c>
      <c r="F606" s="14" t="s">
        <v>27</v>
      </c>
      <c r="G606" s="305">
        <f>'NOV-18 '!I604</f>
        <v>7000</v>
      </c>
      <c r="H606" s="51"/>
      <c r="I606" s="17">
        <f t="shared" si="11"/>
        <v>7000</v>
      </c>
      <c r="J606" s="142"/>
      <c r="K606" s="300"/>
    </row>
    <row r="607" spans="1:11" ht="29.25">
      <c r="A607" s="11">
        <v>54118</v>
      </c>
      <c r="B607" s="54" t="s">
        <v>695</v>
      </c>
      <c r="C607" s="13"/>
      <c r="D607" s="14" t="s">
        <v>18</v>
      </c>
      <c r="E607" s="14" t="s">
        <v>28</v>
      </c>
      <c r="F607" s="14" t="s">
        <v>27</v>
      </c>
      <c r="G607" s="305">
        <f>'NOV-18 '!I605</f>
        <v>2000</v>
      </c>
      <c r="H607" s="51"/>
      <c r="I607" s="17">
        <f t="shared" si="11"/>
        <v>2000</v>
      </c>
      <c r="J607" s="142"/>
      <c r="K607" s="300"/>
    </row>
    <row r="608" spans="1:11" ht="44.25">
      <c r="A608" s="11">
        <v>54313</v>
      </c>
      <c r="B608" s="53" t="s">
        <v>696</v>
      </c>
      <c r="C608" s="13"/>
      <c r="D608" s="14" t="s">
        <v>18</v>
      </c>
      <c r="E608" s="14" t="s">
        <v>28</v>
      </c>
      <c r="F608" s="14" t="s">
        <v>27</v>
      </c>
      <c r="G608" s="305">
        <f>'NOV-18 '!I606</f>
        <v>300</v>
      </c>
      <c r="H608" s="51"/>
      <c r="I608" s="17">
        <f t="shared" si="11"/>
        <v>300</v>
      </c>
      <c r="J608" s="142"/>
      <c r="K608" s="300"/>
    </row>
    <row r="609" spans="1:11" ht="29.25">
      <c r="A609" s="11">
        <v>54399</v>
      </c>
      <c r="B609" s="54" t="s">
        <v>697</v>
      </c>
      <c r="C609" s="13"/>
      <c r="D609" s="14" t="s">
        <v>18</v>
      </c>
      <c r="E609" s="14" t="s">
        <v>28</v>
      </c>
      <c r="F609" s="14" t="s">
        <v>27</v>
      </c>
      <c r="G609" s="305">
        <f>'NOV-18 '!I607</f>
        <v>390</v>
      </c>
      <c r="H609" s="51"/>
      <c r="I609" s="17">
        <f t="shared" si="11"/>
        <v>390</v>
      </c>
      <c r="J609" s="142"/>
      <c r="K609" s="300"/>
    </row>
    <row r="610" spans="1:11" ht="29.25">
      <c r="A610" s="11">
        <v>55603</v>
      </c>
      <c r="B610" s="54" t="s">
        <v>698</v>
      </c>
      <c r="C610" s="13"/>
      <c r="D610" s="14" t="s">
        <v>18</v>
      </c>
      <c r="E610" s="14" t="s">
        <v>28</v>
      </c>
      <c r="F610" s="14" t="s">
        <v>27</v>
      </c>
      <c r="G610" s="305">
        <f>'NOV-18 '!I608</f>
        <v>10</v>
      </c>
      <c r="H610" s="51"/>
      <c r="I610" s="17">
        <f t="shared" si="11"/>
        <v>10</v>
      </c>
      <c r="J610" s="142"/>
      <c r="K610" s="300"/>
    </row>
    <row r="611" spans="1:11" ht="60">
      <c r="A611" s="141" t="s">
        <v>392</v>
      </c>
      <c r="B611" s="53" t="s">
        <v>700</v>
      </c>
      <c r="C611" s="13"/>
      <c r="D611" s="14"/>
      <c r="E611" s="14"/>
      <c r="F611" s="14"/>
      <c r="G611" s="305">
        <f>'NOV-18 '!I609</f>
        <v>0</v>
      </c>
      <c r="H611" s="51"/>
      <c r="I611" s="17"/>
      <c r="J611" s="56"/>
      <c r="K611" s="56"/>
    </row>
    <row r="612" spans="1:11" ht="29.25">
      <c r="A612" s="11">
        <v>51202</v>
      </c>
      <c r="B612" s="54" t="s">
        <v>701</v>
      </c>
      <c r="C612" s="13"/>
      <c r="D612" s="14" t="s">
        <v>18</v>
      </c>
      <c r="E612" s="14" t="s">
        <v>28</v>
      </c>
      <c r="F612" s="14" t="s">
        <v>27</v>
      </c>
      <c r="G612" s="305">
        <f>'NOV-18 '!I610</f>
        <v>0</v>
      </c>
      <c r="H612" s="51"/>
      <c r="I612" s="17">
        <f t="shared" si="11"/>
        <v>0</v>
      </c>
      <c r="J612" s="56"/>
      <c r="K612" s="332"/>
    </row>
    <row r="613" spans="1:11" ht="29.25">
      <c r="A613" s="11">
        <v>54110</v>
      </c>
      <c r="B613" s="53" t="s">
        <v>702</v>
      </c>
      <c r="C613" s="13"/>
      <c r="D613" s="14" t="s">
        <v>18</v>
      </c>
      <c r="E613" s="14" t="s">
        <v>28</v>
      </c>
      <c r="F613" s="14" t="s">
        <v>27</v>
      </c>
      <c r="G613" s="305">
        <f>'NOV-18 '!I611</f>
        <v>0</v>
      </c>
      <c r="H613" s="51"/>
      <c r="I613" s="17">
        <f t="shared" si="11"/>
        <v>0</v>
      </c>
      <c r="J613" s="56"/>
      <c r="K613" s="332"/>
    </row>
    <row r="614" spans="1:11" ht="44.25">
      <c r="A614" s="11">
        <v>54111</v>
      </c>
      <c r="B614" s="53" t="s">
        <v>703</v>
      </c>
      <c r="C614" s="13"/>
      <c r="D614" s="14" t="s">
        <v>18</v>
      </c>
      <c r="E614" s="14" t="s">
        <v>28</v>
      </c>
      <c r="F614" s="14" t="s">
        <v>27</v>
      </c>
      <c r="G614" s="305">
        <f>'NOV-18 '!I612</f>
        <v>0</v>
      </c>
      <c r="H614" s="51"/>
      <c r="I614" s="17">
        <f t="shared" si="11"/>
        <v>0</v>
      </c>
      <c r="J614" s="56"/>
      <c r="K614" s="332"/>
    </row>
    <row r="615" spans="1:11" ht="44.25">
      <c r="A615" s="11">
        <v>54313</v>
      </c>
      <c r="B615" s="53" t="s">
        <v>704</v>
      </c>
      <c r="C615" s="13"/>
      <c r="D615" s="14" t="s">
        <v>18</v>
      </c>
      <c r="E615" s="14" t="s">
        <v>28</v>
      </c>
      <c r="F615" s="14" t="s">
        <v>27</v>
      </c>
      <c r="G615" s="305">
        <f>'NOV-18 '!I613</f>
        <v>0</v>
      </c>
      <c r="H615" s="51"/>
      <c r="I615" s="17">
        <f t="shared" si="11"/>
        <v>0</v>
      </c>
      <c r="J615" s="56"/>
      <c r="K615" s="332"/>
    </row>
    <row r="616" spans="1:11" ht="29.25">
      <c r="A616" s="11">
        <v>55603</v>
      </c>
      <c r="B616" s="53" t="s">
        <v>705</v>
      </c>
      <c r="C616" s="13"/>
      <c r="D616" s="14" t="s">
        <v>18</v>
      </c>
      <c r="E616" s="14" t="s">
        <v>28</v>
      </c>
      <c r="F616" s="14" t="s">
        <v>27</v>
      </c>
      <c r="G616" s="305">
        <f>'NOV-18 '!I614</f>
        <v>0</v>
      </c>
      <c r="H616" s="51"/>
      <c r="I616" s="17">
        <f>G616-H616+J616-K616</f>
        <v>0</v>
      </c>
      <c r="J616" s="56"/>
      <c r="K616" s="332"/>
    </row>
    <row r="617" spans="1:11" ht="105">
      <c r="A617" s="141" t="s">
        <v>401</v>
      </c>
      <c r="B617" s="53" t="s">
        <v>706</v>
      </c>
      <c r="C617" s="13"/>
      <c r="D617" s="14"/>
      <c r="E617" s="14"/>
      <c r="F617" s="14"/>
      <c r="G617" s="305">
        <f>'NOV-18 '!I615</f>
        <v>0</v>
      </c>
      <c r="H617" s="51"/>
      <c r="I617" s="17"/>
      <c r="J617" s="56"/>
      <c r="K617" s="56"/>
    </row>
    <row r="618" spans="1:11" ht="29.25">
      <c r="A618" s="11">
        <v>51202</v>
      </c>
      <c r="B618" s="54" t="s">
        <v>707</v>
      </c>
      <c r="C618" s="13"/>
      <c r="D618" s="14" t="s">
        <v>18</v>
      </c>
      <c r="E618" s="14" t="s">
        <v>28</v>
      </c>
      <c r="F618" s="14" t="s">
        <v>27</v>
      </c>
      <c r="G618" s="305">
        <f>'NOV-18 '!I616</f>
        <v>6000</v>
      </c>
      <c r="H618" s="51"/>
      <c r="I618" s="17">
        <f>G618-H618+J618-K618</f>
        <v>6000</v>
      </c>
      <c r="J618" s="142"/>
      <c r="K618" s="300"/>
    </row>
    <row r="619" spans="1:11" ht="43.5">
      <c r="A619" s="11">
        <v>54110</v>
      </c>
      <c r="B619" s="54" t="s">
        <v>708</v>
      </c>
      <c r="C619" s="13"/>
      <c r="D619" s="14" t="s">
        <v>18</v>
      </c>
      <c r="E619" s="14" t="s">
        <v>28</v>
      </c>
      <c r="F619" s="14" t="s">
        <v>27</v>
      </c>
      <c r="G619" s="305">
        <f>'NOV-18 '!I617</f>
        <v>300</v>
      </c>
      <c r="H619" s="51"/>
      <c r="I619" s="17">
        <f t="shared" ref="I619:I659" si="12">G619-H619+J619-K619</f>
        <v>300</v>
      </c>
      <c r="J619" s="142"/>
      <c r="K619" s="300"/>
    </row>
    <row r="620" spans="1:11" ht="44.25">
      <c r="A620" s="11">
        <v>54111</v>
      </c>
      <c r="B620" s="54" t="s">
        <v>709</v>
      </c>
      <c r="C620" s="13"/>
      <c r="D620" s="14" t="s">
        <v>18</v>
      </c>
      <c r="E620" s="14" t="s">
        <v>28</v>
      </c>
      <c r="F620" s="14" t="s">
        <v>27</v>
      </c>
      <c r="G620" s="305">
        <f>'NOV-18 '!I618</f>
        <v>8000</v>
      </c>
      <c r="H620" s="51"/>
      <c r="I620" s="17">
        <f t="shared" si="12"/>
        <v>8000</v>
      </c>
      <c r="J620" s="142"/>
      <c r="K620" s="300"/>
    </row>
    <row r="621" spans="1:11" ht="43.5">
      <c r="A621" s="11">
        <v>54118</v>
      </c>
      <c r="B621" s="54" t="s">
        <v>710</v>
      </c>
      <c r="C621" s="13"/>
      <c r="D621" s="14" t="s">
        <v>18</v>
      </c>
      <c r="E621" s="14" t="s">
        <v>28</v>
      </c>
      <c r="F621" s="14" t="s">
        <v>27</v>
      </c>
      <c r="G621" s="305">
        <f>'NOV-18 '!I619</f>
        <v>5000</v>
      </c>
      <c r="H621" s="51"/>
      <c r="I621" s="17">
        <f t="shared" si="12"/>
        <v>5000</v>
      </c>
      <c r="J621" s="142"/>
      <c r="K621" s="300"/>
    </row>
    <row r="622" spans="1:11" ht="43.5">
      <c r="A622" s="11">
        <v>54313</v>
      </c>
      <c r="B622" s="54" t="s">
        <v>711</v>
      </c>
      <c r="C622" s="13"/>
      <c r="D622" s="14" t="s">
        <v>18</v>
      </c>
      <c r="E622" s="14" t="s">
        <v>28</v>
      </c>
      <c r="F622" s="14" t="s">
        <v>27</v>
      </c>
      <c r="G622" s="305">
        <f>'NOV-18 '!I620</f>
        <v>300</v>
      </c>
      <c r="H622" s="51"/>
      <c r="I622" s="17">
        <f t="shared" si="12"/>
        <v>300</v>
      </c>
      <c r="J622" s="142"/>
      <c r="K622" s="300"/>
    </row>
    <row r="623" spans="1:11" ht="44.25">
      <c r="A623" s="11">
        <v>54399</v>
      </c>
      <c r="B623" s="54" t="s">
        <v>712</v>
      </c>
      <c r="C623" s="13"/>
      <c r="D623" s="14" t="s">
        <v>18</v>
      </c>
      <c r="E623" s="14" t="s">
        <v>28</v>
      </c>
      <c r="F623" s="14" t="s">
        <v>27</v>
      </c>
      <c r="G623" s="305">
        <f>'NOV-18 '!I621</f>
        <v>390</v>
      </c>
      <c r="H623" s="51"/>
      <c r="I623" s="17">
        <f t="shared" si="12"/>
        <v>390</v>
      </c>
      <c r="J623" s="142"/>
      <c r="K623" s="300"/>
    </row>
    <row r="624" spans="1:11" ht="43.5">
      <c r="A624" s="11">
        <v>55603</v>
      </c>
      <c r="B624" s="53" t="s">
        <v>713</v>
      </c>
      <c r="C624" s="13"/>
      <c r="D624" s="14" t="s">
        <v>18</v>
      </c>
      <c r="E624" s="14" t="s">
        <v>28</v>
      </c>
      <c r="F624" s="14" t="s">
        <v>27</v>
      </c>
      <c r="G624" s="305">
        <f>'NOV-18 '!I622</f>
        <v>10</v>
      </c>
      <c r="H624" s="51"/>
      <c r="I624" s="17">
        <f t="shared" si="12"/>
        <v>10</v>
      </c>
      <c r="J624" s="142"/>
      <c r="K624" s="300"/>
    </row>
    <row r="625" spans="1:11" ht="59.25">
      <c r="A625" s="141" t="s">
        <v>408</v>
      </c>
      <c r="B625" s="53" t="s">
        <v>714</v>
      </c>
      <c r="C625" s="13"/>
      <c r="D625" s="14"/>
      <c r="E625" s="14"/>
      <c r="F625" s="14"/>
      <c r="G625" s="305">
        <f>'NOV-18 '!I623</f>
        <v>0</v>
      </c>
      <c r="H625" s="51"/>
      <c r="I625" s="17"/>
      <c r="J625" s="56"/>
      <c r="K625" s="56"/>
    </row>
    <row r="626" spans="1:11" ht="29.25">
      <c r="A626" s="11">
        <v>51202</v>
      </c>
      <c r="B626" s="54" t="s">
        <v>715</v>
      </c>
      <c r="C626" s="13"/>
      <c r="D626" s="14" t="s">
        <v>18</v>
      </c>
      <c r="E626" s="14" t="s">
        <v>28</v>
      </c>
      <c r="F626" s="14" t="s">
        <v>27</v>
      </c>
      <c r="G626" s="305">
        <f>'NOV-18 '!I624</f>
        <v>6000</v>
      </c>
      <c r="H626" s="51"/>
      <c r="I626" s="17">
        <f t="shared" si="12"/>
        <v>6000</v>
      </c>
      <c r="J626" s="142"/>
      <c r="K626" s="142"/>
    </row>
    <row r="627" spans="1:11" ht="29.25">
      <c r="A627" s="11">
        <v>54110</v>
      </c>
      <c r="B627" s="54" t="s">
        <v>716</v>
      </c>
      <c r="C627" s="13"/>
      <c r="D627" s="14" t="s">
        <v>18</v>
      </c>
      <c r="E627" s="14" t="s">
        <v>28</v>
      </c>
      <c r="F627" s="14" t="s">
        <v>27</v>
      </c>
      <c r="G627" s="305">
        <f>'NOV-18 '!I625</f>
        <v>300</v>
      </c>
      <c r="H627" s="51"/>
      <c r="I627" s="17">
        <f t="shared" si="12"/>
        <v>300</v>
      </c>
      <c r="J627" s="142"/>
      <c r="K627" s="142"/>
    </row>
    <row r="628" spans="1:11" ht="44.25">
      <c r="A628" s="11">
        <v>54111</v>
      </c>
      <c r="B628" s="54" t="s">
        <v>717</v>
      </c>
      <c r="C628" s="13"/>
      <c r="D628" s="14" t="s">
        <v>18</v>
      </c>
      <c r="E628" s="14" t="s">
        <v>28</v>
      </c>
      <c r="F628" s="14" t="s">
        <v>27</v>
      </c>
      <c r="G628" s="305">
        <f>'NOV-18 '!I626</f>
        <v>8000</v>
      </c>
      <c r="H628" s="51"/>
      <c r="I628" s="17">
        <f t="shared" si="12"/>
        <v>8000</v>
      </c>
      <c r="J628" s="142"/>
      <c r="K628" s="142"/>
    </row>
    <row r="629" spans="1:11" ht="43.5">
      <c r="A629" s="11">
        <v>54112</v>
      </c>
      <c r="B629" s="53" t="s">
        <v>718</v>
      </c>
      <c r="C629" s="13"/>
      <c r="D629" s="14" t="s">
        <v>18</v>
      </c>
      <c r="E629" s="14" t="s">
        <v>28</v>
      </c>
      <c r="F629" s="14" t="s">
        <v>27</v>
      </c>
      <c r="G629" s="305">
        <f>'NOV-18 '!I627</f>
        <v>4500</v>
      </c>
      <c r="H629" s="51"/>
      <c r="I629" s="17">
        <f t="shared" si="12"/>
        <v>4500</v>
      </c>
      <c r="J629" s="142"/>
      <c r="K629" s="142"/>
    </row>
    <row r="630" spans="1:11" ht="29.25">
      <c r="A630" s="11">
        <v>54118</v>
      </c>
      <c r="B630" s="54" t="s">
        <v>719</v>
      </c>
      <c r="C630" s="13"/>
      <c r="D630" s="14" t="s">
        <v>18</v>
      </c>
      <c r="E630" s="14" t="s">
        <v>28</v>
      </c>
      <c r="F630" s="14" t="s">
        <v>27</v>
      </c>
      <c r="G630" s="305">
        <f>'NOV-18 '!I628</f>
        <v>300</v>
      </c>
      <c r="H630" s="51"/>
      <c r="I630" s="17">
        <f t="shared" si="12"/>
        <v>300</v>
      </c>
      <c r="J630" s="142"/>
      <c r="K630" s="142"/>
    </row>
    <row r="631" spans="1:11" ht="44.25">
      <c r="A631" s="11">
        <v>54313</v>
      </c>
      <c r="B631" s="54" t="s">
        <v>720</v>
      </c>
      <c r="C631" s="13"/>
      <c r="D631" s="14" t="s">
        <v>18</v>
      </c>
      <c r="E631" s="14" t="s">
        <v>28</v>
      </c>
      <c r="F631" s="14" t="s">
        <v>27</v>
      </c>
      <c r="G631" s="305">
        <f>'NOV-18 '!I629</f>
        <v>390</v>
      </c>
      <c r="H631" s="51"/>
      <c r="I631" s="17">
        <f t="shared" si="12"/>
        <v>390</v>
      </c>
      <c r="J631" s="142"/>
      <c r="K631" s="142"/>
    </row>
    <row r="632" spans="1:11" ht="44.25">
      <c r="A632" s="11">
        <v>54399</v>
      </c>
      <c r="B632" s="53" t="s">
        <v>721</v>
      </c>
      <c r="C632" s="13"/>
      <c r="D632" s="14" t="s">
        <v>18</v>
      </c>
      <c r="E632" s="14" t="s">
        <v>28</v>
      </c>
      <c r="F632" s="14" t="s">
        <v>27</v>
      </c>
      <c r="G632" s="305">
        <f>'NOV-18 '!I630</f>
        <v>500</v>
      </c>
      <c r="H632" s="51"/>
      <c r="I632" s="17">
        <f t="shared" si="12"/>
        <v>500</v>
      </c>
      <c r="J632" s="142"/>
      <c r="K632" s="142"/>
    </row>
    <row r="633" spans="1:11" ht="29.25">
      <c r="A633" s="11">
        <v>55603</v>
      </c>
      <c r="B633" s="53" t="s">
        <v>722</v>
      </c>
      <c r="C633" s="13"/>
      <c r="D633" s="14" t="s">
        <v>18</v>
      </c>
      <c r="E633" s="14" t="s">
        <v>28</v>
      </c>
      <c r="F633" s="14" t="s">
        <v>27</v>
      </c>
      <c r="G633" s="305">
        <f>'NOV-18 '!I631</f>
        <v>10</v>
      </c>
      <c r="H633" s="51"/>
      <c r="I633" s="17">
        <f t="shared" si="12"/>
        <v>10</v>
      </c>
      <c r="J633" s="142"/>
      <c r="K633" s="142"/>
    </row>
    <row r="634" spans="1:11" ht="89.25">
      <c r="A634" s="141" t="s">
        <v>418</v>
      </c>
      <c r="B634" s="53" t="s">
        <v>723</v>
      </c>
      <c r="C634" s="13"/>
      <c r="D634" s="14"/>
      <c r="E634" s="14"/>
      <c r="F634" s="14"/>
      <c r="G634" s="305">
        <f>'NOV-18 '!I632</f>
        <v>0</v>
      </c>
      <c r="H634" s="51"/>
      <c r="I634" s="17"/>
      <c r="J634" s="56"/>
      <c r="K634" s="56"/>
    </row>
    <row r="635" spans="1:11" ht="29.25">
      <c r="A635" s="11">
        <v>51202</v>
      </c>
      <c r="B635" s="53" t="s">
        <v>724</v>
      </c>
      <c r="C635" s="13"/>
      <c r="D635" s="14" t="s">
        <v>18</v>
      </c>
      <c r="E635" s="14" t="s">
        <v>28</v>
      </c>
      <c r="F635" s="14" t="s">
        <v>27</v>
      </c>
      <c r="G635" s="305">
        <f>'NOV-18 '!I633</f>
        <v>0</v>
      </c>
      <c r="H635" s="51"/>
      <c r="I635" s="17">
        <f t="shared" si="12"/>
        <v>0</v>
      </c>
      <c r="J635" s="56"/>
      <c r="K635" s="337"/>
    </row>
    <row r="636" spans="1:11" ht="29.25">
      <c r="A636" s="11">
        <v>54110</v>
      </c>
      <c r="B636" s="53" t="s">
        <v>725</v>
      </c>
      <c r="C636" s="13"/>
      <c r="D636" s="14" t="s">
        <v>18</v>
      </c>
      <c r="E636" s="14" t="s">
        <v>28</v>
      </c>
      <c r="F636" s="14" t="s">
        <v>27</v>
      </c>
      <c r="G636" s="305">
        <f>'NOV-18 '!I634</f>
        <v>0</v>
      </c>
      <c r="H636" s="51"/>
      <c r="I636" s="17">
        <f t="shared" si="12"/>
        <v>0</v>
      </c>
      <c r="J636" s="56"/>
      <c r="K636" s="337"/>
    </row>
    <row r="637" spans="1:11" ht="29.25">
      <c r="A637" s="11">
        <v>54111</v>
      </c>
      <c r="B637" s="53" t="s">
        <v>726</v>
      </c>
      <c r="C637" s="13"/>
      <c r="D637" s="14" t="s">
        <v>18</v>
      </c>
      <c r="E637" s="14" t="s">
        <v>28</v>
      </c>
      <c r="F637" s="14" t="s">
        <v>27</v>
      </c>
      <c r="G637" s="305">
        <f>'NOV-18 '!I635</f>
        <v>0</v>
      </c>
      <c r="H637" s="51"/>
      <c r="I637" s="17">
        <f t="shared" si="12"/>
        <v>0</v>
      </c>
      <c r="J637" s="56"/>
      <c r="K637" s="337"/>
    </row>
    <row r="638" spans="1:11" ht="29.25">
      <c r="A638" s="11">
        <v>54118</v>
      </c>
      <c r="B638" s="53" t="s">
        <v>727</v>
      </c>
      <c r="C638" s="13"/>
      <c r="D638" s="14" t="s">
        <v>18</v>
      </c>
      <c r="E638" s="14" t="s">
        <v>28</v>
      </c>
      <c r="F638" s="14" t="s">
        <v>27</v>
      </c>
      <c r="G638" s="305">
        <f>'NOV-18 '!I636</f>
        <v>0</v>
      </c>
      <c r="H638" s="51"/>
      <c r="I638" s="17">
        <f t="shared" si="12"/>
        <v>0</v>
      </c>
      <c r="J638" s="56"/>
      <c r="K638" s="337"/>
    </row>
    <row r="639" spans="1:11" ht="29.25">
      <c r="A639" s="11">
        <v>54313</v>
      </c>
      <c r="B639" s="53" t="s">
        <v>728</v>
      </c>
      <c r="C639" s="13"/>
      <c r="D639" s="14" t="s">
        <v>18</v>
      </c>
      <c r="E639" s="14" t="s">
        <v>28</v>
      </c>
      <c r="F639" s="14" t="s">
        <v>27</v>
      </c>
      <c r="G639" s="305">
        <f>'NOV-18 '!I637</f>
        <v>0</v>
      </c>
      <c r="H639" s="51"/>
      <c r="I639" s="17">
        <f t="shared" si="12"/>
        <v>0</v>
      </c>
      <c r="J639" s="56"/>
      <c r="K639" s="337"/>
    </row>
    <row r="640" spans="1:11" ht="30">
      <c r="A640" s="11">
        <v>54399</v>
      </c>
      <c r="B640" s="53" t="s">
        <v>729</v>
      </c>
      <c r="C640" s="13"/>
      <c r="D640" s="14" t="s">
        <v>18</v>
      </c>
      <c r="E640" s="14" t="s">
        <v>28</v>
      </c>
      <c r="F640" s="14" t="s">
        <v>27</v>
      </c>
      <c r="G640" s="305">
        <f>'NOV-18 '!I638</f>
        <v>0</v>
      </c>
      <c r="H640" s="51"/>
      <c r="I640" s="17">
        <f t="shared" si="12"/>
        <v>0</v>
      </c>
      <c r="J640" s="56"/>
      <c r="K640" s="337"/>
    </row>
    <row r="641" spans="1:11" ht="29.25">
      <c r="A641" s="11">
        <v>55603</v>
      </c>
      <c r="B641" s="53" t="s">
        <v>730</v>
      </c>
      <c r="C641" s="13"/>
      <c r="D641" s="14" t="s">
        <v>18</v>
      </c>
      <c r="E641" s="14" t="s">
        <v>28</v>
      </c>
      <c r="F641" s="14" t="s">
        <v>27</v>
      </c>
      <c r="G641" s="305">
        <f>'NOV-18 '!I639</f>
        <v>0</v>
      </c>
      <c r="H641" s="51"/>
      <c r="I641" s="17">
        <f t="shared" si="12"/>
        <v>0</v>
      </c>
      <c r="J641" s="56"/>
      <c r="K641" s="337"/>
    </row>
    <row r="642" spans="1:11" ht="90">
      <c r="A642" s="141" t="s">
        <v>429</v>
      </c>
      <c r="B642" s="53" t="s">
        <v>1176</v>
      </c>
      <c r="C642" s="13"/>
      <c r="D642" s="14"/>
      <c r="E642" s="14"/>
      <c r="F642" s="14"/>
      <c r="G642" s="305">
        <f>'NOV-18 '!I640</f>
        <v>0</v>
      </c>
      <c r="H642" s="51"/>
      <c r="I642" s="17"/>
      <c r="J642" s="56"/>
      <c r="K642" s="56"/>
    </row>
    <row r="643" spans="1:11">
      <c r="A643" s="11">
        <v>51202</v>
      </c>
      <c r="B643" s="53" t="s">
        <v>732</v>
      </c>
      <c r="C643" s="13"/>
      <c r="D643" s="14" t="s">
        <v>18</v>
      </c>
      <c r="E643" s="14" t="s">
        <v>28</v>
      </c>
      <c r="F643" s="14" t="s">
        <v>27</v>
      </c>
      <c r="G643" s="305">
        <f>'NOV-18 '!I641</f>
        <v>12190</v>
      </c>
      <c r="H643" s="51"/>
      <c r="I643" s="17">
        <f t="shared" si="12"/>
        <v>12190</v>
      </c>
      <c r="J643" s="56"/>
      <c r="K643" s="56"/>
    </row>
    <row r="644" spans="1:11" ht="29.25">
      <c r="A644" s="11">
        <v>54110</v>
      </c>
      <c r="B644" s="53" t="s">
        <v>733</v>
      </c>
      <c r="C644" s="13"/>
      <c r="D644" s="14" t="s">
        <v>18</v>
      </c>
      <c r="E644" s="14" t="s">
        <v>28</v>
      </c>
      <c r="F644" s="14" t="s">
        <v>27</v>
      </c>
      <c r="G644" s="305">
        <f>'NOV-18 '!I642</f>
        <v>300</v>
      </c>
      <c r="H644" s="51"/>
      <c r="I644" s="17">
        <f t="shared" si="12"/>
        <v>300</v>
      </c>
      <c r="J644" s="56"/>
      <c r="K644" s="56"/>
    </row>
    <row r="645" spans="1:11" ht="29.25">
      <c r="A645" s="11">
        <v>54111</v>
      </c>
      <c r="B645" s="53" t="s">
        <v>734</v>
      </c>
      <c r="C645" s="13"/>
      <c r="D645" s="14" t="s">
        <v>18</v>
      </c>
      <c r="E645" s="14" t="s">
        <v>28</v>
      </c>
      <c r="F645" s="14" t="s">
        <v>27</v>
      </c>
      <c r="G645" s="305">
        <f>'NOV-18 '!I643</f>
        <v>15000</v>
      </c>
      <c r="H645" s="51"/>
      <c r="I645" s="17">
        <f t="shared" si="12"/>
        <v>15000</v>
      </c>
      <c r="J645" s="56"/>
      <c r="K645" s="56"/>
    </row>
    <row r="646" spans="1:11" ht="29.25">
      <c r="A646" s="11">
        <v>54112</v>
      </c>
      <c r="B646" s="53" t="s">
        <v>735</v>
      </c>
      <c r="C646" s="13"/>
      <c r="D646" s="14" t="s">
        <v>18</v>
      </c>
      <c r="E646" s="14" t="s">
        <v>28</v>
      </c>
      <c r="F646" s="14" t="s">
        <v>27</v>
      </c>
      <c r="G646" s="305">
        <f>'NOV-18 '!I644</f>
        <v>8000</v>
      </c>
      <c r="H646" s="51"/>
      <c r="I646" s="17">
        <f t="shared" si="12"/>
        <v>8000</v>
      </c>
      <c r="J646" s="56"/>
      <c r="K646" s="56"/>
    </row>
    <row r="647" spans="1:11" ht="29.25">
      <c r="A647" s="11">
        <v>54118</v>
      </c>
      <c r="B647" s="53" t="s">
        <v>736</v>
      </c>
      <c r="C647" s="13"/>
      <c r="D647" s="14" t="s">
        <v>18</v>
      </c>
      <c r="E647" s="14" t="s">
        <v>28</v>
      </c>
      <c r="F647" s="14" t="s">
        <v>27</v>
      </c>
      <c r="G647" s="305">
        <f>'NOV-18 '!I645</f>
        <v>7000</v>
      </c>
      <c r="H647" s="51"/>
      <c r="I647" s="17">
        <f t="shared" si="12"/>
        <v>7000</v>
      </c>
      <c r="J647" s="56"/>
      <c r="K647" s="56"/>
    </row>
    <row r="648" spans="1:11" ht="29.25">
      <c r="A648" s="11">
        <v>54304</v>
      </c>
      <c r="B648" s="53" t="s">
        <v>737</v>
      </c>
      <c r="C648" s="13"/>
      <c r="D648" s="14" t="s">
        <v>18</v>
      </c>
      <c r="E648" s="14" t="s">
        <v>28</v>
      </c>
      <c r="F648" s="14" t="s">
        <v>27</v>
      </c>
      <c r="G648" s="305">
        <f>'NOV-18 '!I646</f>
        <v>2000</v>
      </c>
      <c r="H648" s="51"/>
      <c r="I648" s="17">
        <f t="shared" si="12"/>
        <v>2000</v>
      </c>
      <c r="J648" s="56"/>
      <c r="K648" s="56"/>
    </row>
    <row r="649" spans="1:11" ht="30">
      <c r="A649" s="11">
        <v>54313</v>
      </c>
      <c r="B649" s="53" t="s">
        <v>738</v>
      </c>
      <c r="C649" s="13"/>
      <c r="D649" s="14" t="s">
        <v>18</v>
      </c>
      <c r="E649" s="14" t="s">
        <v>28</v>
      </c>
      <c r="F649" s="14" t="s">
        <v>27</v>
      </c>
      <c r="G649" s="305">
        <f>'NOV-18 '!I647</f>
        <v>300</v>
      </c>
      <c r="H649" s="51"/>
      <c r="I649" s="17">
        <f t="shared" si="12"/>
        <v>300</v>
      </c>
      <c r="J649" s="56"/>
      <c r="K649" s="56"/>
    </row>
    <row r="650" spans="1:11" ht="29.25">
      <c r="A650" s="11">
        <v>54399</v>
      </c>
      <c r="B650" s="53" t="s">
        <v>739</v>
      </c>
      <c r="C650" s="13"/>
      <c r="D650" s="14" t="s">
        <v>18</v>
      </c>
      <c r="E650" s="14" t="s">
        <v>28</v>
      </c>
      <c r="F650" s="14" t="s">
        <v>27</v>
      </c>
      <c r="G650" s="305">
        <f>'NOV-18 '!I648</f>
        <v>200</v>
      </c>
      <c r="H650" s="51"/>
      <c r="I650" s="17">
        <f t="shared" si="12"/>
        <v>200</v>
      </c>
      <c r="J650" s="56"/>
      <c r="K650" s="56"/>
    </row>
    <row r="651" spans="1:11" ht="29.25">
      <c r="A651" s="11">
        <v>55603</v>
      </c>
      <c r="B651" s="53" t="s">
        <v>740</v>
      </c>
      <c r="C651" s="13"/>
      <c r="D651" s="14" t="s">
        <v>18</v>
      </c>
      <c r="E651" s="14" t="s">
        <v>28</v>
      </c>
      <c r="F651" s="14" t="s">
        <v>27</v>
      </c>
      <c r="G651" s="305">
        <f>'NOV-18 '!I649</f>
        <v>10</v>
      </c>
      <c r="H651" s="51"/>
      <c r="I651" s="17">
        <f t="shared" si="12"/>
        <v>10</v>
      </c>
      <c r="J651" s="56"/>
      <c r="K651" s="56"/>
    </row>
    <row r="652" spans="1:11" ht="75">
      <c r="A652" s="144" t="s">
        <v>437</v>
      </c>
      <c r="B652" s="53" t="s">
        <v>742</v>
      </c>
      <c r="C652" s="13"/>
      <c r="D652" s="14"/>
      <c r="E652" s="14"/>
      <c r="F652" s="14"/>
      <c r="G652" s="305">
        <f>'NOV-18 '!I650</f>
        <v>0</v>
      </c>
      <c r="H652" s="51"/>
      <c r="I652" s="17"/>
      <c r="J652" s="56"/>
      <c r="K652" s="56"/>
    </row>
    <row r="653" spans="1:11" ht="29.25">
      <c r="A653" s="11">
        <v>51202</v>
      </c>
      <c r="B653" s="53" t="s">
        <v>743</v>
      </c>
      <c r="C653" s="13"/>
      <c r="D653" s="14" t="s">
        <v>18</v>
      </c>
      <c r="E653" s="14" t="s">
        <v>28</v>
      </c>
      <c r="F653" s="14" t="s">
        <v>27</v>
      </c>
      <c r="G653" s="305">
        <f>'NOV-18 '!I651</f>
        <v>0</v>
      </c>
      <c r="H653" s="51"/>
      <c r="I653" s="17">
        <f t="shared" si="12"/>
        <v>0</v>
      </c>
      <c r="J653" s="56"/>
      <c r="K653" s="337"/>
    </row>
    <row r="654" spans="1:11" ht="29.25">
      <c r="A654" s="11">
        <v>54110</v>
      </c>
      <c r="B654" s="53" t="s">
        <v>744</v>
      </c>
      <c r="C654" s="13"/>
      <c r="D654" s="14" t="s">
        <v>18</v>
      </c>
      <c r="E654" s="14" t="s">
        <v>28</v>
      </c>
      <c r="F654" s="14" t="s">
        <v>27</v>
      </c>
      <c r="G654" s="305">
        <f>'NOV-18 '!I652</f>
        <v>0</v>
      </c>
      <c r="H654" s="51"/>
      <c r="I654" s="17">
        <f t="shared" si="12"/>
        <v>0</v>
      </c>
      <c r="J654" s="56"/>
      <c r="K654" s="337"/>
    </row>
    <row r="655" spans="1:11" ht="43.5">
      <c r="A655" s="11">
        <v>54111</v>
      </c>
      <c r="B655" s="53" t="s">
        <v>745</v>
      </c>
      <c r="C655" s="13"/>
      <c r="D655" s="14" t="s">
        <v>18</v>
      </c>
      <c r="E655" s="14" t="s">
        <v>28</v>
      </c>
      <c r="F655" s="14" t="s">
        <v>27</v>
      </c>
      <c r="G655" s="305">
        <f>'NOV-18 '!I653</f>
        <v>0</v>
      </c>
      <c r="H655" s="51"/>
      <c r="I655" s="17">
        <f t="shared" si="12"/>
        <v>0</v>
      </c>
      <c r="J655" s="56"/>
      <c r="K655" s="337"/>
    </row>
    <row r="656" spans="1:11" ht="43.5">
      <c r="A656" s="11">
        <v>54118</v>
      </c>
      <c r="B656" s="53" t="s">
        <v>746</v>
      </c>
      <c r="C656" s="13"/>
      <c r="D656" s="14" t="s">
        <v>18</v>
      </c>
      <c r="E656" s="14" t="s">
        <v>28</v>
      </c>
      <c r="F656" s="14" t="s">
        <v>27</v>
      </c>
      <c r="G656" s="305">
        <f>'NOV-18 '!I654</f>
        <v>0</v>
      </c>
      <c r="H656" s="51"/>
      <c r="I656" s="17">
        <f t="shared" si="12"/>
        <v>0</v>
      </c>
      <c r="J656" s="56"/>
      <c r="K656" s="300"/>
    </row>
    <row r="657" spans="1:11" ht="43.5">
      <c r="A657" s="11">
        <v>54313</v>
      </c>
      <c r="B657" s="53" t="s">
        <v>747</v>
      </c>
      <c r="C657" s="13"/>
      <c r="D657" s="14" t="s">
        <v>18</v>
      </c>
      <c r="E657" s="14" t="s">
        <v>28</v>
      </c>
      <c r="F657" s="14" t="s">
        <v>27</v>
      </c>
      <c r="G657" s="305">
        <f>'NOV-18 '!I655</f>
        <v>0</v>
      </c>
      <c r="H657" s="51"/>
      <c r="I657" s="17">
        <f t="shared" si="12"/>
        <v>0</v>
      </c>
      <c r="J657" s="56"/>
      <c r="K657" s="337"/>
    </row>
    <row r="658" spans="1:11" ht="44.25">
      <c r="A658" s="11">
        <v>54399</v>
      </c>
      <c r="B658" s="53" t="s">
        <v>748</v>
      </c>
      <c r="C658" s="13"/>
      <c r="D658" s="14" t="s">
        <v>18</v>
      </c>
      <c r="E658" s="14" t="s">
        <v>28</v>
      </c>
      <c r="F658" s="14" t="s">
        <v>27</v>
      </c>
      <c r="G658" s="305">
        <f>'NOV-18 '!I656</f>
        <v>0</v>
      </c>
      <c r="H658" s="51"/>
      <c r="I658" s="17">
        <f t="shared" si="12"/>
        <v>0</v>
      </c>
      <c r="J658" s="56"/>
      <c r="K658" s="337"/>
    </row>
    <row r="659" spans="1:11" ht="29.25">
      <c r="A659" s="11">
        <v>55603</v>
      </c>
      <c r="B659" s="53" t="s">
        <v>749</v>
      </c>
      <c r="C659" s="13"/>
      <c r="D659" s="14" t="s">
        <v>18</v>
      </c>
      <c r="E659" s="14" t="s">
        <v>28</v>
      </c>
      <c r="F659" s="14" t="s">
        <v>27</v>
      </c>
      <c r="G659" s="305">
        <f>'NOV-18 '!I657</f>
        <v>0</v>
      </c>
      <c r="H659" s="51"/>
      <c r="I659" s="17">
        <f t="shared" si="12"/>
        <v>0</v>
      </c>
      <c r="J659" s="56"/>
      <c r="K659" s="142"/>
    </row>
    <row r="660" spans="1:11">
      <c r="A660" s="11"/>
      <c r="B660" s="54"/>
      <c r="C660" s="13"/>
      <c r="D660" s="14"/>
      <c r="E660" s="14"/>
      <c r="F660" s="14"/>
      <c r="G660" s="305">
        <f>'NOV-18 '!I658</f>
        <v>0</v>
      </c>
      <c r="H660" s="51"/>
      <c r="I660" s="17"/>
      <c r="J660" s="56"/>
      <c r="K660" s="56"/>
    </row>
    <row r="661" spans="1:11" ht="60">
      <c r="A661" s="141" t="s">
        <v>443</v>
      </c>
      <c r="B661" s="53" t="s">
        <v>750</v>
      </c>
      <c r="C661" s="13"/>
      <c r="D661" s="14"/>
      <c r="E661" s="14"/>
      <c r="F661" s="14"/>
      <c r="G661" s="305">
        <f>'NOV-18 '!I659</f>
        <v>0</v>
      </c>
      <c r="H661" s="51"/>
      <c r="I661" s="17"/>
      <c r="J661" s="56"/>
      <c r="K661" s="56"/>
    </row>
    <row r="662" spans="1:11" ht="29.25">
      <c r="A662" s="11">
        <v>51202</v>
      </c>
      <c r="B662" s="53" t="s">
        <v>741</v>
      </c>
      <c r="C662" s="13"/>
      <c r="D662" s="14" t="s">
        <v>18</v>
      </c>
      <c r="E662" s="14" t="s">
        <v>28</v>
      </c>
      <c r="F662" s="14" t="s">
        <v>27</v>
      </c>
      <c r="G662" s="305">
        <f>'NOV-18 '!I660</f>
        <v>3000</v>
      </c>
      <c r="H662" s="51"/>
      <c r="I662" s="17">
        <f t="shared" ref="I662:I728" si="13">G662-H662+J662-K662</f>
        <v>3000</v>
      </c>
      <c r="J662" s="56"/>
      <c r="K662" s="56"/>
    </row>
    <row r="663" spans="1:11" ht="29.25">
      <c r="A663" s="11">
        <v>54110</v>
      </c>
      <c r="B663" s="53" t="s">
        <v>751</v>
      </c>
      <c r="C663" s="13"/>
      <c r="D663" s="14" t="s">
        <v>18</v>
      </c>
      <c r="E663" s="14" t="s">
        <v>28</v>
      </c>
      <c r="F663" s="14" t="s">
        <v>27</v>
      </c>
      <c r="G663" s="305">
        <f>'NOV-18 '!I661</f>
        <v>100</v>
      </c>
      <c r="H663" s="51"/>
      <c r="I663" s="17">
        <f t="shared" si="13"/>
        <v>100</v>
      </c>
      <c r="J663" s="56"/>
      <c r="K663" s="56"/>
    </row>
    <row r="664" spans="1:11" ht="43.5">
      <c r="A664" s="11">
        <v>54111</v>
      </c>
      <c r="B664" s="53" t="s">
        <v>752</v>
      </c>
      <c r="C664" s="13"/>
      <c r="D664" s="14" t="s">
        <v>18</v>
      </c>
      <c r="E664" s="14" t="s">
        <v>28</v>
      </c>
      <c r="F664" s="14" t="s">
        <v>27</v>
      </c>
      <c r="G664" s="305">
        <f>'NOV-18 '!I662</f>
        <v>2000</v>
      </c>
      <c r="H664" s="51"/>
      <c r="I664" s="17">
        <f t="shared" si="13"/>
        <v>2000</v>
      </c>
      <c r="J664" s="56"/>
      <c r="K664" s="56"/>
    </row>
    <row r="665" spans="1:11" ht="29.25">
      <c r="A665" s="11">
        <v>54118</v>
      </c>
      <c r="B665" s="53" t="s">
        <v>753</v>
      </c>
      <c r="C665" s="13"/>
      <c r="D665" s="14" t="s">
        <v>18</v>
      </c>
      <c r="E665" s="14" t="s">
        <v>28</v>
      </c>
      <c r="F665" s="14" t="s">
        <v>27</v>
      </c>
      <c r="G665" s="305">
        <f>'NOV-18 '!I663</f>
        <v>290</v>
      </c>
      <c r="H665" s="51"/>
      <c r="I665" s="17">
        <f t="shared" si="13"/>
        <v>290</v>
      </c>
      <c r="J665" s="56"/>
      <c r="K665" s="56"/>
    </row>
    <row r="666" spans="1:11" ht="29.25">
      <c r="A666" s="11">
        <v>54304</v>
      </c>
      <c r="B666" s="53" t="s">
        <v>754</v>
      </c>
      <c r="C666" s="13"/>
      <c r="D666" s="14" t="s">
        <v>18</v>
      </c>
      <c r="E666" s="14" t="s">
        <v>28</v>
      </c>
      <c r="F666" s="14" t="s">
        <v>27</v>
      </c>
      <c r="G666" s="305">
        <f>'NOV-18 '!I664</f>
        <v>100</v>
      </c>
      <c r="H666" s="51"/>
      <c r="I666" s="17">
        <f t="shared" si="13"/>
        <v>100</v>
      </c>
      <c r="J666" s="56"/>
      <c r="K666" s="56"/>
    </row>
    <row r="667" spans="1:11" ht="29.25">
      <c r="A667" s="11">
        <v>54313</v>
      </c>
      <c r="B667" s="53" t="s">
        <v>755</v>
      </c>
      <c r="C667" s="13"/>
      <c r="D667" s="14" t="s">
        <v>18</v>
      </c>
      <c r="E667" s="14" t="s">
        <v>28</v>
      </c>
      <c r="F667" s="14" t="s">
        <v>27</v>
      </c>
      <c r="G667" s="305">
        <f>'NOV-18 '!I665</f>
        <v>300</v>
      </c>
      <c r="H667" s="17"/>
      <c r="I667" s="17">
        <f t="shared" si="13"/>
        <v>300</v>
      </c>
      <c r="J667" s="56"/>
      <c r="K667" s="56"/>
    </row>
    <row r="668" spans="1:11" ht="43.5">
      <c r="A668" s="11">
        <v>54399</v>
      </c>
      <c r="B668" s="53" t="s">
        <v>756</v>
      </c>
      <c r="C668" s="13"/>
      <c r="D668" s="14" t="s">
        <v>18</v>
      </c>
      <c r="E668" s="14" t="s">
        <v>28</v>
      </c>
      <c r="F668" s="14" t="s">
        <v>27</v>
      </c>
      <c r="G668" s="305">
        <f>'NOV-18 '!I666</f>
        <v>200</v>
      </c>
      <c r="H668" s="51"/>
      <c r="I668" s="17">
        <f t="shared" si="13"/>
        <v>200</v>
      </c>
      <c r="J668" s="56"/>
      <c r="K668" s="56"/>
    </row>
    <row r="669" spans="1:11" ht="29.25">
      <c r="A669" s="11">
        <v>55603</v>
      </c>
      <c r="B669" s="53" t="s">
        <v>757</v>
      </c>
      <c r="C669" s="13"/>
      <c r="D669" s="14" t="s">
        <v>18</v>
      </c>
      <c r="E669" s="14" t="s">
        <v>28</v>
      </c>
      <c r="F669" s="14" t="s">
        <v>27</v>
      </c>
      <c r="G669" s="305">
        <f>'NOV-18 '!I667</f>
        <v>10</v>
      </c>
      <c r="H669" s="51"/>
      <c r="I669" s="17">
        <f t="shared" si="13"/>
        <v>10</v>
      </c>
      <c r="J669" s="56"/>
      <c r="K669" s="56"/>
    </row>
    <row r="670" spans="1:11" ht="60">
      <c r="A670" s="141" t="s">
        <v>451</v>
      </c>
      <c r="B670" s="53" t="s">
        <v>758</v>
      </c>
      <c r="C670" s="13"/>
      <c r="D670" s="14"/>
      <c r="E670" s="14"/>
      <c r="F670" s="14"/>
      <c r="G670" s="305">
        <f>'NOV-18 '!I668</f>
        <v>0</v>
      </c>
      <c r="H670" s="51"/>
      <c r="I670" s="17"/>
      <c r="J670" s="56"/>
      <c r="K670" s="56"/>
    </row>
    <row r="671" spans="1:11" ht="29.25">
      <c r="A671" s="11">
        <v>51202</v>
      </c>
      <c r="B671" s="54" t="s">
        <v>759</v>
      </c>
      <c r="C671" s="13"/>
      <c r="D671" s="14" t="s">
        <v>18</v>
      </c>
      <c r="E671" s="14" t="s">
        <v>28</v>
      </c>
      <c r="F671" s="14" t="s">
        <v>27</v>
      </c>
      <c r="G671" s="305">
        <f>'NOV-18 '!I669</f>
        <v>0</v>
      </c>
      <c r="H671" s="51"/>
      <c r="I671" s="17">
        <f t="shared" si="13"/>
        <v>0</v>
      </c>
      <c r="J671" s="56"/>
      <c r="K671" s="142"/>
    </row>
    <row r="672" spans="1:11" ht="29.25">
      <c r="A672" s="11">
        <v>54110</v>
      </c>
      <c r="B672" s="54" t="s">
        <v>760</v>
      </c>
      <c r="C672" s="13"/>
      <c r="D672" s="14" t="s">
        <v>18</v>
      </c>
      <c r="E672" s="14" t="s">
        <v>28</v>
      </c>
      <c r="F672" s="14" t="s">
        <v>27</v>
      </c>
      <c r="G672" s="305">
        <f>'NOV-18 '!I670</f>
        <v>0</v>
      </c>
      <c r="H672" s="51"/>
      <c r="I672" s="17">
        <f t="shared" si="13"/>
        <v>0</v>
      </c>
      <c r="J672" s="56"/>
      <c r="K672" s="142"/>
    </row>
    <row r="673" spans="1:11" ht="41.25" customHeight="1">
      <c r="A673" s="11">
        <v>54111</v>
      </c>
      <c r="B673" s="54" t="s">
        <v>761</v>
      </c>
      <c r="C673" s="13"/>
      <c r="D673" s="14" t="s">
        <v>18</v>
      </c>
      <c r="E673" s="14" t="s">
        <v>28</v>
      </c>
      <c r="F673" s="14" t="s">
        <v>27</v>
      </c>
      <c r="G673" s="305">
        <f>'NOV-18 '!I671</f>
        <v>0</v>
      </c>
      <c r="H673" s="51"/>
      <c r="I673" s="17">
        <f t="shared" si="13"/>
        <v>0</v>
      </c>
      <c r="J673" s="56"/>
      <c r="K673" s="142"/>
    </row>
    <row r="674" spans="1:11" ht="30" customHeight="1">
      <c r="A674" s="11">
        <v>54118</v>
      </c>
      <c r="B674" s="54" t="s">
        <v>762</v>
      </c>
      <c r="C674" s="13"/>
      <c r="D674" s="14" t="s">
        <v>18</v>
      </c>
      <c r="E674" s="14" t="s">
        <v>28</v>
      </c>
      <c r="F674" s="14" t="s">
        <v>27</v>
      </c>
      <c r="G674" s="305">
        <f>'NOV-18 '!I672</f>
        <v>0</v>
      </c>
      <c r="H674" s="51"/>
      <c r="I674" s="17">
        <f t="shared" si="13"/>
        <v>0</v>
      </c>
      <c r="J674" s="56"/>
      <c r="K674" s="142"/>
    </row>
    <row r="675" spans="1:11" ht="29.25">
      <c r="A675" s="11">
        <v>54313</v>
      </c>
      <c r="B675" s="54" t="s">
        <v>763</v>
      </c>
      <c r="C675" s="13"/>
      <c r="D675" s="14" t="s">
        <v>18</v>
      </c>
      <c r="E675" s="14" t="s">
        <v>28</v>
      </c>
      <c r="F675" s="14" t="s">
        <v>27</v>
      </c>
      <c r="G675" s="305">
        <f>'NOV-18 '!I673</f>
        <v>0</v>
      </c>
      <c r="H675" s="51"/>
      <c r="I675" s="17">
        <f t="shared" si="13"/>
        <v>0</v>
      </c>
      <c r="J675" s="56"/>
      <c r="K675" s="142"/>
    </row>
    <row r="676" spans="1:11" ht="44.25">
      <c r="A676" s="11">
        <v>54399</v>
      </c>
      <c r="B676" s="54" t="s">
        <v>764</v>
      </c>
      <c r="C676" s="13"/>
      <c r="D676" s="14" t="s">
        <v>18</v>
      </c>
      <c r="E676" s="14" t="s">
        <v>28</v>
      </c>
      <c r="F676" s="14" t="s">
        <v>27</v>
      </c>
      <c r="G676" s="305">
        <f>'NOV-18 '!I674</f>
        <v>0</v>
      </c>
      <c r="H676" s="51"/>
      <c r="I676" s="17">
        <f t="shared" si="13"/>
        <v>0</v>
      </c>
      <c r="J676" s="56"/>
      <c r="K676" s="142"/>
    </row>
    <row r="677" spans="1:11" ht="29.25">
      <c r="A677" s="11">
        <v>55603</v>
      </c>
      <c r="B677" s="54" t="s">
        <v>765</v>
      </c>
      <c r="C677" s="13"/>
      <c r="D677" s="14" t="s">
        <v>18</v>
      </c>
      <c r="E677" s="14" t="s">
        <v>28</v>
      </c>
      <c r="F677" s="14" t="s">
        <v>27</v>
      </c>
      <c r="G677" s="305">
        <f>'NOV-18 '!I675</f>
        <v>0</v>
      </c>
      <c r="H677" s="51"/>
      <c r="I677" s="17">
        <f t="shared" si="13"/>
        <v>0</v>
      </c>
      <c r="J677" s="56"/>
      <c r="K677" s="142"/>
    </row>
    <row r="678" spans="1:11" ht="78.75" customHeight="1">
      <c r="A678" s="141" t="s">
        <v>459</v>
      </c>
      <c r="B678" s="53" t="s">
        <v>766</v>
      </c>
      <c r="C678" s="13"/>
      <c r="D678" s="14"/>
      <c r="E678" s="14"/>
      <c r="F678" s="14"/>
      <c r="G678" s="305">
        <f>'NOV-18 '!I676</f>
        <v>0</v>
      </c>
      <c r="H678" s="51"/>
      <c r="I678" s="17"/>
      <c r="J678" s="56"/>
      <c r="K678" s="56"/>
    </row>
    <row r="679" spans="1:11" ht="29.25">
      <c r="A679" s="11">
        <v>51202</v>
      </c>
      <c r="B679" s="54" t="s">
        <v>767</v>
      </c>
      <c r="C679" s="13"/>
      <c r="D679" s="14" t="s">
        <v>18</v>
      </c>
      <c r="E679" s="14" t="s">
        <v>28</v>
      </c>
      <c r="F679" s="14" t="s">
        <v>27</v>
      </c>
      <c r="G679" s="305">
        <f>'NOV-18 '!I677</f>
        <v>0</v>
      </c>
      <c r="H679" s="51"/>
      <c r="I679" s="17">
        <f t="shared" si="13"/>
        <v>0</v>
      </c>
      <c r="J679" s="56"/>
      <c r="K679" s="137"/>
    </row>
    <row r="680" spans="1:11" ht="29.25">
      <c r="A680" s="11">
        <v>54110</v>
      </c>
      <c r="B680" s="54" t="s">
        <v>768</v>
      </c>
      <c r="C680" s="13"/>
      <c r="D680" s="14" t="s">
        <v>18</v>
      </c>
      <c r="E680" s="14" t="s">
        <v>28</v>
      </c>
      <c r="F680" s="14" t="s">
        <v>27</v>
      </c>
      <c r="G680" s="305">
        <f>'NOV-18 '!I678</f>
        <v>0</v>
      </c>
      <c r="H680" s="51"/>
      <c r="I680" s="17">
        <f t="shared" si="13"/>
        <v>0</v>
      </c>
      <c r="J680" s="56"/>
      <c r="K680" s="137"/>
    </row>
    <row r="681" spans="1:11" ht="43.5">
      <c r="A681" s="11">
        <v>54111</v>
      </c>
      <c r="B681" s="54" t="s">
        <v>769</v>
      </c>
      <c r="C681" s="13"/>
      <c r="D681" s="14" t="s">
        <v>18</v>
      </c>
      <c r="E681" s="14" t="s">
        <v>28</v>
      </c>
      <c r="F681" s="14" t="s">
        <v>27</v>
      </c>
      <c r="G681" s="305">
        <f>'NOV-18 '!I679</f>
        <v>0</v>
      </c>
      <c r="H681" s="51"/>
      <c r="I681" s="17">
        <f t="shared" si="13"/>
        <v>0</v>
      </c>
      <c r="J681" s="56"/>
      <c r="K681" s="137"/>
    </row>
    <row r="682" spans="1:11" ht="43.5">
      <c r="A682" s="11">
        <v>54118</v>
      </c>
      <c r="B682" s="54" t="s">
        <v>770</v>
      </c>
      <c r="C682" s="13"/>
      <c r="D682" s="14" t="s">
        <v>18</v>
      </c>
      <c r="E682" s="14" t="s">
        <v>28</v>
      </c>
      <c r="F682" s="14" t="s">
        <v>27</v>
      </c>
      <c r="G682" s="305">
        <f>'NOV-18 '!I680</f>
        <v>0</v>
      </c>
      <c r="H682" s="51"/>
      <c r="I682" s="17">
        <f t="shared" si="13"/>
        <v>0</v>
      </c>
      <c r="J682" s="56"/>
      <c r="K682" s="137"/>
    </row>
    <row r="683" spans="1:11" ht="44.25">
      <c r="A683" s="11">
        <v>54313</v>
      </c>
      <c r="B683" s="54" t="s">
        <v>771</v>
      </c>
      <c r="C683" s="13"/>
      <c r="D683" s="14" t="s">
        <v>18</v>
      </c>
      <c r="E683" s="14" t="s">
        <v>28</v>
      </c>
      <c r="F683" s="14" t="s">
        <v>27</v>
      </c>
      <c r="G683" s="305">
        <f>'NOV-18 '!I681</f>
        <v>0</v>
      </c>
      <c r="H683" s="51"/>
      <c r="I683" s="17">
        <f t="shared" si="13"/>
        <v>0</v>
      </c>
      <c r="J683" s="56"/>
      <c r="K683" s="137"/>
    </row>
    <row r="684" spans="1:11" ht="43.5">
      <c r="A684" s="11">
        <v>54399</v>
      </c>
      <c r="B684" s="54" t="s">
        <v>772</v>
      </c>
      <c r="C684" s="13"/>
      <c r="D684" s="14" t="s">
        <v>18</v>
      </c>
      <c r="E684" s="14" t="s">
        <v>28</v>
      </c>
      <c r="F684" s="14" t="s">
        <v>27</v>
      </c>
      <c r="G684" s="305">
        <f>'NOV-18 '!I682</f>
        <v>0</v>
      </c>
      <c r="H684" s="51"/>
      <c r="I684" s="17">
        <f t="shared" si="13"/>
        <v>0</v>
      </c>
      <c r="J684" s="56"/>
      <c r="K684" s="137"/>
    </row>
    <row r="685" spans="1:11" ht="43.5">
      <c r="A685" s="11">
        <v>55603</v>
      </c>
      <c r="B685" s="54" t="s">
        <v>773</v>
      </c>
      <c r="C685" s="13"/>
      <c r="D685" s="14" t="s">
        <v>18</v>
      </c>
      <c r="E685" s="14" t="s">
        <v>28</v>
      </c>
      <c r="F685" s="14" t="s">
        <v>27</v>
      </c>
      <c r="G685" s="305">
        <f>'NOV-18 '!I683</f>
        <v>0</v>
      </c>
      <c r="H685" s="51"/>
      <c r="I685" s="17">
        <f t="shared" si="13"/>
        <v>0</v>
      </c>
      <c r="J685" s="56"/>
      <c r="K685" s="137"/>
    </row>
    <row r="686" spans="1:11" ht="74.25">
      <c r="A686" s="141" t="s">
        <v>461</v>
      </c>
      <c r="B686" s="53" t="s">
        <v>774</v>
      </c>
      <c r="C686" s="13"/>
      <c r="D686" s="14"/>
      <c r="E686" s="14"/>
      <c r="F686" s="14"/>
      <c r="G686" s="305">
        <f>'NOV-18 '!I684</f>
        <v>0</v>
      </c>
      <c r="H686" s="51"/>
      <c r="I686" s="17"/>
      <c r="J686" s="56"/>
      <c r="K686" s="56"/>
    </row>
    <row r="687" spans="1:11" ht="29.25">
      <c r="A687" s="11">
        <v>51202</v>
      </c>
      <c r="B687" s="54" t="s">
        <v>775</v>
      </c>
      <c r="C687" s="13"/>
      <c r="D687" s="14" t="s">
        <v>18</v>
      </c>
      <c r="E687" s="14" t="s">
        <v>28</v>
      </c>
      <c r="F687" s="14" t="s">
        <v>27</v>
      </c>
      <c r="G687" s="305">
        <f>'NOV-18 '!I685</f>
        <v>7000</v>
      </c>
      <c r="H687" s="51"/>
      <c r="I687" s="17">
        <f t="shared" si="13"/>
        <v>7000</v>
      </c>
      <c r="J687" s="56"/>
      <c r="K687" s="56"/>
    </row>
    <row r="688" spans="1:11" ht="29.25">
      <c r="A688" s="11">
        <v>54110</v>
      </c>
      <c r="B688" s="54" t="s">
        <v>776</v>
      </c>
      <c r="C688" s="13"/>
      <c r="D688" s="14" t="s">
        <v>18</v>
      </c>
      <c r="E688" s="14" t="s">
        <v>28</v>
      </c>
      <c r="F688" s="14" t="s">
        <v>27</v>
      </c>
      <c r="G688" s="305">
        <f>'NOV-18 '!I686</f>
        <v>200</v>
      </c>
      <c r="H688" s="51"/>
      <c r="I688" s="17">
        <f t="shared" si="13"/>
        <v>200</v>
      </c>
      <c r="J688" s="56"/>
      <c r="K688" s="56"/>
    </row>
    <row r="689" spans="1:11" ht="44.25">
      <c r="A689" s="11">
        <v>54111</v>
      </c>
      <c r="B689" s="54" t="s">
        <v>777</v>
      </c>
      <c r="C689" s="13"/>
      <c r="D689" s="14" t="s">
        <v>18</v>
      </c>
      <c r="E689" s="14" t="s">
        <v>28</v>
      </c>
      <c r="F689" s="14" t="s">
        <v>27</v>
      </c>
      <c r="G689" s="305">
        <f>'NOV-18 '!I687</f>
        <v>9290</v>
      </c>
      <c r="H689" s="51"/>
      <c r="I689" s="17">
        <f t="shared" si="13"/>
        <v>9290</v>
      </c>
      <c r="J689" s="56"/>
      <c r="K689" s="56"/>
    </row>
    <row r="690" spans="1:11" ht="43.5">
      <c r="A690" s="11">
        <v>54118</v>
      </c>
      <c r="B690" s="54" t="s">
        <v>778</v>
      </c>
      <c r="C690" s="13"/>
      <c r="D690" s="14" t="s">
        <v>18</v>
      </c>
      <c r="E690" s="14" t="s">
        <v>28</v>
      </c>
      <c r="F690" s="14" t="s">
        <v>27</v>
      </c>
      <c r="G690" s="305">
        <f>'NOV-18 '!I688</f>
        <v>3000</v>
      </c>
      <c r="H690" s="51"/>
      <c r="I690" s="17">
        <f t="shared" si="13"/>
        <v>3000</v>
      </c>
      <c r="J690" s="56"/>
      <c r="K690" s="56"/>
    </row>
    <row r="691" spans="1:11" ht="43.5">
      <c r="A691" s="11">
        <v>54313</v>
      </c>
      <c r="B691" s="54" t="s">
        <v>779</v>
      </c>
      <c r="C691" s="13"/>
      <c r="D691" s="14" t="s">
        <v>18</v>
      </c>
      <c r="E691" s="14" t="s">
        <v>28</v>
      </c>
      <c r="F691" s="14" t="s">
        <v>27</v>
      </c>
      <c r="G691" s="305">
        <f>'NOV-18 '!I689</f>
        <v>300</v>
      </c>
      <c r="H691" s="51"/>
      <c r="I691" s="17">
        <f t="shared" si="13"/>
        <v>300</v>
      </c>
      <c r="J691" s="56"/>
      <c r="K691" s="56"/>
    </row>
    <row r="692" spans="1:11" ht="43.5">
      <c r="A692" s="11">
        <v>54399</v>
      </c>
      <c r="B692" s="54" t="s">
        <v>780</v>
      </c>
      <c r="C692" s="13"/>
      <c r="D692" s="14" t="s">
        <v>18</v>
      </c>
      <c r="E692" s="14" t="s">
        <v>28</v>
      </c>
      <c r="F692" s="14" t="s">
        <v>27</v>
      </c>
      <c r="G692" s="305">
        <f>'NOV-18 '!I690</f>
        <v>200</v>
      </c>
      <c r="H692" s="51"/>
      <c r="I692" s="17">
        <f t="shared" si="13"/>
        <v>200</v>
      </c>
      <c r="J692" s="56"/>
      <c r="K692" s="56"/>
    </row>
    <row r="693" spans="1:11" ht="43.5">
      <c r="A693" s="11">
        <v>55603</v>
      </c>
      <c r="B693" s="54" t="s">
        <v>781</v>
      </c>
      <c r="C693" s="13"/>
      <c r="D693" s="14" t="s">
        <v>18</v>
      </c>
      <c r="E693" s="14" t="s">
        <v>28</v>
      </c>
      <c r="F693" s="14" t="s">
        <v>27</v>
      </c>
      <c r="G693" s="305">
        <f>'NOV-18 '!I691</f>
        <v>10</v>
      </c>
      <c r="H693" s="51"/>
      <c r="I693" s="17">
        <f t="shared" si="13"/>
        <v>10</v>
      </c>
      <c r="J693" s="56"/>
      <c r="K693" s="56"/>
    </row>
    <row r="694" spans="1:11" ht="89.25">
      <c r="A694" s="141" t="s">
        <v>468</v>
      </c>
      <c r="B694" s="53" t="s">
        <v>782</v>
      </c>
      <c r="C694" s="13"/>
      <c r="D694" s="14"/>
      <c r="E694" s="14"/>
      <c r="F694" s="14"/>
      <c r="G694" s="305">
        <f>'NOV-18 '!I692</f>
        <v>0</v>
      </c>
      <c r="H694" s="51"/>
      <c r="I694" s="17"/>
      <c r="J694" s="56"/>
      <c r="K694" s="56"/>
    </row>
    <row r="695" spans="1:11" ht="29.25">
      <c r="A695" s="11">
        <v>51202</v>
      </c>
      <c r="B695" s="54" t="s">
        <v>783</v>
      </c>
      <c r="C695" s="13"/>
      <c r="D695" s="14" t="s">
        <v>18</v>
      </c>
      <c r="E695" s="14" t="s">
        <v>28</v>
      </c>
      <c r="F695" s="14" t="s">
        <v>27</v>
      </c>
      <c r="G695" s="305">
        <f>'NOV-18 '!I693</f>
        <v>7000</v>
      </c>
      <c r="H695" s="51"/>
      <c r="I695" s="17">
        <f t="shared" si="13"/>
        <v>7000</v>
      </c>
      <c r="J695" s="56"/>
      <c r="K695" s="56"/>
    </row>
    <row r="696" spans="1:11" ht="43.5">
      <c r="A696" s="11">
        <v>54110</v>
      </c>
      <c r="B696" s="54" t="s">
        <v>784</v>
      </c>
      <c r="C696" s="13"/>
      <c r="D696" s="14" t="s">
        <v>18</v>
      </c>
      <c r="E696" s="14" t="s">
        <v>28</v>
      </c>
      <c r="F696" s="14" t="s">
        <v>27</v>
      </c>
      <c r="G696" s="305">
        <f>'NOV-18 '!I694</f>
        <v>200</v>
      </c>
      <c r="H696" s="51"/>
      <c r="I696" s="17">
        <f t="shared" si="13"/>
        <v>200</v>
      </c>
      <c r="J696" s="56"/>
      <c r="K696" s="56"/>
    </row>
    <row r="697" spans="1:11" ht="44.25">
      <c r="A697" s="11">
        <v>54111</v>
      </c>
      <c r="B697" s="53" t="s">
        <v>785</v>
      </c>
      <c r="C697" s="13"/>
      <c r="D697" s="14" t="s">
        <v>18</v>
      </c>
      <c r="E697" s="14" t="s">
        <v>28</v>
      </c>
      <c r="F697" s="14" t="s">
        <v>27</v>
      </c>
      <c r="G697" s="305">
        <f>'NOV-18 '!I695</f>
        <v>9290</v>
      </c>
      <c r="H697" s="51"/>
      <c r="I697" s="17">
        <f t="shared" si="13"/>
        <v>9290</v>
      </c>
      <c r="J697" s="56"/>
      <c r="K697" s="56"/>
    </row>
    <row r="698" spans="1:11" ht="43.5">
      <c r="A698" s="11">
        <v>54118</v>
      </c>
      <c r="B698" s="54" t="s">
        <v>786</v>
      </c>
      <c r="C698" s="13"/>
      <c r="D698" s="14" t="s">
        <v>18</v>
      </c>
      <c r="E698" s="14" t="s">
        <v>28</v>
      </c>
      <c r="F698" s="14" t="s">
        <v>27</v>
      </c>
      <c r="G698" s="305">
        <f>'NOV-18 '!I696</f>
        <v>3000</v>
      </c>
      <c r="H698" s="51"/>
      <c r="I698" s="17">
        <f t="shared" si="13"/>
        <v>3000</v>
      </c>
      <c r="J698" s="56"/>
      <c r="K698" s="56"/>
    </row>
    <row r="699" spans="1:11" ht="44.25">
      <c r="A699" s="11">
        <v>54313</v>
      </c>
      <c r="B699" s="54" t="s">
        <v>787</v>
      </c>
      <c r="C699" s="13"/>
      <c r="D699" s="14" t="s">
        <v>18</v>
      </c>
      <c r="E699" s="14" t="s">
        <v>28</v>
      </c>
      <c r="F699" s="14" t="s">
        <v>27</v>
      </c>
      <c r="G699" s="305">
        <f>'NOV-18 '!I697</f>
        <v>300</v>
      </c>
      <c r="H699" s="51"/>
      <c r="I699" s="17">
        <f t="shared" si="13"/>
        <v>300</v>
      </c>
      <c r="J699" s="56"/>
      <c r="K699" s="56"/>
    </row>
    <row r="700" spans="1:11" ht="44.25">
      <c r="A700" s="11">
        <v>54399</v>
      </c>
      <c r="B700" s="54" t="s">
        <v>788</v>
      </c>
      <c r="C700" s="13"/>
      <c r="D700" s="14" t="s">
        <v>18</v>
      </c>
      <c r="E700" s="14" t="s">
        <v>28</v>
      </c>
      <c r="F700" s="14" t="s">
        <v>27</v>
      </c>
      <c r="G700" s="305">
        <f>'NOV-18 '!I698</f>
        <v>200</v>
      </c>
      <c r="H700" s="51"/>
      <c r="I700" s="17">
        <f t="shared" si="13"/>
        <v>200</v>
      </c>
      <c r="J700" s="56"/>
      <c r="K700" s="56"/>
    </row>
    <row r="701" spans="1:11" ht="40.5" customHeight="1">
      <c r="A701" s="11">
        <v>55603</v>
      </c>
      <c r="B701" s="54" t="s">
        <v>789</v>
      </c>
      <c r="C701" s="13"/>
      <c r="D701" s="14" t="s">
        <v>18</v>
      </c>
      <c r="E701" s="14" t="s">
        <v>28</v>
      </c>
      <c r="F701" s="14" t="s">
        <v>27</v>
      </c>
      <c r="G701" s="305">
        <f>'NOV-18 '!I699</f>
        <v>10</v>
      </c>
      <c r="H701" s="51"/>
      <c r="I701" s="17">
        <f t="shared" si="13"/>
        <v>10</v>
      </c>
      <c r="J701" s="56"/>
      <c r="K701" s="56"/>
    </row>
    <row r="702" spans="1:11" ht="60">
      <c r="A702" s="144" t="s">
        <v>477</v>
      </c>
      <c r="B702" s="53" t="s">
        <v>791</v>
      </c>
      <c r="C702" s="13"/>
      <c r="D702" s="14"/>
      <c r="E702" s="14"/>
      <c r="F702" s="14"/>
      <c r="G702" s="305">
        <f>'NOV-18 '!I700</f>
        <v>0</v>
      </c>
      <c r="H702" s="51"/>
      <c r="I702" s="17"/>
      <c r="J702" s="56"/>
      <c r="K702" s="56"/>
    </row>
    <row r="703" spans="1:11" ht="30">
      <c r="A703" s="11">
        <v>51202</v>
      </c>
      <c r="B703" s="54" t="s">
        <v>792</v>
      </c>
      <c r="C703" s="13"/>
      <c r="D703" s="14" t="s">
        <v>18</v>
      </c>
      <c r="E703" s="14" t="s">
        <v>28</v>
      </c>
      <c r="F703" s="14" t="s">
        <v>27</v>
      </c>
      <c r="G703" s="305">
        <f>'NOV-18 '!I701</f>
        <v>9000</v>
      </c>
      <c r="H703" s="51"/>
      <c r="I703" s="17">
        <f t="shared" si="13"/>
        <v>9000</v>
      </c>
      <c r="J703" s="56"/>
      <c r="K703" s="56"/>
    </row>
    <row r="704" spans="1:11" ht="30">
      <c r="A704" s="11">
        <v>54110</v>
      </c>
      <c r="B704" s="54" t="s">
        <v>793</v>
      </c>
      <c r="C704" s="13"/>
      <c r="D704" s="14" t="s">
        <v>18</v>
      </c>
      <c r="E704" s="14" t="s">
        <v>28</v>
      </c>
      <c r="F704" s="14" t="s">
        <v>27</v>
      </c>
      <c r="G704" s="305">
        <f>'NOV-18 '!I702</f>
        <v>200</v>
      </c>
      <c r="H704" s="51"/>
      <c r="I704" s="17">
        <f t="shared" si="13"/>
        <v>200</v>
      </c>
      <c r="J704" s="56"/>
      <c r="K704" s="56"/>
    </row>
    <row r="705" spans="1:11" ht="30">
      <c r="A705" s="11">
        <v>54111</v>
      </c>
      <c r="B705" s="54" t="s">
        <v>794</v>
      </c>
      <c r="C705" s="13"/>
      <c r="D705" s="14" t="s">
        <v>18</v>
      </c>
      <c r="E705" s="14" t="s">
        <v>28</v>
      </c>
      <c r="F705" s="14" t="s">
        <v>27</v>
      </c>
      <c r="G705" s="305">
        <f>'NOV-18 '!I703</f>
        <v>11290</v>
      </c>
      <c r="H705" s="51"/>
      <c r="I705" s="17">
        <f t="shared" si="13"/>
        <v>11290</v>
      </c>
      <c r="J705" s="56"/>
      <c r="K705" s="56"/>
    </row>
    <row r="706" spans="1:11" ht="30">
      <c r="A706" s="11">
        <v>54118</v>
      </c>
      <c r="B706" s="54" t="s">
        <v>795</v>
      </c>
      <c r="C706" s="13"/>
      <c r="D706" s="14" t="s">
        <v>18</v>
      </c>
      <c r="E706" s="14" t="s">
        <v>28</v>
      </c>
      <c r="F706" s="14" t="s">
        <v>27</v>
      </c>
      <c r="G706" s="305">
        <f>'NOV-18 '!I704</f>
        <v>3000</v>
      </c>
      <c r="H706" s="51"/>
      <c r="I706" s="17">
        <f t="shared" si="13"/>
        <v>3000</v>
      </c>
      <c r="J706" s="56"/>
      <c r="K706" s="56"/>
    </row>
    <row r="707" spans="1:11" ht="45">
      <c r="A707" s="11">
        <v>54313</v>
      </c>
      <c r="B707" s="54" t="s">
        <v>796</v>
      </c>
      <c r="C707" s="13"/>
      <c r="D707" s="14" t="s">
        <v>18</v>
      </c>
      <c r="E707" s="14" t="s">
        <v>28</v>
      </c>
      <c r="F707" s="14" t="s">
        <v>27</v>
      </c>
      <c r="G707" s="305">
        <f>'NOV-18 '!I705</f>
        <v>300</v>
      </c>
      <c r="H707" s="51"/>
      <c r="I707" s="17">
        <f t="shared" si="13"/>
        <v>300</v>
      </c>
      <c r="J707" s="56"/>
      <c r="K707" s="56"/>
    </row>
    <row r="708" spans="1:11" ht="30">
      <c r="A708" s="11">
        <v>54399</v>
      </c>
      <c r="B708" s="54" t="s">
        <v>797</v>
      </c>
      <c r="C708" s="13"/>
      <c r="D708" s="14" t="s">
        <v>18</v>
      </c>
      <c r="E708" s="14" t="s">
        <v>28</v>
      </c>
      <c r="F708" s="14" t="s">
        <v>27</v>
      </c>
      <c r="G708" s="305">
        <f>'NOV-18 '!I706</f>
        <v>1200</v>
      </c>
      <c r="H708" s="51"/>
      <c r="I708" s="17">
        <f t="shared" si="13"/>
        <v>1200</v>
      </c>
      <c r="J708" s="56"/>
      <c r="K708" s="56"/>
    </row>
    <row r="709" spans="1:11" ht="30">
      <c r="A709" s="11">
        <v>55603</v>
      </c>
      <c r="B709" s="54" t="s">
        <v>798</v>
      </c>
      <c r="C709" s="13"/>
      <c r="D709" s="14" t="s">
        <v>18</v>
      </c>
      <c r="E709" s="14" t="s">
        <v>28</v>
      </c>
      <c r="F709" s="14" t="s">
        <v>27</v>
      </c>
      <c r="G709" s="305">
        <f>'NOV-18 '!I707</f>
        <v>10</v>
      </c>
      <c r="H709" s="51"/>
      <c r="I709" s="17">
        <f t="shared" si="13"/>
        <v>10</v>
      </c>
      <c r="J709" s="56"/>
      <c r="K709" s="56"/>
    </row>
    <row r="710" spans="1:11" ht="60">
      <c r="A710" s="141" t="s">
        <v>486</v>
      </c>
      <c r="B710" s="53" t="s">
        <v>790</v>
      </c>
      <c r="C710" s="13"/>
      <c r="D710" s="14"/>
      <c r="E710" s="14"/>
      <c r="F710" s="14"/>
      <c r="G710" s="305">
        <f>'NOV-18 '!I708</f>
        <v>0</v>
      </c>
      <c r="H710" s="51"/>
      <c r="I710" s="17"/>
      <c r="J710" s="56"/>
      <c r="K710" s="56"/>
    </row>
    <row r="711" spans="1:11" ht="29.25">
      <c r="A711" s="11">
        <v>51202</v>
      </c>
      <c r="B711" s="54" t="s">
        <v>799</v>
      </c>
      <c r="C711" s="13"/>
      <c r="D711" s="14" t="s">
        <v>18</v>
      </c>
      <c r="E711" s="14" t="s">
        <v>28</v>
      </c>
      <c r="F711" s="14" t="s">
        <v>27</v>
      </c>
      <c r="G711" s="305">
        <f>'NOV-18 '!I709</f>
        <v>9000</v>
      </c>
      <c r="H711" s="51"/>
      <c r="I711" s="17">
        <f t="shared" si="13"/>
        <v>9000</v>
      </c>
      <c r="J711" s="56"/>
      <c r="K711" s="56"/>
    </row>
    <row r="712" spans="1:11" ht="29.25">
      <c r="A712" s="11">
        <v>54110</v>
      </c>
      <c r="B712" s="54" t="s">
        <v>800</v>
      </c>
      <c r="C712" s="13"/>
      <c r="D712" s="14" t="s">
        <v>18</v>
      </c>
      <c r="E712" s="14" t="s">
        <v>28</v>
      </c>
      <c r="F712" s="14" t="s">
        <v>27</v>
      </c>
      <c r="G712" s="305">
        <f>'NOV-18 '!I710</f>
        <v>200</v>
      </c>
      <c r="H712" s="51"/>
      <c r="I712" s="17">
        <f t="shared" si="13"/>
        <v>200</v>
      </c>
      <c r="J712" s="56"/>
      <c r="K712" s="56"/>
    </row>
    <row r="713" spans="1:11" ht="44.25">
      <c r="A713" s="11">
        <v>54111</v>
      </c>
      <c r="B713" s="54" t="s">
        <v>801</v>
      </c>
      <c r="C713" s="13"/>
      <c r="D713" s="14" t="s">
        <v>18</v>
      </c>
      <c r="E713" s="14" t="s">
        <v>28</v>
      </c>
      <c r="F713" s="14" t="s">
        <v>27</v>
      </c>
      <c r="G713" s="305">
        <f>'NOV-18 '!I711</f>
        <v>12290</v>
      </c>
      <c r="H713" s="51"/>
      <c r="I713" s="17">
        <f t="shared" si="13"/>
        <v>12290</v>
      </c>
      <c r="J713" s="56"/>
      <c r="K713" s="56"/>
    </row>
    <row r="714" spans="1:11" ht="29.25">
      <c r="A714" s="11">
        <v>54118</v>
      </c>
      <c r="B714" s="54" t="s">
        <v>802</v>
      </c>
      <c r="C714" s="13"/>
      <c r="D714" s="14" t="s">
        <v>18</v>
      </c>
      <c r="E714" s="14" t="s">
        <v>28</v>
      </c>
      <c r="F714" s="14" t="s">
        <v>27</v>
      </c>
      <c r="G714" s="305">
        <f>'NOV-18 '!I712</f>
        <v>3000</v>
      </c>
      <c r="H714" s="51"/>
      <c r="I714" s="17">
        <f t="shared" si="13"/>
        <v>3000</v>
      </c>
      <c r="J714" s="56"/>
      <c r="K714" s="56"/>
    </row>
    <row r="715" spans="1:11" ht="43.5">
      <c r="A715" s="11">
        <v>54313</v>
      </c>
      <c r="B715" s="54" t="s">
        <v>803</v>
      </c>
      <c r="C715" s="13"/>
      <c r="D715" s="14" t="s">
        <v>18</v>
      </c>
      <c r="E715" s="14" t="s">
        <v>28</v>
      </c>
      <c r="F715" s="14" t="s">
        <v>27</v>
      </c>
      <c r="G715" s="305">
        <f>'NOV-18 '!I713</f>
        <v>300</v>
      </c>
      <c r="H715" s="51"/>
      <c r="I715" s="17">
        <f t="shared" si="13"/>
        <v>300</v>
      </c>
      <c r="J715" s="56"/>
      <c r="K715" s="56"/>
    </row>
    <row r="716" spans="1:11" ht="43.5">
      <c r="A716" s="11">
        <v>54399</v>
      </c>
      <c r="B716" s="54" t="s">
        <v>804</v>
      </c>
      <c r="C716" s="13"/>
      <c r="D716" s="14" t="s">
        <v>18</v>
      </c>
      <c r="E716" s="14" t="s">
        <v>28</v>
      </c>
      <c r="F716" s="14" t="s">
        <v>27</v>
      </c>
      <c r="G716" s="305">
        <f>'NOV-18 '!I714</f>
        <v>200</v>
      </c>
      <c r="H716" s="51"/>
      <c r="I716" s="17">
        <f t="shared" si="13"/>
        <v>200</v>
      </c>
      <c r="J716" s="56"/>
      <c r="K716" s="56"/>
    </row>
    <row r="717" spans="1:11" ht="33.75" customHeight="1">
      <c r="A717" s="11">
        <v>55603</v>
      </c>
      <c r="B717" s="54" t="s">
        <v>805</v>
      </c>
      <c r="C717" s="13"/>
      <c r="D717" s="14" t="s">
        <v>18</v>
      </c>
      <c r="E717" s="14" t="s">
        <v>28</v>
      </c>
      <c r="F717" s="14" t="s">
        <v>27</v>
      </c>
      <c r="G717" s="305">
        <f>'NOV-18 '!I715</f>
        <v>10</v>
      </c>
      <c r="H717" s="51"/>
      <c r="I717" s="17">
        <f t="shared" si="13"/>
        <v>10</v>
      </c>
      <c r="J717" s="56"/>
      <c r="K717" s="56"/>
    </row>
    <row r="718" spans="1:11" ht="75">
      <c r="A718" s="141" t="s">
        <v>504</v>
      </c>
      <c r="B718" s="53" t="s">
        <v>806</v>
      </c>
      <c r="C718" s="13"/>
      <c r="D718" s="14"/>
      <c r="E718" s="14"/>
      <c r="F718" s="14"/>
      <c r="G718" s="305">
        <f>'NOV-18 '!I716</f>
        <v>0</v>
      </c>
      <c r="H718" s="51"/>
      <c r="I718" s="17"/>
      <c r="J718" s="56"/>
      <c r="K718" s="56"/>
    </row>
    <row r="719" spans="1:11" ht="29.25">
      <c r="A719" s="11">
        <v>51202</v>
      </c>
      <c r="B719" s="54" t="s">
        <v>807</v>
      </c>
      <c r="C719" s="13"/>
      <c r="D719" s="14" t="s">
        <v>18</v>
      </c>
      <c r="E719" s="14" t="s">
        <v>28</v>
      </c>
      <c r="F719" s="14" t="s">
        <v>27</v>
      </c>
      <c r="G719" s="305">
        <f>'NOV-18 '!I717</f>
        <v>7000</v>
      </c>
      <c r="H719" s="51"/>
      <c r="I719" s="17">
        <f t="shared" si="13"/>
        <v>7000</v>
      </c>
      <c r="J719" s="56"/>
      <c r="K719" s="56"/>
    </row>
    <row r="720" spans="1:11" ht="29.25">
      <c r="A720" s="11">
        <v>54110</v>
      </c>
      <c r="B720" s="54" t="s">
        <v>808</v>
      </c>
      <c r="C720" s="13"/>
      <c r="D720" s="14" t="s">
        <v>18</v>
      </c>
      <c r="E720" s="14" t="s">
        <v>28</v>
      </c>
      <c r="F720" s="14" t="s">
        <v>27</v>
      </c>
      <c r="G720" s="305">
        <f>'NOV-18 '!I718</f>
        <v>200</v>
      </c>
      <c r="H720" s="51"/>
      <c r="I720" s="17">
        <f t="shared" si="13"/>
        <v>200</v>
      </c>
      <c r="J720" s="56"/>
      <c r="K720" s="56"/>
    </row>
    <row r="721" spans="1:11" ht="29.25">
      <c r="A721" s="11">
        <v>54111</v>
      </c>
      <c r="B721" s="54" t="s">
        <v>809</v>
      </c>
      <c r="C721" s="13"/>
      <c r="D721" s="14" t="s">
        <v>18</v>
      </c>
      <c r="E721" s="14" t="s">
        <v>28</v>
      </c>
      <c r="F721" s="14" t="s">
        <v>27</v>
      </c>
      <c r="G721" s="305">
        <f>'NOV-18 '!I719</f>
        <v>10290</v>
      </c>
      <c r="H721" s="51"/>
      <c r="I721" s="17">
        <f t="shared" si="13"/>
        <v>10290</v>
      </c>
      <c r="J721" s="56"/>
      <c r="K721" s="56"/>
    </row>
    <row r="722" spans="1:11" ht="29.25">
      <c r="A722" s="11">
        <v>54118</v>
      </c>
      <c r="B722" s="54" t="s">
        <v>810</v>
      </c>
      <c r="C722" s="13"/>
      <c r="D722" s="14" t="s">
        <v>18</v>
      </c>
      <c r="E722" s="14" t="s">
        <v>28</v>
      </c>
      <c r="F722" s="14" t="s">
        <v>27</v>
      </c>
      <c r="G722" s="305">
        <f>'NOV-18 '!I720</f>
        <v>1500</v>
      </c>
      <c r="H722" s="51"/>
      <c r="I722" s="17">
        <f t="shared" si="13"/>
        <v>1500</v>
      </c>
      <c r="J722" s="56"/>
      <c r="K722" s="56"/>
    </row>
    <row r="723" spans="1:11" ht="44.25">
      <c r="A723" s="11">
        <v>54313</v>
      </c>
      <c r="B723" s="54" t="s">
        <v>811</v>
      </c>
      <c r="C723" s="13"/>
      <c r="D723" s="14" t="s">
        <v>18</v>
      </c>
      <c r="E723" s="14" t="s">
        <v>28</v>
      </c>
      <c r="F723" s="14" t="s">
        <v>27</v>
      </c>
      <c r="G723" s="305">
        <f>'NOV-18 '!I721</f>
        <v>300</v>
      </c>
      <c r="H723" s="51"/>
      <c r="I723" s="17">
        <f t="shared" si="13"/>
        <v>300</v>
      </c>
      <c r="J723" s="56"/>
      <c r="K723" s="56"/>
    </row>
    <row r="724" spans="1:11" ht="29.25">
      <c r="A724" s="11">
        <v>54399</v>
      </c>
      <c r="B724" s="54" t="s">
        <v>812</v>
      </c>
      <c r="C724" s="13"/>
      <c r="D724" s="14" t="s">
        <v>18</v>
      </c>
      <c r="E724" s="14" t="s">
        <v>28</v>
      </c>
      <c r="F724" s="14" t="s">
        <v>27</v>
      </c>
      <c r="G724" s="305">
        <f>'NOV-18 '!I722</f>
        <v>700</v>
      </c>
      <c r="H724" s="51"/>
      <c r="I724" s="17">
        <f t="shared" si="13"/>
        <v>700</v>
      </c>
      <c r="J724" s="56"/>
      <c r="K724" s="56"/>
    </row>
    <row r="725" spans="1:11" ht="29.25">
      <c r="A725" s="11">
        <v>55603</v>
      </c>
      <c r="B725" s="54" t="s">
        <v>813</v>
      </c>
      <c r="C725" s="13"/>
      <c r="D725" s="14" t="s">
        <v>18</v>
      </c>
      <c r="E725" s="14" t="s">
        <v>28</v>
      </c>
      <c r="F725" s="14" t="s">
        <v>27</v>
      </c>
      <c r="G725" s="305">
        <f>'NOV-18 '!I723</f>
        <v>10</v>
      </c>
      <c r="H725" s="51"/>
      <c r="I725" s="17">
        <f t="shared" si="13"/>
        <v>10</v>
      </c>
      <c r="J725" s="56"/>
      <c r="K725" s="56"/>
    </row>
    <row r="726" spans="1:11" ht="88.5">
      <c r="A726" s="141" t="s">
        <v>505</v>
      </c>
      <c r="B726" s="53" t="s">
        <v>821</v>
      </c>
      <c r="C726" s="13"/>
      <c r="D726" s="14"/>
      <c r="E726" s="14"/>
      <c r="F726" s="14"/>
      <c r="G726" s="305">
        <f>'NOV-18 '!I724</f>
        <v>0</v>
      </c>
      <c r="H726" s="51"/>
      <c r="I726" s="17"/>
      <c r="J726" s="56"/>
      <c r="K726" s="56"/>
    </row>
    <row r="727" spans="1:11" ht="29.25">
      <c r="A727" s="11">
        <v>51202</v>
      </c>
      <c r="B727" s="54" t="s">
        <v>814</v>
      </c>
      <c r="C727" s="13"/>
      <c r="D727" s="14" t="s">
        <v>18</v>
      </c>
      <c r="E727" s="14" t="s">
        <v>28</v>
      </c>
      <c r="F727" s="14" t="s">
        <v>27</v>
      </c>
      <c r="G727" s="305">
        <f>'NOV-18 '!I725</f>
        <v>9000</v>
      </c>
      <c r="H727" s="51"/>
      <c r="I727" s="17">
        <f t="shared" si="13"/>
        <v>9000</v>
      </c>
      <c r="J727" s="56"/>
      <c r="K727" s="56"/>
    </row>
    <row r="728" spans="1:11" ht="29.25">
      <c r="A728" s="11">
        <v>54110</v>
      </c>
      <c r="B728" s="54" t="s">
        <v>815</v>
      </c>
      <c r="C728" s="13"/>
      <c r="D728" s="14" t="s">
        <v>18</v>
      </c>
      <c r="E728" s="14" t="s">
        <v>28</v>
      </c>
      <c r="F728" s="14" t="s">
        <v>27</v>
      </c>
      <c r="G728" s="305">
        <f>'NOV-18 '!I726</f>
        <v>200</v>
      </c>
      <c r="H728" s="51"/>
      <c r="I728" s="17">
        <f t="shared" si="13"/>
        <v>200</v>
      </c>
      <c r="J728" s="56"/>
      <c r="K728" s="56"/>
    </row>
    <row r="729" spans="1:11" ht="44.25">
      <c r="A729" s="11">
        <v>54111</v>
      </c>
      <c r="B729" s="53" t="s">
        <v>816</v>
      </c>
      <c r="C729" s="13"/>
      <c r="D729" s="14" t="s">
        <v>18</v>
      </c>
      <c r="E729" s="14" t="s">
        <v>28</v>
      </c>
      <c r="F729" s="14" t="s">
        <v>27</v>
      </c>
      <c r="G729" s="305">
        <f>'NOV-18 '!I727</f>
        <v>12290</v>
      </c>
      <c r="H729" s="51"/>
      <c r="I729" s="17">
        <f t="shared" ref="I729:I792" si="14">G729-H729+J729-K729</f>
        <v>12290</v>
      </c>
      <c r="J729" s="56"/>
      <c r="K729" s="56"/>
    </row>
    <row r="730" spans="1:11" ht="29.25">
      <c r="A730" s="11">
        <v>54118</v>
      </c>
      <c r="B730" s="54" t="s">
        <v>817</v>
      </c>
      <c r="C730" s="13"/>
      <c r="D730" s="14" t="s">
        <v>18</v>
      </c>
      <c r="E730" s="14" t="s">
        <v>28</v>
      </c>
      <c r="F730" s="14" t="s">
        <v>27</v>
      </c>
      <c r="G730" s="305">
        <f>'NOV-18 '!I728</f>
        <v>3000</v>
      </c>
      <c r="H730" s="51"/>
      <c r="I730" s="17">
        <f t="shared" si="14"/>
        <v>3000</v>
      </c>
      <c r="J730" s="56"/>
      <c r="K730" s="56"/>
    </row>
    <row r="731" spans="1:11" ht="44.25">
      <c r="A731" s="11">
        <v>54313</v>
      </c>
      <c r="B731" s="54" t="s">
        <v>818</v>
      </c>
      <c r="C731" s="13"/>
      <c r="D731" s="14" t="s">
        <v>18</v>
      </c>
      <c r="E731" s="14" t="s">
        <v>28</v>
      </c>
      <c r="F731" s="14" t="s">
        <v>27</v>
      </c>
      <c r="G731" s="305">
        <f>'NOV-18 '!I729</f>
        <v>300</v>
      </c>
      <c r="H731" s="51"/>
      <c r="I731" s="17">
        <f t="shared" si="14"/>
        <v>300</v>
      </c>
      <c r="J731" s="56"/>
      <c r="K731" s="56"/>
    </row>
    <row r="732" spans="1:11" ht="43.5">
      <c r="A732" s="11">
        <v>54399</v>
      </c>
      <c r="B732" s="54" t="s">
        <v>819</v>
      </c>
      <c r="C732" s="13"/>
      <c r="D732" s="14" t="s">
        <v>18</v>
      </c>
      <c r="E732" s="14" t="s">
        <v>28</v>
      </c>
      <c r="F732" s="14" t="s">
        <v>27</v>
      </c>
      <c r="G732" s="305">
        <f>'NOV-18 '!I730</f>
        <v>200</v>
      </c>
      <c r="H732" s="51"/>
      <c r="I732" s="17">
        <f t="shared" si="14"/>
        <v>200</v>
      </c>
      <c r="J732" s="56"/>
      <c r="K732" s="56"/>
    </row>
    <row r="733" spans="1:11" ht="29.25">
      <c r="A733" s="11">
        <v>55603</v>
      </c>
      <c r="B733" s="54" t="s">
        <v>820</v>
      </c>
      <c r="C733" s="13"/>
      <c r="D733" s="14" t="s">
        <v>18</v>
      </c>
      <c r="E733" s="14" t="s">
        <v>28</v>
      </c>
      <c r="F733" s="14" t="s">
        <v>27</v>
      </c>
      <c r="G733" s="305">
        <f>'NOV-18 '!I731</f>
        <v>10</v>
      </c>
      <c r="H733" s="51"/>
      <c r="I733" s="17">
        <f t="shared" si="14"/>
        <v>10</v>
      </c>
      <c r="J733" s="56"/>
      <c r="K733" s="56"/>
    </row>
    <row r="734" spans="1:11" ht="75">
      <c r="A734" s="141" t="s">
        <v>511</v>
      </c>
      <c r="B734" s="53" t="s">
        <v>824</v>
      </c>
      <c r="C734" s="13"/>
      <c r="D734" s="14"/>
      <c r="E734" s="14"/>
      <c r="F734" s="14"/>
      <c r="G734" s="305">
        <f>'NOV-18 '!I732</f>
        <v>0</v>
      </c>
      <c r="H734" s="51"/>
      <c r="I734" s="17"/>
      <c r="J734" s="56"/>
      <c r="K734" s="56"/>
    </row>
    <row r="735" spans="1:11" ht="29.25">
      <c r="A735" s="11">
        <v>51202</v>
      </c>
      <c r="B735" s="54" t="s">
        <v>823</v>
      </c>
      <c r="C735" s="13"/>
      <c r="D735" s="14" t="s">
        <v>18</v>
      </c>
      <c r="E735" s="14" t="s">
        <v>28</v>
      </c>
      <c r="F735" s="14" t="s">
        <v>27</v>
      </c>
      <c r="G735" s="305">
        <f>'NOV-18 '!I733</f>
        <v>3000</v>
      </c>
      <c r="H735" s="51"/>
      <c r="I735" s="17">
        <f t="shared" si="14"/>
        <v>3000</v>
      </c>
      <c r="J735" s="56"/>
      <c r="K735" s="56"/>
    </row>
    <row r="736" spans="1:11" ht="29.25">
      <c r="A736" s="11">
        <v>54110</v>
      </c>
      <c r="B736" s="54" t="s">
        <v>825</v>
      </c>
      <c r="C736" s="13"/>
      <c r="D736" s="14" t="s">
        <v>18</v>
      </c>
      <c r="E736" s="14" t="s">
        <v>28</v>
      </c>
      <c r="F736" s="14" t="s">
        <v>27</v>
      </c>
      <c r="G736" s="305">
        <f>'NOV-18 '!I734</f>
        <v>200</v>
      </c>
      <c r="H736" s="51"/>
      <c r="I736" s="17">
        <f t="shared" si="14"/>
        <v>200</v>
      </c>
      <c r="J736" s="56"/>
      <c r="K736" s="56"/>
    </row>
    <row r="737" spans="1:11" ht="44.25">
      <c r="A737" s="11">
        <v>54111</v>
      </c>
      <c r="B737" s="54" t="s">
        <v>826</v>
      </c>
      <c r="C737" s="13"/>
      <c r="D737" s="14" t="s">
        <v>18</v>
      </c>
      <c r="E737" s="14" t="s">
        <v>28</v>
      </c>
      <c r="F737" s="14" t="s">
        <v>27</v>
      </c>
      <c r="G737" s="305">
        <f>'NOV-18 '!I735</f>
        <v>4990</v>
      </c>
      <c r="H737" s="51"/>
      <c r="I737" s="17">
        <f t="shared" si="14"/>
        <v>4990</v>
      </c>
      <c r="J737" s="56"/>
      <c r="K737" s="56"/>
    </row>
    <row r="738" spans="1:11" ht="29.25">
      <c r="A738" s="11">
        <v>54118</v>
      </c>
      <c r="B738" s="54" t="s">
        <v>827</v>
      </c>
      <c r="C738" s="13"/>
      <c r="D738" s="14" t="s">
        <v>18</v>
      </c>
      <c r="E738" s="14" t="s">
        <v>28</v>
      </c>
      <c r="F738" s="14" t="s">
        <v>27</v>
      </c>
      <c r="G738" s="305">
        <f>'NOV-18 '!I736</f>
        <v>800</v>
      </c>
      <c r="H738" s="51"/>
      <c r="I738" s="17">
        <f t="shared" si="14"/>
        <v>800</v>
      </c>
      <c r="J738" s="56"/>
      <c r="K738" s="56"/>
    </row>
    <row r="739" spans="1:11" ht="44.25">
      <c r="A739" s="11">
        <v>54313</v>
      </c>
      <c r="B739" s="54" t="s">
        <v>828</v>
      </c>
      <c r="C739" s="13"/>
      <c r="D739" s="14" t="s">
        <v>18</v>
      </c>
      <c r="E739" s="14" t="s">
        <v>28</v>
      </c>
      <c r="F739" s="14" t="s">
        <v>27</v>
      </c>
      <c r="G739" s="305">
        <f>'NOV-18 '!I737</f>
        <v>300</v>
      </c>
      <c r="H739" s="51"/>
      <c r="I739" s="17">
        <f t="shared" si="14"/>
        <v>300</v>
      </c>
      <c r="J739" s="56"/>
      <c r="K739" s="56"/>
    </row>
    <row r="740" spans="1:11" ht="44.25">
      <c r="A740" s="11">
        <v>54399</v>
      </c>
      <c r="B740" s="54" t="s">
        <v>829</v>
      </c>
      <c r="C740" s="13"/>
      <c r="D740" s="14" t="s">
        <v>18</v>
      </c>
      <c r="E740" s="14" t="s">
        <v>28</v>
      </c>
      <c r="F740" s="14" t="s">
        <v>27</v>
      </c>
      <c r="G740" s="305">
        <f>'NOV-18 '!I738</f>
        <v>700</v>
      </c>
      <c r="H740" s="51"/>
      <c r="I740" s="17">
        <f t="shared" si="14"/>
        <v>700</v>
      </c>
      <c r="J740" s="56"/>
      <c r="K740" s="56"/>
    </row>
    <row r="741" spans="1:11" ht="29.25">
      <c r="A741" s="11">
        <v>55603</v>
      </c>
      <c r="B741" s="54" t="s">
        <v>830</v>
      </c>
      <c r="C741" s="13"/>
      <c r="D741" s="14" t="s">
        <v>18</v>
      </c>
      <c r="E741" s="14" t="s">
        <v>28</v>
      </c>
      <c r="F741" s="14" t="s">
        <v>27</v>
      </c>
      <c r="G741" s="305">
        <f>'NOV-18 '!I739</f>
        <v>10</v>
      </c>
      <c r="H741" s="51"/>
      <c r="I741" s="17">
        <f t="shared" si="14"/>
        <v>10</v>
      </c>
      <c r="J741" s="56"/>
      <c r="K741" s="56"/>
    </row>
    <row r="742" spans="1:11" ht="74.25">
      <c r="A742" s="141" t="s">
        <v>517</v>
      </c>
      <c r="B742" s="53" t="s">
        <v>822</v>
      </c>
      <c r="C742" s="13"/>
      <c r="D742" s="14"/>
      <c r="E742" s="14"/>
      <c r="F742" s="14"/>
      <c r="G742" s="305">
        <f>'NOV-18 '!I740</f>
        <v>0</v>
      </c>
      <c r="H742" s="51"/>
      <c r="I742" s="17"/>
      <c r="J742" s="56"/>
      <c r="K742" s="56"/>
    </row>
    <row r="743" spans="1:11" ht="29.25">
      <c r="A743" s="11">
        <v>51202</v>
      </c>
      <c r="B743" s="54" t="s">
        <v>831</v>
      </c>
      <c r="C743" s="13"/>
      <c r="D743" s="14" t="s">
        <v>18</v>
      </c>
      <c r="E743" s="14" t="s">
        <v>28</v>
      </c>
      <c r="F743" s="14" t="s">
        <v>27</v>
      </c>
      <c r="G743" s="305">
        <f>'NOV-18 '!I741</f>
        <v>9000</v>
      </c>
      <c r="H743" s="51"/>
      <c r="I743" s="17">
        <f t="shared" si="14"/>
        <v>9000</v>
      </c>
      <c r="J743" s="56"/>
      <c r="K743" s="56"/>
    </row>
    <row r="744" spans="1:11" ht="29.25">
      <c r="A744" s="11">
        <v>54110</v>
      </c>
      <c r="B744" s="54" t="s">
        <v>832</v>
      </c>
      <c r="C744" s="13"/>
      <c r="D744" s="14" t="s">
        <v>18</v>
      </c>
      <c r="E744" s="14" t="s">
        <v>28</v>
      </c>
      <c r="F744" s="14" t="s">
        <v>27</v>
      </c>
      <c r="G744" s="305">
        <f>'NOV-18 '!I742</f>
        <v>200</v>
      </c>
      <c r="H744" s="51"/>
      <c r="I744" s="17">
        <f t="shared" si="14"/>
        <v>200</v>
      </c>
      <c r="J744" s="56"/>
      <c r="K744" s="56"/>
    </row>
    <row r="745" spans="1:11" ht="29.25">
      <c r="A745" s="11">
        <v>54111</v>
      </c>
      <c r="B745" s="54" t="s">
        <v>833</v>
      </c>
      <c r="C745" s="13"/>
      <c r="D745" s="14" t="s">
        <v>18</v>
      </c>
      <c r="E745" s="14" t="s">
        <v>28</v>
      </c>
      <c r="F745" s="14" t="s">
        <v>27</v>
      </c>
      <c r="G745" s="305">
        <f>'NOV-18 '!I743</f>
        <v>12290</v>
      </c>
      <c r="H745" s="51"/>
      <c r="I745" s="17">
        <f t="shared" si="14"/>
        <v>12290</v>
      </c>
      <c r="J745" s="56"/>
      <c r="K745" s="56"/>
    </row>
    <row r="746" spans="1:11" ht="29.25">
      <c r="A746" s="11">
        <v>54118</v>
      </c>
      <c r="B746" s="54" t="s">
        <v>834</v>
      </c>
      <c r="C746" s="13"/>
      <c r="D746" s="14" t="s">
        <v>18</v>
      </c>
      <c r="E746" s="14" t="s">
        <v>28</v>
      </c>
      <c r="F746" s="14" t="s">
        <v>27</v>
      </c>
      <c r="G746" s="305">
        <f>'NOV-18 '!I744</f>
        <v>3000</v>
      </c>
      <c r="H746" s="51"/>
      <c r="I746" s="17">
        <f t="shared" si="14"/>
        <v>3000</v>
      </c>
      <c r="J746" s="56"/>
      <c r="K746" s="56"/>
    </row>
    <row r="747" spans="1:11" ht="29.25">
      <c r="A747" s="11">
        <v>54313</v>
      </c>
      <c r="B747" s="54" t="s">
        <v>835</v>
      </c>
      <c r="C747" s="13"/>
      <c r="D747" s="14" t="s">
        <v>18</v>
      </c>
      <c r="E747" s="14" t="s">
        <v>28</v>
      </c>
      <c r="F747" s="14" t="s">
        <v>27</v>
      </c>
      <c r="G747" s="305">
        <f>'NOV-18 '!I745</f>
        <v>300</v>
      </c>
      <c r="H747" s="51"/>
      <c r="I747" s="17">
        <f t="shared" si="14"/>
        <v>300</v>
      </c>
      <c r="J747" s="56"/>
      <c r="K747" s="56"/>
    </row>
    <row r="748" spans="1:11" ht="29.25">
      <c r="A748" s="11">
        <v>54399</v>
      </c>
      <c r="B748" s="54" t="s">
        <v>836</v>
      </c>
      <c r="C748" s="13"/>
      <c r="D748" s="14" t="s">
        <v>18</v>
      </c>
      <c r="E748" s="14" t="s">
        <v>28</v>
      </c>
      <c r="F748" s="14" t="s">
        <v>27</v>
      </c>
      <c r="G748" s="305">
        <f>'NOV-18 '!I746</f>
        <v>200</v>
      </c>
      <c r="H748" s="51"/>
      <c r="I748" s="17">
        <f t="shared" si="14"/>
        <v>200</v>
      </c>
      <c r="J748" s="56"/>
      <c r="K748" s="56"/>
    </row>
    <row r="749" spans="1:11" ht="29.25">
      <c r="A749" s="11">
        <v>55603</v>
      </c>
      <c r="B749" s="53" t="s">
        <v>837</v>
      </c>
      <c r="C749" s="13"/>
      <c r="D749" s="14" t="s">
        <v>18</v>
      </c>
      <c r="E749" s="14" t="s">
        <v>28</v>
      </c>
      <c r="F749" s="14" t="s">
        <v>27</v>
      </c>
      <c r="G749" s="305">
        <f>'NOV-18 '!I747</f>
        <v>10</v>
      </c>
      <c r="H749" s="51"/>
      <c r="I749" s="17">
        <f t="shared" si="14"/>
        <v>10</v>
      </c>
      <c r="J749" s="56"/>
      <c r="K749" s="56"/>
    </row>
    <row r="750" spans="1:11" ht="75">
      <c r="A750" s="141" t="s">
        <v>838</v>
      </c>
      <c r="B750" s="53" t="s">
        <v>840</v>
      </c>
      <c r="C750" s="13"/>
      <c r="D750" s="14"/>
      <c r="E750" s="14"/>
      <c r="F750" s="14"/>
      <c r="G750" s="305">
        <f>'NOV-18 '!I748</f>
        <v>0</v>
      </c>
      <c r="H750" s="51"/>
      <c r="I750" s="17"/>
      <c r="J750" s="56"/>
      <c r="K750" s="56"/>
    </row>
    <row r="751" spans="1:11" ht="29.25">
      <c r="A751" s="11">
        <v>51202</v>
      </c>
      <c r="B751" s="54" t="s">
        <v>842</v>
      </c>
      <c r="C751" s="13"/>
      <c r="D751" s="14" t="s">
        <v>18</v>
      </c>
      <c r="E751" s="14" t="s">
        <v>28</v>
      </c>
      <c r="F751" s="14" t="s">
        <v>27</v>
      </c>
      <c r="G751" s="305">
        <f>'NOV-18 '!I749</f>
        <v>9000</v>
      </c>
      <c r="H751" s="51"/>
      <c r="I751" s="17">
        <f t="shared" si="14"/>
        <v>9000</v>
      </c>
      <c r="J751" s="56"/>
      <c r="K751" s="56"/>
    </row>
    <row r="752" spans="1:11" ht="43.5">
      <c r="A752" s="11">
        <v>54110</v>
      </c>
      <c r="B752" s="53" t="s">
        <v>844</v>
      </c>
      <c r="C752" s="13"/>
      <c r="D752" s="14" t="s">
        <v>18</v>
      </c>
      <c r="E752" s="14" t="s">
        <v>28</v>
      </c>
      <c r="F752" s="14" t="s">
        <v>27</v>
      </c>
      <c r="G752" s="305">
        <f>'NOV-18 '!I750</f>
        <v>200</v>
      </c>
      <c r="H752" s="51"/>
      <c r="I752" s="17">
        <f t="shared" si="14"/>
        <v>200</v>
      </c>
      <c r="J752" s="56"/>
      <c r="K752" s="56"/>
    </row>
    <row r="753" spans="1:11" ht="44.25">
      <c r="A753" s="11">
        <v>54111</v>
      </c>
      <c r="B753" s="53" t="s">
        <v>845</v>
      </c>
      <c r="C753" s="13"/>
      <c r="D753" s="14" t="s">
        <v>18</v>
      </c>
      <c r="E753" s="14" t="s">
        <v>28</v>
      </c>
      <c r="F753" s="14" t="s">
        <v>27</v>
      </c>
      <c r="G753" s="305">
        <f>'NOV-18 '!I751</f>
        <v>12290</v>
      </c>
      <c r="H753" s="51"/>
      <c r="I753" s="17">
        <f t="shared" si="14"/>
        <v>12290</v>
      </c>
      <c r="J753" s="56"/>
      <c r="K753" s="56"/>
    </row>
    <row r="754" spans="1:11" ht="43.5">
      <c r="A754" s="11">
        <v>54118</v>
      </c>
      <c r="B754" s="53" t="s">
        <v>846</v>
      </c>
      <c r="C754" s="13"/>
      <c r="D754" s="14" t="s">
        <v>18</v>
      </c>
      <c r="E754" s="14" t="s">
        <v>28</v>
      </c>
      <c r="F754" s="14" t="s">
        <v>27</v>
      </c>
      <c r="G754" s="305">
        <f>'NOV-18 '!I752</f>
        <v>3000</v>
      </c>
      <c r="H754" s="51"/>
      <c r="I754" s="17">
        <f t="shared" si="14"/>
        <v>3000</v>
      </c>
      <c r="J754" s="56"/>
      <c r="K754" s="56"/>
    </row>
    <row r="755" spans="1:11" ht="44.25">
      <c r="A755" s="11">
        <v>54313</v>
      </c>
      <c r="B755" s="53" t="s">
        <v>847</v>
      </c>
      <c r="C755" s="13"/>
      <c r="D755" s="14" t="s">
        <v>18</v>
      </c>
      <c r="E755" s="14" t="s">
        <v>28</v>
      </c>
      <c r="F755" s="14" t="s">
        <v>27</v>
      </c>
      <c r="G755" s="305">
        <f>'NOV-18 '!I753</f>
        <v>300</v>
      </c>
      <c r="H755" s="51"/>
      <c r="I755" s="17">
        <f t="shared" si="14"/>
        <v>300</v>
      </c>
      <c r="J755" s="56"/>
      <c r="K755" s="56"/>
    </row>
    <row r="756" spans="1:11" ht="44.25">
      <c r="A756" s="11">
        <v>54399</v>
      </c>
      <c r="B756" s="53" t="s">
        <v>848</v>
      </c>
      <c r="C756" s="13"/>
      <c r="D756" s="14" t="s">
        <v>18</v>
      </c>
      <c r="E756" s="14" t="s">
        <v>28</v>
      </c>
      <c r="F756" s="14" t="s">
        <v>27</v>
      </c>
      <c r="G756" s="305">
        <f>'NOV-18 '!I754</f>
        <v>200</v>
      </c>
      <c r="H756" s="51"/>
      <c r="I756" s="17">
        <f t="shared" si="14"/>
        <v>200</v>
      </c>
      <c r="J756" s="56"/>
      <c r="K756" s="56"/>
    </row>
    <row r="757" spans="1:11" ht="43.5">
      <c r="A757" s="11">
        <v>55603</v>
      </c>
      <c r="B757" s="53" t="s">
        <v>849</v>
      </c>
      <c r="C757" s="13"/>
      <c r="D757" s="14" t="s">
        <v>18</v>
      </c>
      <c r="E757" s="14" t="s">
        <v>28</v>
      </c>
      <c r="F757" s="14" t="s">
        <v>27</v>
      </c>
      <c r="G757" s="305">
        <f>'NOV-18 '!I755</f>
        <v>10</v>
      </c>
      <c r="H757" s="51"/>
      <c r="I757" s="17">
        <f t="shared" si="14"/>
        <v>10</v>
      </c>
      <c r="J757" s="56"/>
      <c r="K757" s="56"/>
    </row>
    <row r="758" spans="1:11" ht="60">
      <c r="A758" s="141" t="s">
        <v>839</v>
      </c>
      <c r="B758" s="53" t="s">
        <v>841</v>
      </c>
      <c r="C758" s="13"/>
      <c r="D758" s="14"/>
      <c r="E758" s="14"/>
      <c r="F758" s="14"/>
      <c r="G758" s="305">
        <f>'NOV-18 '!I756</f>
        <v>0</v>
      </c>
      <c r="H758" s="51"/>
      <c r="I758" s="17"/>
      <c r="J758" s="56"/>
      <c r="K758" s="56"/>
    </row>
    <row r="759" spans="1:11" ht="29.25">
      <c r="A759" s="11">
        <v>51202</v>
      </c>
      <c r="B759" s="54" t="s">
        <v>843</v>
      </c>
      <c r="C759" s="13"/>
      <c r="D759" s="14" t="s">
        <v>18</v>
      </c>
      <c r="E759" s="14" t="s">
        <v>28</v>
      </c>
      <c r="F759" s="14" t="s">
        <v>27</v>
      </c>
      <c r="G759" s="305">
        <f>'NOV-18 '!I757</f>
        <v>9000</v>
      </c>
      <c r="H759" s="51"/>
      <c r="I759" s="17">
        <f t="shared" si="14"/>
        <v>9000</v>
      </c>
      <c r="J759" s="56"/>
      <c r="K759" s="56"/>
    </row>
    <row r="760" spans="1:11" ht="29.25">
      <c r="A760" s="11">
        <v>54110</v>
      </c>
      <c r="B760" s="53" t="s">
        <v>850</v>
      </c>
      <c r="C760" s="13"/>
      <c r="D760" s="14" t="s">
        <v>18</v>
      </c>
      <c r="E760" s="14" t="s">
        <v>28</v>
      </c>
      <c r="F760" s="14" t="s">
        <v>27</v>
      </c>
      <c r="G760" s="305">
        <f>'NOV-18 '!I758</f>
        <v>200</v>
      </c>
      <c r="H760" s="51"/>
      <c r="I760" s="17">
        <f t="shared" si="14"/>
        <v>200</v>
      </c>
      <c r="J760" s="56"/>
      <c r="K760" s="56"/>
    </row>
    <row r="761" spans="1:11" ht="29.25">
      <c r="A761" s="11">
        <v>54111</v>
      </c>
      <c r="B761" s="54" t="s">
        <v>851</v>
      </c>
      <c r="C761" s="13"/>
      <c r="D761" s="14" t="s">
        <v>18</v>
      </c>
      <c r="E761" s="14" t="s">
        <v>28</v>
      </c>
      <c r="F761" s="14" t="s">
        <v>27</v>
      </c>
      <c r="G761" s="305">
        <f>'NOV-18 '!I759</f>
        <v>12290</v>
      </c>
      <c r="H761" s="51"/>
      <c r="I761" s="17">
        <f t="shared" si="14"/>
        <v>12290</v>
      </c>
      <c r="J761" s="56"/>
      <c r="K761" s="56"/>
    </row>
    <row r="762" spans="1:11" ht="29.25">
      <c r="A762" s="11">
        <v>54118</v>
      </c>
      <c r="B762" s="53" t="s">
        <v>852</v>
      </c>
      <c r="C762" s="13"/>
      <c r="D762" s="14" t="s">
        <v>18</v>
      </c>
      <c r="E762" s="14" t="s">
        <v>28</v>
      </c>
      <c r="F762" s="14" t="s">
        <v>27</v>
      </c>
      <c r="G762" s="305">
        <f>'NOV-18 '!I760</f>
        <v>3000</v>
      </c>
      <c r="H762" s="51"/>
      <c r="I762" s="17">
        <f t="shared" si="14"/>
        <v>3000</v>
      </c>
      <c r="J762" s="56"/>
      <c r="K762" s="56"/>
    </row>
    <row r="763" spans="1:11" ht="29.25">
      <c r="A763" s="11">
        <v>54313</v>
      </c>
      <c r="B763" s="54" t="s">
        <v>853</v>
      </c>
      <c r="C763" s="13"/>
      <c r="D763" s="14" t="s">
        <v>18</v>
      </c>
      <c r="E763" s="14" t="s">
        <v>28</v>
      </c>
      <c r="F763" s="14" t="s">
        <v>27</v>
      </c>
      <c r="G763" s="305">
        <f>'NOV-18 '!I761</f>
        <v>300</v>
      </c>
      <c r="H763" s="51"/>
      <c r="I763" s="17">
        <f t="shared" si="14"/>
        <v>300</v>
      </c>
      <c r="J763" s="56"/>
      <c r="K763" s="56"/>
    </row>
    <row r="764" spans="1:11" ht="37.5" customHeight="1">
      <c r="A764" s="11">
        <v>54399</v>
      </c>
      <c r="B764" s="54" t="s">
        <v>854</v>
      </c>
      <c r="C764" s="13"/>
      <c r="D764" s="14" t="s">
        <v>18</v>
      </c>
      <c r="E764" s="14" t="s">
        <v>28</v>
      </c>
      <c r="F764" s="14" t="s">
        <v>27</v>
      </c>
      <c r="G764" s="305">
        <f>'NOV-18 '!I762</f>
        <v>200</v>
      </c>
      <c r="H764" s="51"/>
      <c r="I764" s="17">
        <f t="shared" si="14"/>
        <v>200</v>
      </c>
      <c r="J764" s="56"/>
      <c r="K764" s="56"/>
    </row>
    <row r="765" spans="1:11" ht="29.25">
      <c r="A765" s="11">
        <v>55603</v>
      </c>
      <c r="B765" s="54" t="s">
        <v>855</v>
      </c>
      <c r="C765" s="13"/>
      <c r="D765" s="14" t="s">
        <v>18</v>
      </c>
      <c r="E765" s="14" t="s">
        <v>28</v>
      </c>
      <c r="F765" s="14" t="s">
        <v>27</v>
      </c>
      <c r="G765" s="305">
        <f>'NOV-18 '!I763</f>
        <v>10</v>
      </c>
      <c r="H765" s="51"/>
      <c r="I765" s="17">
        <f t="shared" si="14"/>
        <v>10</v>
      </c>
      <c r="J765" s="56"/>
      <c r="K765" s="56"/>
    </row>
    <row r="766" spans="1:11" ht="60">
      <c r="A766" s="141" t="s">
        <v>872</v>
      </c>
      <c r="B766" s="53" t="s">
        <v>856</v>
      </c>
      <c r="C766" s="13"/>
      <c r="D766" s="14"/>
      <c r="E766" s="14"/>
      <c r="F766" s="14"/>
      <c r="G766" s="305">
        <f>'NOV-18 '!I764</f>
        <v>0</v>
      </c>
      <c r="H766" s="51"/>
      <c r="I766" s="17"/>
      <c r="J766" s="56"/>
      <c r="K766" s="56"/>
    </row>
    <row r="767" spans="1:11" ht="29.25">
      <c r="A767" s="11">
        <v>51202</v>
      </c>
      <c r="B767" s="54" t="s">
        <v>857</v>
      </c>
      <c r="C767" s="13"/>
      <c r="D767" s="14" t="s">
        <v>18</v>
      </c>
      <c r="E767" s="14" t="s">
        <v>28</v>
      </c>
      <c r="F767" s="14" t="s">
        <v>27</v>
      </c>
      <c r="G767" s="305">
        <f>'NOV-18 '!I765</f>
        <v>0</v>
      </c>
      <c r="H767" s="51"/>
      <c r="I767" s="17">
        <f t="shared" si="14"/>
        <v>0</v>
      </c>
      <c r="J767" s="56"/>
      <c r="K767" s="449"/>
    </row>
    <row r="768" spans="1:11" ht="29.25">
      <c r="A768" s="11">
        <v>54110</v>
      </c>
      <c r="B768" s="53" t="s">
        <v>858</v>
      </c>
      <c r="C768" s="13"/>
      <c r="D768" s="14" t="s">
        <v>18</v>
      </c>
      <c r="E768" s="14" t="s">
        <v>28</v>
      </c>
      <c r="F768" s="14" t="s">
        <v>27</v>
      </c>
      <c r="G768" s="305">
        <f>'NOV-18 '!I766</f>
        <v>0</v>
      </c>
      <c r="H768" s="51"/>
      <c r="I768" s="17">
        <f t="shared" si="14"/>
        <v>0</v>
      </c>
      <c r="J768" s="56"/>
      <c r="K768" s="449"/>
    </row>
    <row r="769" spans="1:11" ht="44.25">
      <c r="A769" s="11">
        <v>54111</v>
      </c>
      <c r="B769" s="53" t="s">
        <v>859</v>
      </c>
      <c r="C769" s="13"/>
      <c r="D769" s="14" t="s">
        <v>18</v>
      </c>
      <c r="E769" s="14" t="s">
        <v>28</v>
      </c>
      <c r="F769" s="14" t="s">
        <v>27</v>
      </c>
      <c r="G769" s="305">
        <f>'NOV-18 '!I767</f>
        <v>0</v>
      </c>
      <c r="H769" s="51"/>
      <c r="I769" s="17">
        <f t="shared" si="14"/>
        <v>0</v>
      </c>
      <c r="J769" s="56"/>
      <c r="K769" s="449"/>
    </row>
    <row r="770" spans="1:11" ht="29.25">
      <c r="A770" s="11">
        <v>54118</v>
      </c>
      <c r="B770" s="53" t="s">
        <v>860</v>
      </c>
      <c r="C770" s="13"/>
      <c r="D770" s="14" t="s">
        <v>18</v>
      </c>
      <c r="E770" s="14" t="s">
        <v>28</v>
      </c>
      <c r="F770" s="14" t="s">
        <v>27</v>
      </c>
      <c r="G770" s="305">
        <f>'NOV-18 '!I768</f>
        <v>0</v>
      </c>
      <c r="H770" s="51"/>
      <c r="I770" s="17">
        <f t="shared" si="14"/>
        <v>0</v>
      </c>
      <c r="J770" s="56"/>
      <c r="K770" s="449"/>
    </row>
    <row r="771" spans="1:11" ht="44.25">
      <c r="A771" s="11">
        <v>54313</v>
      </c>
      <c r="B771" s="53" t="s">
        <v>861</v>
      </c>
      <c r="C771" s="13"/>
      <c r="D771" s="14" t="s">
        <v>18</v>
      </c>
      <c r="E771" s="14" t="s">
        <v>28</v>
      </c>
      <c r="F771" s="14" t="s">
        <v>27</v>
      </c>
      <c r="G771" s="305">
        <f>'NOV-18 '!I769</f>
        <v>0</v>
      </c>
      <c r="H771" s="51"/>
      <c r="I771" s="17">
        <f t="shared" si="14"/>
        <v>0</v>
      </c>
      <c r="J771" s="56"/>
      <c r="K771" s="449"/>
    </row>
    <row r="772" spans="1:11" ht="44.25">
      <c r="A772" s="11">
        <v>54399</v>
      </c>
      <c r="B772" s="53" t="s">
        <v>862</v>
      </c>
      <c r="C772" s="13"/>
      <c r="D772" s="14" t="s">
        <v>18</v>
      </c>
      <c r="E772" s="14" t="s">
        <v>28</v>
      </c>
      <c r="F772" s="14" t="s">
        <v>27</v>
      </c>
      <c r="G772" s="305">
        <f>'NOV-18 '!I770</f>
        <v>0</v>
      </c>
      <c r="H772" s="51"/>
      <c r="I772" s="17">
        <f t="shared" si="14"/>
        <v>0</v>
      </c>
      <c r="J772" s="56"/>
      <c r="K772" s="449"/>
    </row>
    <row r="773" spans="1:11" ht="29.25">
      <c r="A773" s="11">
        <v>55603</v>
      </c>
      <c r="B773" s="53" t="s">
        <v>863</v>
      </c>
      <c r="C773" s="13"/>
      <c r="D773" s="14" t="s">
        <v>18</v>
      </c>
      <c r="E773" s="14" t="s">
        <v>28</v>
      </c>
      <c r="F773" s="14" t="s">
        <v>27</v>
      </c>
      <c r="G773" s="305">
        <f>'NOV-18 '!I771</f>
        <v>0</v>
      </c>
      <c r="H773" s="51"/>
      <c r="I773" s="17">
        <f t="shared" si="14"/>
        <v>0</v>
      </c>
      <c r="J773" s="56"/>
      <c r="K773" s="449"/>
    </row>
    <row r="774" spans="1:11" ht="56.25" customHeight="1">
      <c r="A774" s="141" t="s">
        <v>873</v>
      </c>
      <c r="B774" s="53" t="s">
        <v>864</v>
      </c>
      <c r="C774" s="13"/>
      <c r="D774" s="14"/>
      <c r="E774" s="14"/>
      <c r="F774" s="14"/>
      <c r="G774" s="305">
        <f>'NOV-18 '!I772</f>
        <v>0</v>
      </c>
      <c r="H774" s="51"/>
      <c r="I774" s="17"/>
      <c r="J774" s="56"/>
      <c r="K774" s="450"/>
    </row>
    <row r="775" spans="1:11" ht="29.25">
      <c r="A775" s="11">
        <v>51202</v>
      </c>
      <c r="B775" s="53" t="s">
        <v>865</v>
      </c>
      <c r="C775" s="13"/>
      <c r="D775" s="14" t="s">
        <v>18</v>
      </c>
      <c r="E775" s="14" t="s">
        <v>28</v>
      </c>
      <c r="F775" s="14" t="s">
        <v>27</v>
      </c>
      <c r="G775" s="305">
        <f>'NOV-18 '!I773</f>
        <v>0</v>
      </c>
      <c r="H775" s="51"/>
      <c r="I775" s="17">
        <f t="shared" si="14"/>
        <v>0</v>
      </c>
      <c r="J775" s="56"/>
      <c r="K775" s="451"/>
    </row>
    <row r="776" spans="1:11" ht="29.25">
      <c r="A776" s="11">
        <v>54110</v>
      </c>
      <c r="B776" s="53" t="s">
        <v>866</v>
      </c>
      <c r="C776" s="13"/>
      <c r="D776" s="14" t="s">
        <v>18</v>
      </c>
      <c r="E776" s="14" t="s">
        <v>28</v>
      </c>
      <c r="F776" s="14" t="s">
        <v>27</v>
      </c>
      <c r="G776" s="305">
        <f>'NOV-18 '!I774</f>
        <v>0</v>
      </c>
      <c r="H776" s="51"/>
      <c r="I776" s="17">
        <f t="shared" si="14"/>
        <v>0</v>
      </c>
      <c r="J776" s="56"/>
      <c r="K776" s="451"/>
    </row>
    <row r="777" spans="1:11" ht="30">
      <c r="A777" s="11">
        <v>54111</v>
      </c>
      <c r="B777" s="53" t="s">
        <v>867</v>
      </c>
      <c r="C777" s="13"/>
      <c r="D777" s="14" t="s">
        <v>18</v>
      </c>
      <c r="E777" s="14" t="s">
        <v>28</v>
      </c>
      <c r="F777" s="14" t="s">
        <v>27</v>
      </c>
      <c r="G777" s="305">
        <f>'NOV-18 '!I775</f>
        <v>0</v>
      </c>
      <c r="H777" s="51"/>
      <c r="I777" s="17">
        <f t="shared" si="14"/>
        <v>0</v>
      </c>
      <c r="J777" s="56"/>
      <c r="K777" s="451"/>
    </row>
    <row r="778" spans="1:11" ht="29.25">
      <c r="A778" s="11">
        <v>54118</v>
      </c>
      <c r="B778" s="53" t="s">
        <v>868</v>
      </c>
      <c r="C778" s="13"/>
      <c r="D778" s="14" t="s">
        <v>18</v>
      </c>
      <c r="E778" s="14" t="s">
        <v>28</v>
      </c>
      <c r="F778" s="14" t="s">
        <v>27</v>
      </c>
      <c r="G778" s="305">
        <f>'NOV-18 '!I776</f>
        <v>0</v>
      </c>
      <c r="H778" s="51"/>
      <c r="I778" s="17">
        <f t="shared" si="14"/>
        <v>0</v>
      </c>
      <c r="J778" s="56"/>
      <c r="K778" s="451"/>
    </row>
    <row r="779" spans="1:11" ht="44.25">
      <c r="A779" s="11">
        <v>54313</v>
      </c>
      <c r="B779" s="53" t="s">
        <v>869</v>
      </c>
      <c r="C779" s="13"/>
      <c r="D779" s="14" t="s">
        <v>18</v>
      </c>
      <c r="E779" s="14" t="s">
        <v>28</v>
      </c>
      <c r="F779" s="14" t="s">
        <v>27</v>
      </c>
      <c r="G779" s="305">
        <f>'NOV-18 '!I777</f>
        <v>0</v>
      </c>
      <c r="H779" s="51"/>
      <c r="I779" s="17">
        <f t="shared" si="14"/>
        <v>0</v>
      </c>
      <c r="J779" s="56"/>
      <c r="K779" s="451"/>
    </row>
    <row r="780" spans="1:11" ht="30">
      <c r="A780" s="11">
        <v>54399</v>
      </c>
      <c r="B780" s="53" t="s">
        <v>870</v>
      </c>
      <c r="C780" s="13"/>
      <c r="D780" s="14" t="s">
        <v>18</v>
      </c>
      <c r="E780" s="14" t="s">
        <v>28</v>
      </c>
      <c r="F780" s="14" t="s">
        <v>27</v>
      </c>
      <c r="G780" s="305">
        <f>'NOV-18 '!I778</f>
        <v>0</v>
      </c>
      <c r="H780" s="51"/>
      <c r="I780" s="17">
        <f t="shared" si="14"/>
        <v>0</v>
      </c>
      <c r="J780" s="56"/>
      <c r="K780" s="451"/>
    </row>
    <row r="781" spans="1:11" ht="29.25">
      <c r="A781" s="11">
        <v>55603</v>
      </c>
      <c r="B781" s="53" t="s">
        <v>871</v>
      </c>
      <c r="C781" s="13"/>
      <c r="D781" s="14" t="s">
        <v>18</v>
      </c>
      <c r="E781" s="14" t="s">
        <v>28</v>
      </c>
      <c r="F781" s="14" t="s">
        <v>27</v>
      </c>
      <c r="G781" s="305">
        <f>'NOV-18 '!I779</f>
        <v>0</v>
      </c>
      <c r="H781" s="51"/>
      <c r="I781" s="17">
        <f t="shared" si="14"/>
        <v>0</v>
      </c>
      <c r="J781" s="56"/>
      <c r="K781" s="451"/>
    </row>
    <row r="782" spans="1:11" ht="60">
      <c r="A782" s="141" t="s">
        <v>532</v>
      </c>
      <c r="B782" s="53" t="s">
        <v>874</v>
      </c>
      <c r="C782" s="13"/>
      <c r="D782" s="14"/>
      <c r="E782" s="14"/>
      <c r="F782" s="14"/>
      <c r="G782" s="305">
        <f>'NOV-18 '!I780</f>
        <v>0</v>
      </c>
      <c r="H782" s="51"/>
      <c r="I782" s="17"/>
      <c r="J782" s="56"/>
      <c r="K782" s="450"/>
    </row>
    <row r="783" spans="1:11" ht="29.25">
      <c r="A783" s="11">
        <v>51202</v>
      </c>
      <c r="B783" s="53" t="s">
        <v>875</v>
      </c>
      <c r="C783" s="13"/>
      <c r="D783" s="14" t="s">
        <v>18</v>
      </c>
      <c r="E783" s="14" t="s">
        <v>28</v>
      </c>
      <c r="F783" s="14" t="s">
        <v>27</v>
      </c>
      <c r="G783" s="305">
        <f>'NOV-18 '!I781</f>
        <v>0</v>
      </c>
      <c r="H783" s="51"/>
      <c r="I783" s="17">
        <f t="shared" si="14"/>
        <v>0</v>
      </c>
      <c r="J783" s="56"/>
      <c r="K783" s="449"/>
    </row>
    <row r="784" spans="1:11" ht="29.25">
      <c r="A784" s="11">
        <v>54110</v>
      </c>
      <c r="B784" s="53" t="s">
        <v>876</v>
      </c>
      <c r="C784" s="13"/>
      <c r="D784" s="14" t="s">
        <v>18</v>
      </c>
      <c r="E784" s="14" t="s">
        <v>28</v>
      </c>
      <c r="F784" s="14" t="s">
        <v>27</v>
      </c>
      <c r="G784" s="305">
        <f>'NOV-18 '!I782</f>
        <v>0</v>
      </c>
      <c r="H784" s="51"/>
      <c r="I784" s="17">
        <f t="shared" si="14"/>
        <v>0</v>
      </c>
      <c r="J784" s="56"/>
      <c r="K784" s="449"/>
    </row>
    <row r="785" spans="1:11" ht="44.25">
      <c r="A785" s="11">
        <v>54111</v>
      </c>
      <c r="B785" s="53" t="s">
        <v>881</v>
      </c>
      <c r="C785" s="13"/>
      <c r="D785" s="14" t="s">
        <v>18</v>
      </c>
      <c r="E785" s="14" t="s">
        <v>28</v>
      </c>
      <c r="F785" s="14" t="s">
        <v>27</v>
      </c>
      <c r="G785" s="305">
        <f>'NOV-18 '!I783</f>
        <v>0</v>
      </c>
      <c r="H785" s="51"/>
      <c r="I785" s="17">
        <f t="shared" si="14"/>
        <v>0</v>
      </c>
      <c r="J785" s="56"/>
      <c r="K785" s="449"/>
    </row>
    <row r="786" spans="1:11" ht="29.25">
      <c r="A786" s="11">
        <v>54118</v>
      </c>
      <c r="B786" s="53" t="s">
        <v>877</v>
      </c>
      <c r="C786" s="13"/>
      <c r="D786" s="14" t="s">
        <v>18</v>
      </c>
      <c r="E786" s="14" t="s">
        <v>28</v>
      </c>
      <c r="F786" s="14" t="s">
        <v>27</v>
      </c>
      <c r="G786" s="305">
        <f>'NOV-18 '!I784</f>
        <v>0</v>
      </c>
      <c r="H786" s="51"/>
      <c r="I786" s="17">
        <f t="shared" si="14"/>
        <v>0</v>
      </c>
      <c r="J786" s="56"/>
      <c r="K786" s="449"/>
    </row>
    <row r="787" spans="1:11" ht="44.25">
      <c r="A787" s="11">
        <v>54313</v>
      </c>
      <c r="B787" s="53" t="s">
        <v>878</v>
      </c>
      <c r="C787" s="13"/>
      <c r="D787" s="14" t="s">
        <v>18</v>
      </c>
      <c r="E787" s="14" t="s">
        <v>28</v>
      </c>
      <c r="F787" s="14" t="s">
        <v>27</v>
      </c>
      <c r="G787" s="305">
        <f>'NOV-18 '!I785</f>
        <v>0</v>
      </c>
      <c r="H787" s="51"/>
      <c r="I787" s="17">
        <f t="shared" si="14"/>
        <v>0</v>
      </c>
      <c r="J787" s="56"/>
      <c r="K787" s="449"/>
    </row>
    <row r="788" spans="1:11" ht="43.5">
      <c r="A788" s="11">
        <v>54399</v>
      </c>
      <c r="B788" s="53" t="s">
        <v>879</v>
      </c>
      <c r="C788" s="13"/>
      <c r="D788" s="14" t="s">
        <v>18</v>
      </c>
      <c r="E788" s="14" t="s">
        <v>28</v>
      </c>
      <c r="F788" s="14" t="s">
        <v>27</v>
      </c>
      <c r="G788" s="305">
        <f>'NOV-18 '!I786</f>
        <v>0</v>
      </c>
      <c r="H788" s="51"/>
      <c r="I788" s="17">
        <f t="shared" si="14"/>
        <v>0</v>
      </c>
      <c r="J788" s="56"/>
      <c r="K788" s="449"/>
    </row>
    <row r="789" spans="1:11" ht="29.25">
      <c r="A789" s="11">
        <v>55603</v>
      </c>
      <c r="B789" s="53" t="s">
        <v>880</v>
      </c>
      <c r="C789" s="13"/>
      <c r="D789" s="14" t="s">
        <v>18</v>
      </c>
      <c r="E789" s="14" t="s">
        <v>28</v>
      </c>
      <c r="F789" s="14" t="s">
        <v>27</v>
      </c>
      <c r="G789" s="305">
        <f>'NOV-18 '!I787</f>
        <v>0</v>
      </c>
      <c r="H789" s="51"/>
      <c r="I789" s="17">
        <f t="shared" si="14"/>
        <v>0</v>
      </c>
      <c r="J789" s="56"/>
      <c r="K789" s="449"/>
    </row>
    <row r="790" spans="1:11" ht="66.75" customHeight="1">
      <c r="A790" s="144" t="s">
        <v>540</v>
      </c>
      <c r="B790" s="53" t="s">
        <v>882</v>
      </c>
      <c r="C790" s="13"/>
      <c r="D790" s="14"/>
      <c r="E790" s="14"/>
      <c r="F790" s="14"/>
      <c r="G790" s="305">
        <f>'NOV-18 '!I788</f>
        <v>0</v>
      </c>
      <c r="H790" s="51"/>
      <c r="I790" s="17"/>
      <c r="J790" s="56"/>
      <c r="K790" s="450"/>
    </row>
    <row r="791" spans="1:11" ht="43.5">
      <c r="A791" s="11">
        <v>51202</v>
      </c>
      <c r="B791" s="53" t="s">
        <v>883</v>
      </c>
      <c r="C791" s="13"/>
      <c r="D791" s="14" t="s">
        <v>18</v>
      </c>
      <c r="E791" s="14" t="s">
        <v>28</v>
      </c>
      <c r="F791" s="14" t="s">
        <v>27</v>
      </c>
      <c r="G791" s="305">
        <f>'NOV-18 '!I789</f>
        <v>5702.4</v>
      </c>
      <c r="H791" s="51"/>
      <c r="I791" s="17">
        <f t="shared" si="14"/>
        <v>5702.4</v>
      </c>
      <c r="J791" s="56"/>
      <c r="K791" s="452"/>
    </row>
    <row r="792" spans="1:11" ht="43.5">
      <c r="A792" s="11">
        <v>54110</v>
      </c>
      <c r="B792" s="53" t="s">
        <v>968</v>
      </c>
      <c r="C792" s="13"/>
      <c r="D792" s="14" t="s">
        <v>18</v>
      </c>
      <c r="E792" s="14" t="s">
        <v>28</v>
      </c>
      <c r="F792" s="14" t="s">
        <v>27</v>
      </c>
      <c r="G792" s="305">
        <f>'NOV-18 '!I790</f>
        <v>500</v>
      </c>
      <c r="H792" s="51"/>
      <c r="I792" s="17">
        <f t="shared" si="14"/>
        <v>500</v>
      </c>
      <c r="J792" s="56"/>
      <c r="K792" s="450"/>
    </row>
    <row r="793" spans="1:11" ht="44.25">
      <c r="A793" s="11">
        <v>54111</v>
      </c>
      <c r="B793" s="53" t="s">
        <v>884</v>
      </c>
      <c r="C793" s="13"/>
      <c r="D793" s="14" t="s">
        <v>18</v>
      </c>
      <c r="E793" s="14" t="s">
        <v>28</v>
      </c>
      <c r="F793" s="14" t="s">
        <v>27</v>
      </c>
      <c r="G793" s="305">
        <f>'NOV-18 '!I791</f>
        <v>15000</v>
      </c>
      <c r="H793" s="51"/>
      <c r="I793" s="17">
        <f t="shared" ref="I793:I857" si="15">G793-H793+J793-K793</f>
        <v>15000</v>
      </c>
      <c r="J793" s="56"/>
      <c r="K793" s="450"/>
    </row>
    <row r="794" spans="1:11" ht="43.5">
      <c r="A794" s="11">
        <v>54118</v>
      </c>
      <c r="B794" s="53" t="s">
        <v>885</v>
      </c>
      <c r="C794" s="13"/>
      <c r="D794" s="14" t="s">
        <v>18</v>
      </c>
      <c r="E794" s="14" t="s">
        <v>28</v>
      </c>
      <c r="F794" s="14" t="s">
        <v>27</v>
      </c>
      <c r="G794" s="305">
        <f>'NOV-18 '!I792</f>
        <v>5000</v>
      </c>
      <c r="H794" s="51"/>
      <c r="I794" s="17">
        <f t="shared" si="15"/>
        <v>5000</v>
      </c>
      <c r="J794" s="56"/>
      <c r="K794" s="450"/>
    </row>
    <row r="795" spans="1:11" ht="43.5">
      <c r="A795" s="11">
        <v>54304</v>
      </c>
      <c r="B795" s="53" t="s">
        <v>889</v>
      </c>
      <c r="C795" s="13"/>
      <c r="D795" s="14" t="s">
        <v>18</v>
      </c>
      <c r="E795" s="14" t="s">
        <v>28</v>
      </c>
      <c r="F795" s="14" t="s">
        <v>27</v>
      </c>
      <c r="G795" s="305">
        <f>'NOV-18 '!I793</f>
        <v>2690</v>
      </c>
      <c r="H795" s="51"/>
      <c r="I795" s="17">
        <f t="shared" si="15"/>
        <v>2690</v>
      </c>
      <c r="J795" s="56"/>
      <c r="K795" s="56"/>
    </row>
    <row r="796" spans="1:11" ht="44.25">
      <c r="A796" s="11">
        <v>54313</v>
      </c>
      <c r="B796" s="53" t="s">
        <v>886</v>
      </c>
      <c r="C796" s="13"/>
      <c r="D796" s="14" t="s">
        <v>18</v>
      </c>
      <c r="E796" s="14" t="s">
        <v>28</v>
      </c>
      <c r="F796" s="14" t="s">
        <v>27</v>
      </c>
      <c r="G796" s="305">
        <f>'NOV-18 '!I794</f>
        <v>300</v>
      </c>
      <c r="H796" s="51"/>
      <c r="I796" s="17">
        <f t="shared" si="15"/>
        <v>300</v>
      </c>
      <c r="J796" s="56"/>
      <c r="K796" s="56"/>
    </row>
    <row r="797" spans="1:11" ht="44.25">
      <c r="A797" s="11">
        <v>54399</v>
      </c>
      <c r="B797" s="53" t="s">
        <v>887</v>
      </c>
      <c r="C797" s="13"/>
      <c r="D797" s="14" t="s">
        <v>18</v>
      </c>
      <c r="E797" s="14" t="s">
        <v>28</v>
      </c>
      <c r="F797" s="14" t="s">
        <v>27</v>
      </c>
      <c r="G797" s="305">
        <f>'NOV-18 '!I795</f>
        <v>1500</v>
      </c>
      <c r="H797" s="51"/>
      <c r="I797" s="17">
        <f t="shared" si="15"/>
        <v>1500</v>
      </c>
      <c r="J797" s="56"/>
      <c r="K797" s="392"/>
    </row>
    <row r="798" spans="1:11" ht="43.5">
      <c r="A798" s="11">
        <v>55603</v>
      </c>
      <c r="B798" s="53" t="s">
        <v>888</v>
      </c>
      <c r="C798" s="13"/>
      <c r="D798" s="14" t="s">
        <v>18</v>
      </c>
      <c r="E798" s="14" t="s">
        <v>28</v>
      </c>
      <c r="F798" s="14" t="s">
        <v>27</v>
      </c>
      <c r="G798" s="305">
        <f>'NOV-18 '!I796</f>
        <v>10</v>
      </c>
      <c r="H798" s="51"/>
      <c r="I798" s="17">
        <f t="shared" si="15"/>
        <v>10</v>
      </c>
      <c r="J798" s="56"/>
      <c r="K798" s="56"/>
    </row>
    <row r="799" spans="1:11" ht="26.25" customHeight="1">
      <c r="A799" s="141">
        <v>61</v>
      </c>
      <c r="B799" s="53" t="s">
        <v>1228</v>
      </c>
      <c r="C799" s="13"/>
      <c r="D799" s="14"/>
      <c r="E799" s="14"/>
      <c r="F799" s="14"/>
      <c r="G799" s="305">
        <f>'NOV-18 '!I797</f>
        <v>0</v>
      </c>
      <c r="H799" s="51"/>
      <c r="I799" s="17">
        <f t="shared" si="15"/>
        <v>0</v>
      </c>
      <c r="J799" s="56"/>
      <c r="K799" s="56"/>
    </row>
    <row r="800" spans="1:11" ht="26.25" customHeight="1">
      <c r="A800" s="141">
        <v>616</v>
      </c>
      <c r="B800" s="53" t="s">
        <v>1225</v>
      </c>
      <c r="C800" s="13"/>
      <c r="D800" s="14"/>
      <c r="E800" s="14"/>
      <c r="F800" s="14"/>
      <c r="G800" s="305">
        <f>'NOV-18 '!I798</f>
        <v>0</v>
      </c>
      <c r="H800" s="51"/>
      <c r="I800" s="17"/>
      <c r="J800" s="56"/>
      <c r="K800" s="56"/>
    </row>
    <row r="801" spans="1:11" ht="26.25" customHeight="1">
      <c r="A801" s="141">
        <v>61601</v>
      </c>
      <c r="B801" s="53" t="s">
        <v>1226</v>
      </c>
      <c r="C801" s="13"/>
      <c r="D801" s="14"/>
      <c r="E801" s="14"/>
      <c r="F801" s="14"/>
      <c r="G801" s="305">
        <f>'NOV-18 '!I799</f>
        <v>0</v>
      </c>
      <c r="H801" s="51"/>
      <c r="I801" s="17"/>
      <c r="J801" s="56"/>
      <c r="K801" s="56"/>
    </row>
    <row r="802" spans="1:11" ht="87" customHeight="1">
      <c r="A802" s="439" t="s">
        <v>1224</v>
      </c>
      <c r="B802" s="53" t="s">
        <v>1227</v>
      </c>
      <c r="C802" s="13"/>
      <c r="D802" s="14" t="s">
        <v>18</v>
      </c>
      <c r="E802" s="14" t="s">
        <v>28</v>
      </c>
      <c r="F802" s="14" t="s">
        <v>27</v>
      </c>
      <c r="G802" s="305">
        <f>'NOV-18 '!I800</f>
        <v>47210.039999999994</v>
      </c>
      <c r="H802" s="51">
        <f>2080+44959.86</f>
        <v>47039.86</v>
      </c>
      <c r="I802" s="17">
        <f t="shared" si="15"/>
        <v>170.17999999999302</v>
      </c>
      <c r="J802" s="410"/>
      <c r="K802" s="56"/>
    </row>
    <row r="803" spans="1:11" ht="90" customHeight="1">
      <c r="A803" s="11"/>
      <c r="B803" s="53" t="s">
        <v>1248</v>
      </c>
      <c r="C803" s="13"/>
      <c r="D803" s="14"/>
      <c r="E803" s="14"/>
      <c r="F803" s="14"/>
      <c r="G803" s="305">
        <f>'NOV-18 '!I801</f>
        <v>0</v>
      </c>
      <c r="H803" s="51"/>
      <c r="I803" s="17"/>
      <c r="J803" s="56"/>
      <c r="K803" s="56"/>
    </row>
    <row r="804" spans="1:11" ht="37.5" customHeight="1">
      <c r="A804" s="11">
        <v>51202</v>
      </c>
      <c r="B804" s="53" t="s">
        <v>1247</v>
      </c>
      <c r="C804" s="13"/>
      <c r="D804" s="14" t="s">
        <v>18</v>
      </c>
      <c r="E804" s="14" t="s">
        <v>28</v>
      </c>
      <c r="F804" s="14" t="s">
        <v>27</v>
      </c>
      <c r="G804" s="305">
        <f>'NOV-18 '!I802</f>
        <v>10000</v>
      </c>
      <c r="H804" s="51"/>
      <c r="I804" s="17">
        <f t="shared" si="15"/>
        <v>10000</v>
      </c>
      <c r="J804" s="410"/>
      <c r="K804" s="56"/>
    </row>
    <row r="805" spans="1:11" ht="38.25" customHeight="1">
      <c r="A805" s="11">
        <v>54110</v>
      </c>
      <c r="B805" s="53" t="s">
        <v>1249</v>
      </c>
      <c r="C805" s="13"/>
      <c r="D805" s="14" t="s">
        <v>18</v>
      </c>
      <c r="E805" s="14" t="s">
        <v>28</v>
      </c>
      <c r="F805" s="14" t="s">
        <v>27</v>
      </c>
      <c r="G805" s="305">
        <f>'NOV-18 '!I803</f>
        <v>1000</v>
      </c>
      <c r="H805" s="51"/>
      <c r="I805" s="17">
        <f t="shared" si="15"/>
        <v>995</v>
      </c>
      <c r="J805" s="410"/>
      <c r="K805" s="430">
        <v>5</v>
      </c>
    </row>
    <row r="806" spans="1:11" ht="50.25" customHeight="1">
      <c r="A806" s="11">
        <v>54111</v>
      </c>
      <c r="B806" s="53" t="s">
        <v>1251</v>
      </c>
      <c r="C806" s="13"/>
      <c r="D806" s="14" t="s">
        <v>18</v>
      </c>
      <c r="E806" s="14" t="s">
        <v>28</v>
      </c>
      <c r="F806" s="14" t="s">
        <v>27</v>
      </c>
      <c r="G806" s="305">
        <f>'NOV-18 '!I804</f>
        <v>15000</v>
      </c>
      <c r="H806" s="51"/>
      <c r="I806" s="17">
        <f t="shared" si="15"/>
        <v>15000</v>
      </c>
      <c r="J806" s="410"/>
      <c r="K806" s="56"/>
    </row>
    <row r="807" spans="1:11" ht="57" customHeight="1">
      <c r="A807" s="11">
        <v>54112</v>
      </c>
      <c r="B807" s="53" t="s">
        <v>1250</v>
      </c>
      <c r="C807" s="13"/>
      <c r="D807" s="14" t="s">
        <v>18</v>
      </c>
      <c r="E807" s="14" t="s">
        <v>28</v>
      </c>
      <c r="F807" s="14" t="s">
        <v>27</v>
      </c>
      <c r="G807" s="305">
        <f>'NOV-18 '!I805</f>
        <v>10000</v>
      </c>
      <c r="H807" s="51"/>
      <c r="I807" s="17">
        <f t="shared" si="15"/>
        <v>10000</v>
      </c>
      <c r="J807" s="410"/>
      <c r="K807" s="56"/>
    </row>
    <row r="808" spans="1:11" ht="45" customHeight="1">
      <c r="A808" s="11">
        <v>54316</v>
      </c>
      <c r="B808" s="53" t="s">
        <v>1252</v>
      </c>
      <c r="C808" s="13"/>
      <c r="D808" s="14" t="s">
        <v>18</v>
      </c>
      <c r="E808" s="14" t="s">
        <v>28</v>
      </c>
      <c r="F808" s="14" t="s">
        <v>27</v>
      </c>
      <c r="G808" s="305">
        <f>'NOV-18 '!I806</f>
        <v>24000</v>
      </c>
      <c r="H808" s="51"/>
      <c r="I808" s="17">
        <f t="shared" si="15"/>
        <v>24000</v>
      </c>
      <c r="J808" s="410"/>
      <c r="K808" s="56"/>
    </row>
    <row r="809" spans="1:11" ht="47.25" customHeight="1">
      <c r="A809" s="11">
        <v>55603</v>
      </c>
      <c r="B809" s="53" t="s">
        <v>1275</v>
      </c>
      <c r="C809" s="13"/>
      <c r="D809" s="14" t="s">
        <v>18</v>
      </c>
      <c r="E809" s="14" t="s">
        <v>28</v>
      </c>
      <c r="F809" s="14" t="s">
        <v>27</v>
      </c>
      <c r="G809" s="305">
        <f>'NOV-18 '!I807</f>
        <v>0</v>
      </c>
      <c r="H809" s="51">
        <v>1.41</v>
      </c>
      <c r="I809" s="18">
        <f t="shared" si="15"/>
        <v>3.59</v>
      </c>
      <c r="J809" s="430">
        <v>5</v>
      </c>
      <c r="K809" s="56"/>
    </row>
    <row r="810" spans="1:11" ht="63.75" customHeight="1">
      <c r="A810" s="141" t="s">
        <v>901</v>
      </c>
      <c r="B810" s="53" t="s">
        <v>1246</v>
      </c>
      <c r="C810" s="344" t="s">
        <v>1108</v>
      </c>
      <c r="D810" s="14"/>
      <c r="E810" s="14"/>
      <c r="F810" s="14"/>
      <c r="G810" s="305">
        <f>'NOV-18 '!I808</f>
        <v>0</v>
      </c>
      <c r="H810" s="51"/>
      <c r="I810" s="17"/>
      <c r="J810" s="56"/>
      <c r="K810" s="56"/>
    </row>
    <row r="811" spans="1:11" ht="29.25">
      <c r="A811" s="11">
        <v>51202</v>
      </c>
      <c r="B811" s="53" t="s">
        <v>1014</v>
      </c>
      <c r="C811" s="13"/>
      <c r="D811" s="14" t="s">
        <v>18</v>
      </c>
      <c r="E811" s="14" t="s">
        <v>28</v>
      </c>
      <c r="F811" s="14" t="s">
        <v>27</v>
      </c>
      <c r="G811" s="305">
        <f>'NOV-18 '!I809</f>
        <v>1111.4499999999998</v>
      </c>
      <c r="H811" s="51">
        <f>100+120+60+165+120+110+130+50+100+100+100+225+150+120+100+120+150+100+100+90+100</f>
        <v>2410</v>
      </c>
      <c r="I811" s="18">
        <f t="shared" si="15"/>
        <v>1.4499999999998181</v>
      </c>
      <c r="J811" s="462">
        <v>1300</v>
      </c>
      <c r="K811" s="127"/>
    </row>
    <row r="812" spans="1:11" ht="29.25">
      <c r="A812" s="11">
        <v>51999</v>
      </c>
      <c r="B812" s="53" t="s">
        <v>1015</v>
      </c>
      <c r="C812" s="13"/>
      <c r="D812" s="14" t="s">
        <v>18</v>
      </c>
      <c r="E812" s="14" t="s">
        <v>28</v>
      </c>
      <c r="F812" s="14" t="s">
        <v>27</v>
      </c>
      <c r="G812" s="305">
        <f>'NOV-18 '!I810</f>
        <v>211.59999999999991</v>
      </c>
      <c r="H812" s="51">
        <f>33</f>
        <v>33</v>
      </c>
      <c r="I812" s="17">
        <f t="shared" si="15"/>
        <v>0</v>
      </c>
      <c r="J812" s="137"/>
      <c r="K812" s="127">
        <v>178.6</v>
      </c>
    </row>
    <row r="813" spans="1:11" ht="57" customHeight="1">
      <c r="A813" s="11">
        <v>54107</v>
      </c>
      <c r="B813" s="53" t="s">
        <v>1212</v>
      </c>
      <c r="C813" s="13"/>
      <c r="D813" s="14" t="s">
        <v>18</v>
      </c>
      <c r="E813" s="14" t="s">
        <v>28</v>
      </c>
      <c r="F813" s="14" t="s">
        <v>27</v>
      </c>
      <c r="G813" s="305">
        <f>'NOV-18 '!I811</f>
        <v>56.45</v>
      </c>
      <c r="H813" s="51">
        <v>92</v>
      </c>
      <c r="I813" s="18">
        <f t="shared" si="15"/>
        <v>0.45000000000000284</v>
      </c>
      <c r="J813" s="266">
        <v>36</v>
      </c>
      <c r="K813" s="56"/>
    </row>
    <row r="814" spans="1:11" ht="33.75" customHeight="1">
      <c r="A814" s="11">
        <v>54110</v>
      </c>
      <c r="B814" s="53" t="s">
        <v>1016</v>
      </c>
      <c r="C814" s="13"/>
      <c r="D814" s="14" t="s">
        <v>18</v>
      </c>
      <c r="E814" s="14" t="s">
        <v>28</v>
      </c>
      <c r="F814" s="14" t="s">
        <v>27</v>
      </c>
      <c r="G814" s="305">
        <f>'NOV-18 '!I812</f>
        <v>147.30000000000001</v>
      </c>
      <c r="H814" s="51"/>
      <c r="I814" s="17">
        <f t="shared" si="15"/>
        <v>0</v>
      </c>
      <c r="J814" s="56"/>
      <c r="K814" s="142">
        <v>147.30000000000001</v>
      </c>
    </row>
    <row r="815" spans="1:11" ht="34.5" customHeight="1">
      <c r="A815" s="11">
        <v>54111</v>
      </c>
      <c r="B815" s="53" t="s">
        <v>1017</v>
      </c>
      <c r="C815" s="13"/>
      <c r="D815" s="14" t="s">
        <v>18</v>
      </c>
      <c r="E815" s="14" t="s">
        <v>28</v>
      </c>
      <c r="F815" s="14" t="s">
        <v>27</v>
      </c>
      <c r="G815" s="305">
        <f>'NOV-18 '!I813</f>
        <v>76.800000000000409</v>
      </c>
      <c r="H815" s="51"/>
      <c r="I815" s="17">
        <f t="shared" si="15"/>
        <v>4.1211478674085811E-13</v>
      </c>
      <c r="J815" s="56"/>
      <c r="K815" s="410">
        <v>76.8</v>
      </c>
    </row>
    <row r="816" spans="1:11" ht="44.25">
      <c r="A816" s="11">
        <v>54112</v>
      </c>
      <c r="B816" s="53" t="s">
        <v>1021</v>
      </c>
      <c r="C816" s="13"/>
      <c r="D816" s="14" t="s">
        <v>18</v>
      </c>
      <c r="E816" s="14" t="s">
        <v>28</v>
      </c>
      <c r="F816" s="14" t="s">
        <v>27</v>
      </c>
      <c r="G816" s="305">
        <f>'NOV-18 '!I814</f>
        <v>177.85000000000002</v>
      </c>
      <c r="H816" s="51"/>
      <c r="I816" s="17">
        <f t="shared" si="15"/>
        <v>0</v>
      </c>
      <c r="J816" s="127"/>
      <c r="K816" s="409">
        <v>177.85</v>
      </c>
    </row>
    <row r="817" spans="1:11" ht="29.25">
      <c r="A817" s="11">
        <v>54118</v>
      </c>
      <c r="B817" s="53" t="s">
        <v>1020</v>
      </c>
      <c r="C817" s="61" t="s">
        <v>1109</v>
      </c>
      <c r="D817" s="14" t="s">
        <v>18</v>
      </c>
      <c r="E817" s="14" t="s">
        <v>28</v>
      </c>
      <c r="F817" s="14" t="s">
        <v>27</v>
      </c>
      <c r="G817" s="305">
        <f>'NOV-18 '!I815</f>
        <v>43</v>
      </c>
      <c r="H817" s="51"/>
      <c r="I817" s="17">
        <f t="shared" si="15"/>
        <v>0</v>
      </c>
      <c r="J817" s="56"/>
      <c r="K817" s="409">
        <v>43</v>
      </c>
    </row>
    <row r="818" spans="1:11" ht="29.25">
      <c r="A818" s="11">
        <v>54199</v>
      </c>
      <c r="B818" s="53" t="s">
        <v>1018</v>
      </c>
      <c r="C818" s="13"/>
      <c r="D818" s="14" t="s">
        <v>18</v>
      </c>
      <c r="E818" s="14" t="s">
        <v>28</v>
      </c>
      <c r="F818" s="14" t="s">
        <v>27</v>
      </c>
      <c r="G818" s="305">
        <f>'NOV-18 '!I816</f>
        <v>112.05000000000018</v>
      </c>
      <c r="H818" s="51">
        <f>585.9</f>
        <v>585.9</v>
      </c>
      <c r="I818" s="18">
        <f t="shared" si="15"/>
        <v>1.1500000000002046</v>
      </c>
      <c r="J818" s="266">
        <v>475</v>
      </c>
      <c r="K818" s="409"/>
    </row>
    <row r="819" spans="1:11" ht="29.25">
      <c r="A819" s="11">
        <v>54313</v>
      </c>
      <c r="B819" s="53" t="s">
        <v>1019</v>
      </c>
      <c r="C819" s="13"/>
      <c r="D819" s="14" t="s">
        <v>18</v>
      </c>
      <c r="E819" s="14" t="s">
        <v>28</v>
      </c>
      <c r="F819" s="14" t="s">
        <v>27</v>
      </c>
      <c r="G819" s="305">
        <f>'NOV-18 '!I817</f>
        <v>75</v>
      </c>
      <c r="H819" s="51">
        <v>850</v>
      </c>
      <c r="I819" s="18">
        <f t="shared" si="15"/>
        <v>0</v>
      </c>
      <c r="J819" s="127">
        <v>775</v>
      </c>
      <c r="K819" s="56"/>
    </row>
    <row r="820" spans="1:11" ht="57">
      <c r="A820" s="11">
        <v>54316</v>
      </c>
      <c r="B820" s="53" t="s">
        <v>1189</v>
      </c>
      <c r="C820" s="13"/>
      <c r="D820" s="14" t="s">
        <v>18</v>
      </c>
      <c r="E820" s="14" t="s">
        <v>28</v>
      </c>
      <c r="F820" s="14" t="s">
        <v>27</v>
      </c>
      <c r="G820" s="305">
        <f>'NOV-18 '!I818</f>
        <v>543</v>
      </c>
      <c r="H820" s="51"/>
      <c r="I820" s="134">
        <f t="shared" si="15"/>
        <v>0</v>
      </c>
      <c r="J820" s="127"/>
      <c r="K820" s="409">
        <v>543</v>
      </c>
    </row>
    <row r="821" spans="1:11" ht="34.5" customHeight="1">
      <c r="A821" s="11">
        <v>54399</v>
      </c>
      <c r="B821" s="53" t="s">
        <v>1022</v>
      </c>
      <c r="C821" s="13"/>
      <c r="D821" s="14" t="s">
        <v>18</v>
      </c>
      <c r="E821" s="14" t="s">
        <v>28</v>
      </c>
      <c r="F821" s="14" t="s">
        <v>27</v>
      </c>
      <c r="G821" s="305">
        <f>'NOV-18 '!I819</f>
        <v>229.34999999999991</v>
      </c>
      <c r="H821" s="51"/>
      <c r="I821" s="17">
        <f t="shared" si="15"/>
        <v>109.89999999999991</v>
      </c>
      <c r="J821" s="137"/>
      <c r="K821" s="137">
        <v>119.45</v>
      </c>
    </row>
    <row r="822" spans="1:11" ht="29.25">
      <c r="A822" s="11">
        <v>55603</v>
      </c>
      <c r="B822" s="53" t="s">
        <v>898</v>
      </c>
      <c r="C822" s="13"/>
      <c r="D822" s="14" t="s">
        <v>18</v>
      </c>
      <c r="E822" s="14" t="s">
        <v>28</v>
      </c>
      <c r="F822" s="14" t="s">
        <v>27</v>
      </c>
      <c r="G822" s="305">
        <f>'NOV-18 '!I820</f>
        <v>6.8199999999999994</v>
      </c>
      <c r="H822" s="51"/>
      <c r="I822" s="17">
        <f t="shared" si="15"/>
        <v>6.8199999999999994</v>
      </c>
      <c r="J822" s="142"/>
      <c r="K822" s="56"/>
    </row>
    <row r="823" spans="1:11" ht="60">
      <c r="A823" s="141">
        <v>41</v>
      </c>
      <c r="B823" s="53" t="s">
        <v>902</v>
      </c>
      <c r="C823" s="13"/>
      <c r="D823" s="14"/>
      <c r="E823" s="14"/>
      <c r="F823" s="14"/>
      <c r="G823" s="305">
        <f>'NOV-18 '!I821</f>
        <v>0</v>
      </c>
      <c r="H823" s="51"/>
      <c r="I823" s="17"/>
      <c r="J823" s="56"/>
      <c r="K823" s="56"/>
    </row>
    <row r="824" spans="1:11" ht="29.25">
      <c r="A824" s="11">
        <v>51999</v>
      </c>
      <c r="B824" s="53" t="s">
        <v>903</v>
      </c>
      <c r="C824" s="13"/>
      <c r="D824" s="14" t="s">
        <v>18</v>
      </c>
      <c r="E824" s="14" t="s">
        <v>28</v>
      </c>
      <c r="F824" s="14" t="s">
        <v>27</v>
      </c>
      <c r="G824" s="305">
        <f>'NOV-18 '!I822</f>
        <v>1000</v>
      </c>
      <c r="H824" s="51"/>
      <c r="I824" s="17">
        <f t="shared" si="15"/>
        <v>1000</v>
      </c>
      <c r="J824" s="56"/>
      <c r="K824" s="56"/>
    </row>
    <row r="825" spans="1:11" ht="44.25">
      <c r="A825" s="11">
        <v>54111</v>
      </c>
      <c r="B825" s="53" t="s">
        <v>904</v>
      </c>
      <c r="C825" s="13"/>
      <c r="D825" s="14" t="s">
        <v>18</v>
      </c>
      <c r="E825" s="14" t="s">
        <v>28</v>
      </c>
      <c r="F825" s="14" t="s">
        <v>27</v>
      </c>
      <c r="G825" s="305">
        <f>'NOV-18 '!I823</f>
        <v>1000</v>
      </c>
      <c r="H825" s="51"/>
      <c r="I825" s="17">
        <f t="shared" si="15"/>
        <v>1000</v>
      </c>
      <c r="J825" s="56"/>
      <c r="K825" s="56"/>
    </row>
    <row r="826" spans="1:11" ht="43.5">
      <c r="A826" s="11">
        <v>54118</v>
      </c>
      <c r="B826" s="53" t="s">
        <v>905</v>
      </c>
      <c r="C826" s="13"/>
      <c r="D826" s="14" t="s">
        <v>18</v>
      </c>
      <c r="E826" s="14" t="s">
        <v>28</v>
      </c>
      <c r="F826" s="14" t="s">
        <v>27</v>
      </c>
      <c r="G826" s="305">
        <f>'NOV-18 '!I824</f>
        <v>1000</v>
      </c>
      <c r="H826" s="51"/>
      <c r="I826" s="17">
        <f t="shared" si="15"/>
        <v>1000</v>
      </c>
      <c r="J826" s="56"/>
      <c r="K826" s="56"/>
    </row>
    <row r="827" spans="1:11" ht="44.25">
      <c r="A827" s="11">
        <v>54313</v>
      </c>
      <c r="B827" s="53" t="s">
        <v>906</v>
      </c>
      <c r="C827" s="13"/>
      <c r="D827" s="14" t="s">
        <v>18</v>
      </c>
      <c r="E827" s="14" t="s">
        <v>28</v>
      </c>
      <c r="F827" s="14" t="s">
        <v>27</v>
      </c>
      <c r="G827" s="305">
        <f>'NOV-18 '!I825</f>
        <v>100</v>
      </c>
      <c r="H827" s="51"/>
      <c r="I827" s="17">
        <f t="shared" si="15"/>
        <v>100</v>
      </c>
      <c r="J827" s="56"/>
      <c r="K827" s="56"/>
    </row>
    <row r="828" spans="1:11" ht="44.25">
      <c r="A828" s="11">
        <v>54399</v>
      </c>
      <c r="B828" s="53" t="s">
        <v>907</v>
      </c>
      <c r="C828" s="13"/>
      <c r="D828" s="14" t="s">
        <v>18</v>
      </c>
      <c r="E828" s="14" t="s">
        <v>28</v>
      </c>
      <c r="F828" s="14" t="s">
        <v>27</v>
      </c>
      <c r="G828" s="305">
        <f>'NOV-18 '!I826</f>
        <v>1890</v>
      </c>
      <c r="H828" s="51"/>
      <c r="I828" s="17">
        <f t="shared" si="15"/>
        <v>590</v>
      </c>
      <c r="J828" s="56"/>
      <c r="K828" s="461">
        <v>1300</v>
      </c>
    </row>
    <row r="829" spans="1:11" ht="29.25">
      <c r="A829" s="11">
        <v>55603</v>
      </c>
      <c r="B829" s="53" t="s">
        <v>908</v>
      </c>
      <c r="C829" s="13"/>
      <c r="D829" s="14" t="s">
        <v>18</v>
      </c>
      <c r="E829" s="14" t="s">
        <v>28</v>
      </c>
      <c r="F829" s="14" t="s">
        <v>27</v>
      </c>
      <c r="G829" s="305">
        <f>'NOV-18 '!I827</f>
        <v>10</v>
      </c>
      <c r="H829" s="51"/>
      <c r="I829" s="17">
        <f t="shared" si="15"/>
        <v>10</v>
      </c>
      <c r="J829" s="56"/>
      <c r="K829" s="56"/>
    </row>
    <row r="830" spans="1:11" ht="45">
      <c r="A830" s="141" t="s">
        <v>909</v>
      </c>
      <c r="B830" s="53" t="s">
        <v>910</v>
      </c>
      <c r="C830" s="13"/>
      <c r="D830" s="14"/>
      <c r="E830" s="14"/>
      <c r="F830" s="14"/>
      <c r="G830" s="305">
        <f>'NOV-18 '!I828</f>
        <v>0</v>
      </c>
      <c r="H830" s="51"/>
      <c r="I830" s="17"/>
      <c r="J830" s="56"/>
      <c r="K830" s="56"/>
    </row>
    <row r="831" spans="1:11" ht="29.25">
      <c r="A831" s="11">
        <v>51999</v>
      </c>
      <c r="B831" s="54" t="s">
        <v>911</v>
      </c>
      <c r="C831" s="13"/>
      <c r="D831" s="14" t="s">
        <v>18</v>
      </c>
      <c r="E831" s="14" t="s">
        <v>28</v>
      </c>
      <c r="F831" s="14" t="s">
        <v>27</v>
      </c>
      <c r="G831" s="305">
        <f>'NOV-18 '!I829</f>
        <v>500</v>
      </c>
      <c r="H831" s="51"/>
      <c r="I831" s="17">
        <f t="shared" si="15"/>
        <v>500</v>
      </c>
      <c r="J831" s="56"/>
      <c r="K831" s="56"/>
    </row>
    <row r="832" spans="1:11" ht="29.25">
      <c r="A832" s="11">
        <v>54110</v>
      </c>
      <c r="B832" s="54" t="s">
        <v>912</v>
      </c>
      <c r="C832" s="13"/>
      <c r="D832" s="14" t="s">
        <v>18</v>
      </c>
      <c r="E832" s="14" t="s">
        <v>28</v>
      </c>
      <c r="F832" s="14" t="s">
        <v>27</v>
      </c>
      <c r="G832" s="305">
        <f>'NOV-18 '!I830</f>
        <v>500</v>
      </c>
      <c r="H832" s="51"/>
      <c r="I832" s="17">
        <f t="shared" si="15"/>
        <v>500</v>
      </c>
      <c r="J832" s="56"/>
      <c r="K832" s="56"/>
    </row>
    <row r="833" spans="1:11" ht="30">
      <c r="A833" s="11">
        <v>54111</v>
      </c>
      <c r="B833" s="53" t="s">
        <v>913</v>
      </c>
      <c r="C833" s="13"/>
      <c r="D833" s="14" t="s">
        <v>18</v>
      </c>
      <c r="E833" s="14" t="s">
        <v>28</v>
      </c>
      <c r="F833" s="14" t="s">
        <v>27</v>
      </c>
      <c r="G833" s="305">
        <f>'NOV-18 '!I831</f>
        <v>1000</v>
      </c>
      <c r="H833" s="51"/>
      <c r="I833" s="17">
        <f t="shared" si="15"/>
        <v>1000</v>
      </c>
      <c r="J833" s="56"/>
      <c r="K833" s="56"/>
    </row>
    <row r="834" spans="1:11" ht="29.25">
      <c r="A834" s="11">
        <v>54118</v>
      </c>
      <c r="B834" s="53" t="s">
        <v>914</v>
      </c>
      <c r="C834" s="13"/>
      <c r="D834" s="14" t="s">
        <v>18</v>
      </c>
      <c r="E834" s="14" t="s">
        <v>28</v>
      </c>
      <c r="F834" s="14" t="s">
        <v>27</v>
      </c>
      <c r="G834" s="305">
        <f>'NOV-18 '!I832</f>
        <v>1000</v>
      </c>
      <c r="H834" s="51"/>
      <c r="I834" s="17">
        <f t="shared" si="15"/>
        <v>1000</v>
      </c>
      <c r="J834" s="56"/>
      <c r="K834" s="56"/>
    </row>
    <row r="835" spans="1:11" ht="29.25">
      <c r="A835" s="11">
        <v>54199</v>
      </c>
      <c r="B835" s="53" t="s">
        <v>915</v>
      </c>
      <c r="C835" s="13"/>
      <c r="D835" s="14" t="s">
        <v>18</v>
      </c>
      <c r="E835" s="14" t="s">
        <v>28</v>
      </c>
      <c r="F835" s="14" t="s">
        <v>27</v>
      </c>
      <c r="G835" s="305">
        <f>'NOV-18 '!I833</f>
        <v>500</v>
      </c>
      <c r="H835" s="51"/>
      <c r="I835" s="17">
        <f t="shared" si="15"/>
        <v>500</v>
      </c>
      <c r="J835" s="56"/>
      <c r="K835" s="56"/>
    </row>
    <row r="836" spans="1:11" ht="44.25">
      <c r="A836" s="11">
        <v>54313</v>
      </c>
      <c r="B836" s="53" t="s">
        <v>916</v>
      </c>
      <c r="C836" s="13"/>
      <c r="D836" s="14" t="s">
        <v>18</v>
      </c>
      <c r="E836" s="14" t="s">
        <v>28</v>
      </c>
      <c r="F836" s="14" t="s">
        <v>27</v>
      </c>
      <c r="G836" s="305">
        <f>'NOV-18 '!I834</f>
        <v>600</v>
      </c>
      <c r="H836" s="51"/>
      <c r="I836" s="17">
        <f t="shared" si="15"/>
        <v>600</v>
      </c>
      <c r="J836" s="56"/>
      <c r="K836" s="56"/>
    </row>
    <row r="837" spans="1:11" ht="30">
      <c r="A837" s="11">
        <v>54399</v>
      </c>
      <c r="B837" s="53" t="s">
        <v>917</v>
      </c>
      <c r="C837" s="13"/>
      <c r="D837" s="14" t="s">
        <v>18</v>
      </c>
      <c r="E837" s="14" t="s">
        <v>28</v>
      </c>
      <c r="F837" s="14" t="s">
        <v>27</v>
      </c>
      <c r="G837" s="305">
        <f>'NOV-18 '!I835</f>
        <v>890</v>
      </c>
      <c r="H837" s="51"/>
      <c r="I837" s="17">
        <f t="shared" si="15"/>
        <v>890</v>
      </c>
      <c r="J837" s="56"/>
      <c r="K837" s="56"/>
    </row>
    <row r="838" spans="1:11" ht="29.25">
      <c r="A838" s="11">
        <v>55603</v>
      </c>
      <c r="B838" s="53" t="s">
        <v>918</v>
      </c>
      <c r="C838" s="13"/>
      <c r="D838" s="14" t="s">
        <v>18</v>
      </c>
      <c r="E838" s="14" t="s">
        <v>28</v>
      </c>
      <c r="F838" s="14" t="s">
        <v>27</v>
      </c>
      <c r="G838" s="305">
        <f>'NOV-18 '!I836</f>
        <v>10</v>
      </c>
      <c r="H838" s="51"/>
      <c r="I838" s="17">
        <f t="shared" si="15"/>
        <v>10</v>
      </c>
      <c r="J838" s="56"/>
      <c r="K838" s="56"/>
    </row>
    <row r="839" spans="1:11" ht="74.25">
      <c r="A839" s="141" t="s">
        <v>1093</v>
      </c>
      <c r="B839" s="53" t="s">
        <v>964</v>
      </c>
      <c r="C839" s="13"/>
      <c r="D839" s="14"/>
      <c r="E839" s="14"/>
      <c r="F839" s="14"/>
      <c r="G839" s="305">
        <f>'NOV-18 '!I837</f>
        <v>0</v>
      </c>
      <c r="H839" s="51"/>
      <c r="I839" s="17"/>
      <c r="J839" s="56"/>
      <c r="K839" s="56"/>
    </row>
    <row r="840" spans="1:11" s="178" customFormat="1" ht="45">
      <c r="A840" s="1" t="s">
        <v>19</v>
      </c>
      <c r="B840" s="179" t="s">
        <v>965</v>
      </c>
      <c r="C840" s="180"/>
      <c r="D840" s="14" t="s">
        <v>18</v>
      </c>
      <c r="E840" s="14" t="s">
        <v>28</v>
      </c>
      <c r="F840" s="14" t="s">
        <v>27</v>
      </c>
      <c r="G840" s="305">
        <f>'NOV-18 '!I838</f>
        <v>1.8189894035458565E-12</v>
      </c>
      <c r="H840" s="210"/>
      <c r="I840" s="17">
        <f t="shared" si="15"/>
        <v>1.8189894035458565E-12</v>
      </c>
      <c r="J840" s="143"/>
      <c r="K840" s="209"/>
    </row>
    <row r="841" spans="1:11" s="178" customFormat="1" ht="71.25">
      <c r="A841" s="1">
        <v>51202</v>
      </c>
      <c r="B841" s="53" t="s">
        <v>985</v>
      </c>
      <c r="C841" s="180"/>
      <c r="D841" s="14" t="s">
        <v>18</v>
      </c>
      <c r="E841" s="14" t="s">
        <v>28</v>
      </c>
      <c r="F841" s="14" t="s">
        <v>27</v>
      </c>
      <c r="G841" s="305">
        <f>'NOV-18 '!I839</f>
        <v>0.15999999999939973</v>
      </c>
      <c r="H841" s="210"/>
      <c r="I841" s="17">
        <f t="shared" si="15"/>
        <v>0.15999999999939973</v>
      </c>
      <c r="J841" s="209"/>
      <c r="K841" s="209"/>
    </row>
    <row r="842" spans="1:11" ht="29.25">
      <c r="A842" s="11">
        <v>54118</v>
      </c>
      <c r="B842" s="53" t="s">
        <v>919</v>
      </c>
      <c r="C842" s="13"/>
      <c r="D842" s="14" t="s">
        <v>18</v>
      </c>
      <c r="E842" s="14" t="s">
        <v>28</v>
      </c>
      <c r="F842" s="14" t="s">
        <v>27</v>
      </c>
      <c r="G842" s="305">
        <f>'NOV-18 '!I840</f>
        <v>0</v>
      </c>
      <c r="H842" s="51"/>
      <c r="I842" s="17">
        <f t="shared" si="15"/>
        <v>0</v>
      </c>
      <c r="J842" s="56"/>
      <c r="K842" s="137"/>
    </row>
    <row r="843" spans="1:11" ht="44.25">
      <c r="A843" s="11">
        <v>54313</v>
      </c>
      <c r="B843" s="168" t="s">
        <v>920</v>
      </c>
      <c r="C843" s="13"/>
      <c r="D843" s="14" t="s">
        <v>18</v>
      </c>
      <c r="E843" s="14" t="s">
        <v>28</v>
      </c>
      <c r="F843" s="14" t="s">
        <v>27</v>
      </c>
      <c r="G843" s="305">
        <f>'NOV-18 '!I841</f>
        <v>0</v>
      </c>
      <c r="H843" s="51"/>
      <c r="I843" s="17">
        <f t="shared" si="15"/>
        <v>0</v>
      </c>
      <c r="J843" s="56"/>
      <c r="K843" s="137"/>
    </row>
    <row r="844" spans="1:11" ht="29.25">
      <c r="A844" s="11">
        <v>56303</v>
      </c>
      <c r="B844" s="53" t="s">
        <v>921</v>
      </c>
      <c r="C844" s="13"/>
      <c r="D844" s="14" t="s">
        <v>18</v>
      </c>
      <c r="E844" s="14" t="s">
        <v>28</v>
      </c>
      <c r="F844" s="14" t="s">
        <v>27</v>
      </c>
      <c r="G844" s="305">
        <f>'NOV-18 '!I842</f>
        <v>0</v>
      </c>
      <c r="H844" s="51"/>
      <c r="I844" s="17">
        <f t="shared" si="15"/>
        <v>0</v>
      </c>
      <c r="J844" s="56"/>
      <c r="K844" s="137"/>
    </row>
    <row r="845" spans="1:11" ht="29.25">
      <c r="A845" s="11">
        <v>55603</v>
      </c>
      <c r="B845" s="53" t="s">
        <v>922</v>
      </c>
      <c r="C845" s="13"/>
      <c r="D845" s="14" t="s">
        <v>18</v>
      </c>
      <c r="E845" s="14" t="s">
        <v>28</v>
      </c>
      <c r="F845" s="14" t="s">
        <v>27</v>
      </c>
      <c r="G845" s="305">
        <f>'NOV-18 '!I843</f>
        <v>0</v>
      </c>
      <c r="H845" s="51"/>
      <c r="I845" s="17">
        <f t="shared" si="15"/>
        <v>0</v>
      </c>
      <c r="J845" s="56"/>
      <c r="K845" s="137"/>
    </row>
    <row r="846" spans="1:11">
      <c r="A846" s="141">
        <v>61</v>
      </c>
      <c r="B846" s="53" t="s">
        <v>1228</v>
      </c>
      <c r="C846" s="13"/>
      <c r="D846" s="14"/>
      <c r="E846" s="14"/>
      <c r="F846" s="14"/>
      <c r="G846" s="305">
        <f>'NOV-18 '!I844</f>
        <v>0</v>
      </c>
      <c r="H846" s="51"/>
      <c r="I846" s="17"/>
      <c r="J846" s="56"/>
      <c r="K846" s="137"/>
    </row>
    <row r="847" spans="1:11">
      <c r="A847" s="141">
        <v>616</v>
      </c>
      <c r="B847" s="53" t="s">
        <v>1225</v>
      </c>
      <c r="C847" s="13"/>
      <c r="D847" s="14"/>
      <c r="E847" s="14"/>
      <c r="F847" s="14"/>
      <c r="G847" s="305">
        <f>'NOV-18 '!I845</f>
        <v>0</v>
      </c>
      <c r="H847" s="51"/>
      <c r="I847" s="17"/>
      <c r="J847" s="56"/>
      <c r="K847" s="137"/>
    </row>
    <row r="848" spans="1:11">
      <c r="A848" s="141">
        <v>61601</v>
      </c>
      <c r="B848" s="53" t="s">
        <v>1226</v>
      </c>
      <c r="C848" s="13"/>
      <c r="D848" s="14"/>
      <c r="E848" s="14"/>
      <c r="F848" s="14"/>
      <c r="G848" s="305">
        <f>'NOV-18 '!I846</f>
        <v>0</v>
      </c>
      <c r="H848" s="51"/>
      <c r="I848" s="17"/>
      <c r="J848" s="56"/>
      <c r="K848" s="137"/>
    </row>
    <row r="849" spans="1:190" ht="103.5">
      <c r="A849" s="11" t="s">
        <v>923</v>
      </c>
      <c r="B849" s="53" t="s">
        <v>924</v>
      </c>
      <c r="C849" s="13"/>
      <c r="D849" s="14" t="s">
        <v>18</v>
      </c>
      <c r="E849" s="14" t="s">
        <v>28</v>
      </c>
      <c r="F849" s="14" t="s">
        <v>27</v>
      </c>
      <c r="G849" s="305">
        <f>'NOV-18 '!I847</f>
        <v>0</v>
      </c>
      <c r="H849" s="51"/>
      <c r="I849" s="17">
        <f t="shared" ref="I849" si="16">G849-H849+J849-K849</f>
        <v>0</v>
      </c>
      <c r="J849" s="56"/>
      <c r="K849" s="266"/>
    </row>
    <row r="850" spans="1:190">
      <c r="A850" s="439"/>
      <c r="B850" s="53"/>
      <c r="C850" s="13"/>
      <c r="D850" s="14"/>
      <c r="E850" s="14"/>
      <c r="F850" s="14"/>
      <c r="G850" s="305">
        <f>'NOV-18 '!I848</f>
        <v>0</v>
      </c>
      <c r="H850" s="51"/>
      <c r="I850" s="17"/>
      <c r="J850" s="56"/>
      <c r="K850" s="137"/>
    </row>
    <row r="851" spans="1:190" ht="36" customHeight="1">
      <c r="A851" s="11"/>
      <c r="B851" s="53"/>
      <c r="C851" s="13"/>
      <c r="D851" s="14"/>
      <c r="E851" s="14"/>
      <c r="F851" s="14"/>
      <c r="G851" s="305">
        <f>'NOV-18 '!I849</f>
        <v>0</v>
      </c>
      <c r="H851" s="51"/>
      <c r="I851" s="17"/>
      <c r="J851" s="56"/>
      <c r="K851" s="266"/>
    </row>
    <row r="852" spans="1:190" ht="20.25" customHeight="1">
      <c r="A852" s="38"/>
      <c r="B852" s="161" t="s">
        <v>975</v>
      </c>
      <c r="C852" s="39"/>
      <c r="D852" s="39"/>
      <c r="E852" s="39"/>
      <c r="F852" s="39"/>
      <c r="G852" s="305">
        <f>'NOV-18 '!I850</f>
        <v>547402.82999999996</v>
      </c>
      <c r="H852" s="95">
        <f>SUM(H469:H851)</f>
        <v>53619.250000000007</v>
      </c>
      <c r="I852" s="40">
        <f>SUM(I469:I851)</f>
        <v>493783.58000000007</v>
      </c>
      <c r="J852" s="40">
        <f>SUM(J469:J851)</f>
        <v>2591</v>
      </c>
      <c r="K852" s="40">
        <f>SUM(K469:K851)</f>
        <v>2591</v>
      </c>
    </row>
    <row r="853" spans="1:190" s="198" customFormat="1" ht="54.75" customHeight="1" thickBot="1">
      <c r="A853" s="191" t="s">
        <v>925</v>
      </c>
      <c r="B853" s="192" t="s">
        <v>926</v>
      </c>
      <c r="C853" s="193"/>
      <c r="D853" s="194" t="s">
        <v>20</v>
      </c>
      <c r="E853" s="194" t="s">
        <v>31</v>
      </c>
      <c r="F853" s="194" t="s">
        <v>27</v>
      </c>
      <c r="G853" s="305">
        <f>'NOV-18 '!I851</f>
        <v>0</v>
      </c>
      <c r="H853" s="246"/>
      <c r="I853" s="196">
        <f t="shared" si="15"/>
        <v>0</v>
      </c>
      <c r="J853" s="197"/>
      <c r="K853" s="267"/>
      <c r="L853" s="199"/>
      <c r="M853" s="199"/>
      <c r="N853" s="199"/>
      <c r="O853" s="199"/>
      <c r="P853" s="199"/>
      <c r="Q853" s="199"/>
      <c r="R853" s="199"/>
      <c r="S853" s="199"/>
      <c r="T853" s="199"/>
      <c r="U853" s="199"/>
      <c r="V853" s="199"/>
      <c r="W853" s="199"/>
      <c r="X853" s="199"/>
      <c r="Y853" s="199"/>
      <c r="Z853" s="199"/>
      <c r="AA853" s="199"/>
      <c r="AB853" s="199"/>
      <c r="AC853" s="199"/>
      <c r="AD853" s="199"/>
      <c r="AE853" s="199"/>
      <c r="AF853" s="199"/>
      <c r="AG853" s="199"/>
      <c r="AH853" s="199"/>
      <c r="AI853" s="199"/>
      <c r="AJ853" s="199"/>
      <c r="AK853" s="199"/>
      <c r="AL853" s="199"/>
      <c r="AM853" s="199"/>
      <c r="AN853" s="199"/>
      <c r="AO853" s="199"/>
      <c r="AP853" s="199"/>
      <c r="AQ853" s="199"/>
      <c r="AR853" s="199"/>
      <c r="AS853" s="199"/>
      <c r="AT853" s="199"/>
      <c r="AU853" s="199"/>
      <c r="AV853" s="199"/>
      <c r="AW853" s="199"/>
      <c r="AX853" s="199"/>
      <c r="AY853" s="199"/>
      <c r="AZ853" s="199"/>
      <c r="BA853" s="199"/>
      <c r="BB853" s="199"/>
      <c r="BC853" s="199"/>
      <c r="BD853" s="199"/>
      <c r="BE853" s="199"/>
      <c r="BF853" s="199"/>
      <c r="BG853" s="199"/>
      <c r="BH853" s="199"/>
      <c r="BI853" s="199"/>
      <c r="BJ853" s="199"/>
      <c r="BK853" s="199"/>
      <c r="BL853" s="199"/>
      <c r="BM853" s="199"/>
      <c r="BN853" s="199"/>
      <c r="BO853" s="199"/>
      <c r="BP853" s="199"/>
      <c r="BQ853" s="199"/>
      <c r="BR853" s="199"/>
      <c r="BS853" s="199"/>
      <c r="BT853" s="199"/>
      <c r="BU853" s="199"/>
      <c r="BV853" s="199"/>
      <c r="BW853" s="199"/>
      <c r="BX853" s="199"/>
      <c r="BY853" s="199"/>
      <c r="BZ853" s="199"/>
      <c r="CA853" s="199"/>
      <c r="CB853" s="199"/>
      <c r="CC853" s="199"/>
      <c r="CD853" s="199"/>
      <c r="CE853" s="199"/>
      <c r="CF853" s="199"/>
      <c r="CG853" s="199"/>
      <c r="CH853" s="199"/>
      <c r="CI853" s="199"/>
      <c r="CJ853" s="199"/>
      <c r="CK853" s="199"/>
      <c r="CL853" s="199"/>
      <c r="CM853" s="199"/>
      <c r="CN853" s="199"/>
      <c r="CO853" s="199"/>
      <c r="CP853" s="199"/>
      <c r="CQ853" s="199"/>
      <c r="CR853" s="199"/>
      <c r="CS853" s="199"/>
      <c r="CT853" s="199"/>
      <c r="CU853" s="199"/>
      <c r="CV853" s="199"/>
      <c r="CW853" s="199"/>
      <c r="CX853" s="199"/>
      <c r="CY853" s="199"/>
      <c r="CZ853" s="199"/>
      <c r="DA853" s="199"/>
      <c r="DB853" s="199"/>
      <c r="DC853" s="199"/>
      <c r="DD853" s="199"/>
      <c r="DE853" s="199"/>
      <c r="DF853" s="199"/>
      <c r="DG853" s="199"/>
      <c r="DH853" s="199"/>
      <c r="DI853" s="199"/>
      <c r="DJ853" s="199"/>
      <c r="DK853" s="199"/>
      <c r="DL853" s="199"/>
      <c r="DM853" s="199"/>
      <c r="DN853" s="199"/>
      <c r="DO853" s="199"/>
      <c r="DP853" s="199"/>
      <c r="DQ853" s="199"/>
      <c r="DR853" s="199"/>
      <c r="DS853" s="199"/>
      <c r="DT853" s="199"/>
      <c r="DU853" s="199"/>
      <c r="DV853" s="199"/>
      <c r="DW853" s="199"/>
      <c r="DX853" s="199"/>
      <c r="DY853" s="199"/>
      <c r="DZ853" s="199"/>
      <c r="EA853" s="199"/>
      <c r="EB853" s="199"/>
      <c r="EC853" s="199"/>
      <c r="ED853" s="199"/>
      <c r="EE853" s="199"/>
      <c r="EF853" s="199"/>
      <c r="EG853" s="199"/>
      <c r="EH853" s="199"/>
      <c r="EI853" s="199"/>
      <c r="EJ853" s="199"/>
      <c r="EK853" s="199"/>
      <c r="EL853" s="199"/>
      <c r="EM853" s="199"/>
      <c r="EN853" s="199"/>
      <c r="EO853" s="199"/>
      <c r="EP853" s="199"/>
      <c r="EQ853" s="199"/>
      <c r="ER853" s="199"/>
      <c r="ES853" s="199"/>
      <c r="ET853" s="199"/>
      <c r="EU853" s="199"/>
      <c r="EV853" s="199"/>
      <c r="EW853" s="199"/>
      <c r="EX853" s="199"/>
      <c r="EY853" s="199"/>
      <c r="EZ853" s="199"/>
      <c r="FA853" s="199"/>
      <c r="FB853" s="199"/>
      <c r="FC853" s="199"/>
      <c r="FD853" s="199"/>
      <c r="FE853" s="199"/>
      <c r="FF853" s="199"/>
      <c r="FG853" s="199"/>
      <c r="FH853" s="199"/>
      <c r="FI853" s="199"/>
      <c r="FJ853" s="199"/>
      <c r="FK853" s="199"/>
      <c r="FL853" s="199"/>
      <c r="FM853" s="199"/>
      <c r="FN853" s="199"/>
      <c r="FO853" s="199"/>
      <c r="FP853" s="199"/>
      <c r="FQ853" s="199"/>
      <c r="FR853" s="199"/>
      <c r="FS853" s="199"/>
      <c r="FT853" s="199"/>
      <c r="FU853" s="199"/>
      <c r="FV853" s="199"/>
      <c r="FW853" s="199"/>
      <c r="FX853" s="199"/>
      <c r="FY853" s="199"/>
      <c r="FZ853" s="199"/>
      <c r="GA853" s="199"/>
      <c r="GB853" s="199"/>
      <c r="GC853" s="199"/>
      <c r="GD853" s="199"/>
      <c r="GE853" s="199"/>
      <c r="GF853" s="199"/>
      <c r="GG853" s="199"/>
      <c r="GH853" s="199"/>
    </row>
    <row r="854" spans="1:190" s="199" customFormat="1" ht="23.25" customHeight="1" thickBot="1">
      <c r="A854" s="38"/>
      <c r="B854" s="161" t="s">
        <v>21</v>
      </c>
      <c r="C854" s="39"/>
      <c r="D854" s="39"/>
      <c r="E854" s="39"/>
      <c r="F854" s="39"/>
      <c r="G854" s="305">
        <f>'SEPT-18'!I820</f>
        <v>0</v>
      </c>
      <c r="H854" s="95">
        <f>SUM(H853)</f>
        <v>0</v>
      </c>
      <c r="I854" s="196">
        <f t="shared" si="15"/>
        <v>0</v>
      </c>
      <c r="J854" s="40"/>
      <c r="K854" s="398">
        <f>SUM(K853)</f>
        <v>0</v>
      </c>
    </row>
    <row r="855" spans="1:190" s="171" customFormat="1" ht="45">
      <c r="A855" s="184" t="s">
        <v>929</v>
      </c>
      <c r="B855" s="185" t="s">
        <v>928</v>
      </c>
      <c r="C855" s="186"/>
      <c r="D855" s="187" t="s">
        <v>22</v>
      </c>
      <c r="E855" s="187" t="s">
        <v>31</v>
      </c>
      <c r="F855" s="187" t="s">
        <v>27</v>
      </c>
      <c r="G855" s="305">
        <f>'NOV-18 '!I853</f>
        <v>0</v>
      </c>
      <c r="H855" s="245"/>
      <c r="I855" s="189">
        <f t="shared" si="15"/>
        <v>0</v>
      </c>
      <c r="J855" s="190"/>
      <c r="K855" s="268"/>
    </row>
    <row r="856" spans="1:190" s="171" customFormat="1" ht="63" customHeight="1">
      <c r="A856" s="175" t="s">
        <v>927</v>
      </c>
      <c r="B856" s="174" t="s">
        <v>978</v>
      </c>
      <c r="C856" s="139"/>
      <c r="D856" s="14" t="s">
        <v>22</v>
      </c>
      <c r="E856" s="14" t="s">
        <v>31</v>
      </c>
      <c r="F856" s="14" t="s">
        <v>27</v>
      </c>
      <c r="G856" s="305">
        <f>'NOV-18 '!I854</f>
        <v>0</v>
      </c>
      <c r="H856" s="244"/>
      <c r="I856" s="17">
        <f t="shared" si="15"/>
        <v>0</v>
      </c>
      <c r="J856" s="140"/>
      <c r="K856" s="135"/>
    </row>
    <row r="857" spans="1:190">
      <c r="A857" s="38"/>
      <c r="B857" s="161" t="s">
        <v>23</v>
      </c>
      <c r="C857" s="39"/>
      <c r="D857" s="39"/>
      <c r="E857" s="39"/>
      <c r="F857" s="39"/>
      <c r="G857" s="305">
        <f>SUM(G855:G856)</f>
        <v>0</v>
      </c>
      <c r="H857" s="95">
        <f>SUM(H855:H856)</f>
        <v>0</v>
      </c>
      <c r="I857" s="17">
        <f t="shared" si="15"/>
        <v>0</v>
      </c>
      <c r="J857" s="40"/>
      <c r="K857" s="40">
        <f>SUM(K855:K856)</f>
        <v>0</v>
      </c>
    </row>
    <row r="858" spans="1:190" s="171" customFormat="1" ht="100.5" customHeight="1">
      <c r="A858" s="169" t="s">
        <v>200</v>
      </c>
      <c r="B858" s="174" t="s">
        <v>1081</v>
      </c>
      <c r="C858" s="139"/>
      <c r="D858" s="139"/>
      <c r="E858" s="139"/>
      <c r="F858" s="139"/>
      <c r="G858" s="305">
        <f>'SEPT-18'!I824</f>
        <v>0</v>
      </c>
      <c r="H858" s="170"/>
      <c r="I858" s="140"/>
      <c r="J858" s="140"/>
      <c r="K858" s="140"/>
    </row>
    <row r="859" spans="1:190" s="171" customFormat="1" ht="38.25" customHeight="1">
      <c r="A859" s="255">
        <v>51999</v>
      </c>
      <c r="B859" s="173" t="s">
        <v>933</v>
      </c>
      <c r="C859" s="139"/>
      <c r="D859" s="14" t="s">
        <v>11</v>
      </c>
      <c r="E859" s="14" t="s">
        <v>25</v>
      </c>
      <c r="F859" s="257" t="s">
        <v>1025</v>
      </c>
      <c r="G859" s="305">
        <f>'NOV-18 '!I857</f>
        <v>2100</v>
      </c>
      <c r="H859" s="140"/>
      <c r="I859" s="17">
        <f t="shared" ref="I859:I896" si="17">G859-H859+J859-K859</f>
        <v>2100</v>
      </c>
      <c r="J859" s="135"/>
      <c r="K859" s="135"/>
    </row>
    <row r="860" spans="1:190" s="171" customFormat="1" ht="23.25" customHeight="1">
      <c r="A860" s="255">
        <v>54199</v>
      </c>
      <c r="B860" s="173" t="s">
        <v>931</v>
      </c>
      <c r="C860" s="139"/>
      <c r="D860" s="14" t="s">
        <v>11</v>
      </c>
      <c r="E860" s="14" t="s">
        <v>25</v>
      </c>
      <c r="F860" s="257" t="s">
        <v>1025</v>
      </c>
      <c r="G860" s="305">
        <f>'NOV-18 '!I858</f>
        <v>0</v>
      </c>
      <c r="H860" s="170"/>
      <c r="I860" s="17">
        <f t="shared" si="17"/>
        <v>0</v>
      </c>
      <c r="J860" s="135"/>
      <c r="K860" s="135"/>
    </row>
    <row r="861" spans="1:190" s="171" customFormat="1" ht="19.5" customHeight="1">
      <c r="A861" s="255">
        <v>55799</v>
      </c>
      <c r="B861" s="173" t="s">
        <v>932</v>
      </c>
      <c r="C861" s="139"/>
      <c r="D861" s="14" t="s">
        <v>11</v>
      </c>
      <c r="E861" s="14" t="s">
        <v>25</v>
      </c>
      <c r="F861" s="257" t="s">
        <v>1025</v>
      </c>
      <c r="G861" s="305">
        <f>'NOV-18 '!I859</f>
        <v>1413.6799999999998</v>
      </c>
      <c r="H861" s="170"/>
      <c r="I861" s="17">
        <f t="shared" si="17"/>
        <v>1413.6799999999998</v>
      </c>
      <c r="J861" s="135"/>
      <c r="K861" s="135"/>
    </row>
    <row r="862" spans="1:190" s="171" customFormat="1" ht="68.25" customHeight="1">
      <c r="A862" s="176" t="s">
        <v>201</v>
      </c>
      <c r="B862" s="173" t="s">
        <v>934</v>
      </c>
      <c r="C862" s="139"/>
      <c r="D862" s="139"/>
      <c r="E862" s="139"/>
      <c r="F862" s="257" t="s">
        <v>1024</v>
      </c>
      <c r="G862" s="305">
        <f>'NOV-18 '!I860</f>
        <v>0</v>
      </c>
      <c r="H862" s="170"/>
      <c r="I862" s="17"/>
      <c r="J862" s="140"/>
      <c r="K862" s="140"/>
    </row>
    <row r="863" spans="1:190" s="171" customFormat="1" ht="37.5" customHeight="1">
      <c r="A863" s="254">
        <v>51202</v>
      </c>
      <c r="B863" s="173" t="s">
        <v>954</v>
      </c>
      <c r="C863" s="139"/>
      <c r="D863" s="14" t="s">
        <v>11</v>
      </c>
      <c r="E863" s="14" t="s">
        <v>25</v>
      </c>
      <c r="F863" s="257" t="s">
        <v>1024</v>
      </c>
      <c r="G863" s="305">
        <f>'NOV-18 '!I861</f>
        <v>335.67000000000098</v>
      </c>
      <c r="H863" s="140"/>
      <c r="I863" s="17">
        <f t="shared" si="17"/>
        <v>335.67000000000098</v>
      </c>
      <c r="J863" s="140"/>
      <c r="K863" s="140"/>
    </row>
    <row r="864" spans="1:190" s="171" customFormat="1" ht="33" customHeight="1">
      <c r="A864" s="254">
        <v>51999</v>
      </c>
      <c r="B864" s="177" t="s">
        <v>935</v>
      </c>
      <c r="C864" s="139"/>
      <c r="D864" s="14" t="s">
        <v>11</v>
      </c>
      <c r="E864" s="14" t="s">
        <v>25</v>
      </c>
      <c r="F864" s="257" t="s">
        <v>1024</v>
      </c>
      <c r="G864" s="305">
        <f>'NOV-18 '!I862</f>
        <v>0</v>
      </c>
      <c r="H864" s="140"/>
      <c r="I864" s="17">
        <f t="shared" si="17"/>
        <v>0</v>
      </c>
      <c r="J864" s="140"/>
      <c r="K864" s="135"/>
    </row>
    <row r="865" spans="1:11" s="171" customFormat="1" ht="29.25">
      <c r="A865" s="254">
        <v>54110</v>
      </c>
      <c r="B865" s="177" t="s">
        <v>936</v>
      </c>
      <c r="C865" s="139"/>
      <c r="D865" s="14" t="s">
        <v>11</v>
      </c>
      <c r="E865" s="14" t="s">
        <v>25</v>
      </c>
      <c r="F865" s="257" t="s">
        <v>1024</v>
      </c>
      <c r="G865" s="305">
        <f>'NOV-18 '!I863</f>
        <v>393.8599999999999</v>
      </c>
      <c r="H865" s="140"/>
      <c r="I865" s="17">
        <f t="shared" si="17"/>
        <v>393.8599999999999</v>
      </c>
      <c r="J865" s="140"/>
      <c r="K865" s="135"/>
    </row>
    <row r="866" spans="1:11" s="171" customFormat="1" ht="44.25">
      <c r="A866" s="254">
        <v>54111</v>
      </c>
      <c r="B866" s="173" t="s">
        <v>937</v>
      </c>
      <c r="C866" s="139"/>
      <c r="D866" s="14" t="s">
        <v>11</v>
      </c>
      <c r="E866" s="14" t="s">
        <v>25</v>
      </c>
      <c r="F866" s="257" t="s">
        <v>1024</v>
      </c>
      <c r="G866" s="305">
        <f>'NOV-18 '!I864</f>
        <v>176.97000000000116</v>
      </c>
      <c r="H866" s="140"/>
      <c r="I866" s="17">
        <f t="shared" si="17"/>
        <v>176.97000000000116</v>
      </c>
      <c r="J866" s="140"/>
      <c r="K866" s="135"/>
    </row>
    <row r="867" spans="1:11" s="171" customFormat="1" ht="44.25">
      <c r="A867" s="254">
        <v>54112</v>
      </c>
      <c r="B867" s="173" t="s">
        <v>938</v>
      </c>
      <c r="C867" s="139"/>
      <c r="D867" s="14" t="s">
        <v>11</v>
      </c>
      <c r="E867" s="14" t="s">
        <v>25</v>
      </c>
      <c r="F867" s="257" t="s">
        <v>1024</v>
      </c>
      <c r="G867" s="305">
        <f>'NOV-18 '!I865</f>
        <v>713.29999999999927</v>
      </c>
      <c r="H867" s="140"/>
      <c r="I867" s="17">
        <f t="shared" si="17"/>
        <v>713.29999999999927</v>
      </c>
      <c r="J867" s="135"/>
      <c r="K867" s="135"/>
    </row>
    <row r="868" spans="1:11" s="171" customFormat="1" ht="29.25">
      <c r="A868" s="254">
        <v>54118</v>
      </c>
      <c r="B868" s="173" t="s">
        <v>939</v>
      </c>
      <c r="C868" s="139"/>
      <c r="D868" s="14" t="s">
        <v>11</v>
      </c>
      <c r="E868" s="14" t="s">
        <v>25</v>
      </c>
      <c r="F868" s="257" t="s">
        <v>1024</v>
      </c>
      <c r="G868" s="305">
        <f>'NOV-18 '!I866</f>
        <v>41.749999999999773</v>
      </c>
      <c r="H868" s="244"/>
      <c r="I868" s="17">
        <f t="shared" si="17"/>
        <v>41.749999999999773</v>
      </c>
      <c r="J868" s="140"/>
      <c r="K868" s="135"/>
    </row>
    <row r="869" spans="1:11" s="171" customFormat="1" ht="29.25">
      <c r="A869" s="254">
        <v>54304</v>
      </c>
      <c r="B869" s="173" t="s">
        <v>940</v>
      </c>
      <c r="C869" s="139"/>
      <c r="D869" s="14" t="s">
        <v>11</v>
      </c>
      <c r="E869" s="14" t="s">
        <v>25</v>
      </c>
      <c r="F869" s="257" t="s">
        <v>1024</v>
      </c>
      <c r="G869" s="305">
        <f>'NOV-18 '!I867</f>
        <v>0</v>
      </c>
      <c r="H869" s="170"/>
      <c r="I869" s="17">
        <f t="shared" si="17"/>
        <v>0</v>
      </c>
      <c r="J869" s="140"/>
      <c r="K869" s="135"/>
    </row>
    <row r="870" spans="1:11" s="171" customFormat="1" ht="39" customHeight="1">
      <c r="A870" s="254">
        <v>54313</v>
      </c>
      <c r="B870" s="173" t="s">
        <v>941</v>
      </c>
      <c r="C870" s="139"/>
      <c r="D870" s="14" t="s">
        <v>11</v>
      </c>
      <c r="E870" s="14" t="s">
        <v>25</v>
      </c>
      <c r="F870" s="257" t="s">
        <v>1024</v>
      </c>
      <c r="G870" s="305">
        <f>'NOV-18 '!I868</f>
        <v>0</v>
      </c>
      <c r="H870" s="170"/>
      <c r="I870" s="17">
        <f t="shared" si="17"/>
        <v>0</v>
      </c>
      <c r="J870" s="140"/>
      <c r="K870" s="140"/>
    </row>
    <row r="871" spans="1:11" s="171" customFormat="1" ht="36" customHeight="1">
      <c r="A871" s="254">
        <v>54399</v>
      </c>
      <c r="B871" s="173" t="s">
        <v>942</v>
      </c>
      <c r="C871" s="139"/>
      <c r="D871" s="14" t="s">
        <v>11</v>
      </c>
      <c r="E871" s="14" t="s">
        <v>25</v>
      </c>
      <c r="F871" s="257" t="s">
        <v>1024</v>
      </c>
      <c r="G871" s="305">
        <f>'NOV-18 '!I869</f>
        <v>53.789999999999964</v>
      </c>
      <c r="H871" s="170"/>
      <c r="I871" s="17">
        <f t="shared" si="17"/>
        <v>53.789999999999964</v>
      </c>
      <c r="J871" s="140"/>
      <c r="K871" s="135"/>
    </row>
    <row r="872" spans="1:11" s="171" customFormat="1" ht="34.5" customHeight="1">
      <c r="A872" s="254">
        <v>55603</v>
      </c>
      <c r="B872" s="173" t="s">
        <v>943</v>
      </c>
      <c r="C872" s="139"/>
      <c r="D872" s="14" t="s">
        <v>11</v>
      </c>
      <c r="E872" s="14" t="s">
        <v>25</v>
      </c>
      <c r="F872" s="257" t="s">
        <v>1024</v>
      </c>
      <c r="G872" s="305">
        <f>'NOV-18 '!I870</f>
        <v>6.35</v>
      </c>
      <c r="H872" s="170"/>
      <c r="I872" s="134">
        <f t="shared" si="17"/>
        <v>6.35</v>
      </c>
      <c r="J872" s="135"/>
      <c r="K872" s="140"/>
    </row>
    <row r="873" spans="1:11" s="171" customFormat="1" ht="98.25" customHeight="1">
      <c r="A873" s="169" t="s">
        <v>220</v>
      </c>
      <c r="B873" s="241" t="s">
        <v>973</v>
      </c>
      <c r="C873" s="139"/>
      <c r="D873" s="14"/>
      <c r="E873" s="14"/>
      <c r="F873" s="257" t="s">
        <v>1024</v>
      </c>
      <c r="G873" s="305">
        <f>'NOV-18 '!I871</f>
        <v>0</v>
      </c>
      <c r="H873" s="170"/>
      <c r="I873" s="17"/>
      <c r="J873" s="140"/>
      <c r="K873" s="140"/>
    </row>
    <row r="874" spans="1:11" s="171" customFormat="1" ht="29.25">
      <c r="A874" s="254">
        <v>51202</v>
      </c>
      <c r="B874" s="173" t="s">
        <v>944</v>
      </c>
      <c r="C874" s="139"/>
      <c r="D874" s="14" t="s">
        <v>11</v>
      </c>
      <c r="E874" s="14" t="s">
        <v>25</v>
      </c>
      <c r="F874" s="257" t="s">
        <v>1024</v>
      </c>
      <c r="G874" s="305">
        <f>'NOV-18 '!I872</f>
        <v>0</v>
      </c>
      <c r="H874" s="140"/>
      <c r="I874" s="17">
        <f t="shared" si="17"/>
        <v>0</v>
      </c>
      <c r="J874" s="140"/>
      <c r="K874" s="135"/>
    </row>
    <row r="875" spans="1:11" s="171" customFormat="1" ht="29.25">
      <c r="A875" s="254">
        <v>51999</v>
      </c>
      <c r="B875" s="173" t="s">
        <v>946</v>
      </c>
      <c r="C875" s="139"/>
      <c r="D875" s="14" t="s">
        <v>11</v>
      </c>
      <c r="E875" s="14" t="s">
        <v>25</v>
      </c>
      <c r="F875" s="257" t="s">
        <v>1024</v>
      </c>
      <c r="G875" s="305">
        <f>'NOV-18 '!I873</f>
        <v>0</v>
      </c>
      <c r="H875" s="140"/>
      <c r="I875" s="17">
        <f t="shared" si="17"/>
        <v>0</v>
      </c>
      <c r="J875" s="135"/>
      <c r="K875" s="135"/>
    </row>
    <row r="876" spans="1:11" s="171" customFormat="1" ht="36" customHeight="1">
      <c r="A876" s="254">
        <v>54110</v>
      </c>
      <c r="B876" s="173" t="s">
        <v>945</v>
      </c>
      <c r="C876" s="139"/>
      <c r="D876" s="14" t="s">
        <v>11</v>
      </c>
      <c r="E876" s="14" t="s">
        <v>25</v>
      </c>
      <c r="F876" s="257" t="s">
        <v>1024</v>
      </c>
      <c r="G876" s="305">
        <f>'NOV-18 '!I874</f>
        <v>0</v>
      </c>
      <c r="H876" s="140"/>
      <c r="I876" s="17">
        <f t="shared" si="17"/>
        <v>0</v>
      </c>
      <c r="J876" s="140"/>
      <c r="K876" s="135"/>
    </row>
    <row r="877" spans="1:11" s="171" customFormat="1" ht="41.25" customHeight="1">
      <c r="A877" s="254">
        <v>54111</v>
      </c>
      <c r="B877" s="173" t="s">
        <v>947</v>
      </c>
      <c r="C877" s="139"/>
      <c r="D877" s="14" t="s">
        <v>11</v>
      </c>
      <c r="E877" s="14" t="s">
        <v>25</v>
      </c>
      <c r="F877" s="257" t="s">
        <v>1024</v>
      </c>
      <c r="G877" s="305">
        <f>'NOV-18 '!I875</f>
        <v>0</v>
      </c>
      <c r="H877" s="140"/>
      <c r="I877" s="17">
        <f t="shared" si="17"/>
        <v>0</v>
      </c>
      <c r="J877" s="140"/>
      <c r="K877" s="135"/>
    </row>
    <row r="878" spans="1:11" s="171" customFormat="1" ht="35.25" customHeight="1">
      <c r="A878" s="254">
        <v>54112</v>
      </c>
      <c r="B878" s="173" t="s">
        <v>948</v>
      </c>
      <c r="C878" s="139"/>
      <c r="D878" s="14" t="s">
        <v>11</v>
      </c>
      <c r="E878" s="14" t="s">
        <v>25</v>
      </c>
      <c r="F878" s="257" t="s">
        <v>1024</v>
      </c>
      <c r="G878" s="305">
        <f>'NOV-18 '!I876</f>
        <v>0</v>
      </c>
      <c r="H878" s="140"/>
      <c r="I878" s="17">
        <f t="shared" si="17"/>
        <v>0</v>
      </c>
      <c r="J878" s="140"/>
      <c r="K878" s="135"/>
    </row>
    <row r="879" spans="1:11" s="171" customFormat="1" ht="35.25" customHeight="1">
      <c r="A879" s="254">
        <v>54118</v>
      </c>
      <c r="B879" s="173" t="s">
        <v>1245</v>
      </c>
      <c r="C879" s="139"/>
      <c r="D879" s="14" t="s">
        <v>11</v>
      </c>
      <c r="E879" s="14" t="s">
        <v>25</v>
      </c>
      <c r="F879" s="257" t="s">
        <v>1024</v>
      </c>
      <c r="G879" s="305">
        <f>'NOV-18 '!I877</f>
        <v>0</v>
      </c>
      <c r="H879" s="140"/>
      <c r="I879" s="17">
        <f t="shared" si="17"/>
        <v>0</v>
      </c>
      <c r="J879" s="140"/>
      <c r="K879" s="135"/>
    </row>
    <row r="880" spans="1:11" s="171" customFormat="1" ht="35.25" customHeight="1">
      <c r="A880" s="254">
        <v>54199</v>
      </c>
      <c r="B880" s="173" t="s">
        <v>1244</v>
      </c>
      <c r="C880" s="139"/>
      <c r="D880" s="14"/>
      <c r="E880" s="14"/>
      <c r="F880" s="257" t="s">
        <v>1024</v>
      </c>
      <c r="G880" s="305">
        <f>'NOV-18 '!I878</f>
        <v>0</v>
      </c>
      <c r="H880" s="140"/>
      <c r="I880" s="17">
        <f t="shared" si="17"/>
        <v>0</v>
      </c>
      <c r="J880" s="135"/>
      <c r="K880" s="135"/>
    </row>
    <row r="881" spans="1:11" s="171" customFormat="1" ht="29.25">
      <c r="A881" s="254">
        <v>54304</v>
      </c>
      <c r="B881" s="173" t="s">
        <v>950</v>
      </c>
      <c r="C881" s="139"/>
      <c r="D881" s="14" t="s">
        <v>11</v>
      </c>
      <c r="E881" s="14" t="s">
        <v>25</v>
      </c>
      <c r="F881" s="257" t="s">
        <v>1024</v>
      </c>
      <c r="G881" s="305">
        <f>'NOV-18 '!I879</f>
        <v>0</v>
      </c>
      <c r="H881" s="140"/>
      <c r="I881" s="17">
        <f t="shared" si="17"/>
        <v>0</v>
      </c>
      <c r="J881" s="140"/>
      <c r="K881" s="135"/>
    </row>
    <row r="882" spans="1:11" s="171" customFormat="1" ht="44.25">
      <c r="A882" s="254">
        <v>54313</v>
      </c>
      <c r="B882" s="173" t="s">
        <v>951</v>
      </c>
      <c r="C882" s="139"/>
      <c r="D882" s="14" t="s">
        <v>11</v>
      </c>
      <c r="E882" s="14" t="s">
        <v>25</v>
      </c>
      <c r="F882" s="257" t="s">
        <v>1024</v>
      </c>
      <c r="G882" s="305">
        <f>'NOV-18 '!I880</f>
        <v>0</v>
      </c>
      <c r="H882" s="140"/>
      <c r="I882" s="17">
        <f t="shared" si="17"/>
        <v>0</v>
      </c>
      <c r="J882" s="140"/>
      <c r="K882" s="135"/>
    </row>
    <row r="883" spans="1:11" s="171" customFormat="1" ht="44.25">
      <c r="A883" s="254">
        <v>54399</v>
      </c>
      <c r="B883" s="173" t="s">
        <v>952</v>
      </c>
      <c r="C883" s="139"/>
      <c r="D883" s="14" t="s">
        <v>11</v>
      </c>
      <c r="E883" s="14" t="s">
        <v>25</v>
      </c>
      <c r="F883" s="257" t="s">
        <v>1024</v>
      </c>
      <c r="G883" s="305">
        <f>'NOV-18 '!I881</f>
        <v>0</v>
      </c>
      <c r="H883" s="140"/>
      <c r="I883" s="17">
        <f t="shared" si="17"/>
        <v>0</v>
      </c>
      <c r="J883" s="135"/>
      <c r="K883" s="135"/>
    </row>
    <row r="884" spans="1:11" s="171" customFormat="1" ht="50.25" customHeight="1">
      <c r="A884" s="254">
        <v>55603</v>
      </c>
      <c r="B884" s="173" t="s">
        <v>953</v>
      </c>
      <c r="C884" s="139"/>
      <c r="D884" s="14" t="s">
        <v>11</v>
      </c>
      <c r="E884" s="14" t="s">
        <v>25</v>
      </c>
      <c r="F884" s="257" t="s">
        <v>1024</v>
      </c>
      <c r="G884" s="305">
        <f>'NOV-18 '!I882</f>
        <v>0</v>
      </c>
      <c r="H884" s="140"/>
      <c r="I884" s="134">
        <f t="shared" si="17"/>
        <v>0</v>
      </c>
      <c r="J884" s="135"/>
      <c r="K884" s="135"/>
    </row>
    <row r="885" spans="1:11" s="171" customFormat="1" ht="99.75">
      <c r="A885" s="256" t="s">
        <v>238</v>
      </c>
      <c r="B885" s="241" t="s">
        <v>972</v>
      </c>
      <c r="C885" s="139"/>
      <c r="D885" s="14"/>
      <c r="E885" s="14"/>
      <c r="F885" s="257" t="s">
        <v>1024</v>
      </c>
      <c r="G885" s="305">
        <f>'NOV-18 '!I883</f>
        <v>0</v>
      </c>
      <c r="H885" s="170"/>
      <c r="I885" s="17"/>
      <c r="J885" s="140"/>
      <c r="K885" s="140"/>
    </row>
    <row r="886" spans="1:11" s="171" customFormat="1" ht="29.25">
      <c r="A886" s="254">
        <v>51202</v>
      </c>
      <c r="B886" s="173" t="s">
        <v>955</v>
      </c>
      <c r="C886" s="139"/>
      <c r="D886" s="14" t="s">
        <v>11</v>
      </c>
      <c r="E886" s="14" t="s">
        <v>25</v>
      </c>
      <c r="F886" s="257" t="s">
        <v>1024</v>
      </c>
      <c r="G886" s="305">
        <f>'NOV-18 '!I884</f>
        <v>5476.74</v>
      </c>
      <c r="H886" s="244"/>
      <c r="I886" s="17">
        <f t="shared" si="17"/>
        <v>5476.74</v>
      </c>
      <c r="J886" s="140"/>
      <c r="K886" s="140"/>
    </row>
    <row r="887" spans="1:11" s="171" customFormat="1" ht="43.5">
      <c r="A887" s="254">
        <v>51999</v>
      </c>
      <c r="B887" s="173" t="s">
        <v>956</v>
      </c>
      <c r="C887" s="139"/>
      <c r="D887" s="14" t="s">
        <v>11</v>
      </c>
      <c r="E887" s="14" t="s">
        <v>25</v>
      </c>
      <c r="F887" s="257" t="s">
        <v>1024</v>
      </c>
      <c r="G887" s="305">
        <f>'NOV-18 '!I885</f>
        <v>0</v>
      </c>
      <c r="H887" s="244"/>
      <c r="I887" s="17">
        <f t="shared" si="17"/>
        <v>0</v>
      </c>
      <c r="J887" s="140"/>
      <c r="K887" s="135"/>
    </row>
    <row r="888" spans="1:11" s="171" customFormat="1" ht="43.5">
      <c r="A888" s="254">
        <v>54110</v>
      </c>
      <c r="B888" s="173" t="s">
        <v>957</v>
      </c>
      <c r="C888" s="139"/>
      <c r="D888" s="14" t="s">
        <v>11</v>
      </c>
      <c r="E888" s="14" t="s">
        <v>25</v>
      </c>
      <c r="F888" s="257" t="s">
        <v>1024</v>
      </c>
      <c r="G888" s="305">
        <f>'NOV-18 '!I886</f>
        <v>909.2</v>
      </c>
      <c r="H888" s="244"/>
      <c r="I888" s="17">
        <f t="shared" si="17"/>
        <v>909.2</v>
      </c>
      <c r="J888" s="140"/>
      <c r="K888" s="140"/>
    </row>
    <row r="889" spans="1:11" s="171" customFormat="1" ht="44.25">
      <c r="A889" s="254">
        <v>54111</v>
      </c>
      <c r="B889" s="173" t="s">
        <v>958</v>
      </c>
      <c r="C889" s="139"/>
      <c r="D889" s="14" t="s">
        <v>11</v>
      </c>
      <c r="E889" s="14" t="s">
        <v>25</v>
      </c>
      <c r="F889" s="257" t="s">
        <v>1024</v>
      </c>
      <c r="G889" s="305">
        <f>'NOV-18 '!I887</f>
        <v>1543.5</v>
      </c>
      <c r="H889" s="244"/>
      <c r="I889" s="17">
        <f t="shared" si="17"/>
        <v>1543.5</v>
      </c>
      <c r="J889" s="140"/>
      <c r="K889" s="135"/>
    </row>
    <row r="890" spans="1:11" s="171" customFormat="1" ht="44.25">
      <c r="A890" s="254">
        <v>54112</v>
      </c>
      <c r="B890" s="173" t="s">
        <v>959</v>
      </c>
      <c r="C890" s="139"/>
      <c r="D890" s="14" t="s">
        <v>11</v>
      </c>
      <c r="E890" s="14" t="s">
        <v>25</v>
      </c>
      <c r="F890" s="257" t="s">
        <v>1024</v>
      </c>
      <c r="G890" s="305">
        <f>'NOV-18 '!I888</f>
        <v>391.85000000000036</v>
      </c>
      <c r="H890" s="244"/>
      <c r="I890" s="134">
        <f t="shared" si="17"/>
        <v>391.85000000000036</v>
      </c>
      <c r="J890" s="135"/>
      <c r="K890" s="135"/>
    </row>
    <row r="891" spans="1:11" s="171" customFormat="1" ht="38.25" customHeight="1">
      <c r="A891" s="254">
        <v>54118</v>
      </c>
      <c r="B891" s="173" t="s">
        <v>960</v>
      </c>
      <c r="C891" s="139"/>
      <c r="D891" s="14" t="s">
        <v>11</v>
      </c>
      <c r="E891" s="14" t="s">
        <v>25</v>
      </c>
      <c r="F891" s="257" t="s">
        <v>1024</v>
      </c>
      <c r="G891" s="305">
        <f>'NOV-18 '!I889</f>
        <v>1464.85</v>
      </c>
      <c r="H891" s="244"/>
      <c r="I891" s="17">
        <f t="shared" si="17"/>
        <v>1464.85</v>
      </c>
      <c r="J891" s="135"/>
      <c r="K891" s="135"/>
    </row>
    <row r="892" spans="1:11" s="171" customFormat="1" ht="39" customHeight="1">
      <c r="A892" s="254">
        <v>54304</v>
      </c>
      <c r="B892" s="173" t="s">
        <v>961</v>
      </c>
      <c r="C892" s="139"/>
      <c r="D892" s="14" t="s">
        <v>11</v>
      </c>
      <c r="E892" s="14" t="s">
        <v>25</v>
      </c>
      <c r="F892" s="257" t="s">
        <v>1024</v>
      </c>
      <c r="G892" s="305">
        <f>'NOV-18 '!I890</f>
        <v>993</v>
      </c>
      <c r="H892" s="170"/>
      <c r="I892" s="17">
        <f t="shared" si="17"/>
        <v>993</v>
      </c>
      <c r="J892" s="135"/>
      <c r="K892" s="135"/>
    </row>
    <row r="893" spans="1:11" s="171" customFormat="1" ht="39" customHeight="1">
      <c r="A893" s="254">
        <v>54313</v>
      </c>
      <c r="B893" s="173" t="s">
        <v>962</v>
      </c>
      <c r="C893" s="139"/>
      <c r="D893" s="14" t="s">
        <v>11</v>
      </c>
      <c r="E893" s="14" t="s">
        <v>25</v>
      </c>
      <c r="F893" s="257" t="s">
        <v>1024</v>
      </c>
      <c r="G893" s="305">
        <f>'NOV-18 '!I891</f>
        <v>500</v>
      </c>
      <c r="H893" s="170"/>
      <c r="I893" s="17">
        <f t="shared" si="17"/>
        <v>500</v>
      </c>
      <c r="J893" s="135"/>
      <c r="K893" s="135"/>
    </row>
    <row r="894" spans="1:11" s="171" customFormat="1" ht="45" customHeight="1">
      <c r="A894" s="254">
        <v>54316</v>
      </c>
      <c r="B894" s="173" t="s">
        <v>1023</v>
      </c>
      <c r="C894" s="139"/>
      <c r="D894" s="14" t="s">
        <v>11</v>
      </c>
      <c r="E894" s="14" t="s">
        <v>25</v>
      </c>
      <c r="F894" s="257" t="s">
        <v>1024</v>
      </c>
      <c r="G894" s="305">
        <f>'NOV-18 '!I892</f>
        <v>50</v>
      </c>
      <c r="H894" s="170"/>
      <c r="I894" s="134">
        <f t="shared" si="17"/>
        <v>50</v>
      </c>
      <c r="J894" s="135"/>
      <c r="K894" s="135"/>
    </row>
    <row r="895" spans="1:11" s="171" customFormat="1" ht="40.5" customHeight="1">
      <c r="A895" s="254">
        <v>54399</v>
      </c>
      <c r="B895" s="173" t="s">
        <v>963</v>
      </c>
      <c r="C895" s="139"/>
      <c r="D895" s="14" t="s">
        <v>11</v>
      </c>
      <c r="E895" s="14" t="s">
        <v>25</v>
      </c>
      <c r="F895" s="257" t="s">
        <v>1024</v>
      </c>
      <c r="G895" s="305">
        <f>'NOV-18 '!I893</f>
        <v>495</v>
      </c>
      <c r="H895" s="170"/>
      <c r="I895" s="17">
        <f t="shared" si="17"/>
        <v>495</v>
      </c>
      <c r="J895" s="135"/>
      <c r="K895" s="135"/>
    </row>
    <row r="896" spans="1:11" s="171" customFormat="1" ht="57.75">
      <c r="A896" s="254">
        <v>55603</v>
      </c>
      <c r="B896" s="173" t="s">
        <v>971</v>
      </c>
      <c r="C896" s="139"/>
      <c r="D896" s="14" t="s">
        <v>11</v>
      </c>
      <c r="E896" s="14" t="s">
        <v>25</v>
      </c>
      <c r="F896" s="257" t="s">
        <v>1024</v>
      </c>
      <c r="G896" s="305">
        <f>'NOV-18 '!I894</f>
        <v>6.35</v>
      </c>
      <c r="H896" s="170"/>
      <c r="I896" s="134">
        <f t="shared" si="17"/>
        <v>6.35</v>
      </c>
      <c r="J896" s="135"/>
      <c r="K896" s="140"/>
    </row>
    <row r="897" spans="1:11" ht="21">
      <c r="A897" s="38" t="s">
        <v>8</v>
      </c>
      <c r="B897" s="39" t="s">
        <v>24</v>
      </c>
      <c r="C897" s="39"/>
      <c r="D897" s="39" t="s">
        <v>11</v>
      </c>
      <c r="E897" s="39" t="s">
        <v>25</v>
      </c>
      <c r="F897" s="257" t="s">
        <v>1024</v>
      </c>
      <c r="G897" s="305">
        <f>'NOV-18 '!I895</f>
        <v>17065.859999999993</v>
      </c>
      <c r="H897" s="95">
        <f>SUM(H858:H896)</f>
        <v>0</v>
      </c>
      <c r="I897" s="40">
        <f>G897-H897+J897-K897</f>
        <v>17065.859999999993</v>
      </c>
      <c r="J897" s="40">
        <f>SUM(J858:J896)</f>
        <v>0</v>
      </c>
      <c r="K897" s="40">
        <f>SUM(K858:K896)</f>
        <v>0</v>
      </c>
    </row>
    <row r="898" spans="1:11" ht="28.5">
      <c r="A898" s="169" t="s">
        <v>15</v>
      </c>
      <c r="B898" s="282" t="s">
        <v>990</v>
      </c>
      <c r="C898" s="139" t="s">
        <v>1070</v>
      </c>
      <c r="D898" s="14" t="s">
        <v>18</v>
      </c>
      <c r="E898" s="14" t="s">
        <v>28</v>
      </c>
      <c r="F898" s="287" t="s">
        <v>1073</v>
      </c>
      <c r="G898" s="305">
        <f>'SEPT-18'!I864</f>
        <v>0</v>
      </c>
      <c r="H898" s="170"/>
      <c r="I898" s="135">
        <f>G898-H898+J898-K898</f>
        <v>0</v>
      </c>
      <c r="J898" s="135"/>
      <c r="K898" s="140"/>
    </row>
    <row r="899" spans="1:11" ht="25.5">
      <c r="A899" s="38"/>
      <c r="B899" s="39" t="s">
        <v>989</v>
      </c>
      <c r="C899" s="39"/>
      <c r="D899" s="99" t="s">
        <v>18</v>
      </c>
      <c r="E899" s="99" t="s">
        <v>28</v>
      </c>
      <c r="F899" s="242" t="s">
        <v>996</v>
      </c>
      <c r="G899" s="305">
        <f>SUM(G898)</f>
        <v>0</v>
      </c>
      <c r="H899" s="95">
        <f>SUM(H898)</f>
        <v>0</v>
      </c>
      <c r="I899" s="40">
        <f>SUM(I898)</f>
        <v>0</v>
      </c>
      <c r="J899" s="40"/>
      <c r="K899" s="40"/>
    </row>
    <row r="900" spans="1:11" ht="28.5">
      <c r="A900" s="169" t="s">
        <v>16</v>
      </c>
      <c r="B900" s="282" t="s">
        <v>1068</v>
      </c>
      <c r="C900" s="139" t="s">
        <v>1070</v>
      </c>
      <c r="D900" s="14" t="s">
        <v>18</v>
      </c>
      <c r="E900" s="14" t="s">
        <v>28</v>
      </c>
      <c r="F900" s="139" t="s">
        <v>1074</v>
      </c>
      <c r="G900" s="305">
        <f>'SEPT-18'!I866</f>
        <v>0</v>
      </c>
      <c r="H900" s="170"/>
      <c r="I900" s="244">
        <f>G900-H900+J900-K900</f>
        <v>0</v>
      </c>
      <c r="J900" s="140"/>
      <c r="K900" s="135"/>
    </row>
    <row r="901" spans="1:11">
      <c r="A901" s="38"/>
      <c r="B901" s="39" t="s">
        <v>989</v>
      </c>
      <c r="C901" s="39"/>
      <c r="D901" s="99" t="s">
        <v>18</v>
      </c>
      <c r="E901" s="99" t="s">
        <v>28</v>
      </c>
      <c r="F901" s="139" t="s">
        <v>1069</v>
      </c>
      <c r="G901" s="305">
        <f>SUM(G900)</f>
        <v>0</v>
      </c>
      <c r="H901" s="95">
        <f>SUM(H900)</f>
        <v>0</v>
      </c>
      <c r="I901" s="40">
        <f>SUM(I898:I900)</f>
        <v>0</v>
      </c>
      <c r="J901" s="40">
        <f>SUM(J900)</f>
        <v>0</v>
      </c>
      <c r="K901" s="40">
        <f>SUM(K900)</f>
        <v>0</v>
      </c>
    </row>
    <row r="902" spans="1:11" ht="20.25" customHeight="1">
      <c r="A902" s="469" t="s">
        <v>1282</v>
      </c>
      <c r="B902" s="469"/>
      <c r="C902" s="469"/>
      <c r="D902" s="48"/>
      <c r="E902" s="48"/>
      <c r="F902" s="48"/>
      <c r="G902" s="305">
        <f>'NOV-18 '!I900</f>
        <v>1026863.01</v>
      </c>
      <c r="H902" s="51">
        <f>H901+H899+H897+H857+H854+H852+H468+H159+H151+H138+H126+H101+H74+H61</f>
        <v>246063.56</v>
      </c>
      <c r="I902" s="49">
        <f>I901+I899+I897+I857+I854+I852+I468+I159+I151+I138+I126+I101+I74+I61</f>
        <v>780799.45000000019</v>
      </c>
      <c r="J902" s="231">
        <f>J901+J899+J897+J857+J854+J852+J468+J159+J151+J138+J126+J101+J74+J61</f>
        <v>53128.81</v>
      </c>
      <c r="K902" s="231">
        <f>K897+K857+K852+K468+K159+K151+K138+K126+K101+K74+K61+K854+K901</f>
        <v>53128.810000000012</v>
      </c>
    </row>
    <row r="903" spans="1:11">
      <c r="G903" s="274"/>
      <c r="J903" s="130"/>
    </row>
    <row r="904" spans="1:11">
      <c r="I904" s="274"/>
      <c r="J904" s="262">
        <f>J902-K902</f>
        <v>0</v>
      </c>
    </row>
    <row r="905" spans="1:11">
      <c r="A905" s="232" t="s">
        <v>1031</v>
      </c>
    </row>
    <row r="906" spans="1:11">
      <c r="A906" s="273" t="s">
        <v>1050</v>
      </c>
      <c r="B906" s="273"/>
      <c r="C906" s="273"/>
      <c r="D906" s="273"/>
      <c r="E906" s="273"/>
      <c r="F906" s="273"/>
    </row>
    <row r="907" spans="1:11">
      <c r="H907" s="274"/>
    </row>
  </sheetData>
  <mergeCells count="3">
    <mergeCell ref="B1:K1"/>
    <mergeCell ref="B2:J2"/>
    <mergeCell ref="A902:C902"/>
  </mergeCells>
  <pageMargins left="0.23622047244094491" right="0.23622047244094491" top="0.74803149606299213" bottom="0.74803149606299213" header="0.31496062992125984" footer="0.31496062992125984"/>
  <pageSetup paperSize="5" scale="80" orientation="landscape" horizontalDpi="4294967293" vertic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AF67D"/>
  </sheetPr>
  <dimension ref="A1:J26"/>
  <sheetViews>
    <sheetView tabSelected="1" topLeftCell="C16" zoomScaleNormal="100" workbookViewId="0">
      <selection activeCell="G25" sqref="G25"/>
    </sheetView>
  </sheetViews>
  <sheetFormatPr baseColWidth="10" defaultRowHeight="15"/>
  <cols>
    <col min="1" max="1" width="18" customWidth="1"/>
    <col min="2" max="2" width="24.85546875" customWidth="1"/>
    <col min="3" max="3" width="26.5703125" customWidth="1"/>
    <col min="4" max="4" width="20.28515625" customWidth="1"/>
    <col min="5" max="5" width="16.28515625" customWidth="1"/>
    <col min="6" max="6" width="20.28515625" customWidth="1"/>
    <col min="7" max="7" width="27" customWidth="1"/>
    <col min="8" max="8" width="27.28515625" customWidth="1"/>
    <col min="9" max="9" width="25" customWidth="1"/>
  </cols>
  <sheetData>
    <row r="1" spans="1:10" ht="36.75">
      <c r="A1" s="467" t="s">
        <v>155</v>
      </c>
      <c r="B1" s="467"/>
      <c r="C1" s="467"/>
      <c r="D1" s="467"/>
      <c r="E1" s="467"/>
      <c r="F1" s="467"/>
      <c r="G1" s="467"/>
      <c r="H1" s="467"/>
      <c r="I1" s="467"/>
      <c r="J1" s="467"/>
    </row>
    <row r="2" spans="1:10" ht="36.75">
      <c r="A2" s="468" t="s">
        <v>1266</v>
      </c>
      <c r="B2" s="468"/>
      <c r="C2" s="468"/>
      <c r="D2" s="468"/>
      <c r="E2" s="468"/>
      <c r="F2" s="468"/>
      <c r="G2" s="468"/>
      <c r="H2" s="468"/>
      <c r="I2" s="468"/>
      <c r="J2" s="464"/>
    </row>
    <row r="3" spans="1:10" ht="66" customHeight="1">
      <c r="A3" s="100" t="s">
        <v>142</v>
      </c>
      <c r="B3" s="100" t="s">
        <v>38</v>
      </c>
      <c r="C3" s="100" t="s">
        <v>144</v>
      </c>
      <c r="D3" s="100" t="s">
        <v>145</v>
      </c>
      <c r="E3" s="100" t="s">
        <v>146</v>
      </c>
      <c r="F3" s="100" t="s">
        <v>147</v>
      </c>
      <c r="G3" s="100" t="s">
        <v>148</v>
      </c>
      <c r="H3" s="100" t="s">
        <v>1278</v>
      </c>
      <c r="I3" s="100" t="s">
        <v>1265</v>
      </c>
    </row>
    <row r="4" spans="1:10" ht="30" customHeight="1">
      <c r="A4" s="101" t="s">
        <v>42</v>
      </c>
      <c r="B4" s="100" t="s">
        <v>149</v>
      </c>
      <c r="C4" s="85">
        <f>'DIC-18'!G61</f>
        <v>58527.289999999994</v>
      </c>
      <c r="D4" s="353">
        <f>'DIC-18'!J61</f>
        <v>5500</v>
      </c>
      <c r="E4" s="354"/>
      <c r="F4" s="354">
        <f>'DIC-18'!K61</f>
        <v>5500</v>
      </c>
      <c r="G4" s="85">
        <f t="shared" ref="G4:G20" si="0">C4+D4-F4</f>
        <v>58527.289999999994</v>
      </c>
      <c r="H4" s="351">
        <f>'DIC-18'!H61</f>
        <v>27128.229999999996</v>
      </c>
      <c r="I4" s="355">
        <f>G4-H4</f>
        <v>31399.059999999998</v>
      </c>
      <c r="J4" s="72"/>
    </row>
    <row r="5" spans="1:10" ht="30" customHeight="1">
      <c r="A5" s="101" t="s">
        <v>94</v>
      </c>
      <c r="B5" s="100" t="s">
        <v>149</v>
      </c>
      <c r="C5" s="88">
        <f>'DIC-18'!G74</f>
        <v>9099.5000000000036</v>
      </c>
      <c r="D5" s="350">
        <f>'DIC-18'!J74</f>
        <v>0</v>
      </c>
      <c r="E5" s="89"/>
      <c r="F5" s="350">
        <f>'DIC-18'!K74</f>
        <v>0</v>
      </c>
      <c r="G5" s="85">
        <f t="shared" si="0"/>
        <v>9099.5000000000036</v>
      </c>
      <c r="H5" s="90">
        <f>'DIC-18'!H74</f>
        <v>5239.4799999999996</v>
      </c>
      <c r="I5" s="355">
        <f t="shared" ref="I5:I20" si="1">G5-H5</f>
        <v>3860.0200000000041</v>
      </c>
      <c r="J5" s="72"/>
    </row>
    <row r="6" spans="1:10" ht="30" customHeight="1">
      <c r="A6" s="101" t="s">
        <v>97</v>
      </c>
      <c r="B6" s="100" t="s">
        <v>149</v>
      </c>
      <c r="C6" s="90">
        <f>'DIC-18'!G101</f>
        <v>34772.160000000003</v>
      </c>
      <c r="D6" s="350">
        <f>'DIC-18'!J101</f>
        <v>0</v>
      </c>
      <c r="E6" s="89"/>
      <c r="F6" s="350">
        <f>'DIC-18'!K101</f>
        <v>0</v>
      </c>
      <c r="G6" s="85">
        <f t="shared" si="0"/>
        <v>34772.160000000003</v>
      </c>
      <c r="H6" s="90">
        <f>'DIC-18'!H101</f>
        <v>24896.74</v>
      </c>
      <c r="I6" s="355">
        <f t="shared" si="1"/>
        <v>9875.4200000000019</v>
      </c>
      <c r="J6" s="72"/>
    </row>
    <row r="7" spans="1:10" ht="30" customHeight="1">
      <c r="A7" s="101"/>
      <c r="B7" s="100"/>
      <c r="C7" s="90"/>
      <c r="D7" s="350"/>
      <c r="E7" s="89"/>
      <c r="F7" s="350"/>
      <c r="G7" s="359">
        <f>SUM(G4:G6)</f>
        <v>102398.95</v>
      </c>
      <c r="H7" s="360">
        <f>SUM(H4:H6)</f>
        <v>57264.45</v>
      </c>
      <c r="I7" s="361">
        <f>SUM(I4:I6)</f>
        <v>45134.5</v>
      </c>
      <c r="J7" s="72"/>
    </row>
    <row r="8" spans="1:10" ht="30" customHeight="1">
      <c r="A8" s="101" t="s">
        <v>42</v>
      </c>
      <c r="B8" s="100" t="s">
        <v>150</v>
      </c>
      <c r="C8" s="90">
        <f>'DIC-18'!G126</f>
        <v>18290.859999999968</v>
      </c>
      <c r="D8" s="350">
        <f>'DIC-18'!J126</f>
        <v>16198.22</v>
      </c>
      <c r="E8" s="89"/>
      <c r="F8" s="350">
        <f>'DIC-18'!K126</f>
        <v>2687.05</v>
      </c>
      <c r="G8" s="351">
        <f t="shared" si="0"/>
        <v>31802.029999999966</v>
      </c>
      <c r="H8" s="352">
        <f>'DIC-18'!H126</f>
        <v>24461.759999999998</v>
      </c>
      <c r="I8" s="355">
        <f t="shared" si="1"/>
        <v>7340.2699999999677</v>
      </c>
      <c r="J8" s="72"/>
    </row>
    <row r="9" spans="1:10" ht="30" customHeight="1">
      <c r="A9" s="101" t="s">
        <v>94</v>
      </c>
      <c r="B9" s="100" t="s">
        <v>150</v>
      </c>
      <c r="C9" s="90">
        <f>'DIC-18'!G138</f>
        <v>27831.340000000018</v>
      </c>
      <c r="D9" s="350">
        <f>'DIC-18'!J138</f>
        <v>0</v>
      </c>
      <c r="E9" s="89"/>
      <c r="F9" s="350">
        <f>'DIC-18'!K138</f>
        <v>5128.9799999999996</v>
      </c>
      <c r="G9" s="351">
        <f t="shared" si="0"/>
        <v>22702.360000000019</v>
      </c>
      <c r="H9" s="90">
        <f>'DIC-18'!H138</f>
        <v>8411.48</v>
      </c>
      <c r="I9" s="355">
        <f t="shared" si="1"/>
        <v>14290.880000000019</v>
      </c>
      <c r="J9" s="72"/>
    </row>
    <row r="10" spans="1:10" ht="30" customHeight="1">
      <c r="A10" s="101" t="s">
        <v>97</v>
      </c>
      <c r="B10" s="100" t="s">
        <v>150</v>
      </c>
      <c r="C10" s="90">
        <f>'DIC-18'!G151</f>
        <v>39559.230000000025</v>
      </c>
      <c r="D10" s="350">
        <f>'DIC-18'!J151</f>
        <v>3003.12</v>
      </c>
      <c r="E10" s="89"/>
      <c r="F10" s="350">
        <f>'DIC-18'!K151</f>
        <v>11385.31</v>
      </c>
      <c r="G10" s="351">
        <f t="shared" si="0"/>
        <v>31177.04000000003</v>
      </c>
      <c r="H10" s="352">
        <f>'DIC-18'!H151</f>
        <v>23366.840000000004</v>
      </c>
      <c r="I10" s="355">
        <f t="shared" si="1"/>
        <v>7810.2000000000262</v>
      </c>
      <c r="J10" s="72"/>
    </row>
    <row r="11" spans="1:10" ht="30" customHeight="1">
      <c r="A11" s="101"/>
      <c r="B11" s="100"/>
      <c r="C11" s="90"/>
      <c r="D11" s="350"/>
      <c r="E11" s="89"/>
      <c r="F11" s="350"/>
      <c r="G11" s="362">
        <f>SUM(G8:G10)</f>
        <v>85681.430000000022</v>
      </c>
      <c r="H11" s="363">
        <f>SUM(H8:H10)</f>
        <v>56240.08</v>
      </c>
      <c r="I11" s="361">
        <f>SUM(I8:I10)</f>
        <v>29441.350000000013</v>
      </c>
      <c r="J11" s="72"/>
    </row>
    <row r="12" spans="1:10" ht="30" customHeight="1">
      <c r="A12" s="101" t="s">
        <v>1</v>
      </c>
      <c r="B12" s="100" t="s">
        <v>151</v>
      </c>
      <c r="C12" s="90">
        <f>'DIC-18'!G159</f>
        <v>7899.1699999999983</v>
      </c>
      <c r="D12" s="350"/>
      <c r="E12" s="89"/>
      <c r="F12" s="350"/>
      <c r="G12" s="85">
        <f t="shared" si="0"/>
        <v>7899.1699999999983</v>
      </c>
      <c r="H12" s="90">
        <f>'DIC-18'!H159</f>
        <v>1500</v>
      </c>
      <c r="I12" s="109">
        <f t="shared" si="1"/>
        <v>6399.1699999999983</v>
      </c>
      <c r="J12" s="72"/>
    </row>
    <row r="13" spans="1:10" ht="30" customHeight="1">
      <c r="A13" s="101" t="s">
        <v>11</v>
      </c>
      <c r="B13" s="100" t="s">
        <v>151</v>
      </c>
      <c r="C13" s="90">
        <f>'DIC-18'!G468</f>
        <v>266414.77</v>
      </c>
      <c r="D13" s="350">
        <f>'DIC-18'!J468</f>
        <v>25836.47</v>
      </c>
      <c r="E13" s="89"/>
      <c r="F13" s="350">
        <f>'DIC-18'!K468</f>
        <v>25836.470000000005</v>
      </c>
      <c r="G13" s="351">
        <f>C13+D13-F13</f>
        <v>266414.76999999996</v>
      </c>
      <c r="H13" s="352">
        <f>'DIC-18'!H468</f>
        <v>77439.78</v>
      </c>
      <c r="I13" s="355">
        <f>G13-H13</f>
        <v>188974.98999999996</v>
      </c>
      <c r="J13" s="72"/>
    </row>
    <row r="14" spans="1:10" ht="30" customHeight="1">
      <c r="A14" s="101" t="s">
        <v>18</v>
      </c>
      <c r="B14" s="100" t="s">
        <v>151</v>
      </c>
      <c r="C14" s="90">
        <f>'DIC-18'!G852</f>
        <v>547402.82999999996</v>
      </c>
      <c r="D14" s="350">
        <f>'DIC-18'!J852</f>
        <v>2591</v>
      </c>
      <c r="E14" s="89"/>
      <c r="F14" s="350">
        <f>'DIC-18'!K852</f>
        <v>2591</v>
      </c>
      <c r="G14" s="351">
        <f t="shared" si="0"/>
        <v>547402.82999999996</v>
      </c>
      <c r="H14" s="90">
        <f>'DIC-18'!H852</f>
        <v>53619.250000000007</v>
      </c>
      <c r="I14" s="355">
        <f t="shared" si="1"/>
        <v>493783.57999999996</v>
      </c>
      <c r="J14" s="72"/>
    </row>
    <row r="15" spans="1:10" ht="24.75" customHeight="1">
      <c r="A15" s="101"/>
      <c r="B15" s="100"/>
      <c r="C15" s="90"/>
      <c r="D15" s="350"/>
      <c r="E15" s="89"/>
      <c r="F15" s="350"/>
      <c r="G15" s="362">
        <f>SUM(G12:G14)</f>
        <v>821716.7699999999</v>
      </c>
      <c r="H15" s="364">
        <f>SUM(H12:H14)</f>
        <v>132559.03</v>
      </c>
      <c r="I15" s="361">
        <f>SUM(I12:I14)</f>
        <v>689157.74</v>
      </c>
      <c r="J15" s="72"/>
    </row>
    <row r="16" spans="1:10" ht="26.25" customHeight="1">
      <c r="A16" s="101" t="s">
        <v>20</v>
      </c>
      <c r="B16" s="100" t="s">
        <v>156</v>
      </c>
      <c r="C16" s="90">
        <f>'ABRIL-18'!G776</f>
        <v>0</v>
      </c>
      <c r="D16" s="89">
        <v>0</v>
      </c>
      <c r="E16" s="89"/>
      <c r="F16" s="89"/>
      <c r="G16" s="85">
        <f t="shared" si="0"/>
        <v>0</v>
      </c>
      <c r="H16" s="91">
        <f>' MARZO-18-1'!H767</f>
        <v>0</v>
      </c>
      <c r="I16" s="109">
        <f t="shared" si="1"/>
        <v>0</v>
      </c>
      <c r="J16" s="72"/>
    </row>
    <row r="17" spans="1:10" ht="35.25" customHeight="1">
      <c r="A17" s="101" t="s">
        <v>22</v>
      </c>
      <c r="B17" s="100" t="s">
        <v>157</v>
      </c>
      <c r="C17" s="91">
        <f>'OCT-18'!G831</f>
        <v>0</v>
      </c>
      <c r="D17" s="92">
        <v>0</v>
      </c>
      <c r="E17" s="92"/>
      <c r="F17" s="92">
        <f>'OCT-18'!K831</f>
        <v>0</v>
      </c>
      <c r="G17" s="93">
        <f t="shared" si="0"/>
        <v>0</v>
      </c>
      <c r="H17" s="91"/>
      <c r="I17" s="109">
        <f t="shared" si="1"/>
        <v>0</v>
      </c>
      <c r="J17" s="72"/>
    </row>
    <row r="18" spans="1:10" ht="26.25" customHeight="1">
      <c r="A18" s="102" t="s">
        <v>11</v>
      </c>
      <c r="B18" s="103" t="s">
        <v>997</v>
      </c>
      <c r="C18" s="96">
        <f>'DIC-18'!G897</f>
        <v>17065.859999999993</v>
      </c>
      <c r="D18" s="454">
        <f>'DIC-18'!J897</f>
        <v>0</v>
      </c>
      <c r="E18" s="97"/>
      <c r="F18" s="454">
        <f>'DIC-18'!K897</f>
        <v>0</v>
      </c>
      <c r="G18" s="356">
        <f t="shared" si="0"/>
        <v>17065.859999999993</v>
      </c>
      <c r="H18" s="357"/>
      <c r="I18" s="356">
        <f t="shared" si="1"/>
        <v>17065.859999999993</v>
      </c>
      <c r="J18" s="72"/>
    </row>
    <row r="19" spans="1:10" ht="16.5" customHeight="1">
      <c r="A19" s="236" t="s">
        <v>18</v>
      </c>
      <c r="B19" s="100" t="s">
        <v>994</v>
      </c>
      <c r="C19" s="96">
        <f>'MAYO-18 '!G831</f>
        <v>0</v>
      </c>
      <c r="D19" s="97"/>
      <c r="E19" s="97"/>
      <c r="F19" s="97">
        <v>0</v>
      </c>
      <c r="G19" s="98">
        <f t="shared" si="0"/>
        <v>0</v>
      </c>
      <c r="H19" s="96"/>
      <c r="I19" s="98">
        <f t="shared" si="1"/>
        <v>0</v>
      </c>
      <c r="J19" s="72"/>
    </row>
    <row r="20" spans="1:10" ht="30" customHeight="1" thickBot="1">
      <c r="A20" s="236" t="s">
        <v>18</v>
      </c>
      <c r="B20" s="247" t="s">
        <v>1076</v>
      </c>
      <c r="C20" s="96">
        <f>'OCT-18'!G874</f>
        <v>0</v>
      </c>
      <c r="D20" s="97">
        <v>0</v>
      </c>
      <c r="E20" s="97"/>
      <c r="F20" s="97">
        <f>'OCT-18'!K874</f>
        <v>0</v>
      </c>
      <c r="G20" s="98">
        <f t="shared" si="0"/>
        <v>0</v>
      </c>
      <c r="H20" s="96"/>
      <c r="I20" s="98">
        <f t="shared" si="1"/>
        <v>0</v>
      </c>
      <c r="J20" s="72"/>
    </row>
    <row r="21" spans="1:10" ht="24" thickBot="1">
      <c r="A21" s="110" t="s">
        <v>153</v>
      </c>
      <c r="B21" s="110"/>
      <c r="C21" s="111">
        <f>SUM(C4:C20)</f>
        <v>1026863.0099999999</v>
      </c>
      <c r="D21" s="111">
        <f>SUM(D4:D20)</f>
        <v>53128.81</v>
      </c>
      <c r="E21" s="111">
        <f>SUM(E4:E20)</f>
        <v>0</v>
      </c>
      <c r="F21" s="111">
        <f>SUM(F4:F20)</f>
        <v>53128.81</v>
      </c>
      <c r="G21" s="111">
        <f>G7+G11+G15+G17+G18+G20</f>
        <v>1026863.0099999999</v>
      </c>
      <c r="H21" s="111">
        <f>H7+H11+H15+H18</f>
        <v>246063.56</v>
      </c>
      <c r="I21" s="111">
        <f>I7+I11+I15+I17+I18+I20</f>
        <v>780799.45</v>
      </c>
      <c r="J21" s="72"/>
    </row>
    <row r="22" spans="1:10" ht="15.75" thickBot="1">
      <c r="A22" s="73" t="s">
        <v>154</v>
      </c>
      <c r="B22" s="74"/>
      <c r="C22" s="79">
        <f ca="1">TODAY()</f>
        <v>43586</v>
      </c>
      <c r="D22" s="80"/>
      <c r="E22" s="81">
        <f>D21-F21</f>
        <v>0</v>
      </c>
      <c r="F22" s="80"/>
      <c r="G22" s="80"/>
      <c r="H22" s="80"/>
      <c r="I22" s="80"/>
      <c r="J22" s="72"/>
    </row>
    <row r="23" spans="1:10" ht="24.75">
      <c r="A23" s="83"/>
      <c r="B23" s="84"/>
      <c r="C23" s="84"/>
      <c r="D23" s="84"/>
      <c r="E23" s="263">
        <f>9000+9000</f>
        <v>18000</v>
      </c>
      <c r="F23" s="80" t="s">
        <v>1033</v>
      </c>
      <c r="G23" s="80">
        <v>0</v>
      </c>
      <c r="H23" s="80"/>
    </row>
    <row r="24" spans="1:10">
      <c r="A24" s="83"/>
      <c r="B24" s="84"/>
      <c r="C24" s="84"/>
      <c r="D24" s="84"/>
      <c r="E24" s="264">
        <v>4500</v>
      </c>
      <c r="F24" s="80" t="s">
        <v>1032</v>
      </c>
      <c r="G24" s="80"/>
      <c r="H24" s="80"/>
    </row>
    <row r="25" spans="1:10">
      <c r="A25" s="83"/>
      <c r="B25" s="84"/>
      <c r="C25" s="84"/>
      <c r="D25" s="84"/>
      <c r="E25">
        <v>1.3</v>
      </c>
      <c r="F25" s="80" t="s">
        <v>1283</v>
      </c>
      <c r="G25" s="80"/>
      <c r="H25" s="80"/>
    </row>
    <row r="26" spans="1:10">
      <c r="A26" s="83"/>
      <c r="B26" s="84"/>
      <c r="C26" s="84"/>
      <c r="D26" s="84"/>
    </row>
  </sheetData>
  <mergeCells count="2">
    <mergeCell ref="A1:J1"/>
    <mergeCell ref="A2:I2"/>
  </mergeCells>
  <pageMargins left="0.19685039370078741" right="0.19685039370078741" top="0.35433070866141736" bottom="0.31496062992125984" header="0.31496062992125984" footer="0.31496062992125984"/>
  <pageSetup paperSize="5" scale="82" orientation="landscape" horizontalDpi="4294967293" vertic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P907"/>
  <sheetViews>
    <sheetView topLeftCell="A894" zoomScale="86" zoomScaleNormal="86" workbookViewId="0">
      <selection activeCell="C6" sqref="C6"/>
    </sheetView>
  </sheetViews>
  <sheetFormatPr baseColWidth="10" defaultRowHeight="15"/>
  <cols>
    <col min="1" max="1" width="9" customWidth="1"/>
    <col min="2" max="2" width="62" customWidth="1"/>
    <col min="3" max="3" width="18.7109375" customWidth="1"/>
    <col min="4" max="4" width="10.28515625" customWidth="1"/>
    <col min="5" max="5" width="10.85546875" customWidth="1"/>
    <col min="6" max="6" width="15.42578125" customWidth="1"/>
    <col min="7" max="7" width="15.7109375" customWidth="1"/>
    <col min="8" max="8" width="14.42578125" customWidth="1"/>
    <col min="9" max="9" width="17" customWidth="1"/>
    <col min="10" max="10" width="13.42578125" customWidth="1"/>
    <col min="11" max="11" width="14.7109375" customWidth="1"/>
  </cols>
  <sheetData>
    <row r="1" spans="1:11" ht="36.75">
      <c r="A1" s="15"/>
      <c r="B1" s="467" t="s">
        <v>33</v>
      </c>
      <c r="C1" s="467"/>
      <c r="D1" s="467"/>
      <c r="E1" s="467"/>
      <c r="F1" s="467"/>
      <c r="G1" s="467"/>
      <c r="H1" s="467"/>
      <c r="I1" s="467"/>
      <c r="J1" s="467"/>
      <c r="K1" s="467"/>
    </row>
    <row r="2" spans="1:11" ht="63" customHeight="1">
      <c r="A2" s="16"/>
      <c r="B2" s="470" t="s">
        <v>1281</v>
      </c>
      <c r="C2" s="470"/>
      <c r="D2" s="470"/>
      <c r="E2" s="470"/>
      <c r="F2" s="470"/>
      <c r="G2" s="470"/>
      <c r="H2" s="470"/>
      <c r="I2" s="470"/>
      <c r="J2" s="470"/>
      <c r="K2" s="470"/>
    </row>
    <row r="3" spans="1:11" ht="53.25" customHeight="1">
      <c r="A3" s="41" t="s">
        <v>8</v>
      </c>
      <c r="B3" s="41" t="s">
        <v>34</v>
      </c>
      <c r="C3" s="41" t="s">
        <v>35</v>
      </c>
      <c r="D3" s="41" t="s">
        <v>36</v>
      </c>
      <c r="E3" s="41" t="s">
        <v>37</v>
      </c>
      <c r="F3" s="41" t="s">
        <v>38</v>
      </c>
      <c r="G3" s="42" t="s">
        <v>39</v>
      </c>
      <c r="H3" s="42" t="s">
        <v>1267</v>
      </c>
      <c r="I3" s="42" t="s">
        <v>1268</v>
      </c>
      <c r="J3" s="42" t="s">
        <v>40</v>
      </c>
      <c r="K3" s="42" t="s">
        <v>41</v>
      </c>
    </row>
    <row r="4" spans="1:11" ht="41.25" customHeight="1">
      <c r="A4" s="308">
        <v>51101</v>
      </c>
      <c r="B4" s="306" t="s">
        <v>1110</v>
      </c>
      <c r="C4" s="304"/>
      <c r="D4" s="3" t="s">
        <v>42</v>
      </c>
      <c r="E4" s="3" t="s">
        <v>29</v>
      </c>
      <c r="F4" s="3" t="s">
        <v>43</v>
      </c>
      <c r="G4" s="305">
        <f>'DIC-18'!I4</f>
        <v>51.989999999999782</v>
      </c>
      <c r="H4" s="341"/>
      <c r="I4" s="17">
        <f>G4-H4+J4-K4</f>
        <v>51.989999999999782</v>
      </c>
      <c r="J4" s="342"/>
      <c r="K4" s="394"/>
    </row>
    <row r="5" spans="1:11">
      <c r="A5" s="4">
        <v>51103</v>
      </c>
      <c r="B5" s="7" t="s">
        <v>164</v>
      </c>
      <c r="C5" s="2"/>
      <c r="D5" s="3" t="s">
        <v>42</v>
      </c>
      <c r="E5" s="3" t="s">
        <v>29</v>
      </c>
      <c r="F5" s="3" t="s">
        <v>43</v>
      </c>
      <c r="G5" s="305">
        <f>'DIC-18'!I5</f>
        <v>0</v>
      </c>
      <c r="H5" s="51"/>
      <c r="I5" s="17">
        <f>G5-H5+J5-K5</f>
        <v>0</v>
      </c>
      <c r="J5" s="18"/>
      <c r="K5" s="18"/>
    </row>
    <row r="6" spans="1:11">
      <c r="A6" s="4">
        <v>51105</v>
      </c>
      <c r="B6" s="7" t="s">
        <v>125</v>
      </c>
      <c r="C6" s="2"/>
      <c r="D6" s="3" t="s">
        <v>42</v>
      </c>
      <c r="E6" s="3" t="s">
        <v>29</v>
      </c>
      <c r="F6" s="3" t="s">
        <v>43</v>
      </c>
      <c r="G6" s="305">
        <f>'DIC-18'!I6</f>
        <v>343.20000000000164</v>
      </c>
      <c r="H6" s="372"/>
      <c r="I6" s="17">
        <f>G6-H6+J6-K6</f>
        <v>343.20000000000164</v>
      </c>
      <c r="J6" s="18"/>
      <c r="K6" s="18"/>
    </row>
    <row r="7" spans="1:11">
      <c r="A7" s="4">
        <v>51107</v>
      </c>
      <c r="B7" s="7" t="s">
        <v>167</v>
      </c>
      <c r="C7" s="2"/>
      <c r="D7" s="3" t="s">
        <v>42</v>
      </c>
      <c r="E7" s="3" t="s">
        <v>29</v>
      </c>
      <c r="F7" s="3" t="s">
        <v>43</v>
      </c>
      <c r="G7" s="305">
        <f>'DIC-18'!I7</f>
        <v>613.67000000000007</v>
      </c>
      <c r="H7" s="51"/>
      <c r="I7" s="416">
        <f t="shared" ref="I7:I71" si="0">G7-H7+J7-K7</f>
        <v>613.67000000000007</v>
      </c>
      <c r="J7" s="18"/>
      <c r="K7" s="18"/>
    </row>
    <row r="8" spans="1:11">
      <c r="A8" s="4">
        <v>51201</v>
      </c>
      <c r="B8" s="7" t="s">
        <v>44</v>
      </c>
      <c r="C8" s="2"/>
      <c r="D8" s="3" t="s">
        <v>42</v>
      </c>
      <c r="E8" s="3" t="s">
        <v>29</v>
      </c>
      <c r="F8" s="3" t="s">
        <v>43</v>
      </c>
      <c r="G8" s="305">
        <f>'DIC-18'!I8</f>
        <v>938.02</v>
      </c>
      <c r="H8" s="369"/>
      <c r="I8" s="17">
        <f t="shared" si="0"/>
        <v>938.02</v>
      </c>
      <c r="J8" s="23"/>
      <c r="K8" s="18"/>
    </row>
    <row r="9" spans="1:11" ht="36.75" customHeight="1">
      <c r="A9" s="4">
        <v>51401</v>
      </c>
      <c r="B9" s="5" t="s">
        <v>128</v>
      </c>
      <c r="C9" s="2"/>
      <c r="D9" s="3" t="s">
        <v>42</v>
      </c>
      <c r="E9" s="3" t="s">
        <v>29</v>
      </c>
      <c r="F9" s="3" t="s">
        <v>43</v>
      </c>
      <c r="G9" s="305">
        <f>'DIC-18'!I9</f>
        <v>358.02999999999986</v>
      </c>
      <c r="H9" s="108"/>
      <c r="I9" s="17">
        <f t="shared" si="0"/>
        <v>358.02999999999986</v>
      </c>
      <c r="J9" s="20"/>
      <c r="K9" s="18"/>
    </row>
    <row r="10" spans="1:11" ht="42" customHeight="1">
      <c r="A10" s="4">
        <v>51501</v>
      </c>
      <c r="B10" s="5" t="s">
        <v>168</v>
      </c>
      <c r="C10" s="47"/>
      <c r="D10" s="3" t="s">
        <v>42</v>
      </c>
      <c r="E10" s="3" t="s">
        <v>29</v>
      </c>
      <c r="F10" s="3" t="s">
        <v>43</v>
      </c>
      <c r="G10" s="305">
        <f>'DIC-18'!I10</f>
        <v>329.7800000000002</v>
      </c>
      <c r="H10" s="51"/>
      <c r="I10" s="17">
        <f t="shared" si="0"/>
        <v>329.7800000000002</v>
      </c>
      <c r="J10" s="21"/>
      <c r="K10" s="18"/>
    </row>
    <row r="11" spans="1:11" ht="25.5">
      <c r="A11" s="4">
        <v>51701</v>
      </c>
      <c r="B11" s="7" t="s">
        <v>126</v>
      </c>
      <c r="C11" s="2"/>
      <c r="D11" s="3" t="s">
        <v>42</v>
      </c>
      <c r="E11" s="3" t="s">
        <v>29</v>
      </c>
      <c r="F11" s="3" t="s">
        <v>43</v>
      </c>
      <c r="G11" s="305">
        <f>'DIC-18'!I11</f>
        <v>146.81000000000677</v>
      </c>
      <c r="H11" s="51"/>
      <c r="I11" s="17">
        <f t="shared" si="0"/>
        <v>146.81000000000677</v>
      </c>
      <c r="J11" s="22"/>
      <c r="K11" s="18"/>
    </row>
    <row r="12" spans="1:11" ht="25.5">
      <c r="A12" s="4">
        <v>51601</v>
      </c>
      <c r="B12" s="7" t="s">
        <v>129</v>
      </c>
      <c r="C12" s="2"/>
      <c r="D12" s="3" t="s">
        <v>42</v>
      </c>
      <c r="E12" s="3" t="s">
        <v>29</v>
      </c>
      <c r="F12" s="3" t="s">
        <v>43</v>
      </c>
      <c r="G12" s="305">
        <f>'DIC-18'!I12</f>
        <v>0</v>
      </c>
      <c r="H12" s="51"/>
      <c r="I12" s="17">
        <f t="shared" si="0"/>
        <v>0</v>
      </c>
      <c r="J12" s="21"/>
      <c r="K12" s="18"/>
    </row>
    <row r="13" spans="1:11">
      <c r="A13" s="4">
        <v>51602</v>
      </c>
      <c r="B13" s="2" t="s">
        <v>46</v>
      </c>
      <c r="C13" s="2"/>
      <c r="D13" s="3" t="s">
        <v>42</v>
      </c>
      <c r="E13" s="3" t="s">
        <v>29</v>
      </c>
      <c r="F13" s="3" t="s">
        <v>43</v>
      </c>
      <c r="G13" s="305">
        <f>'DIC-18'!I13</f>
        <v>1</v>
      </c>
      <c r="H13" s="51"/>
      <c r="I13" s="17">
        <f t="shared" si="0"/>
        <v>1</v>
      </c>
      <c r="J13" s="20"/>
      <c r="K13" s="18"/>
    </row>
    <row r="14" spans="1:11">
      <c r="A14" s="4">
        <v>51999</v>
      </c>
      <c r="B14" s="2" t="s">
        <v>47</v>
      </c>
      <c r="C14" s="2"/>
      <c r="D14" s="3" t="s">
        <v>42</v>
      </c>
      <c r="E14" s="3" t="s">
        <v>29</v>
      </c>
      <c r="F14" s="3" t="s">
        <v>43</v>
      </c>
      <c r="G14" s="305">
        <f>'DIC-18'!I14</f>
        <v>158.56000000000063</v>
      </c>
      <c r="H14" s="51"/>
      <c r="I14" s="17">
        <f t="shared" si="0"/>
        <v>158.56000000000063</v>
      </c>
      <c r="J14" s="405"/>
      <c r="K14" s="18"/>
    </row>
    <row r="15" spans="1:11" ht="45" customHeight="1">
      <c r="A15" s="4">
        <v>54101</v>
      </c>
      <c r="B15" s="5" t="s">
        <v>48</v>
      </c>
      <c r="C15" s="2"/>
      <c r="D15" s="3" t="s">
        <v>42</v>
      </c>
      <c r="E15" s="3" t="s">
        <v>29</v>
      </c>
      <c r="F15" s="3" t="s">
        <v>43</v>
      </c>
      <c r="G15" s="305">
        <f>'DIC-18'!I15</f>
        <v>3890.58</v>
      </c>
      <c r="H15" s="108"/>
      <c r="I15" s="17">
        <f t="shared" si="0"/>
        <v>3890.58</v>
      </c>
      <c r="J15" s="315"/>
      <c r="K15" s="18"/>
    </row>
    <row r="16" spans="1:11" ht="26.25">
      <c r="A16" s="4">
        <v>54104</v>
      </c>
      <c r="B16" s="5" t="s">
        <v>130</v>
      </c>
      <c r="C16" s="2"/>
      <c r="D16" s="3" t="s">
        <v>42</v>
      </c>
      <c r="E16" s="3" t="s">
        <v>29</v>
      </c>
      <c r="F16" s="3" t="s">
        <v>43</v>
      </c>
      <c r="G16" s="305">
        <f>'DIC-18'!I16</f>
        <v>195.09999999999991</v>
      </c>
      <c r="H16" s="51"/>
      <c r="I16" s="17">
        <f t="shared" si="0"/>
        <v>195.09999999999991</v>
      </c>
      <c r="J16" s="21"/>
      <c r="K16" s="18"/>
    </row>
    <row r="17" spans="1:11">
      <c r="A17" s="4">
        <v>54105</v>
      </c>
      <c r="B17" s="2" t="s">
        <v>49</v>
      </c>
      <c r="C17" s="2"/>
      <c r="D17" s="3" t="s">
        <v>42</v>
      </c>
      <c r="E17" s="3" t="s">
        <v>29</v>
      </c>
      <c r="F17" s="3" t="s">
        <v>43</v>
      </c>
      <c r="G17" s="305">
        <f>'DIC-18'!I17</f>
        <v>17.699999999999989</v>
      </c>
      <c r="H17" s="51"/>
      <c r="I17" s="17">
        <f t="shared" si="0"/>
        <v>17.699999999999989</v>
      </c>
      <c r="J17" s="20"/>
      <c r="K17" s="18"/>
    </row>
    <row r="18" spans="1:11">
      <c r="A18" s="4">
        <v>54107</v>
      </c>
      <c r="B18" s="2" t="s">
        <v>50</v>
      </c>
      <c r="C18" s="2"/>
      <c r="D18" s="3" t="s">
        <v>42</v>
      </c>
      <c r="E18" s="3" t="s">
        <v>29</v>
      </c>
      <c r="F18" s="3" t="s">
        <v>43</v>
      </c>
      <c r="G18" s="305">
        <f>'DIC-18'!I18</f>
        <v>7</v>
      </c>
      <c r="H18" s="51"/>
      <c r="I18" s="17">
        <f t="shared" si="0"/>
        <v>7</v>
      </c>
      <c r="J18" s="22"/>
      <c r="K18" s="18"/>
    </row>
    <row r="19" spans="1:11">
      <c r="A19" s="4">
        <v>54108</v>
      </c>
      <c r="B19" s="2" t="s">
        <v>51</v>
      </c>
      <c r="C19" s="2"/>
      <c r="D19" s="3" t="s">
        <v>42</v>
      </c>
      <c r="E19" s="3" t="s">
        <v>29</v>
      </c>
      <c r="F19" s="3" t="s">
        <v>43</v>
      </c>
      <c r="G19" s="305">
        <f>'DIC-18'!I19</f>
        <v>0</v>
      </c>
      <c r="H19" s="51"/>
      <c r="I19" s="17">
        <f t="shared" si="0"/>
        <v>0</v>
      </c>
      <c r="J19" s="20"/>
      <c r="K19" s="18"/>
    </row>
    <row r="20" spans="1:11">
      <c r="A20" s="4">
        <v>54109</v>
      </c>
      <c r="B20" s="2" t="s">
        <v>131</v>
      </c>
      <c r="C20" s="2"/>
      <c r="D20" s="3" t="s">
        <v>42</v>
      </c>
      <c r="E20" s="3" t="s">
        <v>29</v>
      </c>
      <c r="F20" s="3" t="s">
        <v>43</v>
      </c>
      <c r="G20" s="305">
        <f>'DIC-18'!I20</f>
        <v>0</v>
      </c>
      <c r="H20" s="51"/>
      <c r="I20" s="17">
        <f t="shared" si="0"/>
        <v>0</v>
      </c>
      <c r="J20" s="20"/>
      <c r="K20" s="18"/>
    </row>
    <row r="21" spans="1:11">
      <c r="A21" s="4">
        <v>54110</v>
      </c>
      <c r="B21" s="2" t="s">
        <v>132</v>
      </c>
      <c r="C21" s="2"/>
      <c r="D21" s="3" t="s">
        <v>42</v>
      </c>
      <c r="E21" s="3" t="s">
        <v>29</v>
      </c>
      <c r="F21" s="3" t="s">
        <v>43</v>
      </c>
      <c r="G21" s="305">
        <f>'DIC-18'!I21</f>
        <v>4987.6400000000012</v>
      </c>
      <c r="H21" s="51"/>
      <c r="I21" s="17">
        <f t="shared" si="0"/>
        <v>4987.6400000000012</v>
      </c>
      <c r="J21" s="24"/>
      <c r="K21" s="18"/>
    </row>
    <row r="22" spans="1:11" ht="30.75" customHeight="1">
      <c r="A22" s="4">
        <v>54111</v>
      </c>
      <c r="B22" s="5" t="s">
        <v>54</v>
      </c>
      <c r="C22" s="2"/>
      <c r="D22" s="3" t="s">
        <v>42</v>
      </c>
      <c r="E22" s="3" t="s">
        <v>29</v>
      </c>
      <c r="F22" s="3" t="s">
        <v>43</v>
      </c>
      <c r="G22" s="305">
        <f>'DIC-18'!I22</f>
        <v>343.55000000000018</v>
      </c>
      <c r="H22" s="51"/>
      <c r="I22" s="416">
        <f t="shared" si="0"/>
        <v>343.55000000000018</v>
      </c>
      <c r="J22" s="23"/>
      <c r="K22" s="18"/>
    </row>
    <row r="23" spans="1:11" ht="42.75" customHeight="1">
      <c r="A23" s="4">
        <v>54112</v>
      </c>
      <c r="B23" s="5" t="s">
        <v>55</v>
      </c>
      <c r="C23" s="2"/>
      <c r="D23" s="3" t="s">
        <v>42</v>
      </c>
      <c r="E23" s="3" t="s">
        <v>29</v>
      </c>
      <c r="F23" s="3" t="s">
        <v>43</v>
      </c>
      <c r="G23" s="305">
        <f>'DIC-18'!I23</f>
        <v>500</v>
      </c>
      <c r="H23" s="51"/>
      <c r="I23" s="17">
        <f t="shared" si="0"/>
        <v>500</v>
      </c>
      <c r="J23" s="21"/>
      <c r="K23" s="18"/>
    </row>
    <row r="24" spans="1:11">
      <c r="A24" s="4">
        <v>54114</v>
      </c>
      <c r="B24" s="2" t="s">
        <v>56</v>
      </c>
      <c r="C24" s="2"/>
      <c r="D24" s="3" t="s">
        <v>42</v>
      </c>
      <c r="E24" s="3" t="s">
        <v>29</v>
      </c>
      <c r="F24" s="3" t="s">
        <v>43</v>
      </c>
      <c r="G24" s="305">
        <f>'DIC-18'!I24</f>
        <v>352.05999999999995</v>
      </c>
      <c r="H24" s="51"/>
      <c r="I24" s="17">
        <f t="shared" si="0"/>
        <v>352.05999999999995</v>
      </c>
      <c r="J24" s="20"/>
      <c r="K24" s="18"/>
    </row>
    <row r="25" spans="1:11">
      <c r="A25" s="4">
        <v>54115</v>
      </c>
      <c r="B25" s="2" t="s">
        <v>57</v>
      </c>
      <c r="C25" s="2"/>
      <c r="D25" s="3" t="s">
        <v>42</v>
      </c>
      <c r="E25" s="3" t="s">
        <v>29</v>
      </c>
      <c r="F25" s="3" t="s">
        <v>43</v>
      </c>
      <c r="G25" s="305">
        <f>'DIC-18'!I25</f>
        <v>87.019999999999982</v>
      </c>
      <c r="H25" s="51"/>
      <c r="I25" s="17">
        <f t="shared" si="0"/>
        <v>87.019999999999982</v>
      </c>
      <c r="J25" s="20"/>
      <c r="K25" s="18"/>
    </row>
    <row r="26" spans="1:11" ht="30">
      <c r="A26" s="4">
        <v>54116</v>
      </c>
      <c r="B26" s="5" t="s">
        <v>58</v>
      </c>
      <c r="C26" s="2"/>
      <c r="D26" s="3" t="s">
        <v>42</v>
      </c>
      <c r="E26" s="3" t="s">
        <v>29</v>
      </c>
      <c r="F26" s="3" t="s">
        <v>43</v>
      </c>
      <c r="G26" s="305">
        <f>'DIC-18'!I26</f>
        <v>160</v>
      </c>
      <c r="H26" s="51"/>
      <c r="I26" s="17">
        <f t="shared" si="0"/>
        <v>160</v>
      </c>
      <c r="J26" s="20"/>
      <c r="K26" s="18"/>
    </row>
    <row r="27" spans="1:11">
      <c r="A27" s="4">
        <v>54117</v>
      </c>
      <c r="B27" s="25" t="s">
        <v>12</v>
      </c>
      <c r="C27" s="25"/>
      <c r="D27" s="3" t="s">
        <v>42</v>
      </c>
      <c r="E27" s="3" t="s">
        <v>29</v>
      </c>
      <c r="F27" s="3" t="s">
        <v>43</v>
      </c>
      <c r="G27" s="305">
        <f>'DIC-18'!I27</f>
        <v>0</v>
      </c>
      <c r="H27" s="51"/>
      <c r="I27" s="17">
        <f t="shared" si="0"/>
        <v>0</v>
      </c>
      <c r="J27" s="20"/>
      <c r="K27" s="18"/>
    </row>
    <row r="28" spans="1:11">
      <c r="A28" s="4">
        <v>54118</v>
      </c>
      <c r="B28" s="2" t="s">
        <v>59</v>
      </c>
      <c r="C28" s="2"/>
      <c r="D28" s="3" t="s">
        <v>42</v>
      </c>
      <c r="E28" s="3" t="s">
        <v>29</v>
      </c>
      <c r="F28" s="3" t="s">
        <v>43</v>
      </c>
      <c r="G28" s="305">
        <f>'DIC-18'!I28</f>
        <v>62</v>
      </c>
      <c r="H28" s="51"/>
      <c r="I28" s="17">
        <f t="shared" si="0"/>
        <v>62</v>
      </c>
      <c r="J28" s="23"/>
      <c r="K28" s="18"/>
    </row>
    <row r="29" spans="1:11">
      <c r="A29" s="4">
        <v>54119</v>
      </c>
      <c r="B29" s="2" t="s">
        <v>60</v>
      </c>
      <c r="C29" s="2"/>
      <c r="D29" s="3" t="s">
        <v>42</v>
      </c>
      <c r="E29" s="3" t="s">
        <v>29</v>
      </c>
      <c r="F29" s="3" t="s">
        <v>43</v>
      </c>
      <c r="G29" s="305">
        <f>'DIC-18'!I29</f>
        <v>0</v>
      </c>
      <c r="H29" s="51"/>
      <c r="I29" s="17">
        <f t="shared" si="0"/>
        <v>0</v>
      </c>
      <c r="J29" s="21"/>
      <c r="K29" s="18"/>
    </row>
    <row r="30" spans="1:11">
      <c r="A30" s="4">
        <v>54199</v>
      </c>
      <c r="B30" s="2" t="s">
        <v>61</v>
      </c>
      <c r="C30" s="2"/>
      <c r="D30" s="3" t="s">
        <v>42</v>
      </c>
      <c r="E30" s="3" t="s">
        <v>29</v>
      </c>
      <c r="F30" s="3" t="s">
        <v>43</v>
      </c>
      <c r="G30" s="305">
        <f>'DIC-18'!I30</f>
        <v>972.95000000000016</v>
      </c>
      <c r="H30" s="108"/>
      <c r="I30" s="17">
        <f t="shared" si="0"/>
        <v>972.95000000000016</v>
      </c>
      <c r="J30" s="21"/>
      <c r="K30" s="18"/>
    </row>
    <row r="31" spans="1:11">
      <c r="A31" s="4">
        <v>54201</v>
      </c>
      <c r="B31" s="2" t="s">
        <v>62</v>
      </c>
      <c r="C31" s="2"/>
      <c r="D31" s="3" t="s">
        <v>42</v>
      </c>
      <c r="E31" s="3" t="s">
        <v>29</v>
      </c>
      <c r="F31" s="3" t="s">
        <v>43</v>
      </c>
      <c r="G31" s="305">
        <f>'DIC-18'!I31</f>
        <v>1483.3400000000011</v>
      </c>
      <c r="H31" s="51"/>
      <c r="I31" s="17">
        <f t="shared" si="0"/>
        <v>1483.3400000000011</v>
      </c>
      <c r="J31" s="20"/>
      <c r="K31" s="18"/>
    </row>
    <row r="32" spans="1:11">
      <c r="A32" s="4">
        <v>54202</v>
      </c>
      <c r="B32" s="2" t="s">
        <v>63</v>
      </c>
      <c r="C32" s="2"/>
      <c r="D32" s="3" t="s">
        <v>42</v>
      </c>
      <c r="E32" s="3" t="s">
        <v>29</v>
      </c>
      <c r="F32" s="3" t="s">
        <v>43</v>
      </c>
      <c r="G32" s="305">
        <f>'DIC-18'!I32</f>
        <v>763.80000000000018</v>
      </c>
      <c r="H32" s="51"/>
      <c r="I32" s="17">
        <f t="shared" si="0"/>
        <v>763.80000000000018</v>
      </c>
      <c r="J32" s="20"/>
      <c r="K32" s="18"/>
    </row>
    <row r="33" spans="1:11" ht="26.25">
      <c r="A33" s="4">
        <v>54203</v>
      </c>
      <c r="B33" s="5" t="s">
        <v>133</v>
      </c>
      <c r="C33" s="2"/>
      <c r="D33" s="3" t="s">
        <v>42</v>
      </c>
      <c r="E33" s="3" t="s">
        <v>29</v>
      </c>
      <c r="F33" s="3" t="s">
        <v>43</v>
      </c>
      <c r="G33" s="305">
        <f>'DIC-18'!I33</f>
        <v>1713.6</v>
      </c>
      <c r="H33" s="51"/>
      <c r="I33" s="17">
        <f t="shared" si="0"/>
        <v>1713.6</v>
      </c>
      <c r="J33" s="20"/>
      <c r="K33" s="21"/>
    </row>
    <row r="34" spans="1:11">
      <c r="A34" s="4">
        <v>54204</v>
      </c>
      <c r="B34" s="2" t="s">
        <v>65</v>
      </c>
      <c r="C34" s="2"/>
      <c r="D34" s="3" t="s">
        <v>42</v>
      </c>
      <c r="E34" s="3" t="s">
        <v>29</v>
      </c>
      <c r="F34" s="3" t="s">
        <v>43</v>
      </c>
      <c r="G34" s="305">
        <f>'DIC-18'!I34</f>
        <v>0</v>
      </c>
      <c r="H34" s="51"/>
      <c r="I34" s="17">
        <f t="shared" si="0"/>
        <v>0</v>
      </c>
      <c r="J34" s="20"/>
      <c r="K34" s="18"/>
    </row>
    <row r="35" spans="1:11">
      <c r="A35" s="4">
        <v>54301</v>
      </c>
      <c r="B35" s="2" t="s">
        <v>66</v>
      </c>
      <c r="C35" s="2"/>
      <c r="D35" s="3" t="s">
        <v>42</v>
      </c>
      <c r="E35" s="3" t="s">
        <v>29</v>
      </c>
      <c r="F35" s="3" t="s">
        <v>43</v>
      </c>
      <c r="G35" s="305">
        <f>'DIC-18'!I35</f>
        <v>0</v>
      </c>
      <c r="H35" s="51"/>
      <c r="I35" s="17">
        <f t="shared" si="0"/>
        <v>0</v>
      </c>
      <c r="J35" s="21"/>
      <c r="K35" s="18"/>
    </row>
    <row r="36" spans="1:11">
      <c r="A36" s="4">
        <v>54302</v>
      </c>
      <c r="B36" s="2" t="s">
        <v>67</v>
      </c>
      <c r="C36" s="2"/>
      <c r="D36" s="3" t="s">
        <v>42</v>
      </c>
      <c r="E36" s="3" t="s">
        <v>29</v>
      </c>
      <c r="F36" s="3" t="s">
        <v>43</v>
      </c>
      <c r="G36" s="305">
        <f>'DIC-18'!I36</f>
        <v>0</v>
      </c>
      <c r="H36" s="51"/>
      <c r="I36" s="17">
        <f t="shared" si="0"/>
        <v>0</v>
      </c>
      <c r="J36" s="20"/>
      <c r="K36" s="18"/>
    </row>
    <row r="37" spans="1:11">
      <c r="A37" s="4">
        <v>54303</v>
      </c>
      <c r="B37" s="2" t="s">
        <v>68</v>
      </c>
      <c r="C37" s="2"/>
      <c r="D37" s="3" t="s">
        <v>42</v>
      </c>
      <c r="E37" s="3" t="s">
        <v>29</v>
      </c>
      <c r="F37" s="3" t="s">
        <v>43</v>
      </c>
      <c r="G37" s="305">
        <f>'DIC-18'!I37</f>
        <v>0</v>
      </c>
      <c r="H37" s="51"/>
      <c r="I37" s="17">
        <f t="shared" si="0"/>
        <v>0</v>
      </c>
      <c r="J37" s="20"/>
      <c r="K37" s="18"/>
    </row>
    <row r="38" spans="1:11">
      <c r="A38" s="4">
        <v>54304</v>
      </c>
      <c r="B38" s="2" t="s">
        <v>69</v>
      </c>
      <c r="C38" s="2"/>
      <c r="D38" s="3" t="s">
        <v>42</v>
      </c>
      <c r="E38" s="3" t="s">
        <v>29</v>
      </c>
      <c r="F38" s="3" t="s">
        <v>43</v>
      </c>
      <c r="G38" s="305">
        <f>'DIC-18'!I38</f>
        <v>777.49000000000012</v>
      </c>
      <c r="H38" s="51"/>
      <c r="I38" s="18">
        <f t="shared" si="0"/>
        <v>777.49000000000012</v>
      </c>
      <c r="J38" s="18"/>
      <c r="K38" s="21"/>
    </row>
    <row r="39" spans="1:11">
      <c r="A39" s="4">
        <v>54305</v>
      </c>
      <c r="B39" s="2" t="s">
        <v>70</v>
      </c>
      <c r="C39" s="2"/>
      <c r="D39" s="3" t="s">
        <v>42</v>
      </c>
      <c r="E39" s="3" t="s">
        <v>29</v>
      </c>
      <c r="F39" s="3" t="s">
        <v>43</v>
      </c>
      <c r="G39" s="305">
        <f>'DIC-18'!I39</f>
        <v>168</v>
      </c>
      <c r="H39" s="51"/>
      <c r="I39" s="17">
        <f t="shared" si="0"/>
        <v>168</v>
      </c>
      <c r="J39" s="21"/>
      <c r="K39" s="18"/>
    </row>
    <row r="40" spans="1:11">
      <c r="A40" s="4">
        <v>54313</v>
      </c>
      <c r="B40" s="2" t="s">
        <v>71</v>
      </c>
      <c r="C40" s="2"/>
      <c r="D40" s="3" t="s">
        <v>42</v>
      </c>
      <c r="E40" s="3" t="s">
        <v>29</v>
      </c>
      <c r="F40" s="3" t="s">
        <v>43</v>
      </c>
      <c r="G40" s="305">
        <f>'DIC-18'!I40</f>
        <v>21.560000000000073</v>
      </c>
      <c r="H40" s="51"/>
      <c r="I40" s="17">
        <f t="shared" si="0"/>
        <v>21.560000000000073</v>
      </c>
      <c r="J40" s="18"/>
      <c r="K40" s="21"/>
    </row>
    <row r="41" spans="1:11">
      <c r="A41" s="4">
        <v>54316</v>
      </c>
      <c r="B41" s="2" t="s">
        <v>72</v>
      </c>
      <c r="C41" s="2"/>
      <c r="D41" s="3" t="s">
        <v>42</v>
      </c>
      <c r="E41" s="3" t="s">
        <v>29</v>
      </c>
      <c r="F41" s="3" t="s">
        <v>43</v>
      </c>
      <c r="G41" s="305">
        <f>'DIC-18'!I41</f>
        <v>161</v>
      </c>
      <c r="H41" s="51"/>
      <c r="I41" s="17">
        <f t="shared" si="0"/>
        <v>161</v>
      </c>
      <c r="J41" s="336"/>
      <c r="K41" s="18"/>
    </row>
    <row r="42" spans="1:11">
      <c r="A42" s="4">
        <v>54317</v>
      </c>
      <c r="B42" s="2" t="s">
        <v>73</v>
      </c>
      <c r="C42" s="2"/>
      <c r="D42" s="3" t="s">
        <v>42</v>
      </c>
      <c r="E42" s="3" t="s">
        <v>29</v>
      </c>
      <c r="F42" s="3" t="s">
        <v>43</v>
      </c>
      <c r="G42" s="305">
        <f>'DIC-18'!I42</f>
        <v>335</v>
      </c>
      <c r="H42" s="51"/>
      <c r="I42" s="18">
        <f t="shared" si="0"/>
        <v>335</v>
      </c>
      <c r="J42" s="336"/>
      <c r="K42" s="18"/>
    </row>
    <row r="43" spans="1:11">
      <c r="A43" s="4">
        <v>54399</v>
      </c>
      <c r="B43" s="2" t="s">
        <v>74</v>
      </c>
      <c r="C43" s="2"/>
      <c r="D43" s="3" t="s">
        <v>42</v>
      </c>
      <c r="E43" s="3" t="s">
        <v>29</v>
      </c>
      <c r="F43" s="3" t="s">
        <v>43</v>
      </c>
      <c r="G43" s="305">
        <f>'DIC-18'!I43</f>
        <v>141.68</v>
      </c>
      <c r="H43" s="51"/>
      <c r="I43" s="17">
        <f t="shared" si="0"/>
        <v>141.68</v>
      </c>
      <c r="J43" s="18"/>
      <c r="K43" s="21"/>
    </row>
    <row r="44" spans="1:11">
      <c r="A44" s="4">
        <v>54401</v>
      </c>
      <c r="B44" s="2" t="s">
        <v>75</v>
      </c>
      <c r="C44" s="2"/>
      <c r="D44" s="3" t="s">
        <v>42</v>
      </c>
      <c r="E44" s="3" t="s">
        <v>29</v>
      </c>
      <c r="F44" s="3" t="s">
        <v>43</v>
      </c>
      <c r="G44" s="305">
        <f>'DIC-18'!I44</f>
        <v>0</v>
      </c>
      <c r="H44" s="51"/>
      <c r="I44" s="17">
        <f t="shared" si="0"/>
        <v>0</v>
      </c>
      <c r="J44" s="20"/>
      <c r="K44" s="18"/>
    </row>
    <row r="45" spans="1:11">
      <c r="A45" s="4">
        <v>54403</v>
      </c>
      <c r="B45" s="2" t="s">
        <v>76</v>
      </c>
      <c r="C45" s="2"/>
      <c r="D45" s="3" t="s">
        <v>42</v>
      </c>
      <c r="E45" s="3" t="s">
        <v>29</v>
      </c>
      <c r="F45" s="3" t="s">
        <v>43</v>
      </c>
      <c r="G45" s="305">
        <f>'DIC-18'!I45</f>
        <v>300</v>
      </c>
      <c r="H45" s="51"/>
      <c r="I45" s="17">
        <f t="shared" si="0"/>
        <v>300</v>
      </c>
      <c r="J45" s="20"/>
      <c r="K45" s="18"/>
    </row>
    <row r="46" spans="1:11">
      <c r="A46" s="4">
        <v>54501</v>
      </c>
      <c r="B46" s="2" t="s">
        <v>77</v>
      </c>
      <c r="C46" s="2"/>
      <c r="D46" s="3" t="s">
        <v>42</v>
      </c>
      <c r="E46" s="3" t="s">
        <v>29</v>
      </c>
      <c r="F46" s="3" t="s">
        <v>43</v>
      </c>
      <c r="G46" s="305">
        <f>'DIC-18'!I46</f>
        <v>2300</v>
      </c>
      <c r="H46" s="51"/>
      <c r="I46" s="17">
        <f t="shared" si="0"/>
        <v>2300</v>
      </c>
      <c r="J46" s="18"/>
      <c r="K46" s="22"/>
    </row>
    <row r="47" spans="1:11">
      <c r="A47" s="4">
        <v>54503</v>
      </c>
      <c r="B47" s="2" t="s">
        <v>78</v>
      </c>
      <c r="C47" s="2"/>
      <c r="D47" s="3" t="s">
        <v>42</v>
      </c>
      <c r="E47" s="3" t="s">
        <v>29</v>
      </c>
      <c r="F47" s="3" t="s">
        <v>43</v>
      </c>
      <c r="G47" s="305">
        <f>'DIC-18'!I47</f>
        <v>452.5</v>
      </c>
      <c r="H47" s="51"/>
      <c r="I47" s="17">
        <f t="shared" si="0"/>
        <v>452.5</v>
      </c>
      <c r="J47" s="18"/>
      <c r="K47" s="18"/>
    </row>
    <row r="48" spans="1:11">
      <c r="A48" s="4">
        <v>54504</v>
      </c>
      <c r="B48" s="2" t="s">
        <v>79</v>
      </c>
      <c r="C48" s="2"/>
      <c r="D48" s="3" t="s">
        <v>80</v>
      </c>
      <c r="E48" s="3" t="s">
        <v>29</v>
      </c>
      <c r="F48" s="3" t="s">
        <v>43</v>
      </c>
      <c r="G48" s="305">
        <f>'DIC-18'!I48</f>
        <v>0</v>
      </c>
      <c r="H48" s="51"/>
      <c r="I48" s="17">
        <f t="shared" si="0"/>
        <v>0</v>
      </c>
      <c r="J48" s="18"/>
      <c r="K48" s="18"/>
    </row>
    <row r="49" spans="1:11">
      <c r="A49" s="4">
        <v>54505</v>
      </c>
      <c r="B49" s="5" t="s">
        <v>81</v>
      </c>
      <c r="C49" s="2"/>
      <c r="D49" s="3" t="s">
        <v>42</v>
      </c>
      <c r="E49" s="3" t="s">
        <v>29</v>
      </c>
      <c r="F49" s="3" t="s">
        <v>43</v>
      </c>
      <c r="G49" s="305">
        <f>'DIC-18'!I49</f>
        <v>0</v>
      </c>
      <c r="H49" s="51"/>
      <c r="I49" s="17">
        <f t="shared" si="0"/>
        <v>0</v>
      </c>
      <c r="J49" s="18"/>
      <c r="K49" s="22"/>
    </row>
    <row r="50" spans="1:11" ht="20.25" customHeight="1">
      <c r="A50" s="4">
        <v>54599</v>
      </c>
      <c r="B50" s="5" t="s">
        <v>82</v>
      </c>
      <c r="C50" s="5"/>
      <c r="D50" s="3" t="s">
        <v>42</v>
      </c>
      <c r="E50" s="3" t="s">
        <v>29</v>
      </c>
      <c r="F50" s="3" t="s">
        <v>43</v>
      </c>
      <c r="G50" s="305">
        <f>'DIC-18'!I50</f>
        <v>200</v>
      </c>
      <c r="H50" s="51"/>
      <c r="I50" s="17">
        <f t="shared" si="0"/>
        <v>200</v>
      </c>
      <c r="J50" s="18"/>
      <c r="K50" s="18"/>
    </row>
    <row r="51" spans="1:11" ht="30" customHeight="1">
      <c r="A51" s="4">
        <v>55302</v>
      </c>
      <c r="B51" s="5" t="s">
        <v>83</v>
      </c>
      <c r="C51" s="2"/>
      <c r="D51" s="3" t="s">
        <v>42</v>
      </c>
      <c r="E51" s="3" t="s">
        <v>29</v>
      </c>
      <c r="F51" s="3" t="s">
        <v>43</v>
      </c>
      <c r="G51" s="305">
        <f>'DIC-18'!I51</f>
        <v>0</v>
      </c>
      <c r="H51" s="51"/>
      <c r="I51" s="17">
        <f t="shared" si="0"/>
        <v>0</v>
      </c>
      <c r="J51" s="18"/>
      <c r="K51" s="21"/>
    </row>
    <row r="52" spans="1:11">
      <c r="A52" s="4">
        <v>55601</v>
      </c>
      <c r="B52" s="2" t="s">
        <v>84</v>
      </c>
      <c r="C52" s="2" t="s">
        <v>85</v>
      </c>
      <c r="D52" s="3" t="s">
        <v>42</v>
      </c>
      <c r="E52" s="3" t="s">
        <v>29</v>
      </c>
      <c r="F52" s="3" t="s">
        <v>43</v>
      </c>
      <c r="G52" s="305">
        <f>'DIC-18'!I52</f>
        <v>0</v>
      </c>
      <c r="H52" s="51"/>
      <c r="I52" s="17">
        <f t="shared" si="0"/>
        <v>0</v>
      </c>
      <c r="J52" s="18"/>
      <c r="K52" s="22"/>
    </row>
    <row r="53" spans="1:11">
      <c r="A53" s="4">
        <v>55602</v>
      </c>
      <c r="B53" s="2" t="s">
        <v>86</v>
      </c>
      <c r="C53" s="2" t="s">
        <v>87</v>
      </c>
      <c r="D53" s="3" t="s">
        <v>42</v>
      </c>
      <c r="E53" s="3" t="s">
        <v>29</v>
      </c>
      <c r="F53" s="3" t="s">
        <v>43</v>
      </c>
      <c r="G53" s="305">
        <f>'DIC-18'!I53</f>
        <v>4199.76</v>
      </c>
      <c r="H53" s="51"/>
      <c r="I53" s="17">
        <f t="shared" si="0"/>
        <v>4199.76</v>
      </c>
      <c r="J53" s="18"/>
      <c r="K53" s="22"/>
    </row>
    <row r="54" spans="1:11">
      <c r="A54" s="4">
        <v>55603</v>
      </c>
      <c r="B54" s="2" t="s">
        <v>6</v>
      </c>
      <c r="C54" s="2"/>
      <c r="D54" s="3" t="s">
        <v>42</v>
      </c>
      <c r="E54" s="3" t="s">
        <v>29</v>
      </c>
      <c r="F54" s="3" t="s">
        <v>43</v>
      </c>
      <c r="G54" s="305">
        <f>'DIC-18'!I54</f>
        <v>396.03000000000003</v>
      </c>
      <c r="H54" s="276"/>
      <c r="I54" s="17">
        <f t="shared" si="0"/>
        <v>396.03000000000003</v>
      </c>
      <c r="J54" s="18"/>
      <c r="K54" s="21"/>
    </row>
    <row r="55" spans="1:11" ht="33" customHeight="1">
      <c r="A55" s="4">
        <v>55799</v>
      </c>
      <c r="B55" s="5" t="s">
        <v>169</v>
      </c>
      <c r="C55" s="5"/>
      <c r="D55" s="3" t="s">
        <v>42</v>
      </c>
      <c r="E55" s="3" t="s">
        <v>29</v>
      </c>
      <c r="F55" s="3" t="s">
        <v>43</v>
      </c>
      <c r="G55" s="305">
        <f>'DIC-18'!I55</f>
        <v>394.71000000000004</v>
      </c>
      <c r="H55" s="51"/>
      <c r="I55" s="17">
        <f t="shared" si="0"/>
        <v>394.71000000000004</v>
      </c>
      <c r="J55" s="18"/>
      <c r="K55" s="21"/>
    </row>
    <row r="56" spans="1:11" ht="33" customHeight="1">
      <c r="A56" s="4" t="s">
        <v>170</v>
      </c>
      <c r="B56" s="5" t="s">
        <v>1028</v>
      </c>
      <c r="C56" s="5"/>
      <c r="D56" s="3" t="s">
        <v>42</v>
      </c>
      <c r="E56" s="3" t="s">
        <v>29</v>
      </c>
      <c r="F56" s="3" t="s">
        <v>43</v>
      </c>
      <c r="G56" s="305">
        <f>'DIC-18'!I56</f>
        <v>700</v>
      </c>
      <c r="H56" s="51"/>
      <c r="I56" s="17">
        <f t="shared" si="0"/>
        <v>700</v>
      </c>
      <c r="J56" s="18"/>
      <c r="K56" s="21"/>
    </row>
    <row r="57" spans="1:11" ht="39">
      <c r="A57" s="4" t="s">
        <v>171</v>
      </c>
      <c r="B57" s="5" t="s">
        <v>1137</v>
      </c>
      <c r="C57" s="5"/>
      <c r="D57" s="3" t="s">
        <v>42</v>
      </c>
      <c r="E57" s="3" t="s">
        <v>29</v>
      </c>
      <c r="F57" s="3" t="s">
        <v>43</v>
      </c>
      <c r="G57" s="305">
        <f>'DIC-18'!I57</f>
        <v>629.81000000000017</v>
      </c>
      <c r="H57" s="51"/>
      <c r="I57" s="17">
        <f t="shared" si="0"/>
        <v>629.81000000000017</v>
      </c>
      <c r="J57" s="18"/>
      <c r="K57" s="18"/>
    </row>
    <row r="58" spans="1:11" ht="27">
      <c r="A58" s="4" t="s">
        <v>161</v>
      </c>
      <c r="B58" s="5" t="s">
        <v>1027</v>
      </c>
      <c r="C58" s="5"/>
      <c r="D58" s="3" t="s">
        <v>42</v>
      </c>
      <c r="E58" s="3" t="s">
        <v>29</v>
      </c>
      <c r="F58" s="3" t="s">
        <v>43</v>
      </c>
      <c r="G58" s="305">
        <f>'DIC-18'!I58</f>
        <v>100</v>
      </c>
      <c r="H58" s="51"/>
      <c r="I58" s="17">
        <f t="shared" si="0"/>
        <v>100</v>
      </c>
      <c r="J58" s="18"/>
      <c r="K58" s="18"/>
    </row>
    <row r="59" spans="1:11" ht="21" customHeight="1">
      <c r="A59" s="4">
        <v>56303</v>
      </c>
      <c r="B59" s="2" t="s">
        <v>90</v>
      </c>
      <c r="C59" s="2"/>
      <c r="D59" s="3" t="s">
        <v>42</v>
      </c>
      <c r="E59" s="3" t="s">
        <v>29</v>
      </c>
      <c r="F59" s="3" t="s">
        <v>43</v>
      </c>
      <c r="G59" s="305">
        <f>'DIC-18'!I59</f>
        <v>937.78999999999803</v>
      </c>
      <c r="H59" s="51"/>
      <c r="I59" s="18">
        <f t="shared" si="0"/>
        <v>937.78999999999803</v>
      </c>
      <c r="J59" s="18"/>
      <c r="K59" s="18"/>
    </row>
    <row r="60" spans="1:11" ht="21.75" customHeight="1">
      <c r="A60" s="4">
        <v>56304</v>
      </c>
      <c r="B60" s="2" t="s">
        <v>91</v>
      </c>
      <c r="C60" s="2"/>
      <c r="D60" s="3" t="s">
        <v>42</v>
      </c>
      <c r="E60" s="3" t="s">
        <v>29</v>
      </c>
      <c r="F60" s="3" t="s">
        <v>43</v>
      </c>
      <c r="G60" s="305">
        <f>'DIC-18'!I60</f>
        <v>706.33000000000038</v>
      </c>
      <c r="H60" s="51"/>
      <c r="I60" s="18">
        <f>G60-H60+J60-K60</f>
        <v>706.33000000000038</v>
      </c>
      <c r="J60" s="18"/>
      <c r="K60" s="18"/>
    </row>
    <row r="61" spans="1:11" ht="45.75" customHeight="1">
      <c r="A61" s="38" t="s">
        <v>8</v>
      </c>
      <c r="B61" s="39" t="s">
        <v>92</v>
      </c>
      <c r="C61" s="39"/>
      <c r="D61" s="39" t="s">
        <v>42</v>
      </c>
      <c r="E61" s="39" t="s">
        <v>29</v>
      </c>
      <c r="F61" s="39" t="s">
        <v>43</v>
      </c>
      <c r="G61" s="305">
        <f>'DIC-18'!I61</f>
        <v>31399.059999999998</v>
      </c>
      <c r="H61" s="95">
        <f>SUM(H4:H60)</f>
        <v>0</v>
      </c>
      <c r="I61" s="40">
        <f>G61-H61+J61-K61</f>
        <v>31399.059999999998</v>
      </c>
      <c r="J61" s="107">
        <f>SUM(J4:J60)</f>
        <v>0</v>
      </c>
      <c r="K61" s="107">
        <f>SUM(K4:K60)</f>
        <v>0</v>
      </c>
    </row>
    <row r="62" spans="1:11">
      <c r="A62" s="4">
        <v>51103</v>
      </c>
      <c r="B62" s="2" t="s">
        <v>173</v>
      </c>
      <c r="C62" s="2"/>
      <c r="D62" s="3" t="s">
        <v>94</v>
      </c>
      <c r="E62" s="3" t="s">
        <v>29</v>
      </c>
      <c r="F62" s="3" t="s">
        <v>43</v>
      </c>
      <c r="G62" s="305">
        <f>'DIC-18'!I62</f>
        <v>0</v>
      </c>
      <c r="H62" s="51"/>
      <c r="I62" s="17">
        <f t="shared" si="0"/>
        <v>0</v>
      </c>
      <c r="J62" s="395"/>
      <c r="K62" s="28"/>
    </row>
    <row r="63" spans="1:11">
      <c r="A63" s="4">
        <v>51107</v>
      </c>
      <c r="B63" s="2" t="s">
        <v>93</v>
      </c>
      <c r="C63" s="2"/>
      <c r="D63" s="3" t="s">
        <v>94</v>
      </c>
      <c r="E63" s="3" t="s">
        <v>29</v>
      </c>
      <c r="F63" s="3" t="s">
        <v>43</v>
      </c>
      <c r="G63" s="305">
        <f>'DIC-18'!I63</f>
        <v>118.66999999999996</v>
      </c>
      <c r="H63" s="51"/>
      <c r="I63" s="17">
        <f t="shared" si="0"/>
        <v>118.66999999999996</v>
      </c>
      <c r="J63" s="27"/>
      <c r="K63" s="28"/>
    </row>
    <row r="64" spans="1:11">
      <c r="A64" s="4">
        <v>51301</v>
      </c>
      <c r="B64" s="2" t="s">
        <v>45</v>
      </c>
      <c r="C64" s="2"/>
      <c r="D64" s="3" t="s">
        <v>94</v>
      </c>
      <c r="E64" s="3" t="s">
        <v>29</v>
      </c>
      <c r="F64" s="3" t="s">
        <v>43</v>
      </c>
      <c r="G64" s="305">
        <f>'DIC-18'!I64</f>
        <v>500</v>
      </c>
      <c r="H64" s="51"/>
      <c r="I64" s="17">
        <f t="shared" si="0"/>
        <v>500</v>
      </c>
      <c r="J64" s="27"/>
      <c r="K64" s="29"/>
    </row>
    <row r="65" spans="1:11" ht="25.5">
      <c r="A65" s="4">
        <v>51401</v>
      </c>
      <c r="B65" s="7" t="s">
        <v>128</v>
      </c>
      <c r="C65" s="2"/>
      <c r="D65" s="3" t="s">
        <v>94</v>
      </c>
      <c r="E65" s="3" t="s">
        <v>29</v>
      </c>
      <c r="F65" s="3" t="s">
        <v>43</v>
      </c>
      <c r="G65" s="305">
        <f>'DIC-18'!I65</f>
        <v>599.09999999999991</v>
      </c>
      <c r="H65" s="51"/>
      <c r="I65" s="17">
        <f t="shared" si="0"/>
        <v>599.09999999999991</v>
      </c>
      <c r="J65" s="27"/>
      <c r="K65" s="30"/>
    </row>
    <row r="66" spans="1:11" ht="36">
      <c r="A66" s="4">
        <v>51501</v>
      </c>
      <c r="B66" s="5" t="s">
        <v>141</v>
      </c>
      <c r="C66" s="2"/>
      <c r="D66" s="3" t="s">
        <v>94</v>
      </c>
      <c r="E66" s="3" t="s">
        <v>29</v>
      </c>
      <c r="F66" s="3" t="s">
        <v>43</v>
      </c>
      <c r="G66" s="305">
        <f>'DIC-18'!I66</f>
        <v>389.16000000000008</v>
      </c>
      <c r="H66" s="51"/>
      <c r="I66" s="17">
        <f t="shared" si="0"/>
        <v>389.16000000000008</v>
      </c>
      <c r="J66" s="27"/>
      <c r="K66" s="21"/>
    </row>
    <row r="67" spans="1:11">
      <c r="A67" s="4">
        <v>54104</v>
      </c>
      <c r="B67" s="2" t="s">
        <v>10</v>
      </c>
      <c r="C67" s="2"/>
      <c r="D67" s="3" t="s">
        <v>94</v>
      </c>
      <c r="E67" s="3" t="s">
        <v>29</v>
      </c>
      <c r="F67" s="3" t="s">
        <v>43</v>
      </c>
      <c r="G67" s="305">
        <f>'DIC-18'!I67</f>
        <v>0</v>
      </c>
      <c r="H67" s="51"/>
      <c r="I67" s="17">
        <f t="shared" si="0"/>
        <v>0</v>
      </c>
      <c r="J67" s="27"/>
      <c r="K67" s="22"/>
    </row>
    <row r="68" spans="1:11">
      <c r="A68" s="4">
        <v>54105</v>
      </c>
      <c r="B68" s="2" t="s">
        <v>49</v>
      </c>
      <c r="C68" s="2"/>
      <c r="D68" s="3" t="s">
        <v>94</v>
      </c>
      <c r="E68" s="3" t="s">
        <v>29</v>
      </c>
      <c r="F68" s="3" t="s">
        <v>43</v>
      </c>
      <c r="G68" s="305">
        <f>'DIC-18'!I68</f>
        <v>14.680000000000064</v>
      </c>
      <c r="H68" s="51"/>
      <c r="I68" s="17">
        <f t="shared" si="0"/>
        <v>14.680000000000064</v>
      </c>
      <c r="J68" s="27"/>
      <c r="K68" s="18"/>
    </row>
    <row r="69" spans="1:11">
      <c r="A69" s="4">
        <v>54114</v>
      </c>
      <c r="B69" s="2" t="s">
        <v>56</v>
      </c>
      <c r="C69" s="2"/>
      <c r="D69" s="3" t="s">
        <v>94</v>
      </c>
      <c r="E69" s="3" t="s">
        <v>29</v>
      </c>
      <c r="F69" s="3" t="s">
        <v>43</v>
      </c>
      <c r="G69" s="305">
        <f>'DIC-18'!I69</f>
        <v>1146.2299999999998</v>
      </c>
      <c r="H69" s="51"/>
      <c r="I69" s="17">
        <f t="shared" si="0"/>
        <v>1146.2299999999998</v>
      </c>
      <c r="J69" s="27"/>
      <c r="K69" s="21"/>
    </row>
    <row r="70" spans="1:11">
      <c r="A70" s="4">
        <v>54115</v>
      </c>
      <c r="B70" s="2" t="s">
        <v>57</v>
      </c>
      <c r="C70" s="2"/>
      <c r="D70" s="3" t="s">
        <v>94</v>
      </c>
      <c r="E70" s="3" t="s">
        <v>29</v>
      </c>
      <c r="F70" s="3" t="s">
        <v>43</v>
      </c>
      <c r="G70" s="305">
        <f>'DIC-18'!I70</f>
        <v>188.57999999999993</v>
      </c>
      <c r="H70" s="51"/>
      <c r="I70" s="17">
        <f t="shared" si="0"/>
        <v>188.57999999999993</v>
      </c>
      <c r="J70" s="31"/>
      <c r="K70" s="21"/>
    </row>
    <row r="71" spans="1:11">
      <c r="A71" s="4">
        <v>54401</v>
      </c>
      <c r="B71" s="2" t="s">
        <v>75</v>
      </c>
      <c r="C71" s="2"/>
      <c r="D71" s="3" t="s">
        <v>94</v>
      </c>
      <c r="E71" s="3" t="s">
        <v>29</v>
      </c>
      <c r="F71" s="3" t="s">
        <v>43</v>
      </c>
      <c r="G71" s="305">
        <f>'DIC-18'!I71</f>
        <v>200</v>
      </c>
      <c r="H71" s="372"/>
      <c r="I71" s="17">
        <f t="shared" si="0"/>
        <v>200</v>
      </c>
      <c r="J71" s="27"/>
      <c r="K71" s="21"/>
    </row>
    <row r="72" spans="1:11">
      <c r="A72" s="4">
        <v>54403</v>
      </c>
      <c r="B72" s="2" t="s">
        <v>76</v>
      </c>
      <c r="C72" s="2"/>
      <c r="D72" s="3" t="s">
        <v>94</v>
      </c>
      <c r="E72" s="3" t="s">
        <v>29</v>
      </c>
      <c r="F72" s="3" t="s">
        <v>43</v>
      </c>
      <c r="G72" s="305">
        <f>'DIC-18'!I72</f>
        <v>274</v>
      </c>
      <c r="H72" s="51"/>
      <c r="I72" s="17">
        <f>G72-H72+J72-K72</f>
        <v>274</v>
      </c>
      <c r="J72" s="27"/>
      <c r="K72" s="28"/>
    </row>
    <row r="73" spans="1:11" ht="21" customHeight="1">
      <c r="A73" s="4">
        <v>54507</v>
      </c>
      <c r="B73" s="5" t="s">
        <v>95</v>
      </c>
      <c r="C73" s="2"/>
      <c r="D73" s="3" t="s">
        <v>94</v>
      </c>
      <c r="E73" s="3" t="s">
        <v>29</v>
      </c>
      <c r="F73" s="3" t="s">
        <v>43</v>
      </c>
      <c r="G73" s="305">
        <f>'DIC-18'!I73</f>
        <v>429.6</v>
      </c>
      <c r="H73" s="51"/>
      <c r="I73" s="17">
        <f>G73-H73+J73-K73</f>
        <v>429.6</v>
      </c>
      <c r="J73" s="32"/>
      <c r="K73" s="28"/>
    </row>
    <row r="74" spans="1:11" ht="21">
      <c r="A74" s="38" t="s">
        <v>8</v>
      </c>
      <c r="B74" s="39" t="s">
        <v>96</v>
      </c>
      <c r="C74" s="39"/>
      <c r="D74" s="39" t="s">
        <v>94</v>
      </c>
      <c r="E74" s="39" t="s">
        <v>29</v>
      </c>
      <c r="F74" s="39" t="s">
        <v>43</v>
      </c>
      <c r="G74" s="305">
        <f>'DIC-18'!I74</f>
        <v>3860.0200000000041</v>
      </c>
      <c r="H74" s="95">
        <f>SUM(H62:H73)</f>
        <v>0</v>
      </c>
      <c r="I74" s="40">
        <f>G74-H74+J74-K74</f>
        <v>3860.0200000000041</v>
      </c>
      <c r="J74" s="107">
        <f>SUM(J62:J73)</f>
        <v>0</v>
      </c>
      <c r="K74" s="107">
        <f>SUM(K62:K73)</f>
        <v>0</v>
      </c>
    </row>
    <row r="75" spans="1:11">
      <c r="A75" s="4">
        <v>51103</v>
      </c>
      <c r="B75" s="2" t="s">
        <v>174</v>
      </c>
      <c r="C75" s="2"/>
      <c r="D75" s="3" t="s">
        <v>97</v>
      </c>
      <c r="E75" s="3" t="s">
        <v>29</v>
      </c>
      <c r="F75" s="3" t="s">
        <v>43</v>
      </c>
      <c r="G75" s="305">
        <f>'DIC-18'!I75</f>
        <v>781.68000000000029</v>
      </c>
      <c r="H75" s="51"/>
      <c r="I75" s="170">
        <f t="shared" ref="I75:I100" si="1">G75-H75+J75-K75</f>
        <v>781.68000000000029</v>
      </c>
      <c r="J75" s="28"/>
      <c r="K75" s="28"/>
    </row>
    <row r="76" spans="1:11">
      <c r="A76" s="4">
        <v>51107</v>
      </c>
      <c r="B76" s="2" t="s">
        <v>93</v>
      </c>
      <c r="C76" s="2"/>
      <c r="D76" s="3" t="s">
        <v>97</v>
      </c>
      <c r="E76" s="3" t="s">
        <v>29</v>
      </c>
      <c r="F76" s="3" t="s">
        <v>43</v>
      </c>
      <c r="G76" s="305">
        <f>'DIC-18'!I76</f>
        <v>171.69</v>
      </c>
      <c r="H76" s="51"/>
      <c r="I76" s="418">
        <f t="shared" si="1"/>
        <v>171.69</v>
      </c>
      <c r="J76" s="28"/>
      <c r="K76" s="28"/>
    </row>
    <row r="77" spans="1:11">
      <c r="A77" s="4">
        <v>51201</v>
      </c>
      <c r="B77" s="2" t="s">
        <v>44</v>
      </c>
      <c r="C77" s="2"/>
      <c r="D77" s="3" t="s">
        <v>97</v>
      </c>
      <c r="E77" s="3" t="s">
        <v>29</v>
      </c>
      <c r="F77" s="3" t="s">
        <v>43</v>
      </c>
      <c r="G77" s="305">
        <f>'DIC-18'!I77</f>
        <v>402.5</v>
      </c>
      <c r="H77" s="51"/>
      <c r="I77" s="170">
        <f t="shared" si="1"/>
        <v>402.5</v>
      </c>
      <c r="J77" s="30"/>
      <c r="K77" s="28"/>
    </row>
    <row r="78" spans="1:11">
      <c r="A78" s="4">
        <v>51301</v>
      </c>
      <c r="B78" s="7" t="s">
        <v>98</v>
      </c>
      <c r="C78" s="2"/>
      <c r="D78" s="3" t="s">
        <v>97</v>
      </c>
      <c r="E78" s="3" t="s">
        <v>29</v>
      </c>
      <c r="F78" s="3" t="s">
        <v>43</v>
      </c>
      <c r="G78" s="305">
        <f>'DIC-18'!I78</f>
        <v>500</v>
      </c>
      <c r="H78" s="51"/>
      <c r="I78" s="170">
        <f t="shared" si="1"/>
        <v>500</v>
      </c>
      <c r="J78" s="30"/>
      <c r="K78" s="28"/>
    </row>
    <row r="79" spans="1:11" ht="48.75" customHeight="1">
      <c r="A79" s="4">
        <v>51401</v>
      </c>
      <c r="B79" s="7" t="s">
        <v>134</v>
      </c>
      <c r="C79" s="2"/>
      <c r="D79" s="3" t="s">
        <v>97</v>
      </c>
      <c r="E79" s="3" t="s">
        <v>29</v>
      </c>
      <c r="F79" s="3" t="s">
        <v>43</v>
      </c>
      <c r="G79" s="305">
        <f>'DIC-18'!I79</f>
        <v>1336.7399999999998</v>
      </c>
      <c r="H79" s="51"/>
      <c r="I79" s="170">
        <f t="shared" si="1"/>
        <v>1336.7399999999998</v>
      </c>
      <c r="J79" s="29"/>
      <c r="K79" s="28"/>
    </row>
    <row r="80" spans="1:11" ht="36">
      <c r="A80" s="4">
        <v>51501</v>
      </c>
      <c r="B80" s="5" t="s">
        <v>127</v>
      </c>
      <c r="C80" s="2"/>
      <c r="D80" s="3" t="s">
        <v>97</v>
      </c>
      <c r="E80" s="3" t="s">
        <v>29</v>
      </c>
      <c r="F80" s="3" t="s">
        <v>43</v>
      </c>
      <c r="G80" s="305">
        <f>'DIC-18'!I80</f>
        <v>1853.2799999999997</v>
      </c>
      <c r="H80" s="51"/>
      <c r="I80" s="170">
        <f t="shared" si="1"/>
        <v>1853.2799999999997</v>
      </c>
      <c r="J80" s="27"/>
      <c r="K80" s="28"/>
    </row>
    <row r="81" spans="1:11" ht="24" customHeight="1">
      <c r="A81" s="4">
        <v>54104</v>
      </c>
      <c r="B81" s="2" t="s">
        <v>10</v>
      </c>
      <c r="C81" s="2"/>
      <c r="D81" s="3" t="s">
        <v>97</v>
      </c>
      <c r="E81" s="3" t="s">
        <v>29</v>
      </c>
      <c r="F81" s="3" t="s">
        <v>43</v>
      </c>
      <c r="G81" s="305">
        <f>'DIC-18'!I81</f>
        <v>789.5</v>
      </c>
      <c r="H81" s="51"/>
      <c r="I81" s="170">
        <f t="shared" si="1"/>
        <v>789.5</v>
      </c>
      <c r="J81" s="28"/>
      <c r="K81" s="28"/>
    </row>
    <row r="82" spans="1:11" ht="21.75" customHeight="1">
      <c r="A82" s="4">
        <v>54105</v>
      </c>
      <c r="B82" s="2" t="s">
        <v>49</v>
      </c>
      <c r="C82" s="2"/>
      <c r="D82" s="3" t="s">
        <v>97</v>
      </c>
      <c r="E82" s="3" t="s">
        <v>29</v>
      </c>
      <c r="F82" s="3" t="s">
        <v>43</v>
      </c>
      <c r="G82" s="305">
        <f>'DIC-18'!I82</f>
        <v>91.649999999999977</v>
      </c>
      <c r="H82" s="51"/>
      <c r="I82" s="170">
        <f t="shared" si="1"/>
        <v>91.649999999999977</v>
      </c>
      <c r="J82" s="27"/>
      <c r="K82" s="28"/>
    </row>
    <row r="83" spans="1:11" ht="27" customHeight="1">
      <c r="A83" s="4">
        <v>54106</v>
      </c>
      <c r="B83" s="5" t="s">
        <v>99</v>
      </c>
      <c r="C83" s="5"/>
      <c r="D83" s="3" t="s">
        <v>97</v>
      </c>
      <c r="E83" s="3" t="s">
        <v>29</v>
      </c>
      <c r="F83" s="3" t="s">
        <v>43</v>
      </c>
      <c r="G83" s="305">
        <f>'DIC-18'!I83</f>
        <v>80.62</v>
      </c>
      <c r="H83" s="51"/>
      <c r="I83" s="170">
        <f t="shared" si="1"/>
        <v>80.62</v>
      </c>
      <c r="J83" s="27"/>
      <c r="K83" s="28"/>
    </row>
    <row r="84" spans="1:11" ht="24" customHeight="1">
      <c r="A84" s="4">
        <v>54109</v>
      </c>
      <c r="B84" s="2" t="s">
        <v>52</v>
      </c>
      <c r="C84" s="2"/>
      <c r="D84" s="3" t="s">
        <v>97</v>
      </c>
      <c r="E84" s="3" t="s">
        <v>29</v>
      </c>
      <c r="F84" s="3" t="s">
        <v>43</v>
      </c>
      <c r="G84" s="305">
        <f>'DIC-18'!I84</f>
        <v>0</v>
      </c>
      <c r="H84" s="51"/>
      <c r="I84" s="170">
        <f t="shared" si="1"/>
        <v>0</v>
      </c>
      <c r="J84" s="33"/>
      <c r="K84" s="28"/>
    </row>
    <row r="85" spans="1:11" ht="28.5" customHeight="1">
      <c r="A85" s="4">
        <v>54110</v>
      </c>
      <c r="B85" s="2" t="s">
        <v>53</v>
      </c>
      <c r="C85" s="2"/>
      <c r="D85" s="3" t="s">
        <v>97</v>
      </c>
      <c r="E85" s="3" t="s">
        <v>29</v>
      </c>
      <c r="F85" s="3" t="s">
        <v>43</v>
      </c>
      <c r="G85" s="305">
        <f>'DIC-18'!I85</f>
        <v>116.86999999999989</v>
      </c>
      <c r="H85" s="51"/>
      <c r="I85" s="170">
        <f t="shared" si="1"/>
        <v>116.86999999999989</v>
      </c>
      <c r="J85" s="33"/>
      <c r="K85" s="30"/>
    </row>
    <row r="86" spans="1:11" ht="30.75" customHeight="1">
      <c r="A86" s="4">
        <v>54111</v>
      </c>
      <c r="B86" s="5" t="s">
        <v>54</v>
      </c>
      <c r="C86" s="2"/>
      <c r="D86" s="3" t="s">
        <v>97</v>
      </c>
      <c r="E86" s="3" t="s">
        <v>29</v>
      </c>
      <c r="F86" s="3" t="s">
        <v>43</v>
      </c>
      <c r="G86" s="305">
        <f>'DIC-18'!I86</f>
        <v>188</v>
      </c>
      <c r="H86" s="51"/>
      <c r="I86" s="170">
        <f t="shared" si="1"/>
        <v>188</v>
      </c>
      <c r="J86" s="33"/>
      <c r="K86" s="277"/>
    </row>
    <row r="87" spans="1:11" ht="39">
      <c r="A87" s="4">
        <v>54112</v>
      </c>
      <c r="B87" s="5" t="s">
        <v>55</v>
      </c>
      <c r="C87" s="2"/>
      <c r="D87" s="3" t="s">
        <v>97</v>
      </c>
      <c r="E87" s="3" t="s">
        <v>29</v>
      </c>
      <c r="F87" s="3" t="s">
        <v>43</v>
      </c>
      <c r="G87" s="305">
        <f>'DIC-18'!I87</f>
        <v>176</v>
      </c>
      <c r="H87" s="51"/>
      <c r="I87" s="170">
        <f t="shared" si="1"/>
        <v>176</v>
      </c>
      <c r="J87" s="33"/>
      <c r="K87" s="28"/>
    </row>
    <row r="88" spans="1:11" ht="18" customHeight="1">
      <c r="A88" s="4">
        <v>54114</v>
      </c>
      <c r="B88" s="2" t="s">
        <v>56</v>
      </c>
      <c r="C88" s="2"/>
      <c r="D88" s="3" t="s">
        <v>97</v>
      </c>
      <c r="E88" s="3" t="s">
        <v>29</v>
      </c>
      <c r="F88" s="3" t="s">
        <v>43</v>
      </c>
      <c r="G88" s="305">
        <f>'DIC-18'!I88</f>
        <v>0</v>
      </c>
      <c r="H88" s="51"/>
      <c r="I88" s="170">
        <f t="shared" si="1"/>
        <v>0</v>
      </c>
      <c r="J88" s="27"/>
      <c r="K88" s="28"/>
    </row>
    <row r="89" spans="1:11">
      <c r="A89" s="4">
        <v>54115</v>
      </c>
      <c r="B89" s="2" t="s">
        <v>57</v>
      </c>
      <c r="C89" s="2"/>
      <c r="D89" s="3" t="s">
        <v>97</v>
      </c>
      <c r="E89" s="3" t="s">
        <v>29</v>
      </c>
      <c r="F89" s="3" t="s">
        <v>43</v>
      </c>
      <c r="G89" s="305">
        <f>'DIC-18'!I89</f>
        <v>465.78</v>
      </c>
      <c r="H89" s="51"/>
      <c r="I89" s="170">
        <f t="shared" si="1"/>
        <v>465.78</v>
      </c>
      <c r="J89" s="33"/>
      <c r="K89" s="28"/>
    </row>
    <row r="90" spans="1:11" ht="27" customHeight="1">
      <c r="A90" s="4">
        <v>54118</v>
      </c>
      <c r="B90" s="5" t="s">
        <v>100</v>
      </c>
      <c r="C90" s="2"/>
      <c r="D90" s="3" t="s">
        <v>97</v>
      </c>
      <c r="E90" s="3" t="s">
        <v>29</v>
      </c>
      <c r="F90" s="3" t="s">
        <v>43</v>
      </c>
      <c r="G90" s="305">
        <f>'DIC-18'!I90</f>
        <v>44.720000000000013</v>
      </c>
      <c r="H90" s="51"/>
      <c r="I90" s="170">
        <f t="shared" si="1"/>
        <v>44.720000000000013</v>
      </c>
      <c r="J90" s="30"/>
      <c r="K90" s="28"/>
    </row>
    <row r="91" spans="1:11">
      <c r="A91" s="4">
        <v>54119</v>
      </c>
      <c r="B91" s="2" t="s">
        <v>60</v>
      </c>
      <c r="C91" s="2"/>
      <c r="D91" s="3" t="s">
        <v>97</v>
      </c>
      <c r="E91" s="3" t="s">
        <v>29</v>
      </c>
      <c r="F91" s="3" t="s">
        <v>43</v>
      </c>
      <c r="G91" s="305">
        <f>'DIC-18'!I91</f>
        <v>51.050000000000068</v>
      </c>
      <c r="H91" s="51"/>
      <c r="I91" s="170">
        <f t="shared" si="1"/>
        <v>51.050000000000068</v>
      </c>
      <c r="J91" s="30"/>
      <c r="K91" s="28"/>
    </row>
    <row r="92" spans="1:11">
      <c r="A92" s="4">
        <v>54199</v>
      </c>
      <c r="B92" s="2" t="s">
        <v>61</v>
      </c>
      <c r="C92" s="2"/>
      <c r="D92" s="3" t="s">
        <v>97</v>
      </c>
      <c r="E92" s="3" t="s">
        <v>29</v>
      </c>
      <c r="F92" s="3" t="s">
        <v>43</v>
      </c>
      <c r="G92" s="305">
        <f>'DIC-18'!I92</f>
        <v>40.030000000000086</v>
      </c>
      <c r="H92" s="51"/>
      <c r="I92" s="170">
        <f t="shared" si="1"/>
        <v>40.030000000000086</v>
      </c>
      <c r="J92" s="33"/>
      <c r="K92" s="28"/>
    </row>
    <row r="93" spans="1:11">
      <c r="A93" s="4">
        <v>54301</v>
      </c>
      <c r="B93" s="2" t="s">
        <v>66</v>
      </c>
      <c r="C93" s="2"/>
      <c r="D93" s="3" t="s">
        <v>97</v>
      </c>
      <c r="E93" s="3" t="s">
        <v>29</v>
      </c>
      <c r="F93" s="3" t="s">
        <v>43</v>
      </c>
      <c r="G93" s="305">
        <f>'DIC-18'!I93</f>
        <v>69.329999999999984</v>
      </c>
      <c r="H93" s="51"/>
      <c r="I93" s="170">
        <f t="shared" si="1"/>
        <v>69.329999999999984</v>
      </c>
      <c r="J93" s="29"/>
      <c r="K93" s="28"/>
    </row>
    <row r="94" spans="1:11">
      <c r="A94" s="4">
        <v>54302</v>
      </c>
      <c r="B94" s="2" t="s">
        <v>67</v>
      </c>
      <c r="C94" s="2"/>
      <c r="D94" s="3" t="s">
        <v>97</v>
      </c>
      <c r="E94" s="3" t="s">
        <v>29</v>
      </c>
      <c r="F94" s="3" t="s">
        <v>43</v>
      </c>
      <c r="G94" s="305">
        <f>'DIC-18'!I94</f>
        <v>360</v>
      </c>
      <c r="H94" s="51"/>
      <c r="I94" s="170">
        <f t="shared" si="1"/>
        <v>360</v>
      </c>
      <c r="J94" s="27"/>
      <c r="K94" s="28"/>
    </row>
    <row r="95" spans="1:11" ht="24.75" customHeight="1">
      <c r="A95" s="4">
        <v>54314</v>
      </c>
      <c r="B95" s="5" t="s">
        <v>101</v>
      </c>
      <c r="C95" s="2"/>
      <c r="D95" s="3" t="s">
        <v>97</v>
      </c>
      <c r="E95" s="3" t="s">
        <v>29</v>
      </c>
      <c r="F95" s="3" t="s">
        <v>43</v>
      </c>
      <c r="G95" s="305">
        <f>'DIC-18'!I95</f>
        <v>1809.9100000000008</v>
      </c>
      <c r="H95" s="51"/>
      <c r="I95" s="170">
        <f t="shared" si="1"/>
        <v>1809.9100000000008</v>
      </c>
      <c r="J95" s="33"/>
      <c r="K95" s="315"/>
    </row>
    <row r="96" spans="1:11">
      <c r="A96" s="4">
        <v>54399</v>
      </c>
      <c r="B96" s="2" t="s">
        <v>74</v>
      </c>
      <c r="C96" s="2"/>
      <c r="D96" s="3" t="s">
        <v>97</v>
      </c>
      <c r="E96" s="3" t="s">
        <v>29</v>
      </c>
      <c r="F96" s="3" t="s">
        <v>43</v>
      </c>
      <c r="G96" s="305">
        <f>'DIC-18'!I96</f>
        <v>33.589999999999989</v>
      </c>
      <c r="H96" s="51"/>
      <c r="I96" s="170">
        <f t="shared" si="1"/>
        <v>33.589999999999989</v>
      </c>
      <c r="J96" s="33"/>
      <c r="K96" s="33"/>
    </row>
    <row r="97" spans="1:11">
      <c r="A97" s="4">
        <v>54401</v>
      </c>
      <c r="B97" s="2" t="s">
        <v>75</v>
      </c>
      <c r="C97" s="2"/>
      <c r="D97" s="3" t="s">
        <v>97</v>
      </c>
      <c r="E97" s="3" t="s">
        <v>29</v>
      </c>
      <c r="F97" s="3" t="s">
        <v>43</v>
      </c>
      <c r="G97" s="305">
        <f>'DIC-18'!I97</f>
        <v>200</v>
      </c>
      <c r="H97" s="51"/>
      <c r="I97" s="170">
        <f t="shared" si="1"/>
        <v>200</v>
      </c>
      <c r="J97" s="34"/>
      <c r="K97" s="28"/>
    </row>
    <row r="98" spans="1:11">
      <c r="A98" s="4">
        <v>54403</v>
      </c>
      <c r="B98" s="2" t="s">
        <v>102</v>
      </c>
      <c r="C98" s="2"/>
      <c r="D98" s="3" t="s">
        <v>97</v>
      </c>
      <c r="E98" s="3" t="s">
        <v>29</v>
      </c>
      <c r="F98" s="3" t="s">
        <v>43</v>
      </c>
      <c r="G98" s="305">
        <f>'DIC-18'!I98</f>
        <v>311.48</v>
      </c>
      <c r="H98" s="51"/>
      <c r="I98" s="170">
        <f t="shared" si="1"/>
        <v>311.48</v>
      </c>
      <c r="J98" s="34"/>
      <c r="K98" s="28"/>
    </row>
    <row r="99" spans="1:11" ht="21.75" customHeight="1">
      <c r="A99" s="4">
        <v>54507</v>
      </c>
      <c r="B99" s="5" t="s">
        <v>103</v>
      </c>
      <c r="C99" s="5"/>
      <c r="D99" s="3" t="s">
        <v>97</v>
      </c>
      <c r="E99" s="3" t="s">
        <v>29</v>
      </c>
      <c r="F99" s="3" t="s">
        <v>43</v>
      </c>
      <c r="G99" s="305">
        <f>'DIC-18'!I99</f>
        <v>0</v>
      </c>
      <c r="H99" s="51"/>
      <c r="I99" s="170">
        <f t="shared" si="1"/>
        <v>0</v>
      </c>
      <c r="J99" s="35"/>
      <c r="K99" s="28"/>
    </row>
    <row r="100" spans="1:11">
      <c r="A100" s="4">
        <v>54699</v>
      </c>
      <c r="B100" s="5" t="s">
        <v>104</v>
      </c>
      <c r="C100" s="2"/>
      <c r="D100" s="3" t="s">
        <v>97</v>
      </c>
      <c r="E100" s="3" t="s">
        <v>29</v>
      </c>
      <c r="F100" s="3" t="s">
        <v>43</v>
      </c>
      <c r="G100" s="305">
        <f>'DIC-18'!I100</f>
        <v>1</v>
      </c>
      <c r="H100" s="51"/>
      <c r="I100" s="170">
        <f t="shared" si="1"/>
        <v>1</v>
      </c>
      <c r="J100" s="27"/>
      <c r="K100" s="28"/>
    </row>
    <row r="101" spans="1:11" ht="21">
      <c r="A101" s="38" t="s">
        <v>8</v>
      </c>
      <c r="B101" s="39" t="s">
        <v>105</v>
      </c>
      <c r="C101" s="39"/>
      <c r="D101" s="39" t="s">
        <v>97</v>
      </c>
      <c r="E101" s="39" t="s">
        <v>29</v>
      </c>
      <c r="F101" s="39" t="s">
        <v>43</v>
      </c>
      <c r="G101" s="305">
        <f>'DIC-18'!I101</f>
        <v>9875.4200000000019</v>
      </c>
      <c r="H101" s="95">
        <f>SUM(H75:H100)</f>
        <v>0</v>
      </c>
      <c r="I101" s="40">
        <f>G101-H101+J101-K101</f>
        <v>9875.4200000000019</v>
      </c>
      <c r="J101" s="107">
        <f>SUM(J75:J100)</f>
        <v>0</v>
      </c>
      <c r="K101" s="107">
        <f>SUM(K75:K100)</f>
        <v>0</v>
      </c>
    </row>
    <row r="102" spans="1:11">
      <c r="A102" s="4">
        <v>51101</v>
      </c>
      <c r="B102" s="2" t="s">
        <v>175</v>
      </c>
      <c r="C102" s="2"/>
      <c r="D102" s="3" t="s">
        <v>42</v>
      </c>
      <c r="E102" s="3" t="s">
        <v>29</v>
      </c>
      <c r="F102" s="3" t="s">
        <v>106</v>
      </c>
      <c r="G102" s="305">
        <f>'DIC-18'!I102</f>
        <v>-2.0008883439004421E-11</v>
      </c>
      <c r="H102" s="51"/>
      <c r="I102" s="17">
        <f t="shared" ref="I102:I149" si="2">G102-H102+J102-K102</f>
        <v>-2.0008883439004421E-11</v>
      </c>
      <c r="J102" s="28"/>
      <c r="K102" s="30"/>
    </row>
    <row r="103" spans="1:11">
      <c r="A103" s="4">
        <v>51103</v>
      </c>
      <c r="B103" s="2" t="s">
        <v>107</v>
      </c>
      <c r="C103" s="2"/>
      <c r="D103" s="3" t="s">
        <v>42</v>
      </c>
      <c r="E103" s="3" t="s">
        <v>29</v>
      </c>
      <c r="F103" s="3" t="s">
        <v>106</v>
      </c>
      <c r="G103" s="305">
        <f>'DIC-18'!I103</f>
        <v>0</v>
      </c>
      <c r="H103" s="51"/>
      <c r="I103" s="17">
        <f t="shared" si="2"/>
        <v>0</v>
      </c>
      <c r="J103" s="30"/>
      <c r="K103" s="29"/>
    </row>
    <row r="104" spans="1:11">
      <c r="A104" s="4">
        <v>51105</v>
      </c>
      <c r="B104" s="2" t="s">
        <v>176</v>
      </c>
      <c r="C104" s="2"/>
      <c r="D104" s="3" t="s">
        <v>42</v>
      </c>
      <c r="E104" s="3" t="s">
        <v>29</v>
      </c>
      <c r="F104" s="3" t="s">
        <v>106</v>
      </c>
      <c r="G104" s="305">
        <f>'DIC-18'!I104</f>
        <v>-3.637978807091713E-12</v>
      </c>
      <c r="H104" s="51"/>
      <c r="I104" s="17">
        <f t="shared" si="2"/>
        <v>-3.637978807091713E-12</v>
      </c>
      <c r="J104" s="30"/>
      <c r="K104" s="29"/>
    </row>
    <row r="105" spans="1:11" ht="29.25">
      <c r="A105" s="4">
        <v>51107</v>
      </c>
      <c r="B105" s="7" t="s">
        <v>1168</v>
      </c>
      <c r="C105" s="2"/>
      <c r="D105" s="3" t="s">
        <v>42</v>
      </c>
      <c r="E105" s="3" t="s">
        <v>29</v>
      </c>
      <c r="F105" s="3" t="s">
        <v>106</v>
      </c>
      <c r="G105" s="305">
        <f>'DIC-18'!I105</f>
        <v>900</v>
      </c>
      <c r="H105" s="51"/>
      <c r="I105" s="17">
        <f t="shared" si="2"/>
        <v>900</v>
      </c>
      <c r="J105" s="30"/>
      <c r="K105" s="29"/>
    </row>
    <row r="106" spans="1:11" ht="18.75" customHeight="1">
      <c r="A106" s="4">
        <v>51201</v>
      </c>
      <c r="B106" s="2" t="s">
        <v>1173</v>
      </c>
      <c r="C106" s="2"/>
      <c r="D106" s="3" t="s">
        <v>42</v>
      </c>
      <c r="E106" s="3" t="s">
        <v>29</v>
      </c>
      <c r="F106" s="3" t="s">
        <v>30</v>
      </c>
      <c r="G106" s="305">
        <f>'DIC-18'!I106</f>
        <v>0</v>
      </c>
      <c r="H106" s="51"/>
      <c r="I106" s="17">
        <f t="shared" si="2"/>
        <v>0</v>
      </c>
      <c r="J106" s="445"/>
      <c r="K106" s="29"/>
    </row>
    <row r="107" spans="1:11">
      <c r="A107" s="4">
        <v>51301</v>
      </c>
      <c r="B107" s="2" t="s">
        <v>177</v>
      </c>
      <c r="C107" s="2"/>
      <c r="D107" s="3" t="s">
        <v>42</v>
      </c>
      <c r="E107" s="3" t="s">
        <v>29</v>
      </c>
      <c r="F107" s="3" t="s">
        <v>30</v>
      </c>
      <c r="G107" s="305">
        <f>'DIC-18'!I107</f>
        <v>719.02</v>
      </c>
      <c r="H107" s="51"/>
      <c r="I107" s="17">
        <f t="shared" si="2"/>
        <v>719.02</v>
      </c>
      <c r="J107" s="30"/>
      <c r="K107" s="29"/>
    </row>
    <row r="108" spans="1:11" ht="33.75" customHeight="1">
      <c r="A108" s="4">
        <v>51401</v>
      </c>
      <c r="B108" s="5" t="s">
        <v>128</v>
      </c>
      <c r="C108" s="5"/>
      <c r="D108" s="3" t="s">
        <v>42</v>
      </c>
      <c r="E108" s="3" t="s">
        <v>29</v>
      </c>
      <c r="F108" s="3" t="s">
        <v>106</v>
      </c>
      <c r="G108" s="305">
        <f>'DIC-18'!I108</f>
        <v>607.44000000000005</v>
      </c>
      <c r="H108" s="51"/>
      <c r="I108" s="17">
        <f t="shared" si="2"/>
        <v>607.44000000000005</v>
      </c>
      <c r="J108" s="33"/>
      <c r="K108" s="29"/>
    </row>
    <row r="109" spans="1:11" ht="36">
      <c r="A109" s="4">
        <v>51501</v>
      </c>
      <c r="B109" s="5" t="s">
        <v>168</v>
      </c>
      <c r="C109" s="5"/>
      <c r="D109" s="3" t="s">
        <v>42</v>
      </c>
      <c r="E109" s="3" t="s">
        <v>29</v>
      </c>
      <c r="F109" s="3" t="s">
        <v>106</v>
      </c>
      <c r="G109" s="305">
        <f>'DIC-18'!I109</f>
        <v>1272.25</v>
      </c>
      <c r="H109" s="51"/>
      <c r="I109" s="17">
        <f t="shared" si="2"/>
        <v>1272.25</v>
      </c>
      <c r="J109" s="33"/>
      <c r="K109" s="29"/>
    </row>
    <row r="110" spans="1:11" ht="34.5" customHeight="1">
      <c r="A110" s="4">
        <v>51601</v>
      </c>
      <c r="B110" s="311" t="s">
        <v>1087</v>
      </c>
      <c r="C110" s="444"/>
      <c r="D110" s="3" t="s">
        <v>42</v>
      </c>
      <c r="E110" s="3" t="s">
        <v>29</v>
      </c>
      <c r="F110" s="3" t="s">
        <v>106</v>
      </c>
      <c r="G110" s="305">
        <f>'DIC-18'!I110</f>
        <v>0</v>
      </c>
      <c r="H110" s="51"/>
      <c r="I110" s="17">
        <f t="shared" si="2"/>
        <v>0</v>
      </c>
      <c r="J110" s="33"/>
      <c r="K110" s="29"/>
    </row>
    <row r="111" spans="1:11" ht="27.75" customHeight="1">
      <c r="A111" s="4">
        <v>51999</v>
      </c>
      <c r="B111" s="5" t="s">
        <v>178</v>
      </c>
      <c r="C111" s="5"/>
      <c r="D111" s="3" t="s">
        <v>42</v>
      </c>
      <c r="E111" s="3" t="s">
        <v>29</v>
      </c>
      <c r="F111" s="3" t="s">
        <v>30</v>
      </c>
      <c r="G111" s="305">
        <f>'DIC-18'!I111</f>
        <v>777.37</v>
      </c>
      <c r="H111" s="51"/>
      <c r="I111" s="17">
        <f t="shared" si="2"/>
        <v>777.37</v>
      </c>
      <c r="J111" s="33"/>
      <c r="K111" s="29"/>
    </row>
    <row r="112" spans="1:11">
      <c r="A112" s="4">
        <v>54110</v>
      </c>
      <c r="B112" s="2" t="s">
        <v>108</v>
      </c>
      <c r="C112" s="2"/>
      <c r="D112" s="3" t="s">
        <v>42</v>
      </c>
      <c r="E112" s="3" t="s">
        <v>29</v>
      </c>
      <c r="F112" s="3" t="s">
        <v>30</v>
      </c>
      <c r="G112" s="305">
        <f>'DIC-18'!I112</f>
        <v>0</v>
      </c>
      <c r="H112" s="51"/>
      <c r="I112" s="17">
        <f t="shared" si="2"/>
        <v>0</v>
      </c>
      <c r="J112" s="33"/>
      <c r="K112" s="29"/>
    </row>
    <row r="113" spans="1:11">
      <c r="A113" s="4">
        <v>54199</v>
      </c>
      <c r="B113" s="2" t="s">
        <v>61</v>
      </c>
      <c r="C113" s="2"/>
      <c r="D113" s="3" t="s">
        <v>42</v>
      </c>
      <c r="E113" s="3" t="s">
        <v>29</v>
      </c>
      <c r="F113" s="3" t="s">
        <v>106</v>
      </c>
      <c r="G113" s="305">
        <f>'DIC-18'!I113</f>
        <v>0</v>
      </c>
      <c r="H113" s="51"/>
      <c r="I113" s="17">
        <f t="shared" si="2"/>
        <v>0</v>
      </c>
      <c r="J113" s="35"/>
      <c r="K113" s="29"/>
    </row>
    <row r="114" spans="1:11">
      <c r="A114" s="4">
        <v>54201</v>
      </c>
      <c r="B114" s="2" t="s">
        <v>62</v>
      </c>
      <c r="C114" s="2"/>
      <c r="D114" s="3" t="s">
        <v>42</v>
      </c>
      <c r="E114" s="3" t="s">
        <v>29</v>
      </c>
      <c r="F114" s="3" t="s">
        <v>106</v>
      </c>
      <c r="G114" s="305">
        <f>'DIC-18'!I114</f>
        <v>-1.8189894035458565E-12</v>
      </c>
      <c r="H114" s="51"/>
      <c r="I114" s="17">
        <f t="shared" si="2"/>
        <v>-1.8189894035458565E-12</v>
      </c>
      <c r="J114" s="358"/>
      <c r="K114" s="29"/>
    </row>
    <row r="115" spans="1:11">
      <c r="A115" s="4">
        <v>54202</v>
      </c>
      <c r="B115" s="2" t="s">
        <v>109</v>
      </c>
      <c r="C115" s="2"/>
      <c r="D115" s="3" t="s">
        <v>42</v>
      </c>
      <c r="E115" s="3" t="s">
        <v>29</v>
      </c>
      <c r="F115" s="3" t="s">
        <v>106</v>
      </c>
      <c r="G115" s="305">
        <f>'DIC-18'!I115</f>
        <v>1111.8600000000001</v>
      </c>
      <c r="H115" s="51"/>
      <c r="I115" s="17">
        <f t="shared" si="2"/>
        <v>1111.8600000000001</v>
      </c>
      <c r="J115" s="18"/>
      <c r="K115" s="29"/>
    </row>
    <row r="116" spans="1:11">
      <c r="A116" s="4">
        <v>54203</v>
      </c>
      <c r="B116" s="2" t="s">
        <v>64</v>
      </c>
      <c r="C116" s="2"/>
      <c r="D116" s="3" t="s">
        <v>42</v>
      </c>
      <c r="E116" s="3" t="s">
        <v>29</v>
      </c>
      <c r="F116" s="3" t="s">
        <v>106</v>
      </c>
      <c r="G116" s="305">
        <f>'DIC-18'!I116</f>
        <v>2.2737367544323206E-13</v>
      </c>
      <c r="H116" s="51"/>
      <c r="I116" s="17">
        <f t="shared" si="2"/>
        <v>2.2737367544323206E-13</v>
      </c>
      <c r="J116" s="358"/>
      <c r="K116" s="29"/>
    </row>
    <row r="117" spans="1:11">
      <c r="A117" s="4">
        <v>54302</v>
      </c>
      <c r="B117" s="5" t="s">
        <v>136</v>
      </c>
      <c r="C117" s="2"/>
      <c r="D117" s="3" t="s">
        <v>42</v>
      </c>
      <c r="E117" s="3" t="s">
        <v>29</v>
      </c>
      <c r="F117" s="3" t="s">
        <v>106</v>
      </c>
      <c r="G117" s="305">
        <f>'DIC-18'!I117</f>
        <v>1</v>
      </c>
      <c r="H117" s="51"/>
      <c r="I117" s="17">
        <f t="shared" si="2"/>
        <v>1</v>
      </c>
      <c r="J117" s="35"/>
      <c r="K117" s="29"/>
    </row>
    <row r="118" spans="1:11" ht="30">
      <c r="A118" s="4">
        <v>54313</v>
      </c>
      <c r="B118" s="5" t="s">
        <v>1054</v>
      </c>
      <c r="C118" s="2"/>
      <c r="D118" s="3" t="s">
        <v>42</v>
      </c>
      <c r="E118" s="3" t="s">
        <v>29</v>
      </c>
      <c r="F118" s="3" t="s">
        <v>106</v>
      </c>
      <c r="G118" s="305">
        <f>'DIC-18'!I118</f>
        <v>0</v>
      </c>
      <c r="H118" s="51"/>
      <c r="I118" s="17">
        <f t="shared" si="2"/>
        <v>0</v>
      </c>
      <c r="J118" s="35"/>
      <c r="K118" s="29"/>
    </row>
    <row r="119" spans="1:11" ht="21.75" customHeight="1">
      <c r="A119" s="4">
        <v>54503</v>
      </c>
      <c r="B119" s="314" t="s">
        <v>1088</v>
      </c>
      <c r="C119" s="313"/>
      <c r="D119" s="3" t="s">
        <v>42</v>
      </c>
      <c r="E119" s="3" t="s">
        <v>29</v>
      </c>
      <c r="F119" s="3" t="s">
        <v>106</v>
      </c>
      <c r="G119" s="305">
        <f>'DIC-18'!I119</f>
        <v>0</v>
      </c>
      <c r="H119" s="51"/>
      <c r="I119" s="17">
        <f t="shared" si="2"/>
        <v>0</v>
      </c>
      <c r="J119" s="35"/>
      <c r="K119" s="29"/>
    </row>
    <row r="120" spans="1:11" ht="22.5" customHeight="1">
      <c r="A120" s="4">
        <v>55603</v>
      </c>
      <c r="B120" s="2" t="s">
        <v>6</v>
      </c>
      <c r="C120" s="2"/>
      <c r="D120" s="3" t="s">
        <v>42</v>
      </c>
      <c r="E120" s="3" t="s">
        <v>29</v>
      </c>
      <c r="F120" s="3" t="s">
        <v>106</v>
      </c>
      <c r="G120" s="305">
        <f>'DIC-18'!I120</f>
        <v>180.62</v>
      </c>
      <c r="H120" s="51"/>
      <c r="I120" s="17">
        <f t="shared" si="2"/>
        <v>180.62</v>
      </c>
      <c r="J120" s="35"/>
      <c r="K120" s="29"/>
    </row>
    <row r="121" spans="1:11" ht="24.75" customHeight="1">
      <c r="A121" s="4">
        <v>55799</v>
      </c>
      <c r="B121" s="5" t="s">
        <v>137</v>
      </c>
      <c r="C121" s="2"/>
      <c r="D121" s="3" t="s">
        <v>42</v>
      </c>
      <c r="E121" s="3" t="s">
        <v>29</v>
      </c>
      <c r="F121" s="3" t="s">
        <v>106</v>
      </c>
      <c r="G121" s="305">
        <f>'DIC-18'!I121</f>
        <v>70.710000000000036</v>
      </c>
      <c r="H121" s="51"/>
      <c r="I121" s="134">
        <f t="shared" si="2"/>
        <v>70.710000000000036</v>
      </c>
      <c r="J121" s="35"/>
      <c r="K121" s="29"/>
    </row>
    <row r="122" spans="1:11" ht="16.5" customHeight="1">
      <c r="A122" s="4" t="s">
        <v>110</v>
      </c>
      <c r="B122" s="5" t="s">
        <v>111</v>
      </c>
      <c r="C122" s="2"/>
      <c r="D122" s="3" t="s">
        <v>42</v>
      </c>
      <c r="E122" s="3" t="s">
        <v>29</v>
      </c>
      <c r="F122" s="3" t="s">
        <v>106</v>
      </c>
      <c r="G122" s="305">
        <f>'DIC-18'!I122</f>
        <v>1200</v>
      </c>
      <c r="H122" s="276"/>
      <c r="I122" s="17">
        <f t="shared" si="2"/>
        <v>1200</v>
      </c>
      <c r="J122" s="35"/>
      <c r="K122" s="35"/>
    </row>
    <row r="123" spans="1:11" ht="15.75" customHeight="1">
      <c r="A123" s="4" t="s">
        <v>112</v>
      </c>
      <c r="B123" s="5" t="s">
        <v>113</v>
      </c>
      <c r="C123" s="2"/>
      <c r="D123" s="3" t="s">
        <v>42</v>
      </c>
      <c r="E123" s="3" t="s">
        <v>29</v>
      </c>
      <c r="F123" s="3" t="s">
        <v>106</v>
      </c>
      <c r="G123" s="305">
        <f>'DIC-18'!I123</f>
        <v>500</v>
      </c>
      <c r="H123" s="51"/>
      <c r="I123" s="17">
        <f t="shared" si="2"/>
        <v>500</v>
      </c>
      <c r="J123" s="35"/>
      <c r="K123" s="35"/>
    </row>
    <row r="124" spans="1:11" ht="27">
      <c r="A124" s="4">
        <v>56301</v>
      </c>
      <c r="B124" s="5" t="s">
        <v>114</v>
      </c>
      <c r="C124" s="2"/>
      <c r="D124" s="3" t="s">
        <v>42</v>
      </c>
      <c r="E124" s="3" t="s">
        <v>29</v>
      </c>
      <c r="F124" s="3" t="s">
        <v>106</v>
      </c>
      <c r="G124" s="305">
        <f>'DIC-18'!I124</f>
        <v>0</v>
      </c>
      <c r="H124" s="51"/>
      <c r="I124" s="17">
        <f t="shared" si="2"/>
        <v>0</v>
      </c>
      <c r="J124" s="35"/>
      <c r="K124" s="35"/>
    </row>
    <row r="125" spans="1:11" ht="39.75" customHeight="1">
      <c r="A125" s="4"/>
      <c r="B125" s="5" t="s">
        <v>179</v>
      </c>
      <c r="C125" s="2"/>
      <c r="D125" s="3" t="s">
        <v>42</v>
      </c>
      <c r="E125" s="3" t="s">
        <v>29</v>
      </c>
      <c r="F125" s="3" t="s">
        <v>30</v>
      </c>
      <c r="G125" s="305">
        <f>'DIC-18'!I125</f>
        <v>0</v>
      </c>
      <c r="H125" s="51"/>
      <c r="I125" s="17">
        <f t="shared" si="2"/>
        <v>0</v>
      </c>
      <c r="J125" s="29"/>
      <c r="K125" s="30"/>
    </row>
    <row r="126" spans="1:11" ht="21">
      <c r="A126" s="38" t="s">
        <v>8</v>
      </c>
      <c r="B126" s="39" t="s">
        <v>115</v>
      </c>
      <c r="C126" s="39"/>
      <c r="D126" s="39" t="s">
        <v>42</v>
      </c>
      <c r="E126" s="39" t="s">
        <v>29</v>
      </c>
      <c r="F126" s="39" t="s">
        <v>30</v>
      </c>
      <c r="G126" s="305">
        <f>'DIC-18'!I126</f>
        <v>7340.2699999999686</v>
      </c>
      <c r="H126" s="95">
        <f>SUM(H102:H125)</f>
        <v>0</v>
      </c>
      <c r="I126" s="40">
        <f>G126-H126+J126-K126</f>
        <v>7340.2699999999686</v>
      </c>
      <c r="J126" s="107">
        <f>SUM(J102:J125)</f>
        <v>0</v>
      </c>
      <c r="K126" s="107">
        <f>SUM(K102:K125)</f>
        <v>0</v>
      </c>
    </row>
    <row r="127" spans="1:11">
      <c r="A127" s="4">
        <v>51101</v>
      </c>
      <c r="B127" s="2" t="s">
        <v>180</v>
      </c>
      <c r="C127" s="2"/>
      <c r="D127" s="3" t="s">
        <v>94</v>
      </c>
      <c r="E127" s="3" t="s">
        <v>29</v>
      </c>
      <c r="F127" s="3" t="s">
        <v>106</v>
      </c>
      <c r="G127" s="305">
        <f>'DIC-18'!I127</f>
        <v>3122.1600000000144</v>
      </c>
      <c r="H127" s="51"/>
      <c r="I127" s="17">
        <f t="shared" si="2"/>
        <v>3122.1600000000144</v>
      </c>
      <c r="J127" s="30"/>
      <c r="K127" s="35"/>
    </row>
    <row r="128" spans="1:11">
      <c r="A128" s="4">
        <v>51103</v>
      </c>
      <c r="B128" s="2" t="s">
        <v>181</v>
      </c>
      <c r="C128" s="2"/>
      <c r="D128" s="3" t="s">
        <v>94</v>
      </c>
      <c r="E128" s="3" t="s">
        <v>29</v>
      </c>
      <c r="F128" s="3" t="s">
        <v>106</v>
      </c>
      <c r="G128" s="305">
        <f>'DIC-18'!I128</f>
        <v>0</v>
      </c>
      <c r="H128" s="51"/>
      <c r="I128" s="17">
        <f t="shared" si="2"/>
        <v>0</v>
      </c>
      <c r="J128" s="30"/>
      <c r="K128" s="29"/>
    </row>
    <row r="129" spans="1:11" ht="30">
      <c r="A129" s="4">
        <v>51107</v>
      </c>
      <c r="B129" s="382" t="s">
        <v>1172</v>
      </c>
      <c r="C129" s="2"/>
      <c r="D129" s="3" t="s">
        <v>94</v>
      </c>
      <c r="E129" s="3" t="s">
        <v>29</v>
      </c>
      <c r="F129" s="3" t="s">
        <v>106</v>
      </c>
      <c r="G129" s="305">
        <f>'DIC-18'!I129</f>
        <v>550</v>
      </c>
      <c r="H129" s="51"/>
      <c r="I129" s="17">
        <f t="shared" si="2"/>
        <v>550</v>
      </c>
      <c r="J129" s="30"/>
      <c r="K129" s="29"/>
    </row>
    <row r="130" spans="1:11">
      <c r="A130" s="4">
        <v>51201</v>
      </c>
      <c r="B130" s="2" t="s">
        <v>44</v>
      </c>
      <c r="C130" s="2"/>
      <c r="D130" s="3" t="s">
        <v>94</v>
      </c>
      <c r="E130" s="3" t="s">
        <v>29</v>
      </c>
      <c r="F130" s="3" t="s">
        <v>30</v>
      </c>
      <c r="G130" s="305">
        <f>'DIC-18'!I130</f>
        <v>1716.06</v>
      </c>
      <c r="H130" s="51"/>
      <c r="I130" s="17">
        <f t="shared" si="2"/>
        <v>1716.06</v>
      </c>
      <c r="J130" s="30"/>
      <c r="K130" s="29"/>
    </row>
    <row r="131" spans="1:11">
      <c r="A131" s="4">
        <v>51301</v>
      </c>
      <c r="B131" s="2" t="s">
        <v>45</v>
      </c>
      <c r="C131" s="2"/>
      <c r="D131" s="3" t="s">
        <v>94</v>
      </c>
      <c r="E131" s="3" t="s">
        <v>29</v>
      </c>
      <c r="F131" s="3" t="s">
        <v>30</v>
      </c>
      <c r="G131" s="305">
        <f>'DIC-18'!I131</f>
        <v>431.43000000000029</v>
      </c>
      <c r="H131" s="51"/>
      <c r="I131" s="17">
        <f t="shared" si="2"/>
        <v>431.43000000000029</v>
      </c>
      <c r="J131" s="30"/>
      <c r="K131" s="29"/>
    </row>
    <row r="132" spans="1:11">
      <c r="A132" s="4">
        <v>51999</v>
      </c>
      <c r="B132" s="2" t="s">
        <v>47</v>
      </c>
      <c r="C132" s="2"/>
      <c r="D132" s="3" t="s">
        <v>94</v>
      </c>
      <c r="E132" s="3" t="s">
        <v>29</v>
      </c>
      <c r="F132" s="3" t="s">
        <v>30</v>
      </c>
      <c r="G132" s="305">
        <f>'DIC-18'!I132</f>
        <v>450</v>
      </c>
      <c r="H132" s="51"/>
      <c r="I132" s="17">
        <f t="shared" si="2"/>
        <v>450</v>
      </c>
      <c r="J132" s="30"/>
      <c r="K132" s="29"/>
    </row>
    <row r="133" spans="1:11" ht="25.5">
      <c r="A133" s="4">
        <v>51401</v>
      </c>
      <c r="B133" s="5" t="s">
        <v>138</v>
      </c>
      <c r="C133" s="2"/>
      <c r="D133" s="3" t="s">
        <v>94</v>
      </c>
      <c r="E133" s="3" t="s">
        <v>29</v>
      </c>
      <c r="F133" s="3" t="s">
        <v>106</v>
      </c>
      <c r="G133" s="305">
        <f>'DIC-18'!I133</f>
        <v>422.88999999999942</v>
      </c>
      <c r="H133" s="51"/>
      <c r="I133" s="17">
        <f t="shared" si="2"/>
        <v>422.88999999999942</v>
      </c>
      <c r="J133" s="35"/>
      <c r="K133" s="34"/>
    </row>
    <row r="134" spans="1:11" ht="33" customHeight="1">
      <c r="A134" s="4">
        <v>51501</v>
      </c>
      <c r="B134" s="5" t="s">
        <v>182</v>
      </c>
      <c r="C134" s="2"/>
      <c r="D134" s="3" t="s">
        <v>94</v>
      </c>
      <c r="E134" s="3" t="s">
        <v>29</v>
      </c>
      <c r="F134" s="3" t="s">
        <v>30</v>
      </c>
      <c r="G134" s="305">
        <f>'DIC-18'!I134</f>
        <v>817.05000000000007</v>
      </c>
      <c r="H134" s="51"/>
      <c r="I134" s="17">
        <f t="shared" si="2"/>
        <v>817.05000000000007</v>
      </c>
      <c r="J134" s="35"/>
      <c r="K134" s="27"/>
    </row>
    <row r="135" spans="1:11">
      <c r="A135" s="4">
        <v>54105</v>
      </c>
      <c r="B135" s="2" t="s">
        <v>116</v>
      </c>
      <c r="C135" s="2"/>
      <c r="D135" s="3" t="s">
        <v>94</v>
      </c>
      <c r="E135" s="3" t="s">
        <v>29</v>
      </c>
      <c r="F135" s="3" t="s">
        <v>30</v>
      </c>
      <c r="G135" s="305">
        <f>'DIC-18'!I135</f>
        <v>2827.65</v>
      </c>
      <c r="H135" s="51"/>
      <c r="I135" s="17">
        <f t="shared" si="2"/>
        <v>2827.65</v>
      </c>
      <c r="J135" s="30"/>
      <c r="K135" s="29"/>
    </row>
    <row r="136" spans="1:11">
      <c r="A136" s="4">
        <v>54114</v>
      </c>
      <c r="B136" s="2" t="s">
        <v>56</v>
      </c>
      <c r="C136" s="2"/>
      <c r="D136" s="3" t="s">
        <v>94</v>
      </c>
      <c r="E136" s="3" t="s">
        <v>29</v>
      </c>
      <c r="F136" s="3" t="s">
        <v>30</v>
      </c>
      <c r="G136" s="305">
        <f>'DIC-18'!I136</f>
        <v>2214.58</v>
      </c>
      <c r="H136" s="51"/>
      <c r="I136" s="17">
        <f t="shared" si="2"/>
        <v>2214.58</v>
      </c>
      <c r="J136" s="35"/>
      <c r="K136" s="35"/>
    </row>
    <row r="137" spans="1:11">
      <c r="A137" s="4">
        <v>54115</v>
      </c>
      <c r="B137" s="2" t="s">
        <v>57</v>
      </c>
      <c r="C137" s="2"/>
      <c r="D137" s="3" t="s">
        <v>94</v>
      </c>
      <c r="E137" s="3" t="s">
        <v>29</v>
      </c>
      <c r="F137" s="3" t="s">
        <v>30</v>
      </c>
      <c r="G137" s="305">
        <f>'DIC-18'!I137</f>
        <v>1739.06</v>
      </c>
      <c r="H137" s="51"/>
      <c r="I137" s="17">
        <f t="shared" si="2"/>
        <v>1739.06</v>
      </c>
      <c r="J137" s="29"/>
      <c r="K137" s="28"/>
    </row>
    <row r="138" spans="1:11" ht="21">
      <c r="A138" s="38" t="s">
        <v>8</v>
      </c>
      <c r="B138" s="39" t="s">
        <v>117</v>
      </c>
      <c r="C138" s="39"/>
      <c r="D138" s="39" t="s">
        <v>94</v>
      </c>
      <c r="E138" s="39" t="s">
        <v>29</v>
      </c>
      <c r="F138" s="39" t="s">
        <v>30</v>
      </c>
      <c r="G138" s="305">
        <f>'DIC-18'!I138</f>
        <v>14290.880000000019</v>
      </c>
      <c r="H138" s="95">
        <f>SUM(H127:H137)</f>
        <v>0</v>
      </c>
      <c r="I138" s="40">
        <f>G138-H138+J138-K138</f>
        <v>14290.880000000019</v>
      </c>
      <c r="J138" s="107">
        <f>SUM(J127:J137)</f>
        <v>0</v>
      </c>
      <c r="K138" s="107">
        <f>SUM(K127:K137)</f>
        <v>0</v>
      </c>
    </row>
    <row r="139" spans="1:11">
      <c r="A139" s="4">
        <v>51101</v>
      </c>
      <c r="B139" s="2" t="s">
        <v>183</v>
      </c>
      <c r="C139" s="2"/>
      <c r="D139" s="3" t="s">
        <v>97</v>
      </c>
      <c r="E139" s="3" t="s">
        <v>29</v>
      </c>
      <c r="F139" s="3" t="s">
        <v>106</v>
      </c>
      <c r="G139" s="305">
        <f>'DIC-18'!I139</f>
        <v>2.205524651799351E-11</v>
      </c>
      <c r="H139" s="51"/>
      <c r="I139" s="17">
        <f t="shared" si="2"/>
        <v>2.205524651799351E-11</v>
      </c>
      <c r="J139" s="30"/>
      <c r="K139" s="35"/>
    </row>
    <row r="140" spans="1:11">
      <c r="A140" s="4">
        <v>51103</v>
      </c>
      <c r="B140" s="2" t="s">
        <v>181</v>
      </c>
      <c r="C140" s="2"/>
      <c r="D140" s="3" t="s">
        <v>97</v>
      </c>
      <c r="E140" s="3" t="s">
        <v>29</v>
      </c>
      <c r="F140" s="3" t="s">
        <v>106</v>
      </c>
      <c r="G140" s="305">
        <f>'DIC-18'!I140</f>
        <v>0</v>
      </c>
      <c r="H140" s="51"/>
      <c r="I140" s="248">
        <f>G140-H140+J140-K140</f>
        <v>0</v>
      </c>
      <c r="J140" s="30"/>
      <c r="K140" s="30"/>
    </row>
    <row r="141" spans="1:11">
      <c r="A141" s="4">
        <v>51107</v>
      </c>
      <c r="B141" s="2" t="s">
        <v>1169</v>
      </c>
      <c r="C141" s="2"/>
      <c r="D141" s="3" t="s">
        <v>97</v>
      </c>
      <c r="E141" s="3" t="s">
        <v>29</v>
      </c>
      <c r="F141" s="3" t="s">
        <v>30</v>
      </c>
      <c r="G141" s="305">
        <f>'DIC-18'!I141</f>
        <v>1725.5</v>
      </c>
      <c r="H141" s="51"/>
      <c r="I141" s="17">
        <f t="shared" si="2"/>
        <v>1725.5</v>
      </c>
      <c r="J141" s="30"/>
      <c r="K141" s="395"/>
    </row>
    <row r="142" spans="1:11">
      <c r="A142" s="4">
        <v>51201</v>
      </c>
      <c r="B142" s="2" t="s">
        <v>119</v>
      </c>
      <c r="C142" s="2"/>
      <c r="D142" s="3" t="s">
        <v>97</v>
      </c>
      <c r="E142" s="3" t="s">
        <v>29</v>
      </c>
      <c r="F142" s="3" t="s">
        <v>30</v>
      </c>
      <c r="G142" s="305">
        <f>'DIC-18'!I142</f>
        <v>1174.17</v>
      </c>
      <c r="H142" s="51"/>
      <c r="I142" s="17">
        <f t="shared" si="2"/>
        <v>1174.17</v>
      </c>
      <c r="J142" s="445"/>
      <c r="K142" s="277"/>
    </row>
    <row r="143" spans="1:11">
      <c r="A143" s="4">
        <v>51301</v>
      </c>
      <c r="B143" s="2" t="s">
        <v>45</v>
      </c>
      <c r="C143" s="2"/>
      <c r="D143" s="3" t="s">
        <v>97</v>
      </c>
      <c r="E143" s="3" t="s">
        <v>29</v>
      </c>
      <c r="F143" s="3" t="s">
        <v>106</v>
      </c>
      <c r="G143" s="305">
        <f>'DIC-18'!I143</f>
        <v>595.92999999999893</v>
      </c>
      <c r="H143" s="51"/>
      <c r="I143" s="17">
        <f t="shared" si="2"/>
        <v>595.92999999999893</v>
      </c>
      <c r="J143" s="20"/>
      <c r="K143" s="35"/>
    </row>
    <row r="144" spans="1:11" ht="34.5" customHeight="1">
      <c r="A144" s="4">
        <v>51401</v>
      </c>
      <c r="B144" s="5" t="s">
        <v>139</v>
      </c>
      <c r="C144" s="2"/>
      <c r="D144" s="3" t="s">
        <v>97</v>
      </c>
      <c r="E144" s="3" t="s">
        <v>29</v>
      </c>
      <c r="F144" s="3" t="s">
        <v>106</v>
      </c>
      <c r="G144" s="305">
        <f>'DIC-18'!I144</f>
        <v>1364.8800000000015</v>
      </c>
      <c r="H144" s="51"/>
      <c r="I144" s="17">
        <f t="shared" si="2"/>
        <v>1364.8800000000015</v>
      </c>
      <c r="J144" s="35"/>
      <c r="K144" s="35"/>
    </row>
    <row r="145" spans="1:11" ht="45" customHeight="1">
      <c r="A145" s="4">
        <v>51501</v>
      </c>
      <c r="B145" s="5" t="s">
        <v>185</v>
      </c>
      <c r="C145" s="2"/>
      <c r="D145" s="3" t="s">
        <v>97</v>
      </c>
      <c r="E145" s="3" t="s">
        <v>29</v>
      </c>
      <c r="F145" s="3" t="s">
        <v>106</v>
      </c>
      <c r="G145" s="305">
        <f>'DIC-18'!I145</f>
        <v>2264.7199999999993</v>
      </c>
      <c r="H145" s="51"/>
      <c r="I145" s="17">
        <f t="shared" si="2"/>
        <v>2264.7199999999993</v>
      </c>
      <c r="J145" s="35"/>
      <c r="K145" s="35"/>
    </row>
    <row r="146" spans="1:11" ht="20.25" customHeight="1">
      <c r="A146" s="4">
        <v>54110</v>
      </c>
      <c r="B146" s="5" t="s">
        <v>108</v>
      </c>
      <c r="C146" s="2"/>
      <c r="D146" s="3" t="s">
        <v>97</v>
      </c>
      <c r="E146" s="3" t="s">
        <v>29</v>
      </c>
      <c r="F146" s="3" t="s">
        <v>106</v>
      </c>
      <c r="G146" s="305">
        <f>'DIC-18'!I146</f>
        <v>1</v>
      </c>
      <c r="H146" s="51"/>
      <c r="I146" s="17">
        <f t="shared" si="2"/>
        <v>1</v>
      </c>
      <c r="J146" s="35"/>
      <c r="K146" s="35"/>
    </row>
    <row r="147" spans="1:11">
      <c r="A147" s="4">
        <v>54121</v>
      </c>
      <c r="B147" s="2" t="s">
        <v>120</v>
      </c>
      <c r="C147" s="2"/>
      <c r="D147" s="3" t="s">
        <v>97</v>
      </c>
      <c r="E147" s="3" t="s">
        <v>29</v>
      </c>
      <c r="F147" s="3" t="s">
        <v>106</v>
      </c>
      <c r="G147" s="305">
        <f>'DIC-18'!I147</f>
        <v>657</v>
      </c>
      <c r="H147" s="51"/>
      <c r="I147" s="17">
        <f t="shared" si="2"/>
        <v>657</v>
      </c>
      <c r="J147" s="35"/>
      <c r="K147" s="29"/>
    </row>
    <row r="148" spans="1:11">
      <c r="A148" s="4">
        <v>54301</v>
      </c>
      <c r="B148" s="2" t="s">
        <v>140</v>
      </c>
      <c r="C148" s="2"/>
      <c r="D148" s="3" t="s">
        <v>97</v>
      </c>
      <c r="E148" s="3" t="s">
        <v>29</v>
      </c>
      <c r="F148" s="3" t="s">
        <v>106</v>
      </c>
      <c r="G148" s="305">
        <f>'DIC-18'!I148</f>
        <v>1</v>
      </c>
      <c r="H148" s="51"/>
      <c r="I148" s="17">
        <f t="shared" si="2"/>
        <v>1</v>
      </c>
      <c r="J148" s="35"/>
      <c r="K148" s="29"/>
    </row>
    <row r="149" spans="1:11">
      <c r="A149" s="4">
        <v>54302</v>
      </c>
      <c r="B149" s="2" t="s">
        <v>121</v>
      </c>
      <c r="C149" s="2"/>
      <c r="D149" s="3" t="s">
        <v>122</v>
      </c>
      <c r="E149" s="3" t="s">
        <v>29</v>
      </c>
      <c r="F149" s="3" t="s">
        <v>30</v>
      </c>
      <c r="G149" s="305">
        <f>'DIC-18'!I149</f>
        <v>1</v>
      </c>
      <c r="H149" s="51"/>
      <c r="I149" s="17">
        <f t="shared" si="2"/>
        <v>1</v>
      </c>
      <c r="J149" s="35"/>
      <c r="K149" s="29"/>
    </row>
    <row r="150" spans="1:11" ht="45">
      <c r="A150" s="4">
        <v>54505</v>
      </c>
      <c r="B150" s="7" t="s">
        <v>1055</v>
      </c>
      <c r="C150" s="2"/>
      <c r="D150" s="3" t="s">
        <v>122</v>
      </c>
      <c r="E150" s="3" t="s">
        <v>29</v>
      </c>
      <c r="F150" s="3" t="s">
        <v>30</v>
      </c>
      <c r="G150" s="305">
        <f>'DIC-18'!I150</f>
        <v>25</v>
      </c>
      <c r="H150" s="51"/>
      <c r="I150" s="17">
        <f>G150-H150+J150-K150</f>
        <v>25</v>
      </c>
      <c r="J150" s="22"/>
      <c r="K150" s="29"/>
    </row>
    <row r="151" spans="1:11" ht="21">
      <c r="A151" s="38" t="s">
        <v>8</v>
      </c>
      <c r="B151" s="39" t="s">
        <v>123</v>
      </c>
      <c r="C151" s="39"/>
      <c r="D151" s="39" t="s">
        <v>97</v>
      </c>
      <c r="E151" s="39" t="s">
        <v>29</v>
      </c>
      <c r="F151" s="39" t="s">
        <v>30</v>
      </c>
      <c r="G151" s="305">
        <f>'DIC-18'!I151</f>
        <v>7810.2000000000207</v>
      </c>
      <c r="H151" s="95">
        <f>SUM(H139:H150)</f>
        <v>0</v>
      </c>
      <c r="I151" s="40">
        <f>G151-H151+J151-K151</f>
        <v>7810.2000000000207</v>
      </c>
      <c r="J151" s="107">
        <f>SUM(J141:J150)</f>
        <v>0</v>
      </c>
      <c r="K151" s="107">
        <f>SUM(K139:K150)</f>
        <v>0</v>
      </c>
    </row>
    <row r="152" spans="1:11">
      <c r="A152" s="1">
        <v>54305</v>
      </c>
      <c r="B152" s="2" t="s">
        <v>0</v>
      </c>
      <c r="C152" s="2"/>
      <c r="D152" s="3" t="s">
        <v>1</v>
      </c>
      <c r="E152" s="3" t="s">
        <v>25</v>
      </c>
      <c r="F152" s="3" t="s">
        <v>26</v>
      </c>
      <c r="G152" s="305">
        <f>'DIC-18'!I152</f>
        <v>0</v>
      </c>
      <c r="H152" s="51"/>
      <c r="I152" s="17">
        <f t="shared" ref="I152:I288" si="3">G152-H152+J152-K152</f>
        <v>0</v>
      </c>
      <c r="J152" s="37"/>
      <c r="K152" s="446"/>
    </row>
    <row r="153" spans="1:11" ht="30.75" customHeight="1">
      <c r="A153" s="4">
        <v>54313</v>
      </c>
      <c r="B153" s="5" t="s">
        <v>2</v>
      </c>
      <c r="C153" s="5"/>
      <c r="D153" s="3" t="s">
        <v>1</v>
      </c>
      <c r="E153" s="3" t="s">
        <v>25</v>
      </c>
      <c r="F153" s="3" t="s">
        <v>26</v>
      </c>
      <c r="G153" s="305">
        <f>'DIC-18'!I153</f>
        <v>1246.32</v>
      </c>
      <c r="H153" s="51"/>
      <c r="I153" s="17">
        <f t="shared" si="3"/>
        <v>1246.32</v>
      </c>
      <c r="J153" s="37"/>
      <c r="K153" s="446"/>
    </row>
    <row r="154" spans="1:11">
      <c r="A154" s="4">
        <v>54503</v>
      </c>
      <c r="B154" s="5" t="s">
        <v>3</v>
      </c>
      <c r="C154" s="2"/>
      <c r="D154" s="3" t="s">
        <v>1</v>
      </c>
      <c r="E154" s="3" t="s">
        <v>25</v>
      </c>
      <c r="F154" s="3" t="s">
        <v>26</v>
      </c>
      <c r="G154" s="305">
        <f>'DIC-18'!I154</f>
        <v>2000</v>
      </c>
      <c r="H154" s="51"/>
      <c r="I154" s="17">
        <f t="shared" si="3"/>
        <v>2000</v>
      </c>
      <c r="J154" s="37"/>
      <c r="K154" s="446"/>
    </row>
    <row r="155" spans="1:11">
      <c r="A155" s="4">
        <v>54505</v>
      </c>
      <c r="B155" s="2" t="s">
        <v>4</v>
      </c>
      <c r="C155" s="2"/>
      <c r="D155" s="3" t="s">
        <v>1</v>
      </c>
      <c r="E155" s="3" t="s">
        <v>25</v>
      </c>
      <c r="F155" s="3" t="s">
        <v>27</v>
      </c>
      <c r="G155" s="305">
        <f>'DIC-18'!I155</f>
        <v>500</v>
      </c>
      <c r="H155" s="51"/>
      <c r="I155" s="17">
        <f t="shared" si="3"/>
        <v>500</v>
      </c>
      <c r="J155" s="37"/>
      <c r="K155" s="446"/>
    </row>
    <row r="156" spans="1:11" ht="30">
      <c r="A156" s="11">
        <v>54599</v>
      </c>
      <c r="B156" s="54" t="s">
        <v>5</v>
      </c>
      <c r="C156" s="68"/>
      <c r="D156" s="14" t="s">
        <v>1</v>
      </c>
      <c r="E156" s="14" t="s">
        <v>25</v>
      </c>
      <c r="F156" s="14" t="s">
        <v>27</v>
      </c>
      <c r="G156" s="305">
        <f>'DIC-18'!I156</f>
        <v>1867.6099999999997</v>
      </c>
      <c r="H156" s="51"/>
      <c r="I156" s="17">
        <f t="shared" si="3"/>
        <v>1867.6099999999997</v>
      </c>
      <c r="J156" s="108"/>
      <c r="K156" s="302"/>
    </row>
    <row r="157" spans="1:11">
      <c r="A157" s="11">
        <v>55603</v>
      </c>
      <c r="B157" s="54" t="s">
        <v>6</v>
      </c>
      <c r="C157" s="55"/>
      <c r="D157" s="14" t="s">
        <v>1</v>
      </c>
      <c r="E157" s="14" t="s">
        <v>25</v>
      </c>
      <c r="F157" s="14" t="s">
        <v>26</v>
      </c>
      <c r="G157" s="305">
        <f>'DIC-18'!I157</f>
        <v>97.4</v>
      </c>
      <c r="H157" s="51"/>
      <c r="I157" s="17">
        <f t="shared" si="3"/>
        <v>97.4</v>
      </c>
      <c r="J157" s="64"/>
      <c r="K157" s="65"/>
    </row>
    <row r="158" spans="1:11" ht="26.25">
      <c r="A158" s="4">
        <v>61599</v>
      </c>
      <c r="B158" s="5" t="s">
        <v>7</v>
      </c>
      <c r="C158" s="5"/>
      <c r="D158" s="3" t="s">
        <v>1</v>
      </c>
      <c r="E158" s="3" t="s">
        <v>25</v>
      </c>
      <c r="F158" s="3" t="s">
        <v>26</v>
      </c>
      <c r="G158" s="305">
        <f>'DIC-18'!I158</f>
        <v>687.83999999999992</v>
      </c>
      <c r="H158" s="51"/>
      <c r="I158" s="17">
        <f t="shared" si="3"/>
        <v>687.83999999999992</v>
      </c>
      <c r="J158" s="37"/>
      <c r="K158" s="36"/>
    </row>
    <row r="159" spans="1:11" ht="21">
      <c r="A159" s="38" t="s">
        <v>8</v>
      </c>
      <c r="B159" s="39" t="s">
        <v>9</v>
      </c>
      <c r="C159" s="39"/>
      <c r="D159" s="39" t="s">
        <v>1</v>
      </c>
      <c r="E159" s="39" t="s">
        <v>25</v>
      </c>
      <c r="F159" s="39" t="s">
        <v>27</v>
      </c>
      <c r="G159" s="305">
        <f>'DIC-18'!I159</f>
        <v>6399.1699999999983</v>
      </c>
      <c r="H159" s="95">
        <f>SUM(H152:H158)</f>
        <v>0</v>
      </c>
      <c r="I159" s="40">
        <f>G159-H159+J159-K159</f>
        <v>6399.1699999999983</v>
      </c>
      <c r="J159" s="107">
        <f>SUM(J152:J158)</f>
        <v>0</v>
      </c>
      <c r="K159" s="107">
        <f>SUM(K152:K158)</f>
        <v>0</v>
      </c>
    </row>
    <row r="160" spans="1:11" ht="28.5" customHeight="1">
      <c r="A160" s="367">
        <v>54104</v>
      </c>
      <c r="B160" s="7" t="s">
        <v>186</v>
      </c>
      <c r="C160" s="6"/>
      <c r="D160" s="3" t="s">
        <v>11</v>
      </c>
      <c r="E160" s="3" t="s">
        <v>25</v>
      </c>
      <c r="F160" s="3" t="s">
        <v>26</v>
      </c>
      <c r="G160" s="305">
        <f>'DIC-18'!I160</f>
        <v>3000</v>
      </c>
      <c r="H160" s="51"/>
      <c r="I160" s="17">
        <f t="shared" si="3"/>
        <v>3000</v>
      </c>
      <c r="J160" s="37"/>
      <c r="K160" s="36"/>
    </row>
    <row r="161" spans="1:11" ht="44.25" customHeight="1">
      <c r="A161" s="4">
        <v>54117</v>
      </c>
      <c r="B161" s="7" t="s">
        <v>187</v>
      </c>
      <c r="C161" s="6"/>
      <c r="D161" s="3" t="s">
        <v>11</v>
      </c>
      <c r="E161" s="3" t="s">
        <v>25</v>
      </c>
      <c r="F161" s="3" t="s">
        <v>26</v>
      </c>
      <c r="G161" s="305">
        <f>'DIC-18'!I161</f>
        <v>530.03</v>
      </c>
      <c r="H161" s="51"/>
      <c r="I161" s="17">
        <f t="shared" si="3"/>
        <v>530.03</v>
      </c>
      <c r="J161" s="37"/>
      <c r="K161" s="324"/>
    </row>
    <row r="162" spans="1:11" ht="30.75" customHeight="1">
      <c r="A162" s="4">
        <v>55603</v>
      </c>
      <c r="B162" s="5" t="s">
        <v>13</v>
      </c>
      <c r="C162" s="6"/>
      <c r="D162" s="3" t="s">
        <v>11</v>
      </c>
      <c r="E162" s="3" t="s">
        <v>25</v>
      </c>
      <c r="F162" s="3" t="s">
        <v>26</v>
      </c>
      <c r="G162" s="305">
        <f>'DIC-18'!I162</f>
        <v>761.28000000000009</v>
      </c>
      <c r="H162" s="51"/>
      <c r="I162" s="17">
        <f t="shared" si="3"/>
        <v>761.28000000000009</v>
      </c>
      <c r="J162" s="37"/>
      <c r="K162" s="385"/>
    </row>
    <row r="163" spans="1:11" ht="30.75" customHeight="1">
      <c r="A163" s="66" t="s">
        <v>14</v>
      </c>
      <c r="B163" s="67" t="s">
        <v>188</v>
      </c>
      <c r="C163" s="55"/>
      <c r="D163" s="14" t="s">
        <v>11</v>
      </c>
      <c r="E163" s="14" t="s">
        <v>25</v>
      </c>
      <c r="F163" s="50" t="s">
        <v>26</v>
      </c>
      <c r="G163" s="305">
        <f>'DIC-18'!I163</f>
        <v>519.66000000000031</v>
      </c>
      <c r="H163" s="51"/>
      <c r="I163" s="170">
        <f t="shared" si="3"/>
        <v>519.66000000000031</v>
      </c>
      <c r="J163" s="387"/>
      <c r="K163" s="54"/>
    </row>
    <row r="164" spans="1:11" ht="36.75" customHeight="1">
      <c r="A164" s="11">
        <v>61104</v>
      </c>
      <c r="B164" s="54" t="s">
        <v>189</v>
      </c>
      <c r="C164" s="55"/>
      <c r="D164" s="14" t="s">
        <v>11</v>
      </c>
      <c r="E164" s="14" t="s">
        <v>25</v>
      </c>
      <c r="F164" s="14" t="s">
        <v>27</v>
      </c>
      <c r="G164" s="305">
        <f>'DIC-18'!I164</f>
        <v>626.86000000000035</v>
      </c>
      <c r="H164" s="51"/>
      <c r="I164" s="17">
        <f t="shared" si="3"/>
        <v>626.86000000000035</v>
      </c>
      <c r="J164" s="62"/>
      <c r="K164" s="320"/>
    </row>
    <row r="165" spans="1:11" ht="31.5" customHeight="1">
      <c r="A165" s="11">
        <v>61109</v>
      </c>
      <c r="B165" s="54" t="s">
        <v>190</v>
      </c>
      <c r="C165" s="55"/>
      <c r="D165" s="14" t="s">
        <v>11</v>
      </c>
      <c r="E165" s="14" t="s">
        <v>25</v>
      </c>
      <c r="F165" s="14" t="s">
        <v>26</v>
      </c>
      <c r="G165" s="305">
        <f>'DIC-18'!I165</f>
        <v>673.5</v>
      </c>
      <c r="H165" s="51"/>
      <c r="I165" s="17">
        <f t="shared" si="3"/>
        <v>673.5</v>
      </c>
      <c r="J165" s="62"/>
      <c r="K165" s="387"/>
    </row>
    <row r="166" spans="1:11" ht="30.75" customHeight="1">
      <c r="A166" s="11" t="s">
        <v>160</v>
      </c>
      <c r="B166" s="54" t="s">
        <v>194</v>
      </c>
      <c r="C166" s="55"/>
      <c r="D166" s="14" t="s">
        <v>11</v>
      </c>
      <c r="E166" s="14" t="s">
        <v>25</v>
      </c>
      <c r="F166" s="14" t="s">
        <v>26</v>
      </c>
      <c r="G166" s="305">
        <f>'DIC-18'!I166</f>
        <v>0</v>
      </c>
      <c r="H166" s="51"/>
      <c r="I166" s="17">
        <f t="shared" si="3"/>
        <v>0</v>
      </c>
      <c r="J166" s="62"/>
      <c r="K166" s="63"/>
    </row>
    <row r="167" spans="1:11" ht="27.75" customHeight="1">
      <c r="A167" s="11" t="s">
        <v>191</v>
      </c>
      <c r="B167" s="54" t="s">
        <v>195</v>
      </c>
      <c r="C167" s="55"/>
      <c r="D167" s="14" t="s">
        <v>11</v>
      </c>
      <c r="E167" s="14" t="s">
        <v>25</v>
      </c>
      <c r="F167" s="14" t="s">
        <v>26</v>
      </c>
      <c r="G167" s="305">
        <f>'DIC-18'!I167</f>
        <v>0</v>
      </c>
      <c r="H167" s="51"/>
      <c r="I167" s="17">
        <f t="shared" si="3"/>
        <v>0</v>
      </c>
      <c r="J167" s="64"/>
      <c r="K167" s="385"/>
    </row>
    <row r="168" spans="1:11" ht="31.5" customHeight="1">
      <c r="A168" s="11" t="s">
        <v>192</v>
      </c>
      <c r="B168" s="53" t="s">
        <v>196</v>
      </c>
      <c r="C168" s="8"/>
      <c r="D168" s="3" t="s">
        <v>11</v>
      </c>
      <c r="E168" s="3" t="s">
        <v>25</v>
      </c>
      <c r="F168" s="3" t="s">
        <v>26</v>
      </c>
      <c r="G168" s="305">
        <f>'DIC-18'!I168</f>
        <v>2000</v>
      </c>
      <c r="H168" s="51"/>
      <c r="I168" s="17">
        <f t="shared" si="3"/>
        <v>2000</v>
      </c>
      <c r="J168" s="45"/>
      <c r="K168" s="385"/>
    </row>
    <row r="169" spans="1:11" ht="45" customHeight="1">
      <c r="A169" s="11" t="s">
        <v>193</v>
      </c>
      <c r="B169" s="53" t="s">
        <v>197</v>
      </c>
      <c r="C169" s="8"/>
      <c r="D169" s="3" t="s">
        <v>11</v>
      </c>
      <c r="E169" s="3" t="s">
        <v>25</v>
      </c>
      <c r="F169" s="3" t="s">
        <v>26</v>
      </c>
      <c r="G169" s="305">
        <f>'DIC-18'!I169</f>
        <v>10000</v>
      </c>
      <c r="H169" s="51"/>
      <c r="I169" s="17">
        <f t="shared" si="3"/>
        <v>10000</v>
      </c>
      <c r="J169" s="45"/>
      <c r="K169" s="46"/>
    </row>
    <row r="170" spans="1:11" ht="42.75" customHeight="1">
      <c r="A170" s="11" t="s">
        <v>198</v>
      </c>
      <c r="B170" s="53" t="s">
        <v>1029</v>
      </c>
      <c r="C170" s="6"/>
      <c r="D170" s="3" t="s">
        <v>11</v>
      </c>
      <c r="E170" s="3" t="s">
        <v>25</v>
      </c>
      <c r="F170" s="3" t="s">
        <v>26</v>
      </c>
      <c r="G170" s="305">
        <f>'DIC-18'!I170</f>
        <v>14000</v>
      </c>
      <c r="H170" s="51"/>
      <c r="I170" s="17">
        <f t="shared" si="3"/>
        <v>14000</v>
      </c>
      <c r="J170" s="45"/>
      <c r="K170" s="46"/>
    </row>
    <row r="171" spans="1:11" ht="85.5">
      <c r="A171" s="144" t="s">
        <v>200</v>
      </c>
      <c r="B171" s="54" t="s">
        <v>202</v>
      </c>
      <c r="C171" s="343" t="s">
        <v>1096</v>
      </c>
      <c r="D171" s="14" t="s">
        <v>11</v>
      </c>
      <c r="E171" s="14" t="s">
        <v>25</v>
      </c>
      <c r="F171" s="14" t="s">
        <v>26</v>
      </c>
      <c r="G171" s="305">
        <f>'DIC-18'!I171</f>
        <v>0</v>
      </c>
      <c r="H171" s="51"/>
      <c r="I171" s="17">
        <f t="shared" si="3"/>
        <v>0</v>
      </c>
      <c r="J171" s="64"/>
      <c r="K171" s="261"/>
    </row>
    <row r="172" spans="1:11" ht="36.75" customHeight="1">
      <c r="A172" s="11" t="s">
        <v>556</v>
      </c>
      <c r="B172" s="145" t="s">
        <v>1030</v>
      </c>
      <c r="C172" s="55" t="s">
        <v>1097</v>
      </c>
      <c r="D172" s="14" t="s">
        <v>11</v>
      </c>
      <c r="E172" s="14" t="s">
        <v>25</v>
      </c>
      <c r="F172" s="14" t="s">
        <v>26</v>
      </c>
      <c r="G172" s="305">
        <f>'DIC-18'!I172</f>
        <v>1708.6099999999974</v>
      </c>
      <c r="H172" s="51"/>
      <c r="I172" s="17">
        <f t="shared" si="3"/>
        <v>1708.6099999999974</v>
      </c>
      <c r="J172" s="108"/>
      <c r="K172" s="269"/>
    </row>
    <row r="173" spans="1:11" ht="36.75" customHeight="1">
      <c r="A173" s="11" t="s">
        <v>1241</v>
      </c>
      <c r="B173" s="250" t="s">
        <v>1242</v>
      </c>
      <c r="C173" s="55"/>
      <c r="D173" s="14" t="s">
        <v>11</v>
      </c>
      <c r="E173" s="14" t="s">
        <v>25</v>
      </c>
      <c r="F173" s="14" t="s">
        <v>26</v>
      </c>
      <c r="G173" s="305">
        <f>'DIC-18'!I173</f>
        <v>3000</v>
      </c>
      <c r="H173" s="51"/>
      <c r="I173" s="17">
        <f t="shared" si="3"/>
        <v>3000</v>
      </c>
      <c r="J173" s="108"/>
      <c r="K173" s="269"/>
    </row>
    <row r="174" spans="1:11" ht="36.75" customHeight="1">
      <c r="A174" s="144" t="s">
        <v>564</v>
      </c>
      <c r="B174" s="250" t="s">
        <v>1232</v>
      </c>
      <c r="C174" s="55"/>
      <c r="D174" s="14" t="s">
        <v>11</v>
      </c>
      <c r="E174" s="14" t="s">
        <v>25</v>
      </c>
      <c r="F174" s="14" t="s">
        <v>26</v>
      </c>
      <c r="G174" s="305">
        <f>'DIC-18'!I174</f>
        <v>66</v>
      </c>
      <c r="H174" s="51"/>
      <c r="I174" s="17">
        <f t="shared" si="3"/>
        <v>66</v>
      </c>
      <c r="J174" s="108"/>
      <c r="K174" s="269"/>
    </row>
    <row r="175" spans="1:11" ht="36.75" customHeight="1">
      <c r="A175" s="144" t="s">
        <v>1038</v>
      </c>
      <c r="B175" s="250" t="s">
        <v>1007</v>
      </c>
      <c r="C175" s="55" t="s">
        <v>1097</v>
      </c>
      <c r="D175" s="14" t="s">
        <v>11</v>
      </c>
      <c r="E175" s="14" t="s">
        <v>25</v>
      </c>
      <c r="F175" s="14" t="s">
        <v>26</v>
      </c>
      <c r="G175" s="305">
        <f>'DIC-18'!I175</f>
        <v>3298</v>
      </c>
      <c r="H175" s="51"/>
      <c r="I175" s="17">
        <f t="shared" si="3"/>
        <v>3298</v>
      </c>
      <c r="J175" s="108"/>
      <c r="K175" s="269"/>
    </row>
    <row r="176" spans="1:11" ht="36" customHeight="1">
      <c r="A176" s="144" t="s">
        <v>1138</v>
      </c>
      <c r="B176" s="250" t="s">
        <v>1139</v>
      </c>
      <c r="C176" s="55" t="s">
        <v>1097</v>
      </c>
      <c r="D176" s="14" t="s">
        <v>11</v>
      </c>
      <c r="E176" s="14" t="s">
        <v>25</v>
      </c>
      <c r="F176" s="14" t="s">
        <v>26</v>
      </c>
      <c r="G176" s="305">
        <f>'DIC-18'!I176</f>
        <v>2336.7199999999998</v>
      </c>
      <c r="H176" s="51"/>
      <c r="I176" s="17">
        <f t="shared" si="3"/>
        <v>2336.7199999999998</v>
      </c>
      <c r="J176" s="108"/>
      <c r="K176" s="269"/>
    </row>
    <row r="177" spans="1:11" ht="36" customHeight="1">
      <c r="A177" s="144" t="s">
        <v>1216</v>
      </c>
      <c r="B177" s="250" t="s">
        <v>1217</v>
      </c>
      <c r="C177" s="55" t="s">
        <v>1097</v>
      </c>
      <c r="D177" s="14" t="s">
        <v>11</v>
      </c>
      <c r="E177" s="14" t="s">
        <v>25</v>
      </c>
      <c r="F177" s="14" t="s">
        <v>26</v>
      </c>
      <c r="G177" s="305">
        <f>'DIC-18'!I177</f>
        <v>0</v>
      </c>
      <c r="H177" s="51"/>
      <c r="I177" s="17">
        <f t="shared" si="3"/>
        <v>0</v>
      </c>
      <c r="J177" s="108"/>
      <c r="K177" s="269"/>
    </row>
    <row r="178" spans="1:11" ht="38.25" customHeight="1">
      <c r="A178" s="144" t="s">
        <v>571</v>
      </c>
      <c r="B178" s="250" t="s">
        <v>1067</v>
      </c>
      <c r="C178" s="55" t="s">
        <v>1097</v>
      </c>
      <c r="D178" s="14" t="s">
        <v>11</v>
      </c>
      <c r="E178" s="14" t="s">
        <v>25</v>
      </c>
      <c r="F178" s="14" t="s">
        <v>26</v>
      </c>
      <c r="G178" s="305">
        <f>'DIC-18'!I178</f>
        <v>-7.9936057773011271E-15</v>
      </c>
      <c r="H178" s="51"/>
      <c r="I178" s="17">
        <f t="shared" si="3"/>
        <v>-7.9936057773011271E-15</v>
      </c>
      <c r="J178" s="108"/>
      <c r="K178" s="269"/>
    </row>
    <row r="179" spans="1:11" ht="38.25" customHeight="1">
      <c r="A179" s="144">
        <v>54599</v>
      </c>
      <c r="B179" s="250" t="s">
        <v>1184</v>
      </c>
      <c r="C179" s="55"/>
      <c r="D179" s="14" t="s">
        <v>11</v>
      </c>
      <c r="E179" s="14" t="s">
        <v>25</v>
      </c>
      <c r="F179" s="14" t="s">
        <v>26</v>
      </c>
      <c r="G179" s="305">
        <f>'DIC-18'!I179</f>
        <v>0</v>
      </c>
      <c r="H179" s="51"/>
      <c r="I179" s="17">
        <f t="shared" si="3"/>
        <v>0</v>
      </c>
      <c r="J179" s="108"/>
      <c r="K179" s="269"/>
    </row>
    <row r="180" spans="1:11" ht="40.5" customHeight="1">
      <c r="A180" s="144" t="s">
        <v>969</v>
      </c>
      <c r="B180" s="145" t="s">
        <v>1039</v>
      </c>
      <c r="C180" s="55" t="s">
        <v>1097</v>
      </c>
      <c r="D180" s="14" t="s">
        <v>11</v>
      </c>
      <c r="E180" s="14" t="s">
        <v>25</v>
      </c>
      <c r="F180" s="14" t="s">
        <v>26</v>
      </c>
      <c r="G180" s="305">
        <f>'DIC-18'!I180</f>
        <v>-4.4408920985006262E-16</v>
      </c>
      <c r="H180" s="51"/>
      <c r="I180" s="17">
        <f t="shared" si="3"/>
        <v>-4.4408920985006262E-16</v>
      </c>
      <c r="J180" s="108"/>
      <c r="K180" s="65"/>
    </row>
    <row r="181" spans="1:11" ht="106.5">
      <c r="A181" s="144" t="s">
        <v>201</v>
      </c>
      <c r="B181" s="54" t="s">
        <v>204</v>
      </c>
      <c r="C181" s="343" t="s">
        <v>1098</v>
      </c>
      <c r="D181" s="14" t="s">
        <v>11</v>
      </c>
      <c r="E181" s="14" t="s">
        <v>25</v>
      </c>
      <c r="F181" s="14" t="s">
        <v>26</v>
      </c>
      <c r="G181" s="305">
        <f>'DIC-18'!I181</f>
        <v>0</v>
      </c>
      <c r="H181" s="51"/>
      <c r="I181" s="17">
        <f t="shared" si="3"/>
        <v>0</v>
      </c>
      <c r="J181" s="62"/>
      <c r="K181" s="63"/>
    </row>
    <row r="182" spans="1:11" ht="19.5" customHeight="1">
      <c r="A182" s="11" t="s">
        <v>203</v>
      </c>
      <c r="B182" s="145" t="s">
        <v>206</v>
      </c>
      <c r="C182" s="55" t="s">
        <v>1099</v>
      </c>
      <c r="D182" s="14" t="s">
        <v>11</v>
      </c>
      <c r="E182" s="14" t="s">
        <v>25</v>
      </c>
      <c r="F182" s="14" t="s">
        <v>26</v>
      </c>
      <c r="G182" s="305">
        <f>'DIC-18'!I182</f>
        <v>287.48999999999751</v>
      </c>
      <c r="H182" s="51"/>
      <c r="I182" s="18">
        <f t="shared" si="3"/>
        <v>287.48999999999751</v>
      </c>
      <c r="J182" s="400"/>
      <c r="K182" s="65"/>
    </row>
    <row r="183" spans="1:11" ht="36">
      <c r="A183" s="11" t="s">
        <v>1041</v>
      </c>
      <c r="B183" s="145" t="s">
        <v>1042</v>
      </c>
      <c r="C183" s="55" t="s">
        <v>1099</v>
      </c>
      <c r="D183" s="14" t="s">
        <v>11</v>
      </c>
      <c r="E183" s="14" t="s">
        <v>25</v>
      </c>
      <c r="F183" s="14" t="s">
        <v>26</v>
      </c>
      <c r="G183" s="305">
        <f>'DIC-18'!I183</f>
        <v>0</v>
      </c>
      <c r="H183" s="51"/>
      <c r="I183" s="17">
        <f t="shared" si="3"/>
        <v>0</v>
      </c>
      <c r="J183" s="400"/>
      <c r="K183" s="65"/>
    </row>
    <row r="184" spans="1:11" ht="20.25" customHeight="1">
      <c r="A184" s="11" t="s">
        <v>205</v>
      </c>
      <c r="B184" s="145" t="s">
        <v>207</v>
      </c>
      <c r="C184" s="55" t="s">
        <v>1099</v>
      </c>
      <c r="D184" s="14" t="s">
        <v>11</v>
      </c>
      <c r="E184" s="14" t="s">
        <v>25</v>
      </c>
      <c r="F184" s="14" t="s">
        <v>26</v>
      </c>
      <c r="G184" s="305">
        <f>'DIC-18'!I184</f>
        <v>39.400000000000006</v>
      </c>
      <c r="H184" s="51"/>
      <c r="I184" s="17">
        <f t="shared" si="3"/>
        <v>39.400000000000006</v>
      </c>
      <c r="J184" s="456"/>
      <c r="K184" s="65"/>
    </row>
    <row r="185" spans="1:11" ht="36">
      <c r="A185" s="11" t="s">
        <v>208</v>
      </c>
      <c r="B185" s="145" t="s">
        <v>209</v>
      </c>
      <c r="C185" s="55" t="s">
        <v>1099</v>
      </c>
      <c r="D185" s="14" t="s">
        <v>11</v>
      </c>
      <c r="E185" s="14" t="s">
        <v>25</v>
      </c>
      <c r="F185" s="14" t="s">
        <v>26</v>
      </c>
      <c r="G185" s="305">
        <f>'DIC-18'!I185</f>
        <v>126.65999999999985</v>
      </c>
      <c r="H185" s="51"/>
      <c r="I185" s="18">
        <f t="shared" si="3"/>
        <v>126.65999999999985</v>
      </c>
      <c r="J185" s="400"/>
      <c r="K185" s="269"/>
    </row>
    <row r="186" spans="1:11" ht="24">
      <c r="A186" s="11" t="s">
        <v>210</v>
      </c>
      <c r="B186" s="145" t="s">
        <v>211</v>
      </c>
      <c r="C186" s="55" t="s">
        <v>1099</v>
      </c>
      <c r="D186" s="14" t="s">
        <v>11</v>
      </c>
      <c r="E186" s="14" t="s">
        <v>25</v>
      </c>
      <c r="F186" s="14" t="s">
        <v>26</v>
      </c>
      <c r="G186" s="305">
        <f>'DIC-18'!I186</f>
        <v>0</v>
      </c>
      <c r="H186" s="276"/>
      <c r="I186" s="17">
        <f t="shared" si="3"/>
        <v>0</v>
      </c>
      <c r="J186" s="108"/>
      <c r="K186" s="320"/>
    </row>
    <row r="187" spans="1:11" ht="34.5" customHeight="1">
      <c r="A187" s="11" t="s">
        <v>212</v>
      </c>
      <c r="B187" s="145" t="s">
        <v>213</v>
      </c>
      <c r="C187" s="55" t="s">
        <v>1099</v>
      </c>
      <c r="D187" s="3" t="s">
        <v>11</v>
      </c>
      <c r="E187" s="3" t="s">
        <v>25</v>
      </c>
      <c r="F187" s="3" t="s">
        <v>26</v>
      </c>
      <c r="G187" s="305">
        <f>'DIC-18'!I187</f>
        <v>3.0198066269804258E-14</v>
      </c>
      <c r="H187" s="51"/>
      <c r="I187" s="17">
        <f t="shared" si="3"/>
        <v>3.0198066269804258E-14</v>
      </c>
      <c r="J187" s="45"/>
      <c r="K187" s="270"/>
    </row>
    <row r="188" spans="1:11" ht="34.5" customHeight="1">
      <c r="A188" s="11" t="s">
        <v>1143</v>
      </c>
      <c r="B188" s="145" t="s">
        <v>1140</v>
      </c>
      <c r="C188" s="55" t="s">
        <v>1099</v>
      </c>
      <c r="D188" s="3" t="s">
        <v>11</v>
      </c>
      <c r="E188" s="3" t="s">
        <v>25</v>
      </c>
      <c r="F188" s="3" t="s">
        <v>26</v>
      </c>
      <c r="G188" s="305">
        <f>'DIC-18'!I188</f>
        <v>0</v>
      </c>
      <c r="H188" s="51"/>
      <c r="I188" s="17">
        <f t="shared" si="3"/>
        <v>0</v>
      </c>
      <c r="J188" s="126"/>
      <c r="K188" s="270"/>
    </row>
    <row r="189" spans="1:11" ht="37.5" customHeight="1">
      <c r="A189" s="11" t="s">
        <v>1043</v>
      </c>
      <c r="B189" s="145" t="s">
        <v>1044</v>
      </c>
      <c r="C189" s="55" t="s">
        <v>1099</v>
      </c>
      <c r="D189" s="3" t="s">
        <v>11</v>
      </c>
      <c r="E189" s="3" t="s">
        <v>25</v>
      </c>
      <c r="F189" s="3" t="s">
        <v>26</v>
      </c>
      <c r="G189" s="305">
        <f>'DIC-18'!I189</f>
        <v>-5.4622972811557702E-14</v>
      </c>
      <c r="H189" s="51"/>
      <c r="I189" s="17">
        <f t="shared" si="3"/>
        <v>-5.4622972811557702E-14</v>
      </c>
      <c r="J189" s="126"/>
      <c r="K189" s="324"/>
    </row>
    <row r="190" spans="1:11" ht="28.5" customHeight="1">
      <c r="A190" s="11" t="s">
        <v>215</v>
      </c>
      <c r="B190" s="145" t="s">
        <v>214</v>
      </c>
      <c r="C190" s="55" t="s">
        <v>1099</v>
      </c>
      <c r="D190" s="3" t="s">
        <v>11</v>
      </c>
      <c r="E190" s="3" t="s">
        <v>25</v>
      </c>
      <c r="F190" s="3" t="s">
        <v>26</v>
      </c>
      <c r="G190" s="305">
        <f>'DIC-18'!I190</f>
        <v>0</v>
      </c>
      <c r="H190" s="51"/>
      <c r="I190" s="17">
        <f t="shared" si="3"/>
        <v>0</v>
      </c>
      <c r="J190" s="45"/>
      <c r="K190" s="270"/>
    </row>
    <row r="191" spans="1:11" ht="27.75" customHeight="1">
      <c r="A191" s="11" t="s">
        <v>216</v>
      </c>
      <c r="B191" s="145" t="s">
        <v>217</v>
      </c>
      <c r="C191" s="55" t="s">
        <v>1099</v>
      </c>
      <c r="D191" s="3" t="s">
        <v>11</v>
      </c>
      <c r="E191" s="3" t="s">
        <v>25</v>
      </c>
      <c r="F191" s="3" t="s">
        <v>26</v>
      </c>
      <c r="G191" s="305">
        <f>'DIC-18'!I191</f>
        <v>32.059999999999633</v>
      </c>
      <c r="H191" s="51"/>
      <c r="I191" s="17">
        <f t="shared" si="3"/>
        <v>32.059999999999633</v>
      </c>
      <c r="J191" s="126"/>
      <c r="K191" s="270"/>
    </row>
    <row r="192" spans="1:11" ht="44.25" customHeight="1">
      <c r="A192" s="141" t="s">
        <v>1208</v>
      </c>
      <c r="B192" s="250" t="s">
        <v>1206</v>
      </c>
      <c r="C192" s="55"/>
      <c r="D192" s="3" t="s">
        <v>11</v>
      </c>
      <c r="E192" s="3" t="s">
        <v>25</v>
      </c>
      <c r="F192" s="3" t="s">
        <v>26</v>
      </c>
      <c r="G192" s="305">
        <f>'DIC-18'!I192</f>
        <v>4.5</v>
      </c>
      <c r="H192" s="51"/>
      <c r="I192" s="17">
        <f t="shared" si="3"/>
        <v>4.5</v>
      </c>
      <c r="J192" s="126"/>
      <c r="K192" s="270"/>
    </row>
    <row r="193" spans="1:11" ht="36" customHeight="1">
      <c r="A193" s="11" t="s">
        <v>218</v>
      </c>
      <c r="B193" s="145" t="s">
        <v>219</v>
      </c>
      <c r="C193" s="55" t="s">
        <v>1099</v>
      </c>
      <c r="D193" s="3" t="s">
        <v>11</v>
      </c>
      <c r="E193" s="3" t="s">
        <v>25</v>
      </c>
      <c r="F193" s="3" t="s">
        <v>26</v>
      </c>
      <c r="G193" s="305">
        <f>'DIC-18'!I193</f>
        <v>33.61</v>
      </c>
      <c r="H193" s="372"/>
      <c r="I193" s="17">
        <f t="shared" si="3"/>
        <v>33.61</v>
      </c>
      <c r="J193" s="45"/>
      <c r="K193" s="46"/>
    </row>
    <row r="194" spans="1:11" ht="105" customHeight="1">
      <c r="A194" s="144" t="s">
        <v>220</v>
      </c>
      <c r="B194" s="54" t="s">
        <v>221</v>
      </c>
      <c r="C194" s="343" t="s">
        <v>1100</v>
      </c>
      <c r="D194" s="3"/>
      <c r="E194" s="3"/>
      <c r="F194" s="3"/>
      <c r="G194" s="305">
        <f>'DIC-18'!I194</f>
        <v>0</v>
      </c>
      <c r="H194" s="51"/>
      <c r="I194" s="17"/>
      <c r="J194" s="45"/>
      <c r="K194" s="46"/>
    </row>
    <row r="195" spans="1:11" ht="18" customHeight="1">
      <c r="A195" s="11" t="s">
        <v>222</v>
      </c>
      <c r="B195" s="145" t="s">
        <v>223</v>
      </c>
      <c r="C195" s="55" t="s">
        <v>1101</v>
      </c>
      <c r="D195" s="3" t="s">
        <v>11</v>
      </c>
      <c r="E195" s="3" t="s">
        <v>25</v>
      </c>
      <c r="F195" s="3" t="s">
        <v>26</v>
      </c>
      <c r="G195" s="305">
        <f>'DIC-18'!I195</f>
        <v>-255.11000000000195</v>
      </c>
      <c r="H195" s="51"/>
      <c r="I195" s="18">
        <f t="shared" si="3"/>
        <v>-255.11000000000195</v>
      </c>
      <c r="J195" s="126"/>
      <c r="K195" s="46"/>
    </row>
    <row r="196" spans="1:11" ht="24.75" customHeight="1">
      <c r="A196" s="11" t="s">
        <v>1233</v>
      </c>
      <c r="B196" s="145" t="s">
        <v>1234</v>
      </c>
      <c r="C196" s="55"/>
      <c r="D196" s="3"/>
      <c r="E196" s="3"/>
      <c r="F196" s="3"/>
      <c r="G196" s="305">
        <f>'DIC-18'!I196</f>
        <v>559.3799999999992</v>
      </c>
      <c r="H196" s="51"/>
      <c r="I196" s="17">
        <f t="shared" si="3"/>
        <v>559.3799999999992</v>
      </c>
      <c r="J196" s="126"/>
      <c r="K196" s="46"/>
    </row>
    <row r="197" spans="1:11" ht="38.25" customHeight="1">
      <c r="A197" s="11" t="s">
        <v>1209</v>
      </c>
      <c r="B197" s="146" t="s">
        <v>1207</v>
      </c>
      <c r="C197" s="55"/>
      <c r="D197" s="3" t="s">
        <v>11</v>
      </c>
      <c r="E197" s="3" t="s">
        <v>25</v>
      </c>
      <c r="F197" s="3" t="s">
        <v>26</v>
      </c>
      <c r="G197" s="305">
        <f>'DIC-18'!I197</f>
        <v>52</v>
      </c>
      <c r="H197" s="51"/>
      <c r="I197" s="17">
        <f t="shared" si="3"/>
        <v>52</v>
      </c>
      <c r="J197" s="126"/>
      <c r="K197" s="46"/>
    </row>
    <row r="198" spans="1:11" ht="30" customHeight="1">
      <c r="A198" s="11" t="s">
        <v>225</v>
      </c>
      <c r="B198" s="145" t="s">
        <v>224</v>
      </c>
      <c r="C198" s="55"/>
      <c r="D198" s="3" t="s">
        <v>11</v>
      </c>
      <c r="E198" s="3" t="s">
        <v>25</v>
      </c>
      <c r="F198" s="3" t="s">
        <v>26</v>
      </c>
      <c r="G198" s="305">
        <f>'DIC-18'!I198</f>
        <v>65.69</v>
      </c>
      <c r="H198" s="51"/>
      <c r="I198" s="17">
        <f t="shared" si="3"/>
        <v>65.69</v>
      </c>
      <c r="J198" s="126"/>
      <c r="K198" s="46"/>
    </row>
    <row r="199" spans="1:11" ht="33.75" customHeight="1">
      <c r="A199" s="11" t="s">
        <v>226</v>
      </c>
      <c r="B199" s="145" t="s">
        <v>227</v>
      </c>
      <c r="C199" s="55" t="s">
        <v>1101</v>
      </c>
      <c r="D199" s="3" t="s">
        <v>11</v>
      </c>
      <c r="E199" s="3" t="s">
        <v>25</v>
      </c>
      <c r="F199" s="3" t="s">
        <v>26</v>
      </c>
      <c r="G199" s="305">
        <f>'DIC-18'!I199</f>
        <v>1490.9500000000007</v>
      </c>
      <c r="H199" s="51"/>
      <c r="I199" s="17">
        <f t="shared" si="3"/>
        <v>1490.9500000000007</v>
      </c>
      <c r="J199" s="126"/>
      <c r="K199" s="324"/>
    </row>
    <row r="200" spans="1:11" ht="28.5" customHeight="1">
      <c r="A200" s="11" t="s">
        <v>228</v>
      </c>
      <c r="B200" s="145" t="s">
        <v>229</v>
      </c>
      <c r="C200" s="55"/>
      <c r="D200" s="3" t="s">
        <v>11</v>
      </c>
      <c r="E200" s="3" t="s">
        <v>25</v>
      </c>
      <c r="F200" s="3" t="s">
        <v>26</v>
      </c>
      <c r="G200" s="305">
        <f>'DIC-18'!I200</f>
        <v>2942.0399999999991</v>
      </c>
      <c r="H200" s="51"/>
      <c r="I200" s="17">
        <f t="shared" si="3"/>
        <v>2942.0399999999991</v>
      </c>
      <c r="J200" s="126"/>
      <c r="K200" s="324"/>
    </row>
    <row r="201" spans="1:11" ht="26.25" customHeight="1">
      <c r="A201" s="11" t="s">
        <v>230</v>
      </c>
      <c r="B201" s="145" t="s">
        <v>231</v>
      </c>
      <c r="C201" s="55"/>
      <c r="D201" s="3" t="s">
        <v>11</v>
      </c>
      <c r="E201" s="3" t="s">
        <v>25</v>
      </c>
      <c r="F201" s="3" t="s">
        <v>26</v>
      </c>
      <c r="G201" s="305">
        <f>'DIC-18'!I201</f>
        <v>94.6</v>
      </c>
      <c r="H201" s="51"/>
      <c r="I201" s="17">
        <f t="shared" si="3"/>
        <v>94.6</v>
      </c>
      <c r="J201" s="126"/>
      <c r="K201" s="324"/>
    </row>
    <row r="202" spans="1:11" ht="33.75" customHeight="1">
      <c r="A202" s="11" t="s">
        <v>1236</v>
      </c>
      <c r="B202" s="145" t="s">
        <v>1237</v>
      </c>
      <c r="C202" s="55"/>
      <c r="D202" s="3" t="s">
        <v>11</v>
      </c>
      <c r="E202" s="3" t="s">
        <v>25</v>
      </c>
      <c r="F202" s="3" t="s">
        <v>26</v>
      </c>
      <c r="G202" s="305">
        <f>'DIC-18'!I202</f>
        <v>80</v>
      </c>
      <c r="H202" s="51"/>
      <c r="I202" s="18">
        <f t="shared" si="3"/>
        <v>80</v>
      </c>
      <c r="J202" s="126"/>
      <c r="K202" s="324"/>
    </row>
    <row r="203" spans="1:11" ht="23.25" customHeight="1">
      <c r="A203" s="11" t="s">
        <v>232</v>
      </c>
      <c r="B203" s="145" t="s">
        <v>233</v>
      </c>
      <c r="C203" s="55"/>
      <c r="D203" s="3" t="s">
        <v>11</v>
      </c>
      <c r="E203" s="3" t="s">
        <v>25</v>
      </c>
      <c r="F203" s="3" t="s">
        <v>26</v>
      </c>
      <c r="G203" s="305">
        <f>'DIC-18'!I203</f>
        <v>2000</v>
      </c>
      <c r="H203" s="51"/>
      <c r="I203" s="17">
        <f t="shared" si="3"/>
        <v>2000</v>
      </c>
      <c r="J203" s="126"/>
      <c r="K203" s="463"/>
    </row>
    <row r="204" spans="1:11" ht="28.5" customHeight="1">
      <c r="A204" s="11" t="s">
        <v>234</v>
      </c>
      <c r="B204" s="145" t="s">
        <v>237</v>
      </c>
      <c r="C204" s="55"/>
      <c r="D204" s="3" t="s">
        <v>11</v>
      </c>
      <c r="E204" s="3" t="s">
        <v>25</v>
      </c>
      <c r="F204" s="3" t="s">
        <v>26</v>
      </c>
      <c r="G204" s="305">
        <f>'DIC-18'!I204</f>
        <v>2500</v>
      </c>
      <c r="H204" s="51"/>
      <c r="I204" s="17">
        <f t="shared" si="3"/>
        <v>2500</v>
      </c>
      <c r="J204" s="126"/>
      <c r="K204" s="463"/>
    </row>
    <row r="205" spans="1:11" ht="45" customHeight="1">
      <c r="A205" s="11" t="s">
        <v>1182</v>
      </c>
      <c r="B205" s="145" t="s">
        <v>1185</v>
      </c>
      <c r="C205" s="55"/>
      <c r="D205" s="3" t="s">
        <v>11</v>
      </c>
      <c r="E205" s="3" t="s">
        <v>25</v>
      </c>
      <c r="F205" s="3" t="s">
        <v>1181</v>
      </c>
      <c r="G205" s="305">
        <f>'DIC-18'!I205</f>
        <v>5</v>
      </c>
      <c r="H205" s="51"/>
      <c r="I205" s="17">
        <f t="shared" si="3"/>
        <v>5</v>
      </c>
      <c r="J205" s="126"/>
      <c r="K205" s="46"/>
    </row>
    <row r="206" spans="1:11" ht="45" customHeight="1">
      <c r="A206" s="11" t="s">
        <v>1235</v>
      </c>
      <c r="B206" s="145" t="s">
        <v>1243</v>
      </c>
      <c r="C206" s="55"/>
      <c r="D206" s="3"/>
      <c r="E206" s="3"/>
      <c r="F206" s="3"/>
      <c r="G206" s="305">
        <f>'DIC-18'!I206</f>
        <v>1415.2999999999993</v>
      </c>
      <c r="H206" s="51"/>
      <c r="I206" s="17">
        <f t="shared" si="3"/>
        <v>1415.2999999999993</v>
      </c>
      <c r="J206" s="126"/>
      <c r="K206" s="46"/>
    </row>
    <row r="207" spans="1:11" ht="24" customHeight="1">
      <c r="A207" s="11" t="s">
        <v>235</v>
      </c>
      <c r="B207" s="145" t="s">
        <v>236</v>
      </c>
      <c r="C207" s="55" t="s">
        <v>1101</v>
      </c>
      <c r="D207" s="3" t="s">
        <v>11</v>
      </c>
      <c r="E207" s="3" t="s">
        <v>25</v>
      </c>
      <c r="F207" s="3" t="s">
        <v>26</v>
      </c>
      <c r="G207" s="305">
        <f>'DIC-18'!I207</f>
        <v>34.400000000000006</v>
      </c>
      <c r="H207" s="51"/>
      <c r="I207" s="17">
        <f t="shared" si="3"/>
        <v>34.400000000000006</v>
      </c>
      <c r="J207" s="45"/>
      <c r="K207" s="46"/>
    </row>
    <row r="208" spans="1:11" ht="87" customHeight="1">
      <c r="A208" s="144" t="s">
        <v>238</v>
      </c>
      <c r="B208" s="54" t="s">
        <v>239</v>
      </c>
      <c r="C208" s="55"/>
      <c r="D208" s="3"/>
      <c r="E208" s="3"/>
      <c r="F208" s="3"/>
      <c r="G208" s="305">
        <f>'DIC-18'!I208</f>
        <v>0</v>
      </c>
      <c r="H208" s="51"/>
      <c r="I208" s="17"/>
      <c r="J208" s="45"/>
      <c r="K208" s="46"/>
    </row>
    <row r="209" spans="1:11" ht="24" customHeight="1">
      <c r="A209" s="11" t="s">
        <v>240</v>
      </c>
      <c r="B209" s="145" t="s">
        <v>243</v>
      </c>
      <c r="C209" s="55"/>
      <c r="D209" s="3" t="s">
        <v>11</v>
      </c>
      <c r="E209" s="3" t="s">
        <v>25</v>
      </c>
      <c r="F209" s="3" t="s">
        <v>26</v>
      </c>
      <c r="G209" s="305">
        <f>'DIC-18'!I209</f>
        <v>0</v>
      </c>
      <c r="H209" s="51"/>
      <c r="I209" s="17">
        <f t="shared" si="3"/>
        <v>0</v>
      </c>
      <c r="J209" s="45"/>
      <c r="K209" s="280"/>
    </row>
    <row r="210" spans="1:11" ht="24" customHeight="1">
      <c r="A210" s="11" t="s">
        <v>241</v>
      </c>
      <c r="B210" s="145" t="s">
        <v>242</v>
      </c>
      <c r="C210" s="55"/>
      <c r="D210" s="3" t="s">
        <v>11</v>
      </c>
      <c r="E210" s="3" t="s">
        <v>25</v>
      </c>
      <c r="F210" s="3" t="s">
        <v>26</v>
      </c>
      <c r="G210" s="305">
        <f>'DIC-18'!I210</f>
        <v>0</v>
      </c>
      <c r="H210" s="51"/>
      <c r="I210" s="17">
        <f t="shared" si="3"/>
        <v>0</v>
      </c>
      <c r="J210" s="45"/>
      <c r="K210" s="280"/>
    </row>
    <row r="211" spans="1:11" ht="40.5" customHeight="1">
      <c r="A211" s="11" t="s">
        <v>245</v>
      </c>
      <c r="B211" s="145" t="s">
        <v>244</v>
      </c>
      <c r="C211" s="55"/>
      <c r="D211" s="3" t="s">
        <v>11</v>
      </c>
      <c r="E211" s="3" t="s">
        <v>25</v>
      </c>
      <c r="F211" s="3" t="s">
        <v>26</v>
      </c>
      <c r="G211" s="305">
        <f>'DIC-18'!I211</f>
        <v>0</v>
      </c>
      <c r="H211" s="51"/>
      <c r="I211" s="17">
        <f t="shared" si="3"/>
        <v>0</v>
      </c>
      <c r="J211" s="45"/>
      <c r="K211" s="280"/>
    </row>
    <row r="212" spans="1:11" ht="24" customHeight="1">
      <c r="A212" s="11" t="s">
        <v>246</v>
      </c>
      <c r="B212" s="145" t="s">
        <v>247</v>
      </c>
      <c r="C212" s="55"/>
      <c r="D212" s="3" t="s">
        <v>11</v>
      </c>
      <c r="E212" s="3" t="s">
        <v>25</v>
      </c>
      <c r="F212" s="3" t="s">
        <v>26</v>
      </c>
      <c r="G212" s="305">
        <f>'DIC-18'!I212</f>
        <v>0</v>
      </c>
      <c r="H212" s="51"/>
      <c r="I212" s="17">
        <f t="shared" si="3"/>
        <v>0</v>
      </c>
      <c r="J212" s="45"/>
      <c r="K212" s="280"/>
    </row>
    <row r="213" spans="1:11" ht="24" customHeight="1">
      <c r="A213" s="11" t="s">
        <v>249</v>
      </c>
      <c r="B213" s="145" t="s">
        <v>248</v>
      </c>
      <c r="C213" s="55"/>
      <c r="D213" s="3" t="s">
        <v>11</v>
      </c>
      <c r="E213" s="3" t="s">
        <v>25</v>
      </c>
      <c r="F213" s="3" t="s">
        <v>26</v>
      </c>
      <c r="G213" s="305">
        <f>'DIC-18'!I213</f>
        <v>0</v>
      </c>
      <c r="H213" s="51"/>
      <c r="I213" s="17">
        <f t="shared" si="3"/>
        <v>0</v>
      </c>
      <c r="J213" s="45"/>
      <c r="K213" s="280"/>
    </row>
    <row r="214" spans="1:11" ht="24" customHeight="1">
      <c r="A214" s="11" t="s">
        <v>251</v>
      </c>
      <c r="B214" s="145" t="s">
        <v>252</v>
      </c>
      <c r="C214" s="55"/>
      <c r="D214" s="3" t="s">
        <v>11</v>
      </c>
      <c r="E214" s="3" t="s">
        <v>25</v>
      </c>
      <c r="F214" s="3" t="s">
        <v>26</v>
      </c>
      <c r="G214" s="305">
        <f>'DIC-18'!I214</f>
        <v>0</v>
      </c>
      <c r="H214" s="51"/>
      <c r="I214" s="17">
        <f t="shared" si="3"/>
        <v>0</v>
      </c>
      <c r="J214" s="45"/>
      <c r="K214" s="280"/>
    </row>
    <row r="215" spans="1:11" ht="24" customHeight="1">
      <c r="A215" s="11" t="s">
        <v>250</v>
      </c>
      <c r="B215" s="145" t="s">
        <v>253</v>
      </c>
      <c r="C215" s="55"/>
      <c r="D215" s="3" t="s">
        <v>11</v>
      </c>
      <c r="E215" s="3" t="s">
        <v>25</v>
      </c>
      <c r="F215" s="3" t="s">
        <v>26</v>
      </c>
      <c r="G215" s="305">
        <f>'DIC-18'!I215</f>
        <v>0</v>
      </c>
      <c r="H215" s="51"/>
      <c r="I215" s="17">
        <f t="shared" si="3"/>
        <v>0</v>
      </c>
      <c r="J215" s="45"/>
      <c r="K215" s="280"/>
    </row>
    <row r="216" spans="1:11" ht="24" customHeight="1">
      <c r="A216" s="11" t="s">
        <v>255</v>
      </c>
      <c r="B216" s="145" t="s">
        <v>254</v>
      </c>
      <c r="C216" s="55"/>
      <c r="D216" s="3" t="s">
        <v>11</v>
      </c>
      <c r="E216" s="3" t="s">
        <v>25</v>
      </c>
      <c r="F216" s="3" t="s">
        <v>26</v>
      </c>
      <c r="G216" s="305">
        <f>'DIC-18'!I216</f>
        <v>0</v>
      </c>
      <c r="H216" s="51"/>
      <c r="I216" s="17">
        <f t="shared" si="3"/>
        <v>0</v>
      </c>
      <c r="J216" s="45"/>
      <c r="K216" s="280"/>
    </row>
    <row r="217" spans="1:11" ht="87" customHeight="1">
      <c r="A217" s="144" t="s">
        <v>256</v>
      </c>
      <c r="B217" s="54" t="s">
        <v>257</v>
      </c>
      <c r="C217" s="55"/>
      <c r="D217" s="3"/>
      <c r="E217" s="3"/>
      <c r="F217" s="3"/>
      <c r="G217" s="305">
        <f>'DIC-18'!I217</f>
        <v>0</v>
      </c>
      <c r="H217" s="51"/>
      <c r="I217" s="17"/>
      <c r="J217" s="45"/>
      <c r="K217" s="46"/>
    </row>
    <row r="218" spans="1:11" ht="24" customHeight="1">
      <c r="A218" s="11" t="s">
        <v>258</v>
      </c>
      <c r="B218" s="145" t="s">
        <v>263</v>
      </c>
      <c r="C218" s="55"/>
      <c r="D218" s="3" t="s">
        <v>11</v>
      </c>
      <c r="E218" s="3" t="s">
        <v>25</v>
      </c>
      <c r="F218" s="3" t="s">
        <v>26</v>
      </c>
      <c r="G218" s="305">
        <f>'DIC-18'!I218</f>
        <v>0</v>
      </c>
      <c r="H218" s="51"/>
      <c r="I218" s="17">
        <f t="shared" si="3"/>
        <v>0</v>
      </c>
      <c r="J218" s="45"/>
      <c r="K218" s="280"/>
    </row>
    <row r="219" spans="1:11" ht="24" customHeight="1">
      <c r="A219" s="11" t="s">
        <v>259</v>
      </c>
      <c r="B219" s="145" t="s">
        <v>262</v>
      </c>
      <c r="C219" s="55"/>
      <c r="D219" s="3" t="s">
        <v>11</v>
      </c>
      <c r="E219" s="3" t="s">
        <v>25</v>
      </c>
      <c r="F219" s="3" t="s">
        <v>26</v>
      </c>
      <c r="G219" s="305">
        <f>'DIC-18'!I219</f>
        <v>0</v>
      </c>
      <c r="H219" s="51"/>
      <c r="I219" s="17">
        <f t="shared" si="3"/>
        <v>0</v>
      </c>
      <c r="J219" s="45"/>
      <c r="K219" s="280"/>
    </row>
    <row r="220" spans="1:11" ht="24" customHeight="1">
      <c r="A220" s="11" t="s">
        <v>260</v>
      </c>
      <c r="B220" s="145" t="s">
        <v>261</v>
      </c>
      <c r="C220" s="55"/>
      <c r="D220" s="3" t="s">
        <v>11</v>
      </c>
      <c r="E220" s="3" t="s">
        <v>25</v>
      </c>
      <c r="F220" s="3" t="s">
        <v>26</v>
      </c>
      <c r="G220" s="305">
        <f>'DIC-18'!I220</f>
        <v>0</v>
      </c>
      <c r="H220" s="51"/>
      <c r="I220" s="17">
        <f t="shared" si="3"/>
        <v>0</v>
      </c>
      <c r="J220" s="45"/>
      <c r="K220" s="280"/>
    </row>
    <row r="221" spans="1:11" ht="60" customHeight="1">
      <c r="A221" s="144" t="s">
        <v>264</v>
      </c>
      <c r="B221" s="54" t="s">
        <v>287</v>
      </c>
      <c r="C221" s="55"/>
      <c r="D221" s="3"/>
      <c r="E221" s="3"/>
      <c r="F221" s="3"/>
      <c r="G221" s="305">
        <f>'DIC-18'!I221</f>
        <v>0</v>
      </c>
      <c r="H221" s="51"/>
      <c r="I221" s="17"/>
      <c r="J221" s="45"/>
      <c r="K221" s="46"/>
    </row>
    <row r="222" spans="1:11" ht="24" customHeight="1">
      <c r="A222" s="11" t="s">
        <v>265</v>
      </c>
      <c r="B222" s="145" t="s">
        <v>1046</v>
      </c>
      <c r="C222" s="55"/>
      <c r="D222" s="3" t="s">
        <v>11</v>
      </c>
      <c r="E222" s="3" t="s">
        <v>25</v>
      </c>
      <c r="F222" s="3" t="s">
        <v>26</v>
      </c>
      <c r="G222" s="305">
        <f>'DIC-18'!I222</f>
        <v>0</v>
      </c>
      <c r="H222" s="51"/>
      <c r="I222" s="17">
        <f t="shared" si="3"/>
        <v>0</v>
      </c>
      <c r="J222" s="45"/>
      <c r="K222" s="385"/>
    </row>
    <row r="223" spans="1:11" ht="24" customHeight="1">
      <c r="A223" s="11" t="s">
        <v>266</v>
      </c>
      <c r="B223" s="145" t="s">
        <v>268</v>
      </c>
      <c r="C223" s="55"/>
      <c r="D223" s="3" t="s">
        <v>11</v>
      </c>
      <c r="E223" s="3" t="s">
        <v>25</v>
      </c>
      <c r="F223" s="3" t="s">
        <v>26</v>
      </c>
      <c r="G223" s="305">
        <f>'DIC-18'!I223</f>
        <v>0</v>
      </c>
      <c r="H223" s="51"/>
      <c r="I223" s="17">
        <f t="shared" si="3"/>
        <v>0</v>
      </c>
      <c r="J223" s="45"/>
      <c r="K223" s="385"/>
    </row>
    <row r="224" spans="1:11" ht="71.25" customHeight="1">
      <c r="A224" s="144" t="s">
        <v>269</v>
      </c>
      <c r="B224" s="54" t="s">
        <v>286</v>
      </c>
      <c r="C224" s="343" t="s">
        <v>1111</v>
      </c>
      <c r="D224" s="3"/>
      <c r="E224" s="3"/>
      <c r="F224" s="3"/>
      <c r="G224" s="305">
        <f>'DIC-18'!I224</f>
        <v>0</v>
      </c>
      <c r="H224" s="51"/>
      <c r="I224" s="17"/>
      <c r="J224" s="45"/>
      <c r="K224" s="46"/>
    </row>
    <row r="225" spans="1:11" ht="27.75" customHeight="1">
      <c r="A225" s="11" t="s">
        <v>273</v>
      </c>
      <c r="B225" s="145" t="s">
        <v>270</v>
      </c>
      <c r="C225" s="55"/>
      <c r="D225" s="3" t="s">
        <v>11</v>
      </c>
      <c r="E225" s="3" t="s">
        <v>25</v>
      </c>
      <c r="F225" s="3" t="s">
        <v>26</v>
      </c>
      <c r="G225" s="305">
        <f>'DIC-18'!I225</f>
        <v>0</v>
      </c>
      <c r="H225" s="51"/>
      <c r="I225" s="17">
        <f t="shared" si="3"/>
        <v>0</v>
      </c>
      <c r="J225" s="45"/>
      <c r="K225" s="126"/>
    </row>
    <row r="226" spans="1:11" ht="24" customHeight="1">
      <c r="A226" s="11" t="s">
        <v>272</v>
      </c>
      <c r="B226" s="145" t="s">
        <v>271</v>
      </c>
      <c r="C226" s="55"/>
      <c r="D226" s="3" t="s">
        <v>11</v>
      </c>
      <c r="E226" s="3" t="s">
        <v>25</v>
      </c>
      <c r="F226" s="3" t="s">
        <v>26</v>
      </c>
      <c r="G226" s="305">
        <f>'DIC-18'!I226</f>
        <v>1.3100000000008549</v>
      </c>
      <c r="H226" s="51"/>
      <c r="I226" s="18">
        <f t="shared" si="3"/>
        <v>1.3100000000008549</v>
      </c>
      <c r="J226" s="457"/>
      <c r="K226" s="126"/>
    </row>
    <row r="227" spans="1:11" ht="24" customHeight="1">
      <c r="A227" s="11" t="s">
        <v>274</v>
      </c>
      <c r="B227" s="145" t="s">
        <v>275</v>
      </c>
      <c r="C227" s="55"/>
      <c r="D227" s="3" t="s">
        <v>11</v>
      </c>
      <c r="E227" s="3" t="s">
        <v>25</v>
      </c>
      <c r="F227" s="3" t="s">
        <v>26</v>
      </c>
      <c r="G227" s="305">
        <f>'DIC-18'!I227</f>
        <v>-8.5265128291212022E-14</v>
      </c>
      <c r="H227" s="51"/>
      <c r="I227" s="17">
        <f t="shared" si="3"/>
        <v>-8.5265128291212022E-14</v>
      </c>
      <c r="J227" s="126"/>
      <c r="K227" s="126"/>
    </row>
    <row r="228" spans="1:11" ht="24" customHeight="1">
      <c r="A228" s="11" t="s">
        <v>276</v>
      </c>
      <c r="B228" s="145" t="s">
        <v>277</v>
      </c>
      <c r="C228" s="55"/>
      <c r="D228" s="3" t="s">
        <v>11</v>
      </c>
      <c r="E228" s="3" t="s">
        <v>25</v>
      </c>
      <c r="F228" s="3" t="s">
        <v>26</v>
      </c>
      <c r="G228" s="305">
        <f>'DIC-18'!I228</f>
        <v>-1.4779288903810084E-12</v>
      </c>
      <c r="H228" s="51"/>
      <c r="I228" s="17">
        <f t="shared" si="3"/>
        <v>-1.4779288903810084E-12</v>
      </c>
      <c r="J228" s="45"/>
      <c r="K228" s="126"/>
    </row>
    <row r="229" spans="1:11" ht="24" customHeight="1">
      <c r="A229" s="11" t="s">
        <v>278</v>
      </c>
      <c r="B229" s="145" t="s">
        <v>279</v>
      </c>
      <c r="C229" s="55"/>
      <c r="D229" s="3" t="s">
        <v>11</v>
      </c>
      <c r="E229" s="3" t="s">
        <v>25</v>
      </c>
      <c r="F229" s="3" t="s">
        <v>26</v>
      </c>
      <c r="G229" s="305">
        <f>'DIC-18'!I229</f>
        <v>0</v>
      </c>
      <c r="H229" s="51"/>
      <c r="I229" s="17">
        <f t="shared" si="3"/>
        <v>0</v>
      </c>
      <c r="J229" s="45"/>
      <c r="K229" s="126"/>
    </row>
    <row r="230" spans="1:11" ht="24" customHeight="1">
      <c r="A230" s="11" t="s">
        <v>280</v>
      </c>
      <c r="B230" s="145" t="s">
        <v>281</v>
      </c>
      <c r="C230" s="55"/>
      <c r="D230" s="3" t="s">
        <v>11</v>
      </c>
      <c r="E230" s="3" t="s">
        <v>25</v>
      </c>
      <c r="F230" s="3" t="s">
        <v>26</v>
      </c>
      <c r="G230" s="305">
        <f>'DIC-18'!I230</f>
        <v>0</v>
      </c>
      <c r="H230" s="51"/>
      <c r="I230" s="17">
        <f t="shared" si="3"/>
        <v>0</v>
      </c>
      <c r="J230" s="126"/>
      <c r="K230" s="126"/>
    </row>
    <row r="231" spans="1:11" ht="24" customHeight="1">
      <c r="A231" s="11" t="s">
        <v>282</v>
      </c>
      <c r="B231" s="145" t="s">
        <v>283</v>
      </c>
      <c r="C231" s="55"/>
      <c r="D231" s="3" t="s">
        <v>11</v>
      </c>
      <c r="E231" s="3" t="s">
        <v>25</v>
      </c>
      <c r="F231" s="3" t="s">
        <v>26</v>
      </c>
      <c r="G231" s="305">
        <f>'DIC-18'!I231</f>
        <v>2.8421709430404007E-13</v>
      </c>
      <c r="H231" s="51"/>
      <c r="I231" s="17">
        <f t="shared" si="3"/>
        <v>2.8421709430404007E-13</v>
      </c>
      <c r="J231" s="126"/>
      <c r="K231" s="126"/>
    </row>
    <row r="232" spans="1:11" ht="24" customHeight="1">
      <c r="A232" s="11" t="s">
        <v>284</v>
      </c>
      <c r="B232" s="145" t="s">
        <v>285</v>
      </c>
      <c r="C232" s="55"/>
      <c r="D232" s="3" t="s">
        <v>11</v>
      </c>
      <c r="E232" s="3" t="s">
        <v>25</v>
      </c>
      <c r="F232" s="3" t="s">
        <v>26</v>
      </c>
      <c r="G232" s="305">
        <f>'DIC-18'!I232</f>
        <v>0</v>
      </c>
      <c r="H232" s="51"/>
      <c r="I232" s="17">
        <f t="shared" si="3"/>
        <v>0</v>
      </c>
      <c r="J232" s="45"/>
      <c r="K232" s="126"/>
    </row>
    <row r="233" spans="1:11" ht="102" customHeight="1">
      <c r="A233" s="144" t="s">
        <v>289</v>
      </c>
      <c r="B233" s="54" t="s">
        <v>1198</v>
      </c>
      <c r="C233" s="55" t="s">
        <v>1057</v>
      </c>
      <c r="D233" s="3"/>
      <c r="E233" s="3"/>
      <c r="F233" s="3"/>
      <c r="G233" s="305">
        <f>'DIC-18'!I233</f>
        <v>0</v>
      </c>
      <c r="H233" s="275"/>
      <c r="I233" s="17"/>
      <c r="J233" s="45"/>
      <c r="K233" s="46"/>
    </row>
    <row r="234" spans="1:11" ht="24" customHeight="1">
      <c r="A234" s="11" t="s">
        <v>290</v>
      </c>
      <c r="B234" s="145" t="s">
        <v>291</v>
      </c>
      <c r="C234" s="55"/>
      <c r="D234" s="3" t="s">
        <v>11</v>
      </c>
      <c r="E234" s="3" t="s">
        <v>25</v>
      </c>
      <c r="F234" s="3" t="s">
        <v>26</v>
      </c>
      <c r="G234" s="305">
        <f>'DIC-18'!I234</f>
        <v>85.38</v>
      </c>
      <c r="H234" s="51"/>
      <c r="I234" s="17">
        <f t="shared" si="3"/>
        <v>85.38</v>
      </c>
      <c r="J234" s="45"/>
      <c r="K234" s="457"/>
    </row>
    <row r="235" spans="1:11" ht="24" customHeight="1">
      <c r="A235" s="11" t="s">
        <v>292</v>
      </c>
      <c r="B235" s="145" t="s">
        <v>293</v>
      </c>
      <c r="C235" s="55"/>
      <c r="D235" s="3" t="s">
        <v>11</v>
      </c>
      <c r="E235" s="3" t="s">
        <v>25</v>
      </c>
      <c r="F235" s="3" t="s">
        <v>26</v>
      </c>
      <c r="G235" s="305">
        <f>'DIC-18'!I235</f>
        <v>0</v>
      </c>
      <c r="H235" s="51"/>
      <c r="I235" s="17">
        <f t="shared" si="3"/>
        <v>0</v>
      </c>
      <c r="J235" s="45"/>
      <c r="K235" s="280"/>
    </row>
    <row r="236" spans="1:11" ht="18" customHeight="1">
      <c r="A236" s="11" t="s">
        <v>294</v>
      </c>
      <c r="B236" s="145" t="s">
        <v>295</v>
      </c>
      <c r="C236" s="55"/>
      <c r="D236" s="3" t="s">
        <v>11</v>
      </c>
      <c r="E236" s="3" t="s">
        <v>25</v>
      </c>
      <c r="F236" s="3" t="s">
        <v>26</v>
      </c>
      <c r="G236" s="305">
        <f>'DIC-18'!I236</f>
        <v>97.4</v>
      </c>
      <c r="H236" s="51"/>
      <c r="I236" s="17">
        <f t="shared" si="3"/>
        <v>97.4</v>
      </c>
      <c r="J236" s="45"/>
      <c r="K236" s="46"/>
    </row>
    <row r="237" spans="1:11" ht="19.5" customHeight="1">
      <c r="A237" s="11" t="s">
        <v>296</v>
      </c>
      <c r="B237" s="145" t="s">
        <v>297</v>
      </c>
      <c r="C237" s="55"/>
      <c r="D237" s="3" t="s">
        <v>11</v>
      </c>
      <c r="E237" s="3" t="s">
        <v>25</v>
      </c>
      <c r="F237" s="3" t="s">
        <v>26</v>
      </c>
      <c r="G237" s="305">
        <f>'DIC-18'!I237</f>
        <v>480</v>
      </c>
      <c r="H237" s="51"/>
      <c r="I237" s="17">
        <f t="shared" si="3"/>
        <v>480</v>
      </c>
      <c r="J237" s="45"/>
      <c r="K237" s="324"/>
    </row>
    <row r="238" spans="1:11" ht="21" customHeight="1">
      <c r="A238" s="11" t="s">
        <v>298</v>
      </c>
      <c r="B238" s="145" t="s">
        <v>299</v>
      </c>
      <c r="C238" s="55"/>
      <c r="D238" s="3" t="s">
        <v>11</v>
      </c>
      <c r="E238" s="3" t="s">
        <v>25</v>
      </c>
      <c r="F238" s="3" t="s">
        <v>26</v>
      </c>
      <c r="G238" s="305">
        <f>'DIC-18'!I238</f>
        <v>862.29</v>
      </c>
      <c r="H238" s="51"/>
      <c r="I238" s="17">
        <f t="shared" si="3"/>
        <v>862.29</v>
      </c>
      <c r="J238" s="45"/>
      <c r="K238" s="385"/>
    </row>
    <row r="239" spans="1:11" ht="75" customHeight="1">
      <c r="A239" s="144" t="s">
        <v>300</v>
      </c>
      <c r="B239" s="54" t="s">
        <v>301</v>
      </c>
      <c r="C239" s="343" t="s">
        <v>1112</v>
      </c>
      <c r="D239" s="3"/>
      <c r="E239" s="3"/>
      <c r="F239" s="3"/>
      <c r="G239" s="305">
        <f>'DIC-18'!I239</f>
        <v>0</v>
      </c>
      <c r="H239" s="51"/>
      <c r="I239" s="17"/>
      <c r="J239" s="45"/>
      <c r="K239" s="46"/>
    </row>
    <row r="240" spans="1:11" ht="18.75" customHeight="1">
      <c r="A240" s="11" t="s">
        <v>302</v>
      </c>
      <c r="B240" s="145" t="s">
        <v>309</v>
      </c>
      <c r="C240" s="55"/>
      <c r="D240" s="3" t="s">
        <v>11</v>
      </c>
      <c r="E240" s="3" t="s">
        <v>25</v>
      </c>
      <c r="F240" s="3" t="s">
        <v>26</v>
      </c>
      <c r="G240" s="305">
        <f>'DIC-18'!I240</f>
        <v>83.280000000000655</v>
      </c>
      <c r="H240" s="51"/>
      <c r="I240" s="18">
        <f t="shared" si="3"/>
        <v>83.280000000000655</v>
      </c>
      <c r="J240" s="126"/>
      <c r="K240" s="321"/>
    </row>
    <row r="241" spans="1:11" ht="18.75" customHeight="1">
      <c r="A241" s="11" t="s">
        <v>303</v>
      </c>
      <c r="B241" s="145" t="s">
        <v>310</v>
      </c>
      <c r="C241" s="55"/>
      <c r="D241" s="3" t="s">
        <v>11</v>
      </c>
      <c r="E241" s="3" t="s">
        <v>25</v>
      </c>
      <c r="F241" s="3" t="s">
        <v>26</v>
      </c>
      <c r="G241" s="305">
        <f>'DIC-18'!I241</f>
        <v>2140</v>
      </c>
      <c r="H241" s="51"/>
      <c r="I241" s="17">
        <f t="shared" si="3"/>
        <v>2140</v>
      </c>
      <c r="J241" s="45"/>
      <c r="K241" s="411"/>
    </row>
    <row r="242" spans="1:11" ht="24.75" customHeight="1">
      <c r="A242" s="11" t="s">
        <v>304</v>
      </c>
      <c r="B242" s="145" t="s">
        <v>311</v>
      </c>
      <c r="C242" s="55"/>
      <c r="D242" s="3" t="s">
        <v>11</v>
      </c>
      <c r="E242" s="3" t="s">
        <v>25</v>
      </c>
      <c r="F242" s="3" t="s">
        <v>26</v>
      </c>
      <c r="G242" s="305">
        <f>'DIC-18'!I242</f>
        <v>1000</v>
      </c>
      <c r="H242" s="51"/>
      <c r="I242" s="17">
        <f t="shared" si="3"/>
        <v>1000</v>
      </c>
      <c r="J242" s="45"/>
      <c r="K242" s="322"/>
    </row>
    <row r="243" spans="1:11" ht="16.5" customHeight="1">
      <c r="A243" s="11" t="s">
        <v>305</v>
      </c>
      <c r="B243" s="145" t="s">
        <v>312</v>
      </c>
      <c r="C243" s="55"/>
      <c r="D243" s="3" t="s">
        <v>11</v>
      </c>
      <c r="E243" s="3" t="s">
        <v>25</v>
      </c>
      <c r="F243" s="3" t="s">
        <v>26</v>
      </c>
      <c r="G243" s="305">
        <f>'DIC-18'!I243</f>
        <v>347.78</v>
      </c>
      <c r="H243" s="51"/>
      <c r="I243" s="17">
        <f t="shared" si="3"/>
        <v>347.78</v>
      </c>
      <c r="J243" s="45"/>
      <c r="K243" s="323"/>
    </row>
    <row r="244" spans="1:11" ht="22.5" customHeight="1">
      <c r="A244" s="11" t="s">
        <v>306</v>
      </c>
      <c r="B244" s="145" t="s">
        <v>313</v>
      </c>
      <c r="C244" s="55"/>
      <c r="D244" s="3" t="s">
        <v>11</v>
      </c>
      <c r="E244" s="3" t="s">
        <v>25</v>
      </c>
      <c r="F244" s="3" t="s">
        <v>26</v>
      </c>
      <c r="G244" s="305">
        <f>'DIC-18'!I244</f>
        <v>918.34000000000015</v>
      </c>
      <c r="H244" s="51"/>
      <c r="I244" s="17">
        <f t="shared" si="3"/>
        <v>918.34000000000015</v>
      </c>
      <c r="J244" s="45"/>
      <c r="K244" s="324"/>
    </row>
    <row r="245" spans="1:11" ht="19.5" customHeight="1">
      <c r="A245" s="11" t="s">
        <v>307</v>
      </c>
      <c r="B245" s="145" t="s">
        <v>314</v>
      </c>
      <c r="C245" s="55"/>
      <c r="D245" s="3" t="s">
        <v>11</v>
      </c>
      <c r="E245" s="3" t="s">
        <v>25</v>
      </c>
      <c r="F245" s="3" t="s">
        <v>26</v>
      </c>
      <c r="G245" s="305">
        <f>'DIC-18'!I245</f>
        <v>9.17</v>
      </c>
      <c r="H245" s="51"/>
      <c r="I245" s="17">
        <f t="shared" si="3"/>
        <v>9.17</v>
      </c>
      <c r="J245" s="45"/>
      <c r="K245" s="324"/>
    </row>
    <row r="246" spans="1:11" ht="24" customHeight="1">
      <c r="A246" s="11" t="s">
        <v>308</v>
      </c>
      <c r="B246" s="145" t="s">
        <v>315</v>
      </c>
      <c r="C246" s="55"/>
      <c r="D246" s="3" t="s">
        <v>11</v>
      </c>
      <c r="E246" s="3" t="s">
        <v>25</v>
      </c>
      <c r="F246" s="3" t="s">
        <v>26</v>
      </c>
      <c r="G246" s="305">
        <f>'DIC-18'!I246</f>
        <v>50</v>
      </c>
      <c r="H246" s="51"/>
      <c r="I246" s="17">
        <f t="shared" si="3"/>
        <v>50</v>
      </c>
      <c r="J246" s="126"/>
      <c r="K246" s="324"/>
    </row>
    <row r="247" spans="1:11" ht="72.75" customHeight="1">
      <c r="A247" s="144" t="s">
        <v>316</v>
      </c>
      <c r="B247" s="54" t="s">
        <v>317</v>
      </c>
      <c r="C247" s="343" t="s">
        <v>1113</v>
      </c>
      <c r="D247" s="3"/>
      <c r="E247" s="3"/>
      <c r="F247" s="3"/>
      <c r="G247" s="305">
        <f>'DIC-18'!I247</f>
        <v>0</v>
      </c>
      <c r="H247" s="51"/>
      <c r="I247" s="17"/>
      <c r="J247" s="45"/>
      <c r="K247" s="46"/>
    </row>
    <row r="248" spans="1:11" ht="20.25" customHeight="1">
      <c r="A248" s="11" t="s">
        <v>318</v>
      </c>
      <c r="B248" s="145" t="s">
        <v>322</v>
      </c>
      <c r="C248" s="55"/>
      <c r="D248" s="3" t="s">
        <v>11</v>
      </c>
      <c r="E248" s="3" t="s">
        <v>25</v>
      </c>
      <c r="F248" s="3" t="s">
        <v>26</v>
      </c>
      <c r="G248" s="305">
        <f>'DIC-18'!I248</f>
        <v>33.300000000000409</v>
      </c>
      <c r="H248" s="51"/>
      <c r="I248" s="17">
        <f t="shared" ref="I248:I282" si="4">G248-H248+J248-K248</f>
        <v>33.300000000000409</v>
      </c>
      <c r="J248" s="126"/>
      <c r="K248" s="46"/>
    </row>
    <row r="249" spans="1:11" ht="36.75" customHeight="1">
      <c r="A249" s="11" t="s">
        <v>1009</v>
      </c>
      <c r="B249" s="145" t="s">
        <v>1011</v>
      </c>
      <c r="C249" s="55"/>
      <c r="D249" s="3" t="s">
        <v>11</v>
      </c>
      <c r="E249" s="3" t="s">
        <v>25</v>
      </c>
      <c r="F249" s="3" t="s">
        <v>26</v>
      </c>
      <c r="G249" s="305">
        <f>'DIC-18'!I249</f>
        <v>175</v>
      </c>
      <c r="H249" s="51"/>
      <c r="I249" s="17">
        <f t="shared" si="4"/>
        <v>175</v>
      </c>
      <c r="J249" s="126"/>
      <c r="K249" s="46"/>
    </row>
    <row r="250" spans="1:11" ht="31.5" customHeight="1">
      <c r="A250" s="11" t="s">
        <v>319</v>
      </c>
      <c r="B250" s="145" t="s">
        <v>1010</v>
      </c>
      <c r="C250" s="55"/>
      <c r="D250" s="3" t="s">
        <v>11</v>
      </c>
      <c r="E250" s="3" t="s">
        <v>25</v>
      </c>
      <c r="F250" s="3" t="s">
        <v>26</v>
      </c>
      <c r="G250" s="305">
        <f>'DIC-18'!I250</f>
        <v>1000</v>
      </c>
      <c r="H250" s="51"/>
      <c r="I250" s="17">
        <f t="shared" si="4"/>
        <v>1000</v>
      </c>
      <c r="J250" s="45"/>
      <c r="K250" s="260"/>
    </row>
    <row r="251" spans="1:11" ht="20.25" customHeight="1">
      <c r="A251" s="11" t="s">
        <v>320</v>
      </c>
      <c r="B251" s="145" t="s">
        <v>324</v>
      </c>
      <c r="C251" s="55"/>
      <c r="D251" s="3" t="s">
        <v>11</v>
      </c>
      <c r="E251" s="3" t="s">
        <v>25</v>
      </c>
      <c r="F251" s="3" t="s">
        <v>26</v>
      </c>
      <c r="G251" s="305">
        <f>'DIC-18'!I251</f>
        <v>15.87</v>
      </c>
      <c r="H251" s="51"/>
      <c r="I251" s="17">
        <f t="shared" si="4"/>
        <v>15.87</v>
      </c>
      <c r="J251" s="45"/>
      <c r="K251" s="46"/>
    </row>
    <row r="252" spans="1:11" ht="29.25" customHeight="1">
      <c r="A252" s="11" t="s">
        <v>321</v>
      </c>
      <c r="B252" s="145" t="s">
        <v>325</v>
      </c>
      <c r="C252" s="55"/>
      <c r="D252" s="3" t="s">
        <v>11</v>
      </c>
      <c r="E252" s="3" t="s">
        <v>25</v>
      </c>
      <c r="F252" s="3" t="s">
        <v>26</v>
      </c>
      <c r="G252" s="305">
        <f>'DIC-18'!I252</f>
        <v>1980</v>
      </c>
      <c r="H252" s="51"/>
      <c r="I252" s="17">
        <f t="shared" si="4"/>
        <v>1980</v>
      </c>
      <c r="J252" s="45"/>
      <c r="K252" s="46"/>
    </row>
    <row r="253" spans="1:11" ht="66" customHeight="1">
      <c r="A253" s="271" t="s">
        <v>326</v>
      </c>
      <c r="B253" s="54" t="s">
        <v>327</v>
      </c>
      <c r="C253" s="55"/>
      <c r="D253" s="3"/>
      <c r="E253" s="3"/>
      <c r="F253" s="3"/>
      <c r="G253" s="305">
        <f>'DIC-18'!I253</f>
        <v>0</v>
      </c>
      <c r="H253" s="51"/>
      <c r="I253" s="17"/>
      <c r="J253" s="45"/>
      <c r="K253" s="46"/>
    </row>
    <row r="254" spans="1:11" ht="23.25" customHeight="1">
      <c r="A254" s="11" t="s">
        <v>328</v>
      </c>
      <c r="B254" s="145" t="s">
        <v>329</v>
      </c>
      <c r="C254" s="55"/>
      <c r="D254" s="3" t="s">
        <v>11</v>
      </c>
      <c r="E254" s="3" t="s">
        <v>25</v>
      </c>
      <c r="F254" s="3" t="s">
        <v>26</v>
      </c>
      <c r="G254" s="305">
        <f>'DIC-18'!I254</f>
        <v>0</v>
      </c>
      <c r="H254" s="51"/>
      <c r="I254" s="17">
        <f t="shared" si="4"/>
        <v>0</v>
      </c>
      <c r="J254" s="45"/>
      <c r="K254" s="324"/>
    </row>
    <row r="255" spans="1:11" ht="26.25" customHeight="1">
      <c r="A255" s="11" t="s">
        <v>330</v>
      </c>
      <c r="B255" s="145" t="s">
        <v>331</v>
      </c>
      <c r="C255" s="55"/>
      <c r="D255" s="3" t="s">
        <v>11</v>
      </c>
      <c r="E255" s="3" t="s">
        <v>25</v>
      </c>
      <c r="F255" s="3" t="s">
        <v>26</v>
      </c>
      <c r="G255" s="305">
        <f>'DIC-18'!I255</f>
        <v>0</v>
      </c>
      <c r="H255" s="51"/>
      <c r="I255" s="17">
        <f t="shared" si="4"/>
        <v>0</v>
      </c>
      <c r="J255" s="45"/>
      <c r="K255" s="324"/>
    </row>
    <row r="256" spans="1:11" ht="18.75" customHeight="1">
      <c r="A256" s="11" t="s">
        <v>332</v>
      </c>
      <c r="B256" s="145" t="s">
        <v>333</v>
      </c>
      <c r="C256" s="55"/>
      <c r="D256" s="3" t="s">
        <v>11</v>
      </c>
      <c r="E256" s="3" t="s">
        <v>25</v>
      </c>
      <c r="F256" s="3" t="s">
        <v>26</v>
      </c>
      <c r="G256" s="305">
        <f>'DIC-18'!I256</f>
        <v>0</v>
      </c>
      <c r="H256" s="51"/>
      <c r="I256" s="17">
        <f t="shared" si="4"/>
        <v>0</v>
      </c>
      <c r="J256" s="45"/>
      <c r="K256" s="324"/>
    </row>
    <row r="257" spans="1:11" ht="18" customHeight="1">
      <c r="A257" s="11" t="s">
        <v>334</v>
      </c>
      <c r="B257" s="145" t="s">
        <v>335</v>
      </c>
      <c r="C257" s="55"/>
      <c r="D257" s="3" t="s">
        <v>11</v>
      </c>
      <c r="E257" s="3" t="s">
        <v>25</v>
      </c>
      <c r="F257" s="3" t="s">
        <v>26</v>
      </c>
      <c r="G257" s="305">
        <f>'DIC-18'!I257</f>
        <v>0</v>
      </c>
      <c r="H257" s="51"/>
      <c r="I257" s="17">
        <f t="shared" si="4"/>
        <v>0</v>
      </c>
      <c r="J257" s="45"/>
      <c r="K257" s="324"/>
    </row>
    <row r="258" spans="1:11" ht="24.75" customHeight="1">
      <c r="A258" s="11" t="s">
        <v>336</v>
      </c>
      <c r="B258" s="145" t="s">
        <v>337</v>
      </c>
      <c r="C258" s="55"/>
      <c r="D258" s="3" t="s">
        <v>11</v>
      </c>
      <c r="E258" s="3" t="s">
        <v>25</v>
      </c>
      <c r="F258" s="3" t="s">
        <v>26</v>
      </c>
      <c r="G258" s="305">
        <f>'DIC-18'!I258</f>
        <v>0</v>
      </c>
      <c r="H258" s="51"/>
      <c r="I258" s="17">
        <f t="shared" si="4"/>
        <v>0</v>
      </c>
      <c r="J258" s="45"/>
      <c r="K258" s="324"/>
    </row>
    <row r="259" spans="1:11" ht="60.75" customHeight="1">
      <c r="A259" s="144" t="s">
        <v>338</v>
      </c>
      <c r="B259" s="54" t="s">
        <v>339</v>
      </c>
      <c r="C259" s="55" t="s">
        <v>1059</v>
      </c>
      <c r="D259" s="3"/>
      <c r="E259" s="3"/>
      <c r="F259" s="3"/>
      <c r="G259" s="305">
        <f>'DIC-18'!I259</f>
        <v>0</v>
      </c>
      <c r="H259" s="51"/>
      <c r="I259" s="17"/>
      <c r="J259" s="45"/>
      <c r="K259" s="46"/>
    </row>
    <row r="260" spans="1:11" ht="18.75" customHeight="1">
      <c r="A260" s="11" t="s">
        <v>340</v>
      </c>
      <c r="B260" s="145" t="s">
        <v>344</v>
      </c>
      <c r="C260" s="55"/>
      <c r="D260" s="3" t="s">
        <v>11</v>
      </c>
      <c r="E260" s="3" t="s">
        <v>25</v>
      </c>
      <c r="F260" s="3" t="s">
        <v>26</v>
      </c>
      <c r="G260" s="305">
        <f>'DIC-18'!I260</f>
        <v>0</v>
      </c>
      <c r="H260" s="51"/>
      <c r="I260" s="17">
        <f t="shared" si="4"/>
        <v>0</v>
      </c>
      <c r="J260" s="45"/>
      <c r="K260" s="280"/>
    </row>
    <row r="261" spans="1:11" ht="31.5" customHeight="1">
      <c r="A261" s="11" t="s">
        <v>341</v>
      </c>
      <c r="B261" s="145" t="s">
        <v>345</v>
      </c>
      <c r="C261" s="55" t="s">
        <v>1059</v>
      </c>
      <c r="D261" s="3" t="s">
        <v>11</v>
      </c>
      <c r="E261" s="3" t="s">
        <v>25</v>
      </c>
      <c r="F261" s="3" t="s">
        <v>26</v>
      </c>
      <c r="G261" s="305">
        <f>'DIC-18'!I261</f>
        <v>0</v>
      </c>
      <c r="H261" s="51"/>
      <c r="I261" s="17">
        <f t="shared" si="4"/>
        <v>0</v>
      </c>
      <c r="J261" s="45"/>
      <c r="K261" s="280"/>
    </row>
    <row r="262" spans="1:11" ht="20.25" customHeight="1">
      <c r="A262" s="11" t="s">
        <v>342</v>
      </c>
      <c r="B262" s="145" t="s">
        <v>346</v>
      </c>
      <c r="C262" s="55"/>
      <c r="D262" s="3" t="s">
        <v>11</v>
      </c>
      <c r="E262" s="3" t="s">
        <v>25</v>
      </c>
      <c r="F262" s="3" t="s">
        <v>26</v>
      </c>
      <c r="G262" s="305">
        <f>'DIC-18'!I262</f>
        <v>0</v>
      </c>
      <c r="H262" s="51"/>
      <c r="I262" s="17">
        <f t="shared" si="4"/>
        <v>0</v>
      </c>
      <c r="J262" s="45"/>
      <c r="K262" s="280"/>
    </row>
    <row r="263" spans="1:11" ht="24" customHeight="1">
      <c r="A263" s="11" t="s">
        <v>343</v>
      </c>
      <c r="B263" s="145" t="s">
        <v>347</v>
      </c>
      <c r="C263" s="55"/>
      <c r="D263" s="3" t="s">
        <v>11</v>
      </c>
      <c r="E263" s="3" t="s">
        <v>25</v>
      </c>
      <c r="F263" s="3" t="s">
        <v>26</v>
      </c>
      <c r="G263" s="305">
        <f>'DIC-18'!I263</f>
        <v>0</v>
      </c>
      <c r="H263" s="51"/>
      <c r="I263" s="17">
        <f t="shared" si="4"/>
        <v>0</v>
      </c>
      <c r="J263" s="45"/>
      <c r="K263" s="280"/>
    </row>
    <row r="264" spans="1:11" ht="70.5" customHeight="1">
      <c r="A264" s="144" t="s">
        <v>348</v>
      </c>
      <c r="B264" s="54" t="s">
        <v>349</v>
      </c>
      <c r="C264" s="55"/>
      <c r="D264" s="3"/>
      <c r="E264" s="3"/>
      <c r="F264" s="3"/>
      <c r="G264" s="305">
        <f>'DIC-18'!I264</f>
        <v>0</v>
      </c>
      <c r="H264" s="51"/>
      <c r="I264" s="17"/>
      <c r="J264" s="45"/>
      <c r="K264" s="46"/>
    </row>
    <row r="265" spans="1:11" ht="23.25" customHeight="1">
      <c r="A265" s="11" t="s">
        <v>350</v>
      </c>
      <c r="B265" s="145" t="s">
        <v>355</v>
      </c>
      <c r="C265" s="55"/>
      <c r="D265" s="3" t="s">
        <v>11</v>
      </c>
      <c r="E265" s="3" t="s">
        <v>25</v>
      </c>
      <c r="F265" s="3" t="s">
        <v>26</v>
      </c>
      <c r="G265" s="305">
        <f>'DIC-18'!I265</f>
        <v>0</v>
      </c>
      <c r="H265" s="51"/>
      <c r="I265" s="17">
        <f t="shared" si="4"/>
        <v>0</v>
      </c>
      <c r="J265" s="45"/>
      <c r="K265" s="324"/>
    </row>
    <row r="266" spans="1:11" ht="22.5" customHeight="1">
      <c r="A266" s="11" t="s">
        <v>351</v>
      </c>
      <c r="B266" s="145" t="s">
        <v>354</v>
      </c>
      <c r="C266" s="55"/>
      <c r="D266" s="3" t="s">
        <v>11</v>
      </c>
      <c r="E266" s="3" t="s">
        <v>25</v>
      </c>
      <c r="F266" s="3" t="s">
        <v>26</v>
      </c>
      <c r="G266" s="305">
        <f>'DIC-18'!I266</f>
        <v>0</v>
      </c>
      <c r="H266" s="51"/>
      <c r="I266" s="17">
        <f t="shared" si="4"/>
        <v>0</v>
      </c>
      <c r="J266" s="45"/>
      <c r="K266" s="324"/>
    </row>
    <row r="267" spans="1:11" ht="24.75" customHeight="1">
      <c r="A267" s="11" t="s">
        <v>352</v>
      </c>
      <c r="B267" s="145" t="s">
        <v>356</v>
      </c>
      <c r="C267" s="55"/>
      <c r="D267" s="3" t="s">
        <v>11</v>
      </c>
      <c r="E267" s="3" t="s">
        <v>25</v>
      </c>
      <c r="F267" s="3" t="s">
        <v>26</v>
      </c>
      <c r="G267" s="305">
        <f>'DIC-18'!I267</f>
        <v>0</v>
      </c>
      <c r="H267" s="51"/>
      <c r="I267" s="17">
        <f t="shared" si="4"/>
        <v>0</v>
      </c>
      <c r="J267" s="45"/>
      <c r="K267" s="385"/>
    </row>
    <row r="268" spans="1:11" ht="24.75" customHeight="1">
      <c r="A268" s="11" t="s">
        <v>353</v>
      </c>
      <c r="B268" s="145" t="s">
        <v>357</v>
      </c>
      <c r="C268" s="55"/>
      <c r="D268" s="3" t="s">
        <v>11</v>
      </c>
      <c r="E268" s="3" t="s">
        <v>25</v>
      </c>
      <c r="F268" s="3" t="s">
        <v>26</v>
      </c>
      <c r="G268" s="305">
        <f>'DIC-18'!I268</f>
        <v>0</v>
      </c>
      <c r="H268" s="51"/>
      <c r="I268" s="17">
        <f t="shared" si="4"/>
        <v>0</v>
      </c>
      <c r="J268" s="45"/>
      <c r="K268" s="385"/>
    </row>
    <row r="269" spans="1:11" ht="59.25" customHeight="1">
      <c r="A269" s="144" t="s">
        <v>358</v>
      </c>
      <c r="B269" s="54" t="s">
        <v>359</v>
      </c>
      <c r="C269" s="55"/>
      <c r="D269" s="3"/>
      <c r="E269" s="3"/>
      <c r="F269" s="3"/>
      <c r="G269" s="305">
        <f>'DIC-18'!I269</f>
        <v>0</v>
      </c>
      <c r="H269" s="51"/>
      <c r="I269" s="17"/>
      <c r="J269" s="45"/>
      <c r="K269" s="46"/>
    </row>
    <row r="270" spans="1:11" ht="18.75" customHeight="1">
      <c r="A270" s="11" t="s">
        <v>361</v>
      </c>
      <c r="B270" s="146" t="s">
        <v>360</v>
      </c>
      <c r="C270" s="55"/>
      <c r="D270" s="3" t="s">
        <v>11</v>
      </c>
      <c r="E270" s="3" t="s">
        <v>25</v>
      </c>
      <c r="F270" s="3" t="s">
        <v>26</v>
      </c>
      <c r="G270" s="305">
        <f>'DIC-18'!I270</f>
        <v>0</v>
      </c>
      <c r="H270" s="51"/>
      <c r="I270" s="17">
        <f t="shared" si="4"/>
        <v>0</v>
      </c>
      <c r="J270" s="45"/>
      <c r="K270" s="324"/>
    </row>
    <row r="271" spans="1:11" ht="18.75" customHeight="1">
      <c r="A271" s="11" t="s">
        <v>362</v>
      </c>
      <c r="B271" s="145" t="s">
        <v>365</v>
      </c>
      <c r="C271" s="55"/>
      <c r="D271" s="3" t="s">
        <v>11</v>
      </c>
      <c r="E271" s="3" t="s">
        <v>25</v>
      </c>
      <c r="F271" s="3" t="s">
        <v>26</v>
      </c>
      <c r="G271" s="305">
        <f>'DIC-18'!I271</f>
        <v>0</v>
      </c>
      <c r="H271" s="51"/>
      <c r="I271" s="17">
        <f t="shared" si="4"/>
        <v>0</v>
      </c>
      <c r="J271" s="45"/>
      <c r="K271" s="324"/>
    </row>
    <row r="272" spans="1:11" ht="24.75" customHeight="1">
      <c r="A272" s="11" t="s">
        <v>363</v>
      </c>
      <c r="B272" s="145" t="s">
        <v>366</v>
      </c>
      <c r="C272" s="55"/>
      <c r="D272" s="3" t="s">
        <v>11</v>
      </c>
      <c r="E272" s="3" t="s">
        <v>25</v>
      </c>
      <c r="F272" s="3" t="s">
        <v>26</v>
      </c>
      <c r="G272" s="305">
        <f>'DIC-18'!I272</f>
        <v>0</v>
      </c>
      <c r="H272" s="51"/>
      <c r="I272" s="17">
        <f t="shared" si="4"/>
        <v>0</v>
      </c>
      <c r="J272" s="45"/>
      <c r="K272" s="324"/>
    </row>
    <row r="273" spans="1:11" ht="28.5" customHeight="1">
      <c r="A273" s="11" t="s">
        <v>364</v>
      </c>
      <c r="B273" s="146" t="s">
        <v>367</v>
      </c>
      <c r="C273" s="55"/>
      <c r="D273" s="3" t="s">
        <v>11</v>
      </c>
      <c r="E273" s="3" t="s">
        <v>25</v>
      </c>
      <c r="F273" s="3" t="s">
        <v>26</v>
      </c>
      <c r="G273" s="305">
        <f>'DIC-18'!I273</f>
        <v>0</v>
      </c>
      <c r="H273" s="51"/>
      <c r="I273" s="17">
        <f t="shared" si="4"/>
        <v>0</v>
      </c>
      <c r="J273" s="45"/>
      <c r="K273" s="324"/>
    </row>
    <row r="274" spans="1:11" ht="27.75" customHeight="1">
      <c r="A274" s="11" t="s">
        <v>368</v>
      </c>
      <c r="B274" s="145" t="s">
        <v>369</v>
      </c>
      <c r="C274" s="55"/>
      <c r="D274" s="3" t="s">
        <v>11</v>
      </c>
      <c r="E274" s="3" t="s">
        <v>25</v>
      </c>
      <c r="F274" s="3" t="s">
        <v>26</v>
      </c>
      <c r="G274" s="305">
        <f>'DIC-18'!I274</f>
        <v>0</v>
      </c>
      <c r="H274" s="51"/>
      <c r="I274" s="17">
        <f t="shared" si="4"/>
        <v>0</v>
      </c>
      <c r="J274" s="45"/>
      <c r="K274" s="324"/>
    </row>
    <row r="275" spans="1:11" ht="23.25" customHeight="1">
      <c r="A275" s="11" t="s">
        <v>370</v>
      </c>
      <c r="B275" s="145" t="s">
        <v>371</v>
      </c>
      <c r="C275" s="55"/>
      <c r="D275" s="3" t="s">
        <v>11</v>
      </c>
      <c r="E275" s="3" t="s">
        <v>25</v>
      </c>
      <c r="F275" s="3" t="s">
        <v>26</v>
      </c>
      <c r="G275" s="305">
        <f>'DIC-18'!I275</f>
        <v>-2.3092638912203256E-14</v>
      </c>
      <c r="H275" s="51"/>
      <c r="I275" s="17">
        <f t="shared" si="4"/>
        <v>-2.3092638912203256E-14</v>
      </c>
      <c r="J275" s="45"/>
      <c r="K275" s="324"/>
    </row>
    <row r="276" spans="1:11" ht="24" customHeight="1">
      <c r="A276" s="11" t="s">
        <v>372</v>
      </c>
      <c r="B276" s="145" t="s">
        <v>373</v>
      </c>
      <c r="C276" s="55"/>
      <c r="D276" s="3" t="s">
        <v>11</v>
      </c>
      <c r="E276" s="3" t="s">
        <v>25</v>
      </c>
      <c r="F276" s="3" t="s">
        <v>26</v>
      </c>
      <c r="G276" s="305">
        <f>'DIC-18'!I276</f>
        <v>0</v>
      </c>
      <c r="H276" s="51"/>
      <c r="I276" s="17">
        <f t="shared" si="4"/>
        <v>0</v>
      </c>
      <c r="J276" s="45"/>
      <c r="K276" s="324"/>
    </row>
    <row r="277" spans="1:11" ht="69" customHeight="1">
      <c r="A277" s="144" t="s">
        <v>374</v>
      </c>
      <c r="B277" s="54" t="s">
        <v>375</v>
      </c>
      <c r="C277" s="55"/>
      <c r="D277" s="3"/>
      <c r="E277" s="3"/>
      <c r="F277" s="3"/>
      <c r="G277" s="305">
        <f>'DIC-18'!I277</f>
        <v>0</v>
      </c>
      <c r="H277" s="51"/>
      <c r="I277" s="17"/>
      <c r="J277" s="45"/>
      <c r="K277" s="46"/>
    </row>
    <row r="278" spans="1:11" ht="24" customHeight="1">
      <c r="A278" s="11" t="s">
        <v>376</v>
      </c>
      <c r="B278" s="146" t="s">
        <v>377</v>
      </c>
      <c r="C278" s="55"/>
      <c r="D278" s="3" t="s">
        <v>11</v>
      </c>
      <c r="E278" s="3" t="s">
        <v>25</v>
      </c>
      <c r="F278" s="3" t="s">
        <v>26</v>
      </c>
      <c r="G278" s="305">
        <f>'DIC-18'!I278</f>
        <v>0</v>
      </c>
      <c r="H278" s="51"/>
      <c r="I278" s="17">
        <f t="shared" si="4"/>
        <v>0</v>
      </c>
      <c r="J278" s="45"/>
      <c r="K278" s="324"/>
    </row>
    <row r="279" spans="1:11" ht="28.5" customHeight="1">
      <c r="A279" s="11" t="s">
        <v>383</v>
      </c>
      <c r="B279" s="145" t="s">
        <v>378</v>
      </c>
      <c r="C279" s="55"/>
      <c r="D279" s="3" t="s">
        <v>11</v>
      </c>
      <c r="E279" s="3" t="s">
        <v>25</v>
      </c>
      <c r="F279" s="3" t="s">
        <v>26</v>
      </c>
      <c r="G279" s="305">
        <f>'DIC-18'!I279</f>
        <v>0</v>
      </c>
      <c r="H279" s="51"/>
      <c r="I279" s="17">
        <f t="shared" si="4"/>
        <v>0</v>
      </c>
      <c r="J279" s="45"/>
      <c r="K279" s="324"/>
    </row>
    <row r="280" spans="1:11" ht="33" customHeight="1">
      <c r="A280" s="11" t="s">
        <v>384</v>
      </c>
      <c r="B280" s="146" t="s">
        <v>379</v>
      </c>
      <c r="C280" s="55"/>
      <c r="D280" s="3" t="s">
        <v>11</v>
      </c>
      <c r="E280" s="3" t="s">
        <v>25</v>
      </c>
      <c r="F280" s="3" t="s">
        <v>26</v>
      </c>
      <c r="G280" s="305">
        <f>'DIC-18'!I280</f>
        <v>0</v>
      </c>
      <c r="H280" s="51"/>
      <c r="I280" s="17">
        <f t="shared" si="4"/>
        <v>0</v>
      </c>
      <c r="J280" s="45"/>
      <c r="K280" s="324"/>
    </row>
    <row r="281" spans="1:11" ht="41.25" customHeight="1">
      <c r="A281" s="11" t="s">
        <v>385</v>
      </c>
      <c r="B281" s="145" t="s">
        <v>380</v>
      </c>
      <c r="C281" s="55"/>
      <c r="D281" s="3" t="s">
        <v>11</v>
      </c>
      <c r="E281" s="3" t="s">
        <v>25</v>
      </c>
      <c r="F281" s="3" t="s">
        <v>26</v>
      </c>
      <c r="G281" s="305">
        <f>'DIC-18'!I281</f>
        <v>0</v>
      </c>
      <c r="H281" s="51"/>
      <c r="I281" s="17">
        <f t="shared" si="4"/>
        <v>0</v>
      </c>
      <c r="J281" s="45"/>
      <c r="K281" s="324"/>
    </row>
    <row r="282" spans="1:11" ht="30" customHeight="1">
      <c r="A282" s="11" t="s">
        <v>386</v>
      </c>
      <c r="B282" s="145" t="s">
        <v>381</v>
      </c>
      <c r="C282" s="55"/>
      <c r="D282" s="3" t="s">
        <v>11</v>
      </c>
      <c r="E282" s="3" t="s">
        <v>25</v>
      </c>
      <c r="F282" s="3" t="s">
        <v>26</v>
      </c>
      <c r="G282" s="305">
        <f>'DIC-18'!I282</f>
        <v>1464.83</v>
      </c>
      <c r="H282" s="51"/>
      <c r="I282" s="17">
        <f t="shared" si="4"/>
        <v>1464.83</v>
      </c>
      <c r="J282" s="45"/>
      <c r="K282" s="324"/>
    </row>
    <row r="283" spans="1:11" ht="27" customHeight="1">
      <c r="A283" s="11" t="s">
        <v>387</v>
      </c>
      <c r="B283" s="145" t="s">
        <v>382</v>
      </c>
      <c r="C283" s="6"/>
      <c r="D283" s="3" t="s">
        <v>11</v>
      </c>
      <c r="E283" s="3" t="s">
        <v>25</v>
      </c>
      <c r="F283" s="3" t="s">
        <v>26</v>
      </c>
      <c r="G283" s="305">
        <f>'DIC-18'!I283</f>
        <v>20</v>
      </c>
      <c r="H283" s="51"/>
      <c r="I283" s="17">
        <f t="shared" si="3"/>
        <v>20</v>
      </c>
      <c r="J283" s="45"/>
      <c r="K283" s="385"/>
    </row>
    <row r="284" spans="1:11" ht="143.25" customHeight="1">
      <c r="A284" s="144" t="s">
        <v>388</v>
      </c>
      <c r="B284" s="54" t="s">
        <v>391</v>
      </c>
      <c r="C284" s="55"/>
      <c r="D284" s="14"/>
      <c r="E284" s="14"/>
      <c r="F284" s="14"/>
      <c r="G284" s="305">
        <f>'DIC-18'!I284</f>
        <v>0</v>
      </c>
      <c r="H284" s="51"/>
      <c r="I284" s="17"/>
      <c r="J284" s="62"/>
      <c r="K284" s="63"/>
    </row>
    <row r="285" spans="1:11" ht="29.25">
      <c r="A285" s="11" t="s">
        <v>389</v>
      </c>
      <c r="B285" s="54" t="s">
        <v>390</v>
      </c>
      <c r="C285" s="55"/>
      <c r="D285" s="14" t="s">
        <v>11</v>
      </c>
      <c r="E285" s="14" t="s">
        <v>25</v>
      </c>
      <c r="F285" s="14" t="s">
        <v>26</v>
      </c>
      <c r="G285" s="305">
        <f>'DIC-18'!I285</f>
        <v>0</v>
      </c>
      <c r="H285" s="51"/>
      <c r="I285" s="17">
        <f t="shared" si="3"/>
        <v>0</v>
      </c>
      <c r="J285" s="62"/>
      <c r="K285" s="324"/>
    </row>
    <row r="286" spans="1:11" ht="68.25" customHeight="1">
      <c r="A286" s="412" t="s">
        <v>392</v>
      </c>
      <c r="B286" s="54" t="s">
        <v>393</v>
      </c>
      <c r="C286" s="343" t="s">
        <v>1114</v>
      </c>
      <c r="D286" s="14"/>
      <c r="E286" s="14"/>
      <c r="F286" s="14"/>
      <c r="G286" s="305">
        <f>'DIC-18'!I286</f>
        <v>0</v>
      </c>
      <c r="H286" s="51"/>
      <c r="I286" s="17"/>
      <c r="J286" s="62"/>
      <c r="K286" s="63"/>
    </row>
    <row r="287" spans="1:11" ht="21" customHeight="1">
      <c r="A287" s="11">
        <v>51999</v>
      </c>
      <c r="B287" s="54" t="s">
        <v>394</v>
      </c>
      <c r="C287" s="55"/>
      <c r="D287" s="14" t="s">
        <v>11</v>
      </c>
      <c r="E287" s="14" t="s">
        <v>25</v>
      </c>
      <c r="F287" s="14" t="s">
        <v>26</v>
      </c>
      <c r="G287" s="305">
        <f>'DIC-18'!I287</f>
        <v>47.230000000000018</v>
      </c>
      <c r="H287" s="51"/>
      <c r="I287" s="17">
        <f t="shared" si="3"/>
        <v>47.230000000000018</v>
      </c>
      <c r="J287" s="108"/>
      <c r="K287" s="320"/>
    </row>
    <row r="288" spans="1:11" ht="29.25">
      <c r="A288" s="11">
        <v>54112</v>
      </c>
      <c r="B288" s="54" t="s">
        <v>395</v>
      </c>
      <c r="C288" s="55"/>
      <c r="D288" s="14" t="s">
        <v>11</v>
      </c>
      <c r="E288" s="14" t="s">
        <v>25</v>
      </c>
      <c r="F288" s="14" t="s">
        <v>26</v>
      </c>
      <c r="G288" s="305">
        <f>'DIC-18'!I288</f>
        <v>1000</v>
      </c>
      <c r="H288" s="51"/>
      <c r="I288" s="17">
        <f t="shared" si="3"/>
        <v>1000</v>
      </c>
      <c r="J288" s="62"/>
      <c r="K288" s="320"/>
    </row>
    <row r="289" spans="1:11" ht="29.25">
      <c r="A289" s="11">
        <v>54199</v>
      </c>
      <c r="B289" s="54" t="s">
        <v>396</v>
      </c>
      <c r="C289" s="55"/>
      <c r="D289" s="14" t="s">
        <v>11</v>
      </c>
      <c r="E289" s="14" t="s">
        <v>25</v>
      </c>
      <c r="F289" s="14" t="s">
        <v>26</v>
      </c>
      <c r="G289" s="305">
        <f>'DIC-18'!I289</f>
        <v>500</v>
      </c>
      <c r="H289" s="51"/>
      <c r="I289" s="17">
        <f t="shared" ref="I289:I352" si="5">G289-H289+J289-K289</f>
        <v>500</v>
      </c>
      <c r="J289" s="62"/>
      <c r="K289" s="320"/>
    </row>
    <row r="290" spans="1:11" ht="21.75" customHeight="1">
      <c r="A290" s="11">
        <v>54305</v>
      </c>
      <c r="B290" s="54" t="s">
        <v>397</v>
      </c>
      <c r="C290" s="55"/>
      <c r="D290" s="14" t="s">
        <v>11</v>
      </c>
      <c r="E290" s="14" t="s">
        <v>25</v>
      </c>
      <c r="F290" s="14" t="s">
        <v>26</v>
      </c>
      <c r="G290" s="305">
        <f>'DIC-18'!I290</f>
        <v>635.63999999999987</v>
      </c>
      <c r="H290" s="51"/>
      <c r="I290" s="17">
        <f t="shared" si="5"/>
        <v>635.63999999999987</v>
      </c>
      <c r="J290" s="62"/>
      <c r="K290" s="108"/>
    </row>
    <row r="291" spans="1:11" ht="30">
      <c r="A291" s="11">
        <v>54313</v>
      </c>
      <c r="B291" s="54" t="s">
        <v>398</v>
      </c>
      <c r="C291" s="55" t="s">
        <v>1064</v>
      </c>
      <c r="D291" s="14" t="s">
        <v>11</v>
      </c>
      <c r="E291" s="14" t="s">
        <v>25</v>
      </c>
      <c r="F291" s="14" t="s">
        <v>26</v>
      </c>
      <c r="G291" s="305">
        <f>'DIC-18'!I291</f>
        <v>78.149999999999977</v>
      </c>
      <c r="H291" s="51"/>
      <c r="I291" s="17">
        <f t="shared" si="5"/>
        <v>78.149999999999977</v>
      </c>
      <c r="J291" s="408"/>
      <c r="K291" s="63"/>
    </row>
    <row r="292" spans="1:11" ht="29.25">
      <c r="A292" s="11">
        <v>54314</v>
      </c>
      <c r="B292" s="54" t="s">
        <v>1218</v>
      </c>
      <c r="C292" s="55"/>
      <c r="D292" s="14" t="s">
        <v>11</v>
      </c>
      <c r="E292" s="14" t="s">
        <v>25</v>
      </c>
      <c r="F292" s="14" t="s">
        <v>27</v>
      </c>
      <c r="G292" s="305">
        <f>'DIC-18'!I292</f>
        <v>40</v>
      </c>
      <c r="H292" s="51"/>
      <c r="I292" s="17">
        <f t="shared" si="5"/>
        <v>40</v>
      </c>
      <c r="J292" s="408"/>
      <c r="K292" s="63"/>
    </row>
    <row r="293" spans="1:11" ht="30">
      <c r="A293" s="11">
        <v>54399</v>
      </c>
      <c r="B293" s="54" t="s">
        <v>399</v>
      </c>
      <c r="C293" s="55"/>
      <c r="D293" s="14" t="s">
        <v>11</v>
      </c>
      <c r="E293" s="14" t="s">
        <v>25</v>
      </c>
      <c r="F293" s="14" t="s">
        <v>26</v>
      </c>
      <c r="G293" s="305">
        <f>'DIC-18'!I293</f>
        <v>40</v>
      </c>
      <c r="H293" s="51"/>
      <c r="I293" s="17">
        <f t="shared" si="5"/>
        <v>40</v>
      </c>
      <c r="J293" s="62"/>
      <c r="K293" s="387"/>
    </row>
    <row r="294" spans="1:11" ht="30">
      <c r="A294" s="11">
        <v>55603</v>
      </c>
      <c r="B294" s="54" t="s">
        <v>400</v>
      </c>
      <c r="C294" s="55"/>
      <c r="D294" s="14" t="s">
        <v>11</v>
      </c>
      <c r="E294" s="14" t="s">
        <v>25</v>
      </c>
      <c r="F294" s="14" t="s">
        <v>26</v>
      </c>
      <c r="G294" s="305">
        <f>'DIC-18'!I294</f>
        <v>14.17</v>
      </c>
      <c r="H294" s="51"/>
      <c r="I294" s="17">
        <f t="shared" si="5"/>
        <v>14.17</v>
      </c>
      <c r="J294" s="62"/>
      <c r="K294" s="63"/>
    </row>
    <row r="295" spans="1:11" ht="29.25">
      <c r="A295" s="11">
        <v>61101</v>
      </c>
      <c r="B295" s="54" t="s">
        <v>1183</v>
      </c>
      <c r="C295" s="55"/>
      <c r="D295" s="14" t="s">
        <v>11</v>
      </c>
      <c r="E295" s="14" t="s">
        <v>25</v>
      </c>
      <c r="F295" s="14" t="s">
        <v>1181</v>
      </c>
      <c r="G295" s="305">
        <f>'DIC-18'!I295</f>
        <v>23.479999999999791</v>
      </c>
      <c r="H295" s="51"/>
      <c r="I295" s="17">
        <f t="shared" si="5"/>
        <v>23.479999999999791</v>
      </c>
      <c r="J295" s="408"/>
      <c r="K295" s="63"/>
    </row>
    <row r="296" spans="1:11" ht="75.75" customHeight="1">
      <c r="A296" s="144" t="s">
        <v>401</v>
      </c>
      <c r="B296" s="54" t="s">
        <v>402</v>
      </c>
      <c r="C296" s="55" t="s">
        <v>1063</v>
      </c>
      <c r="D296" s="14"/>
      <c r="E296" s="14"/>
      <c r="F296" s="14"/>
      <c r="G296" s="305">
        <f>'DIC-18'!I296</f>
        <v>0</v>
      </c>
      <c r="H296" s="51"/>
      <c r="I296" s="17"/>
      <c r="J296" s="62"/>
      <c r="K296" s="63"/>
    </row>
    <row r="297" spans="1:11" ht="20.25" customHeight="1">
      <c r="A297" s="147">
        <v>54119</v>
      </c>
      <c r="B297" s="145" t="s">
        <v>403</v>
      </c>
      <c r="C297" s="55" t="s">
        <v>1063</v>
      </c>
      <c r="D297" s="14" t="s">
        <v>11</v>
      </c>
      <c r="E297" s="14" t="s">
        <v>25</v>
      </c>
      <c r="F297" s="14" t="s">
        <v>26</v>
      </c>
      <c r="G297" s="305">
        <f>'DIC-18'!I297</f>
        <v>12005.6</v>
      </c>
      <c r="H297" s="51"/>
      <c r="I297" s="134">
        <f t="shared" si="5"/>
        <v>12005.6</v>
      </c>
      <c r="J297" s="108"/>
      <c r="K297" s="433"/>
    </row>
    <row r="298" spans="1:11" ht="39.75" customHeight="1">
      <c r="A298" s="147">
        <v>51999</v>
      </c>
      <c r="B298" s="145" t="s">
        <v>1051</v>
      </c>
      <c r="C298" s="55" t="s">
        <v>1063</v>
      </c>
      <c r="D298" s="14" t="s">
        <v>11</v>
      </c>
      <c r="E298" s="14" t="s">
        <v>25</v>
      </c>
      <c r="F298" s="14" t="s">
        <v>26</v>
      </c>
      <c r="G298" s="305">
        <f>'DIC-18'!I298</f>
        <v>3400</v>
      </c>
      <c r="H298" s="51"/>
      <c r="I298" s="17">
        <f t="shared" si="5"/>
        <v>3400</v>
      </c>
      <c r="J298" s="108"/>
      <c r="K298" s="387"/>
    </row>
    <row r="299" spans="1:11" ht="24">
      <c r="A299" s="147">
        <v>54112</v>
      </c>
      <c r="B299" s="145" t="s">
        <v>404</v>
      </c>
      <c r="C299" s="55"/>
      <c r="D299" s="14" t="s">
        <v>11</v>
      </c>
      <c r="E299" s="14" t="s">
        <v>25</v>
      </c>
      <c r="F299" s="14" t="s">
        <v>26</v>
      </c>
      <c r="G299" s="305">
        <f>'DIC-18'!I299</f>
        <v>0</v>
      </c>
      <c r="H299" s="51"/>
      <c r="I299" s="17">
        <f t="shared" si="5"/>
        <v>0</v>
      </c>
      <c r="J299" s="62"/>
      <c r="K299" s="387"/>
    </row>
    <row r="300" spans="1:11" ht="22.5" customHeight="1">
      <c r="A300" s="147">
        <v>54199</v>
      </c>
      <c r="B300" s="145" t="s">
        <v>405</v>
      </c>
      <c r="C300" s="55"/>
      <c r="D300" s="14" t="s">
        <v>11</v>
      </c>
      <c r="E300" s="14" t="s">
        <v>25</v>
      </c>
      <c r="F300" s="14" t="s">
        <v>26</v>
      </c>
      <c r="G300" s="305">
        <f>'DIC-18'!I300</f>
        <v>0</v>
      </c>
      <c r="H300" s="51"/>
      <c r="I300" s="17">
        <f t="shared" si="5"/>
        <v>0</v>
      </c>
      <c r="J300" s="62"/>
      <c r="K300" s="387"/>
    </row>
    <row r="301" spans="1:11" ht="24">
      <c r="A301" s="147">
        <v>54399</v>
      </c>
      <c r="B301" s="145" t="s">
        <v>406</v>
      </c>
      <c r="C301" s="55"/>
      <c r="D301" s="14" t="s">
        <v>11</v>
      </c>
      <c r="E301" s="14" t="s">
        <v>25</v>
      </c>
      <c r="F301" s="14" t="s">
        <v>26</v>
      </c>
      <c r="G301" s="305">
        <f>'DIC-18'!I301</f>
        <v>0</v>
      </c>
      <c r="H301" s="51"/>
      <c r="I301" s="17">
        <f t="shared" si="5"/>
        <v>0</v>
      </c>
      <c r="J301" s="62"/>
      <c r="K301" s="387"/>
    </row>
    <row r="302" spans="1:11" ht="23.25" customHeight="1">
      <c r="A302" s="147">
        <v>55603</v>
      </c>
      <c r="B302" s="145" t="s">
        <v>407</v>
      </c>
      <c r="C302" s="55"/>
      <c r="D302" s="14" t="s">
        <v>11</v>
      </c>
      <c r="E302" s="14" t="s">
        <v>25</v>
      </c>
      <c r="F302" s="14" t="s">
        <v>26</v>
      </c>
      <c r="G302" s="305">
        <f>'DIC-18'!I302</f>
        <v>0</v>
      </c>
      <c r="H302" s="309"/>
      <c r="I302" s="17">
        <f t="shared" si="5"/>
        <v>0</v>
      </c>
      <c r="J302" s="62"/>
      <c r="K302" s="387"/>
    </row>
    <row r="303" spans="1:11" s="213" customFormat="1" ht="66.75" customHeight="1">
      <c r="A303" s="144" t="s">
        <v>408</v>
      </c>
      <c r="B303" s="54" t="s">
        <v>409</v>
      </c>
      <c r="C303" s="378" t="s">
        <v>1141</v>
      </c>
      <c r="D303" s="14"/>
      <c r="E303" s="14"/>
      <c r="F303" s="14"/>
      <c r="G303" s="305">
        <f>'DIC-18'!I303</f>
        <v>0</v>
      </c>
      <c r="H303" s="51"/>
      <c r="I303" s="17"/>
      <c r="J303" s="62"/>
      <c r="K303" s="63"/>
    </row>
    <row r="304" spans="1:11" ht="29.25">
      <c r="A304" s="11">
        <v>51999</v>
      </c>
      <c r="B304" s="54" t="s">
        <v>410</v>
      </c>
      <c r="C304" s="55"/>
      <c r="D304" s="14" t="s">
        <v>11</v>
      </c>
      <c r="E304" s="14" t="s">
        <v>25</v>
      </c>
      <c r="F304" s="14" t="s">
        <v>26</v>
      </c>
      <c r="G304" s="305">
        <f>'DIC-18'!I304</f>
        <v>400.32999999999993</v>
      </c>
      <c r="H304" s="51"/>
      <c r="I304" s="17">
        <f t="shared" si="5"/>
        <v>400.32999999999993</v>
      </c>
      <c r="J304" s="62"/>
      <c r="K304" s="63"/>
    </row>
    <row r="305" spans="1:11" ht="43.5">
      <c r="A305" s="11">
        <v>54107</v>
      </c>
      <c r="B305" s="54" t="s">
        <v>1211</v>
      </c>
      <c r="C305" s="55"/>
      <c r="D305" s="14" t="s">
        <v>11</v>
      </c>
      <c r="E305" s="14" t="s">
        <v>25</v>
      </c>
      <c r="F305" s="14" t="s">
        <v>26</v>
      </c>
      <c r="G305" s="305">
        <f>'DIC-18'!I305</f>
        <v>46</v>
      </c>
      <c r="H305" s="51"/>
      <c r="I305" s="17">
        <f t="shared" si="5"/>
        <v>46</v>
      </c>
      <c r="J305" s="408"/>
      <c r="K305" s="63"/>
    </row>
    <row r="306" spans="1:11" ht="29.25">
      <c r="A306" s="11">
        <v>54111</v>
      </c>
      <c r="B306" s="54" t="s">
        <v>411</v>
      </c>
      <c r="C306" s="55" t="s">
        <v>1142</v>
      </c>
      <c r="D306" s="14" t="s">
        <v>11</v>
      </c>
      <c r="E306" s="14" t="s">
        <v>25</v>
      </c>
      <c r="F306" s="14" t="s">
        <v>26</v>
      </c>
      <c r="G306" s="305">
        <f>'DIC-18'!I306</f>
        <v>824.61999999999989</v>
      </c>
      <c r="H306" s="51"/>
      <c r="I306" s="17">
        <f t="shared" si="5"/>
        <v>824.61999999999989</v>
      </c>
      <c r="J306" s="62"/>
      <c r="K306" s="320"/>
    </row>
    <row r="307" spans="1:11" ht="29.25">
      <c r="A307" s="11">
        <v>54112</v>
      </c>
      <c r="B307" s="54" t="s">
        <v>412</v>
      </c>
      <c r="C307" s="55"/>
      <c r="D307" s="14" t="s">
        <v>11</v>
      </c>
      <c r="E307" s="14" t="s">
        <v>25</v>
      </c>
      <c r="F307" s="14" t="s">
        <v>26</v>
      </c>
      <c r="G307" s="305">
        <f>'DIC-18'!I307</f>
        <v>818.96999999999991</v>
      </c>
      <c r="H307" s="51"/>
      <c r="I307" s="17">
        <f t="shared" si="5"/>
        <v>818.96999999999991</v>
      </c>
      <c r="J307" s="62"/>
      <c r="K307" s="434"/>
    </row>
    <row r="308" spans="1:11" ht="30">
      <c r="A308" s="11">
        <v>54118</v>
      </c>
      <c r="B308" s="54" t="s">
        <v>413</v>
      </c>
      <c r="C308" s="55" t="s">
        <v>1142</v>
      </c>
      <c r="D308" s="14" t="s">
        <v>11</v>
      </c>
      <c r="E308" s="14" t="s">
        <v>25</v>
      </c>
      <c r="F308" s="14" t="s">
        <v>26</v>
      </c>
      <c r="G308" s="305">
        <f>'DIC-18'!I308</f>
        <v>1211.7899999999997</v>
      </c>
      <c r="H308" s="51"/>
      <c r="I308" s="17">
        <f t="shared" si="5"/>
        <v>1211.7899999999997</v>
      </c>
      <c r="J308" s="400"/>
      <c r="K308" s="320"/>
    </row>
    <row r="309" spans="1:11" ht="29.25">
      <c r="A309" s="11">
        <v>54199</v>
      </c>
      <c r="B309" s="54" t="s">
        <v>414</v>
      </c>
      <c r="C309" s="55"/>
      <c r="D309" s="14" t="s">
        <v>11</v>
      </c>
      <c r="E309" s="14" t="s">
        <v>25</v>
      </c>
      <c r="F309" s="14" t="s">
        <v>26</v>
      </c>
      <c r="G309" s="305">
        <f>'DIC-18'!I309</f>
        <v>625.08000000000004</v>
      </c>
      <c r="H309" s="51"/>
      <c r="I309" s="17">
        <f t="shared" si="5"/>
        <v>625.08000000000004</v>
      </c>
      <c r="J309" s="62"/>
      <c r="K309" s="320"/>
    </row>
    <row r="310" spans="1:11" ht="30">
      <c r="A310" s="11">
        <v>54301</v>
      </c>
      <c r="B310" s="54" t="s">
        <v>415</v>
      </c>
      <c r="C310" s="55" t="s">
        <v>1142</v>
      </c>
      <c r="D310" s="14" t="s">
        <v>11</v>
      </c>
      <c r="E310" s="14" t="s">
        <v>25</v>
      </c>
      <c r="F310" s="14" t="s">
        <v>26</v>
      </c>
      <c r="G310" s="305">
        <f>'DIC-18'!I310</f>
        <v>73.250000000000227</v>
      </c>
      <c r="H310" s="51"/>
      <c r="I310" s="17">
        <f t="shared" si="5"/>
        <v>73.250000000000227</v>
      </c>
      <c r="J310" s="62"/>
      <c r="K310" s="320"/>
    </row>
    <row r="311" spans="1:11" ht="29.25">
      <c r="A311" s="11">
        <v>54316</v>
      </c>
      <c r="B311" s="54" t="s">
        <v>1146</v>
      </c>
      <c r="C311" s="55" t="s">
        <v>1142</v>
      </c>
      <c r="D311" s="14" t="s">
        <v>11</v>
      </c>
      <c r="E311" s="14" t="s">
        <v>25</v>
      </c>
      <c r="F311" s="14" t="s">
        <v>26</v>
      </c>
      <c r="G311" s="305">
        <f>'DIC-18'!I311</f>
        <v>206.24</v>
      </c>
      <c r="H311" s="51"/>
      <c r="I311" s="17">
        <f t="shared" si="5"/>
        <v>206.24</v>
      </c>
      <c r="J311" s="108"/>
      <c r="K311" s="320"/>
    </row>
    <row r="312" spans="1:11" ht="30">
      <c r="A312" s="11">
        <v>54399</v>
      </c>
      <c r="B312" s="54" t="s">
        <v>416</v>
      </c>
      <c r="C312" s="55"/>
      <c r="D312" s="14" t="s">
        <v>11</v>
      </c>
      <c r="E312" s="14" t="s">
        <v>25</v>
      </c>
      <c r="F312" s="14" t="s">
        <v>26</v>
      </c>
      <c r="G312" s="305">
        <f>'DIC-18'!I312</f>
        <v>141.5</v>
      </c>
      <c r="H312" s="51"/>
      <c r="I312" s="17">
        <f t="shared" si="5"/>
        <v>141.5</v>
      </c>
      <c r="J312" s="62"/>
      <c r="K312" s="320"/>
    </row>
    <row r="313" spans="1:11" ht="29.25">
      <c r="A313" s="11">
        <v>55603</v>
      </c>
      <c r="B313" s="54" t="s">
        <v>417</v>
      </c>
      <c r="C313" s="55"/>
      <c r="D313" s="14" t="s">
        <v>11</v>
      </c>
      <c r="E313" s="14" t="s">
        <v>25</v>
      </c>
      <c r="F313" s="14" t="s">
        <v>26</v>
      </c>
      <c r="G313" s="305">
        <f>'DIC-18'!I313</f>
        <v>1.7499999999999991</v>
      </c>
      <c r="H313" s="51"/>
      <c r="I313" s="17">
        <f t="shared" si="5"/>
        <v>1.7499999999999991</v>
      </c>
      <c r="J313" s="62"/>
      <c r="K313" s="63"/>
    </row>
    <row r="314" spans="1:11" ht="29.25">
      <c r="A314" s="11">
        <v>61101</v>
      </c>
      <c r="B314" s="54" t="s">
        <v>1219</v>
      </c>
      <c r="C314" s="55"/>
      <c r="D314" s="14" t="s">
        <v>11</v>
      </c>
      <c r="E314" s="14" t="s">
        <v>25</v>
      </c>
      <c r="F314" s="14" t="s">
        <v>27</v>
      </c>
      <c r="G314" s="305">
        <f>'DIC-18'!I314</f>
        <v>0</v>
      </c>
      <c r="H314" s="51"/>
      <c r="I314" s="17">
        <f t="shared" si="5"/>
        <v>0</v>
      </c>
      <c r="J314" s="108"/>
      <c r="K314" s="63"/>
    </row>
    <row r="315" spans="1:11" ht="64.5" customHeight="1">
      <c r="A315" s="447" t="s">
        <v>418</v>
      </c>
      <c r="B315" s="54" t="s">
        <v>419</v>
      </c>
      <c r="C315" s="344" t="s">
        <v>1144</v>
      </c>
      <c r="D315" s="14"/>
      <c r="E315" s="14"/>
      <c r="F315" s="14"/>
      <c r="G315" s="305">
        <f>'DIC-18'!I315</f>
        <v>0</v>
      </c>
      <c r="H315" s="51"/>
      <c r="I315" s="17"/>
      <c r="J315" s="62"/>
      <c r="K315" s="63"/>
    </row>
    <row r="316" spans="1:11" ht="20.25" customHeight="1">
      <c r="A316" s="11">
        <v>51202</v>
      </c>
      <c r="B316" s="54" t="s">
        <v>420</v>
      </c>
      <c r="C316" s="55"/>
      <c r="D316" s="14" t="s">
        <v>11</v>
      </c>
      <c r="E316" s="14" t="s">
        <v>25</v>
      </c>
      <c r="F316" s="14" t="s">
        <v>26</v>
      </c>
      <c r="G316" s="305">
        <f>'DIC-18'!I316</f>
        <v>151.27999999999997</v>
      </c>
      <c r="H316" s="51"/>
      <c r="I316" s="18">
        <f t="shared" si="5"/>
        <v>151.27999999999997</v>
      </c>
      <c r="J316" s="408"/>
      <c r="K316" s="320"/>
    </row>
    <row r="317" spans="1:11" ht="25.5" customHeight="1">
      <c r="A317" s="11">
        <v>54110</v>
      </c>
      <c r="B317" s="54" t="s">
        <v>421</v>
      </c>
      <c r="C317" s="55"/>
      <c r="D317" s="14" t="s">
        <v>11</v>
      </c>
      <c r="E317" s="14" t="s">
        <v>25</v>
      </c>
      <c r="F317" s="14" t="s">
        <v>26</v>
      </c>
      <c r="G317" s="305">
        <f>'DIC-18'!I317</f>
        <v>1931.3999999999996</v>
      </c>
      <c r="H317" s="51"/>
      <c r="I317" s="17">
        <f t="shared" si="5"/>
        <v>1931.3999999999996</v>
      </c>
      <c r="J317" s="62"/>
      <c r="K317" s="320"/>
    </row>
    <row r="318" spans="1:11" ht="29.25">
      <c r="A318" s="11">
        <v>54111</v>
      </c>
      <c r="B318" s="54" t="s">
        <v>422</v>
      </c>
      <c r="C318" s="55" t="s">
        <v>1145</v>
      </c>
      <c r="D318" s="14" t="s">
        <v>11</v>
      </c>
      <c r="E318" s="14" t="s">
        <v>25</v>
      </c>
      <c r="F318" s="14" t="s">
        <v>26</v>
      </c>
      <c r="G318" s="305">
        <f>'DIC-18'!I318</f>
        <v>534.97999999999979</v>
      </c>
      <c r="H318" s="51"/>
      <c r="I318" s="17">
        <f t="shared" si="5"/>
        <v>534.97999999999979</v>
      </c>
      <c r="J318" s="108"/>
      <c r="K318" s="434"/>
    </row>
    <row r="319" spans="1:11" ht="29.25">
      <c r="A319" s="11">
        <v>54112</v>
      </c>
      <c r="B319" s="54" t="s">
        <v>423</v>
      </c>
      <c r="C319" s="55" t="s">
        <v>1145</v>
      </c>
      <c r="D319" s="14" t="s">
        <v>11</v>
      </c>
      <c r="E319" s="14" t="s">
        <v>25</v>
      </c>
      <c r="F319" s="14" t="s">
        <v>26</v>
      </c>
      <c r="G319" s="305">
        <f>'DIC-18'!I319</f>
        <v>1419.25</v>
      </c>
      <c r="H319" s="51"/>
      <c r="I319" s="17">
        <f t="shared" si="5"/>
        <v>1419.25</v>
      </c>
      <c r="J319" s="62"/>
      <c r="K319" s="320"/>
    </row>
    <row r="320" spans="1:11" ht="45">
      <c r="A320" s="11">
        <v>54118</v>
      </c>
      <c r="B320" s="54" t="s">
        <v>1223</v>
      </c>
      <c r="C320" s="55"/>
      <c r="D320" s="14" t="s">
        <v>11</v>
      </c>
      <c r="E320" s="14" t="s">
        <v>25</v>
      </c>
      <c r="F320" s="14" t="s">
        <v>27</v>
      </c>
      <c r="G320" s="305">
        <f>'DIC-18'!I320</f>
        <v>142</v>
      </c>
      <c r="H320" s="51"/>
      <c r="I320" s="17">
        <f t="shared" si="5"/>
        <v>142</v>
      </c>
      <c r="J320" s="108"/>
      <c r="K320" s="320"/>
    </row>
    <row r="321" spans="1:11" ht="29.25">
      <c r="A321" s="11">
        <v>54313</v>
      </c>
      <c r="B321" s="54" t="s">
        <v>424</v>
      </c>
      <c r="C321" s="55"/>
      <c r="D321" s="14" t="s">
        <v>11</v>
      </c>
      <c r="E321" s="14" t="s">
        <v>25</v>
      </c>
      <c r="F321" s="14" t="s">
        <v>26</v>
      </c>
      <c r="G321" s="305">
        <f>'DIC-18'!I321</f>
        <v>90</v>
      </c>
      <c r="H321" s="51"/>
      <c r="I321" s="17">
        <f t="shared" si="5"/>
        <v>90</v>
      </c>
      <c r="J321" s="62"/>
      <c r="K321" s="408"/>
    </row>
    <row r="322" spans="1:11" ht="29.25">
      <c r="A322" s="11">
        <v>54316</v>
      </c>
      <c r="B322" s="54" t="s">
        <v>425</v>
      </c>
      <c r="C322" s="55"/>
      <c r="D322" s="14" t="s">
        <v>11</v>
      </c>
      <c r="E322" s="14" t="s">
        <v>25</v>
      </c>
      <c r="F322" s="14" t="s">
        <v>26</v>
      </c>
      <c r="G322" s="305">
        <f>'DIC-18'!I322</f>
        <v>2080</v>
      </c>
      <c r="H322" s="51"/>
      <c r="I322" s="17">
        <f t="shared" si="5"/>
        <v>2080</v>
      </c>
      <c r="J322" s="408"/>
      <c r="K322" s="63"/>
    </row>
    <row r="323" spans="1:11" ht="30">
      <c r="A323" s="11">
        <v>54399</v>
      </c>
      <c r="B323" s="54" t="s">
        <v>399</v>
      </c>
      <c r="C323" s="55"/>
      <c r="D323" s="14" t="s">
        <v>11</v>
      </c>
      <c r="E323" s="14" t="s">
        <v>25</v>
      </c>
      <c r="F323" s="14" t="s">
        <v>26</v>
      </c>
      <c r="G323" s="305">
        <f>'DIC-18'!I323</f>
        <v>0</v>
      </c>
      <c r="H323" s="51"/>
      <c r="I323" s="17">
        <f t="shared" si="5"/>
        <v>0</v>
      </c>
      <c r="J323" s="62"/>
      <c r="K323" s="434"/>
    </row>
    <row r="324" spans="1:11">
      <c r="A324" s="11">
        <v>55603</v>
      </c>
      <c r="B324" s="54" t="s">
        <v>427</v>
      </c>
      <c r="C324" s="55"/>
      <c r="D324" s="14" t="s">
        <v>11</v>
      </c>
      <c r="E324" s="14" t="s">
        <v>25</v>
      </c>
      <c r="F324" s="14" t="s">
        <v>26</v>
      </c>
      <c r="G324" s="305">
        <f>'DIC-18'!I324</f>
        <v>1.1799999999999993</v>
      </c>
      <c r="H324" s="51"/>
      <c r="I324" s="17">
        <f t="shared" si="5"/>
        <v>1.1799999999999993</v>
      </c>
      <c r="J324" s="62"/>
      <c r="K324" s="63"/>
    </row>
    <row r="325" spans="1:11" ht="20.25" customHeight="1">
      <c r="A325" s="11">
        <v>55799</v>
      </c>
      <c r="B325" s="54" t="s">
        <v>428</v>
      </c>
      <c r="C325" s="55"/>
      <c r="D325" s="14" t="s">
        <v>11</v>
      </c>
      <c r="E325" s="14" t="s">
        <v>25</v>
      </c>
      <c r="F325" s="14" t="s">
        <v>26</v>
      </c>
      <c r="G325" s="305">
        <f>'DIC-18'!I325</f>
        <v>0</v>
      </c>
      <c r="H325" s="51"/>
      <c r="I325" s="17">
        <f t="shared" si="5"/>
        <v>0</v>
      </c>
      <c r="J325" s="62"/>
      <c r="K325" s="434"/>
    </row>
    <row r="326" spans="1:11" ht="77.25" customHeight="1">
      <c r="A326" s="144" t="s">
        <v>429</v>
      </c>
      <c r="B326" s="399" t="s">
        <v>430</v>
      </c>
      <c r="C326" s="343" t="s">
        <v>1102</v>
      </c>
      <c r="D326" s="14"/>
      <c r="E326" s="14"/>
      <c r="F326" s="14"/>
      <c r="G326" s="305">
        <f>'DIC-18'!I326</f>
        <v>0</v>
      </c>
      <c r="H326" s="51"/>
      <c r="I326" s="17"/>
      <c r="J326" s="62"/>
      <c r="K326" s="63"/>
    </row>
    <row r="327" spans="1:11" ht="33.75" customHeight="1">
      <c r="A327" s="148">
        <v>54199</v>
      </c>
      <c r="B327" s="54" t="s">
        <v>431</v>
      </c>
      <c r="C327" s="55" t="s">
        <v>1103</v>
      </c>
      <c r="D327" s="14" t="s">
        <v>11</v>
      </c>
      <c r="E327" s="14" t="s">
        <v>25</v>
      </c>
      <c r="F327" s="14" t="s">
        <v>26</v>
      </c>
      <c r="G327" s="305">
        <f>'DIC-18'!I327</f>
        <v>55</v>
      </c>
      <c r="H327" s="51"/>
      <c r="I327" s="18">
        <f t="shared" si="5"/>
        <v>55</v>
      </c>
      <c r="J327" s="108"/>
      <c r="K327" s="63"/>
    </row>
    <row r="328" spans="1:11" ht="73.5" customHeight="1">
      <c r="A328" s="148">
        <v>54314</v>
      </c>
      <c r="B328" s="179" t="s">
        <v>1202</v>
      </c>
      <c r="C328" s="55" t="s">
        <v>1103</v>
      </c>
      <c r="D328" s="14" t="s">
        <v>11</v>
      </c>
      <c r="E328" s="14" t="s">
        <v>25</v>
      </c>
      <c r="F328" s="14" t="s">
        <v>26</v>
      </c>
      <c r="G328" s="305">
        <f>'DIC-18'!I328</f>
        <v>3666.91</v>
      </c>
      <c r="H328" s="135"/>
      <c r="I328" s="17">
        <f t="shared" si="5"/>
        <v>3666.91</v>
      </c>
      <c r="J328" s="62"/>
      <c r="K328" s="63"/>
    </row>
    <row r="329" spans="1:11" ht="30.75" customHeight="1">
      <c r="A329" s="148">
        <v>54399</v>
      </c>
      <c r="B329" s="54" t="s">
        <v>433</v>
      </c>
      <c r="C329" s="55"/>
      <c r="D329" s="14" t="s">
        <v>11</v>
      </c>
      <c r="E329" s="14" t="s">
        <v>25</v>
      </c>
      <c r="F329" s="14" t="s">
        <v>26</v>
      </c>
      <c r="G329" s="305">
        <f>'DIC-18'!I329</f>
        <v>2000</v>
      </c>
      <c r="H329" s="51"/>
      <c r="I329" s="17">
        <f t="shared" si="5"/>
        <v>2000</v>
      </c>
      <c r="J329" s="62"/>
      <c r="K329" s="108"/>
    </row>
    <row r="330" spans="1:11" ht="33" customHeight="1">
      <c r="A330" s="148">
        <v>55603</v>
      </c>
      <c r="B330" s="54" t="s">
        <v>434</v>
      </c>
      <c r="C330" s="55"/>
      <c r="D330" s="14" t="s">
        <v>11</v>
      </c>
      <c r="E330" s="14" t="s">
        <v>25</v>
      </c>
      <c r="F330" s="14" t="s">
        <v>26</v>
      </c>
      <c r="G330" s="305">
        <f>'DIC-18'!I330</f>
        <v>4.169999999999999</v>
      </c>
      <c r="H330" s="51"/>
      <c r="I330" s="17">
        <f t="shared" si="5"/>
        <v>4.169999999999999</v>
      </c>
      <c r="J330" s="62"/>
      <c r="K330" s="63"/>
    </row>
    <row r="331" spans="1:11" ht="31.5" customHeight="1">
      <c r="A331" s="148">
        <v>56303</v>
      </c>
      <c r="B331" s="54" t="s">
        <v>986</v>
      </c>
      <c r="C331" s="55"/>
      <c r="D331" s="14" t="s">
        <v>11</v>
      </c>
      <c r="E331" s="14" t="s">
        <v>25</v>
      </c>
      <c r="F331" s="14" t="s">
        <v>26</v>
      </c>
      <c r="G331" s="305">
        <f>'DIC-18'!I331</f>
        <v>6390</v>
      </c>
      <c r="H331" s="108"/>
      <c r="I331" s="17">
        <f t="shared" si="5"/>
        <v>6390</v>
      </c>
      <c r="J331" s="62"/>
      <c r="K331" s="108"/>
    </row>
    <row r="332" spans="1:11" ht="77.25" customHeight="1">
      <c r="A332" s="144" t="s">
        <v>437</v>
      </c>
      <c r="B332" s="54" t="s">
        <v>436</v>
      </c>
      <c r="C332" s="55"/>
      <c r="D332" s="14" t="s">
        <v>11</v>
      </c>
      <c r="E332" s="14" t="s">
        <v>25</v>
      </c>
      <c r="F332" s="14" t="s">
        <v>26</v>
      </c>
      <c r="G332" s="305">
        <f>'DIC-18'!I332</f>
        <v>0</v>
      </c>
      <c r="H332" s="51"/>
      <c r="I332" s="17"/>
      <c r="J332" s="62"/>
      <c r="K332" s="63"/>
    </row>
    <row r="333" spans="1:11" ht="28.5" customHeight="1">
      <c r="A333" s="148">
        <v>54199</v>
      </c>
      <c r="B333" s="54" t="s">
        <v>438</v>
      </c>
      <c r="C333" s="55"/>
      <c r="D333" s="14" t="s">
        <v>11</v>
      </c>
      <c r="E333" s="14" t="s">
        <v>25</v>
      </c>
      <c r="F333" s="14" t="s">
        <v>26</v>
      </c>
      <c r="G333" s="305">
        <f>'DIC-18'!I333</f>
        <v>0</v>
      </c>
      <c r="H333" s="51"/>
      <c r="I333" s="17">
        <f t="shared" si="5"/>
        <v>0</v>
      </c>
      <c r="J333" s="62"/>
      <c r="K333" s="281"/>
    </row>
    <row r="334" spans="1:11" ht="15" customHeight="1">
      <c r="A334" s="148">
        <v>54314</v>
      </c>
      <c r="B334" s="54" t="s">
        <v>439</v>
      </c>
      <c r="C334" s="55"/>
      <c r="D334" s="14" t="s">
        <v>11</v>
      </c>
      <c r="E334" s="14" t="s">
        <v>25</v>
      </c>
      <c r="F334" s="14" t="s">
        <v>26</v>
      </c>
      <c r="G334" s="305">
        <f>'DIC-18'!I334</f>
        <v>0</v>
      </c>
      <c r="H334" s="51"/>
      <c r="I334" s="17">
        <f t="shared" si="5"/>
        <v>0</v>
      </c>
      <c r="J334" s="62"/>
      <c r="K334" s="281"/>
    </row>
    <row r="335" spans="1:11" ht="27.75" customHeight="1">
      <c r="A335" s="148">
        <v>54399</v>
      </c>
      <c r="B335" s="54" t="s">
        <v>440</v>
      </c>
      <c r="C335" s="55"/>
      <c r="D335" s="14" t="s">
        <v>11</v>
      </c>
      <c r="E335" s="14" t="s">
        <v>25</v>
      </c>
      <c r="F335" s="14" t="s">
        <v>26</v>
      </c>
      <c r="G335" s="305">
        <f>'DIC-18'!I335</f>
        <v>0</v>
      </c>
      <c r="H335" s="51"/>
      <c r="I335" s="17">
        <f t="shared" si="5"/>
        <v>0</v>
      </c>
      <c r="J335" s="62"/>
      <c r="K335" s="281"/>
    </row>
    <row r="336" spans="1:11" ht="29.25" customHeight="1">
      <c r="A336" s="148">
        <v>55603</v>
      </c>
      <c r="B336" s="54" t="s">
        <v>441</v>
      </c>
      <c r="C336" s="55"/>
      <c r="D336" s="14" t="s">
        <v>11</v>
      </c>
      <c r="E336" s="14" t="s">
        <v>25</v>
      </c>
      <c r="F336" s="14" t="s">
        <v>26</v>
      </c>
      <c r="G336" s="305">
        <f>'DIC-18'!I336</f>
        <v>0</v>
      </c>
      <c r="H336" s="51"/>
      <c r="I336" s="17">
        <f t="shared" si="5"/>
        <v>0</v>
      </c>
      <c r="J336" s="62"/>
      <c r="K336" s="281"/>
    </row>
    <row r="337" spans="1:11" ht="18" customHeight="1">
      <c r="A337" s="148">
        <v>55799</v>
      </c>
      <c r="B337" s="54" t="s">
        <v>442</v>
      </c>
      <c r="C337" s="55"/>
      <c r="D337" s="14" t="s">
        <v>11</v>
      </c>
      <c r="E337" s="14" t="s">
        <v>25</v>
      </c>
      <c r="F337" s="14" t="s">
        <v>26</v>
      </c>
      <c r="G337" s="305">
        <f>'DIC-18'!I337</f>
        <v>0</v>
      </c>
      <c r="H337" s="51"/>
      <c r="I337" s="17">
        <f t="shared" si="5"/>
        <v>0</v>
      </c>
      <c r="J337" s="62"/>
      <c r="K337" s="281"/>
    </row>
    <row r="338" spans="1:11" ht="68.25" customHeight="1">
      <c r="A338" s="144" t="s">
        <v>443</v>
      </c>
      <c r="B338" s="339" t="s">
        <v>1136</v>
      </c>
      <c r="C338" s="343" t="s">
        <v>1122</v>
      </c>
      <c r="D338" s="14"/>
      <c r="E338" s="14"/>
      <c r="F338" s="14"/>
      <c r="G338" s="305">
        <f>'DIC-18'!I338</f>
        <v>0</v>
      </c>
      <c r="H338" s="51"/>
      <c r="I338" s="17"/>
      <c r="J338" s="62"/>
      <c r="K338" s="63"/>
    </row>
    <row r="339" spans="1:11" ht="27.75" customHeight="1">
      <c r="A339" s="148">
        <v>54199</v>
      </c>
      <c r="B339" s="54" t="s">
        <v>445</v>
      </c>
      <c r="C339" s="55"/>
      <c r="D339" s="14" t="s">
        <v>11</v>
      </c>
      <c r="E339" s="14" t="s">
        <v>25</v>
      </c>
      <c r="F339" s="14" t="s">
        <v>26</v>
      </c>
      <c r="G339" s="305">
        <f>'DIC-18'!I339</f>
        <v>0</v>
      </c>
      <c r="H339" s="51"/>
      <c r="I339" s="17">
        <f t="shared" si="5"/>
        <v>0</v>
      </c>
      <c r="J339" s="62"/>
      <c r="K339" s="320"/>
    </row>
    <row r="340" spans="1:11" ht="24.75" customHeight="1">
      <c r="A340" s="148">
        <v>54314</v>
      </c>
      <c r="B340" s="54" t="s">
        <v>446</v>
      </c>
      <c r="C340" s="55"/>
      <c r="D340" s="14" t="s">
        <v>11</v>
      </c>
      <c r="E340" s="14" t="s">
        <v>25</v>
      </c>
      <c r="F340" s="14" t="s">
        <v>26</v>
      </c>
      <c r="G340" s="305">
        <f>'DIC-18'!I340</f>
        <v>2.7284841053187847E-12</v>
      </c>
      <c r="H340" s="51"/>
      <c r="I340" s="18">
        <f t="shared" si="5"/>
        <v>2.7284841053187847E-12</v>
      </c>
      <c r="J340" s="108"/>
      <c r="K340" s="320"/>
    </row>
    <row r="341" spans="1:11" ht="33.75" customHeight="1">
      <c r="A341" s="148">
        <v>54313</v>
      </c>
      <c r="B341" s="54" t="s">
        <v>447</v>
      </c>
      <c r="C341" s="55"/>
      <c r="D341" s="14" t="s">
        <v>11</v>
      </c>
      <c r="E341" s="14" t="s">
        <v>25</v>
      </c>
      <c r="F341" s="14" t="s">
        <v>26</v>
      </c>
      <c r="G341" s="305">
        <f>'DIC-18'!I341</f>
        <v>0</v>
      </c>
      <c r="H341" s="51"/>
      <c r="I341" s="17">
        <f t="shared" si="5"/>
        <v>0</v>
      </c>
      <c r="J341" s="62"/>
      <c r="K341" s="320"/>
    </row>
    <row r="342" spans="1:11" ht="28.5" customHeight="1">
      <c r="A342" s="148">
        <v>55399</v>
      </c>
      <c r="B342" s="149" t="s">
        <v>450</v>
      </c>
      <c r="C342" s="55"/>
      <c r="D342" s="14" t="s">
        <v>11</v>
      </c>
      <c r="E342" s="14" t="s">
        <v>25</v>
      </c>
      <c r="F342" s="14" t="s">
        <v>26</v>
      </c>
      <c r="G342" s="305">
        <f>'DIC-18'!I342</f>
        <v>0</v>
      </c>
      <c r="H342" s="51"/>
      <c r="I342" s="18">
        <f t="shared" si="5"/>
        <v>0</v>
      </c>
      <c r="J342" s="108"/>
      <c r="K342" s="320"/>
    </row>
    <row r="343" spans="1:11" ht="30.75" customHeight="1">
      <c r="A343" s="148">
        <v>55603</v>
      </c>
      <c r="B343" s="54" t="s">
        <v>448</v>
      </c>
      <c r="C343" s="55"/>
      <c r="D343" s="14" t="s">
        <v>11</v>
      </c>
      <c r="E343" s="14" t="s">
        <v>25</v>
      </c>
      <c r="F343" s="14" t="s">
        <v>26</v>
      </c>
      <c r="G343" s="305">
        <f>'DIC-18'!I343</f>
        <v>0</v>
      </c>
      <c r="H343" s="51"/>
      <c r="I343" s="17">
        <f t="shared" si="5"/>
        <v>0</v>
      </c>
      <c r="J343" s="62"/>
      <c r="K343" s="320"/>
    </row>
    <row r="344" spans="1:11" ht="31.5" customHeight="1">
      <c r="A344" s="148">
        <v>56303</v>
      </c>
      <c r="B344" s="54" t="s">
        <v>449</v>
      </c>
      <c r="C344" s="55"/>
      <c r="D344" s="14" t="s">
        <v>11</v>
      </c>
      <c r="E344" s="14" t="s">
        <v>25</v>
      </c>
      <c r="F344" s="14" t="s">
        <v>26</v>
      </c>
      <c r="G344" s="305">
        <f>'DIC-18'!I344</f>
        <v>0</v>
      </c>
      <c r="H344" s="51"/>
      <c r="I344" s="17">
        <f t="shared" si="5"/>
        <v>0</v>
      </c>
      <c r="J344" s="62"/>
      <c r="K344" s="320"/>
    </row>
    <row r="345" spans="1:11" ht="102.75" customHeight="1">
      <c r="A345" s="415" t="s">
        <v>451</v>
      </c>
      <c r="B345" s="54" t="s">
        <v>452</v>
      </c>
      <c r="C345" s="55"/>
      <c r="D345" s="14"/>
      <c r="E345" s="14"/>
      <c r="F345" s="14"/>
      <c r="G345" s="305">
        <f>'DIC-18'!I345</f>
        <v>0</v>
      </c>
      <c r="H345" s="51"/>
      <c r="I345" s="17"/>
      <c r="J345" s="52"/>
      <c r="K345" s="52"/>
    </row>
    <row r="346" spans="1:11" ht="27.75" customHeight="1">
      <c r="A346" s="271">
        <v>54110</v>
      </c>
      <c r="B346" s="54" t="s">
        <v>1238</v>
      </c>
      <c r="C346" s="55"/>
      <c r="D346" s="14" t="s">
        <v>11</v>
      </c>
      <c r="E346" s="14" t="s">
        <v>25</v>
      </c>
      <c r="F346" s="14" t="s">
        <v>26</v>
      </c>
      <c r="G346" s="305">
        <f>'DIC-18'!I346</f>
        <v>0</v>
      </c>
      <c r="H346" s="51"/>
      <c r="I346" s="17">
        <f t="shared" si="5"/>
        <v>0</v>
      </c>
      <c r="J346" s="408"/>
      <c r="K346" s="52"/>
    </row>
    <row r="347" spans="1:11" ht="30.75" customHeight="1">
      <c r="A347" s="4">
        <v>54199</v>
      </c>
      <c r="B347" s="5" t="s">
        <v>453</v>
      </c>
      <c r="C347" s="10"/>
      <c r="D347" s="14" t="s">
        <v>11</v>
      </c>
      <c r="E347" s="14" t="s">
        <v>25</v>
      </c>
      <c r="F347" s="14" t="s">
        <v>26</v>
      </c>
      <c r="G347" s="305">
        <f>'DIC-18'!I347</f>
        <v>0</v>
      </c>
      <c r="H347" s="51"/>
      <c r="I347" s="17">
        <f t="shared" si="5"/>
        <v>0</v>
      </c>
      <c r="J347" s="425"/>
      <c r="K347" s="414"/>
    </row>
    <row r="348" spans="1:11" ht="40.5" customHeight="1">
      <c r="A348" s="11">
        <v>54314</v>
      </c>
      <c r="B348" s="150" t="s">
        <v>454</v>
      </c>
      <c r="C348" s="55"/>
      <c r="D348" s="14" t="s">
        <v>11</v>
      </c>
      <c r="E348" s="14" t="s">
        <v>25</v>
      </c>
      <c r="F348" s="14" t="s">
        <v>26</v>
      </c>
      <c r="G348" s="305">
        <f>'DIC-18'!I348</f>
        <v>3.0020430585864233E-13</v>
      </c>
      <c r="H348" s="51"/>
      <c r="I348" s="17">
        <f t="shared" si="5"/>
        <v>3.0020430585864233E-13</v>
      </c>
      <c r="J348" s="108"/>
      <c r="K348" s="320"/>
    </row>
    <row r="349" spans="1:11" ht="44.25" customHeight="1">
      <c r="A349" s="11">
        <v>54304</v>
      </c>
      <c r="B349" s="150" t="s">
        <v>1210</v>
      </c>
      <c r="C349" s="55"/>
      <c r="D349" s="14" t="s">
        <v>11</v>
      </c>
      <c r="E349" s="14" t="s">
        <v>25</v>
      </c>
      <c r="F349" s="14" t="s">
        <v>26</v>
      </c>
      <c r="G349" s="305">
        <f>'DIC-18'!I349</f>
        <v>0</v>
      </c>
      <c r="H349" s="51"/>
      <c r="I349" s="17">
        <f t="shared" si="5"/>
        <v>0</v>
      </c>
      <c r="J349" s="108"/>
      <c r="K349" s="320"/>
    </row>
    <row r="350" spans="1:11" ht="43.5" customHeight="1">
      <c r="A350" s="11">
        <v>54399</v>
      </c>
      <c r="B350" s="429" t="s">
        <v>455</v>
      </c>
      <c r="C350" s="13"/>
      <c r="D350" s="14" t="s">
        <v>11</v>
      </c>
      <c r="E350" s="14" t="s">
        <v>25</v>
      </c>
      <c r="F350" s="14" t="s">
        <v>26</v>
      </c>
      <c r="G350" s="305">
        <f>'DIC-18'!I350</f>
        <v>0</v>
      </c>
      <c r="H350" s="51"/>
      <c r="I350" s="134">
        <f t="shared" si="5"/>
        <v>0</v>
      </c>
      <c r="J350" s="52"/>
      <c r="K350" s="301"/>
    </row>
    <row r="351" spans="1:11" ht="29.25">
      <c r="A351" s="4">
        <v>55603</v>
      </c>
      <c r="B351" s="150" t="s">
        <v>456</v>
      </c>
      <c r="C351" s="9"/>
      <c r="D351" s="14" t="s">
        <v>11</v>
      </c>
      <c r="E351" s="14" t="s">
        <v>25</v>
      </c>
      <c r="F351" s="14" t="s">
        <v>26</v>
      </c>
      <c r="G351" s="305">
        <f>'DIC-18'!I351</f>
        <v>0</v>
      </c>
      <c r="H351" s="51"/>
      <c r="I351" s="17">
        <f t="shared" si="5"/>
        <v>0</v>
      </c>
      <c r="J351" s="44"/>
      <c r="K351" s="414"/>
    </row>
    <row r="352" spans="1:11" ht="37.5" customHeight="1">
      <c r="A352" s="4">
        <v>55799</v>
      </c>
      <c r="B352" s="150" t="s">
        <v>457</v>
      </c>
      <c r="C352" s="9"/>
      <c r="D352" s="14" t="s">
        <v>11</v>
      </c>
      <c r="E352" s="14" t="s">
        <v>25</v>
      </c>
      <c r="F352" s="14" t="s">
        <v>26</v>
      </c>
      <c r="G352" s="305">
        <f>'DIC-18'!I352</f>
        <v>0</v>
      </c>
      <c r="H352" s="51"/>
      <c r="I352" s="17">
        <f t="shared" si="5"/>
        <v>0</v>
      </c>
      <c r="J352" s="44"/>
      <c r="K352" s="414"/>
    </row>
    <row r="353" spans="1:11" ht="68.25" customHeight="1">
      <c r="A353" s="144" t="s">
        <v>459</v>
      </c>
      <c r="B353" s="54" t="s">
        <v>458</v>
      </c>
      <c r="C353" s="9"/>
      <c r="D353" s="3"/>
      <c r="E353" s="3"/>
      <c r="F353" s="3"/>
      <c r="G353" s="305">
        <f>'DIC-18'!I353</f>
        <v>0</v>
      </c>
      <c r="H353" s="51"/>
      <c r="I353" s="17"/>
      <c r="J353" s="44"/>
      <c r="K353" s="44"/>
    </row>
    <row r="354" spans="1:11" ht="25.5" customHeight="1">
      <c r="A354" s="4">
        <v>54314</v>
      </c>
      <c r="B354" s="70" t="s">
        <v>460</v>
      </c>
      <c r="C354" s="5"/>
      <c r="D354" s="14" t="s">
        <v>11</v>
      </c>
      <c r="E354" s="14" t="s">
        <v>25</v>
      </c>
      <c r="F354" s="14" t="s">
        <v>26</v>
      </c>
      <c r="G354" s="305">
        <f>'DIC-18'!I354</f>
        <v>0</v>
      </c>
      <c r="H354" s="51"/>
      <c r="I354" s="17">
        <f>G354-H354+J354-K354</f>
        <v>0</v>
      </c>
      <c r="J354" s="44"/>
      <c r="K354" s="419"/>
    </row>
    <row r="355" spans="1:11" ht="63.75" customHeight="1">
      <c r="A355" s="144" t="s">
        <v>461</v>
      </c>
      <c r="B355" s="54" t="s">
        <v>470</v>
      </c>
      <c r="C355" s="55"/>
      <c r="D355" s="14"/>
      <c r="E355" s="14"/>
      <c r="F355" s="14"/>
      <c r="G355" s="305">
        <f>'DIC-18'!I355</f>
        <v>0</v>
      </c>
      <c r="H355" s="51"/>
      <c r="I355" s="17"/>
      <c r="J355" s="62"/>
      <c r="K355" s="63"/>
    </row>
    <row r="356" spans="1:11" ht="33" customHeight="1">
      <c r="A356" s="11">
        <v>54199</v>
      </c>
      <c r="B356" s="70" t="s">
        <v>462</v>
      </c>
      <c r="C356" s="55"/>
      <c r="D356" s="14" t="s">
        <v>11</v>
      </c>
      <c r="E356" s="14" t="s">
        <v>25</v>
      </c>
      <c r="F356" s="14" t="s">
        <v>26</v>
      </c>
      <c r="G356" s="305">
        <f>'DIC-18'!I356</f>
        <v>0</v>
      </c>
      <c r="H356" s="51"/>
      <c r="I356" s="17">
        <f>G356-H356+J356-K356</f>
        <v>0</v>
      </c>
      <c r="J356" s="62"/>
      <c r="K356" s="419"/>
    </row>
    <row r="357" spans="1:11" ht="36.75" customHeight="1">
      <c r="A357" s="11">
        <v>54314</v>
      </c>
      <c r="B357" s="151" t="s">
        <v>463</v>
      </c>
      <c r="C357" s="55"/>
      <c r="D357" s="14" t="s">
        <v>11</v>
      </c>
      <c r="E357" s="14" t="s">
        <v>25</v>
      </c>
      <c r="F357" s="14" t="s">
        <v>26</v>
      </c>
      <c r="G357" s="305">
        <f>'DIC-18'!I357</f>
        <v>0</v>
      </c>
      <c r="H357" s="51"/>
      <c r="I357" s="17">
        <f t="shared" ref="I357:I423" si="6">G357-H357+J357-K357</f>
        <v>0</v>
      </c>
      <c r="J357" s="62"/>
      <c r="K357" s="419"/>
    </row>
    <row r="358" spans="1:11" ht="39" customHeight="1">
      <c r="A358" s="11">
        <v>54313</v>
      </c>
      <c r="B358" s="151" t="s">
        <v>464</v>
      </c>
      <c r="C358" s="55"/>
      <c r="D358" s="14" t="s">
        <v>11</v>
      </c>
      <c r="E358" s="14" t="s">
        <v>25</v>
      </c>
      <c r="F358" s="14" t="s">
        <v>26</v>
      </c>
      <c r="G358" s="305">
        <f>'DIC-18'!I358</f>
        <v>0</v>
      </c>
      <c r="H358" s="51"/>
      <c r="I358" s="17">
        <f t="shared" si="6"/>
        <v>0</v>
      </c>
      <c r="J358" s="62"/>
      <c r="K358" s="419"/>
    </row>
    <row r="359" spans="1:11" ht="33.75" customHeight="1">
      <c r="A359" s="11">
        <v>54399</v>
      </c>
      <c r="B359" s="151" t="s">
        <v>465</v>
      </c>
      <c r="C359" s="13"/>
      <c r="D359" s="14" t="s">
        <v>11</v>
      </c>
      <c r="E359" s="14" t="s">
        <v>25</v>
      </c>
      <c r="F359" s="14" t="s">
        <v>26</v>
      </c>
      <c r="G359" s="305">
        <f>'DIC-18'!I359</f>
        <v>0</v>
      </c>
      <c r="H359" s="51"/>
      <c r="I359" s="17">
        <f t="shared" si="6"/>
        <v>0</v>
      </c>
      <c r="J359" s="52"/>
      <c r="K359" s="419"/>
    </row>
    <row r="360" spans="1:11" ht="35.25" customHeight="1">
      <c r="A360" s="11">
        <v>55603</v>
      </c>
      <c r="B360" s="151" t="s">
        <v>466</v>
      </c>
      <c r="C360" s="13"/>
      <c r="D360" s="14" t="s">
        <v>11</v>
      </c>
      <c r="E360" s="14" t="s">
        <v>25</v>
      </c>
      <c r="F360" s="14" t="s">
        <v>26</v>
      </c>
      <c r="G360" s="305">
        <f>'DIC-18'!I360</f>
        <v>0</v>
      </c>
      <c r="H360" s="51"/>
      <c r="I360" s="17">
        <f t="shared" si="6"/>
        <v>0</v>
      </c>
      <c r="J360" s="52"/>
      <c r="K360" s="419"/>
    </row>
    <row r="361" spans="1:11" ht="34.5" customHeight="1">
      <c r="A361" s="11">
        <v>56603</v>
      </c>
      <c r="B361" s="151" t="s">
        <v>467</v>
      </c>
      <c r="C361" s="61"/>
      <c r="D361" s="14" t="s">
        <v>11</v>
      </c>
      <c r="E361" s="14" t="s">
        <v>25</v>
      </c>
      <c r="F361" s="14" t="s">
        <v>26</v>
      </c>
      <c r="G361" s="305">
        <f>'DIC-18'!I361</f>
        <v>0</v>
      </c>
      <c r="H361" s="51"/>
      <c r="I361" s="17">
        <f t="shared" si="6"/>
        <v>0</v>
      </c>
      <c r="J361" s="11"/>
      <c r="K361" s="419"/>
    </row>
    <row r="362" spans="1:11" ht="68.25" customHeight="1">
      <c r="A362" s="144" t="s">
        <v>468</v>
      </c>
      <c r="B362" s="54" t="s">
        <v>987</v>
      </c>
      <c r="C362" s="344" t="s">
        <v>1115</v>
      </c>
      <c r="D362" s="14"/>
      <c r="E362" s="14"/>
      <c r="F362" s="14"/>
      <c r="G362" s="305">
        <f>'DIC-18'!I362</f>
        <v>0</v>
      </c>
      <c r="H362" s="51"/>
      <c r="I362" s="17"/>
      <c r="J362" s="52"/>
      <c r="K362" s="52"/>
    </row>
    <row r="363" spans="1:11" ht="33" customHeight="1">
      <c r="A363" s="11">
        <v>51202</v>
      </c>
      <c r="B363" s="70" t="s">
        <v>471</v>
      </c>
      <c r="C363" s="61"/>
      <c r="D363" s="14" t="s">
        <v>11</v>
      </c>
      <c r="E363" s="14" t="s">
        <v>25</v>
      </c>
      <c r="F363" s="14" t="s">
        <v>26</v>
      </c>
      <c r="G363" s="305">
        <f>'DIC-18'!I363</f>
        <v>-5.4001247917767614E-13</v>
      </c>
      <c r="H363" s="51"/>
      <c r="I363" s="17">
        <f t="shared" si="6"/>
        <v>-5.4001247917767614E-13</v>
      </c>
      <c r="J363" s="237"/>
      <c r="K363" s="392"/>
    </row>
    <row r="364" spans="1:11" ht="34.5" customHeight="1">
      <c r="A364" s="11">
        <v>54111</v>
      </c>
      <c r="B364" s="70" t="s">
        <v>472</v>
      </c>
      <c r="C364" s="61"/>
      <c r="D364" s="14" t="s">
        <v>11</v>
      </c>
      <c r="E364" s="14" t="s">
        <v>25</v>
      </c>
      <c r="F364" s="14" t="s">
        <v>26</v>
      </c>
      <c r="G364" s="305">
        <f>'DIC-18'!I364</f>
        <v>0</v>
      </c>
      <c r="H364" s="51"/>
      <c r="I364" s="17">
        <f t="shared" si="6"/>
        <v>0</v>
      </c>
      <c r="J364" s="44"/>
      <c r="K364" s="316"/>
    </row>
    <row r="365" spans="1:11" ht="41.25" customHeight="1">
      <c r="A365" s="11">
        <v>54112</v>
      </c>
      <c r="B365" s="70" t="s">
        <v>473</v>
      </c>
      <c r="C365" s="12"/>
      <c r="D365" s="14" t="s">
        <v>11</v>
      </c>
      <c r="E365" s="14" t="s">
        <v>25</v>
      </c>
      <c r="F365" s="14" t="s">
        <v>26</v>
      </c>
      <c r="G365" s="305">
        <f>'DIC-18'!I365</f>
        <v>0</v>
      </c>
      <c r="H365" s="51"/>
      <c r="I365" s="17">
        <f t="shared" si="6"/>
        <v>0</v>
      </c>
      <c r="J365" s="44"/>
      <c r="K365" s="316"/>
    </row>
    <row r="366" spans="1:11" ht="29.25">
      <c r="A366" s="11">
        <v>54118</v>
      </c>
      <c r="B366" s="151" t="s">
        <v>474</v>
      </c>
      <c r="C366" s="61"/>
      <c r="D366" s="14" t="s">
        <v>11</v>
      </c>
      <c r="E366" s="14" t="s">
        <v>25</v>
      </c>
      <c r="F366" s="14" t="s">
        <v>26</v>
      </c>
      <c r="G366" s="305">
        <f>'DIC-18'!I366</f>
        <v>0</v>
      </c>
      <c r="H366" s="51"/>
      <c r="I366" s="17">
        <f t="shared" si="6"/>
        <v>0</v>
      </c>
      <c r="J366" s="44"/>
      <c r="K366" s="316"/>
    </row>
    <row r="367" spans="1:11" ht="29.25">
      <c r="A367" s="11">
        <v>54313</v>
      </c>
      <c r="B367" s="151" t="s">
        <v>475</v>
      </c>
      <c r="C367" s="12"/>
      <c r="D367" s="14" t="s">
        <v>11</v>
      </c>
      <c r="E367" s="14" t="s">
        <v>25</v>
      </c>
      <c r="F367" s="14" t="s">
        <v>26</v>
      </c>
      <c r="G367" s="305">
        <f>'DIC-18'!I367</f>
        <v>0</v>
      </c>
      <c r="H367" s="51"/>
      <c r="I367" s="17">
        <f t="shared" si="6"/>
        <v>0</v>
      </c>
      <c r="J367" s="44"/>
      <c r="K367" s="316"/>
    </row>
    <row r="368" spans="1:11" ht="29.25">
      <c r="A368" s="152">
        <v>55603</v>
      </c>
      <c r="B368" s="151" t="s">
        <v>476</v>
      </c>
      <c r="C368" s="154"/>
      <c r="D368" s="14" t="s">
        <v>11</v>
      </c>
      <c r="E368" s="14" t="s">
        <v>25</v>
      </c>
      <c r="F368" s="14" t="s">
        <v>26</v>
      </c>
      <c r="G368" s="305">
        <f>'DIC-18'!I368</f>
        <v>0</v>
      </c>
      <c r="H368" s="157"/>
      <c r="I368" s="17">
        <f t="shared" si="6"/>
        <v>0</v>
      </c>
      <c r="J368" s="159"/>
      <c r="K368" s="381"/>
    </row>
    <row r="369" spans="1:11" ht="85.5">
      <c r="A369" s="144" t="s">
        <v>477</v>
      </c>
      <c r="B369" s="54" t="s">
        <v>1085</v>
      </c>
      <c r="C369" s="154"/>
      <c r="D369" s="155"/>
      <c r="E369" s="155"/>
      <c r="F369" s="155"/>
      <c r="G369" s="305">
        <f>'DIC-18'!I369</f>
        <v>0</v>
      </c>
      <c r="H369" s="157"/>
      <c r="I369" s="158"/>
      <c r="J369" s="159"/>
      <c r="K369" s="159"/>
    </row>
    <row r="370" spans="1:11" ht="29.25">
      <c r="A370" s="152">
        <v>51202</v>
      </c>
      <c r="B370" s="164" t="s">
        <v>479</v>
      </c>
      <c r="C370" s="154"/>
      <c r="D370" s="14" t="s">
        <v>11</v>
      </c>
      <c r="E370" s="14" t="s">
        <v>25</v>
      </c>
      <c r="F370" s="14" t="s">
        <v>26</v>
      </c>
      <c r="G370" s="305">
        <f>'DIC-18'!I370</f>
        <v>0</v>
      </c>
      <c r="H370" s="157"/>
      <c r="I370" s="17">
        <f t="shared" si="6"/>
        <v>0</v>
      </c>
      <c r="J370" s="159"/>
      <c r="K370" s="325"/>
    </row>
    <row r="371" spans="1:11" ht="44.25">
      <c r="A371" s="152">
        <v>54111</v>
      </c>
      <c r="B371" s="164" t="s">
        <v>480</v>
      </c>
      <c r="C371" s="154"/>
      <c r="D371" s="14" t="s">
        <v>11</v>
      </c>
      <c r="E371" s="14" t="s">
        <v>25</v>
      </c>
      <c r="F371" s="14" t="s">
        <v>26</v>
      </c>
      <c r="G371" s="305">
        <f>'DIC-18'!I371</f>
        <v>0</v>
      </c>
      <c r="H371" s="157"/>
      <c r="I371" s="17">
        <f t="shared" si="6"/>
        <v>0</v>
      </c>
      <c r="J371" s="159"/>
      <c r="K371" s="325"/>
    </row>
    <row r="372" spans="1:11" ht="30">
      <c r="A372" s="152">
        <v>54112</v>
      </c>
      <c r="B372" s="164" t="s">
        <v>481</v>
      </c>
      <c r="C372" s="154"/>
      <c r="D372" s="14" t="s">
        <v>11</v>
      </c>
      <c r="E372" s="14" t="s">
        <v>25</v>
      </c>
      <c r="F372" s="14" t="s">
        <v>26</v>
      </c>
      <c r="G372" s="305">
        <f>'DIC-18'!I372</f>
        <v>0</v>
      </c>
      <c r="H372" s="157"/>
      <c r="I372" s="17">
        <f t="shared" si="6"/>
        <v>0</v>
      </c>
      <c r="J372" s="159"/>
      <c r="K372" s="325"/>
    </row>
    <row r="373" spans="1:11" ht="29.25">
      <c r="A373" s="152">
        <v>54118</v>
      </c>
      <c r="B373" s="164" t="s">
        <v>482</v>
      </c>
      <c r="C373" s="154"/>
      <c r="D373" s="14" t="s">
        <v>11</v>
      </c>
      <c r="E373" s="14" t="s">
        <v>25</v>
      </c>
      <c r="F373" s="14" t="s">
        <v>26</v>
      </c>
      <c r="G373" s="305">
        <f>'DIC-18'!I373</f>
        <v>0</v>
      </c>
      <c r="H373" s="157"/>
      <c r="I373" s="17">
        <f t="shared" si="6"/>
        <v>0</v>
      </c>
      <c r="J373" s="159"/>
      <c r="K373" s="325"/>
    </row>
    <row r="374" spans="1:11" ht="30">
      <c r="A374" s="152">
        <v>54313</v>
      </c>
      <c r="B374" s="164" t="s">
        <v>483</v>
      </c>
      <c r="C374" s="154"/>
      <c r="D374" s="14" t="s">
        <v>11</v>
      </c>
      <c r="E374" s="14" t="s">
        <v>25</v>
      </c>
      <c r="F374" s="14" t="s">
        <v>26</v>
      </c>
      <c r="G374" s="305">
        <f>'DIC-18'!I374</f>
        <v>0</v>
      </c>
      <c r="H374" s="157"/>
      <c r="I374" s="17">
        <f t="shared" si="6"/>
        <v>0</v>
      </c>
      <c r="J374" s="159"/>
      <c r="K374" s="325"/>
    </row>
    <row r="375" spans="1:11" ht="30">
      <c r="A375" s="152">
        <v>54399</v>
      </c>
      <c r="B375" s="164" t="s">
        <v>484</v>
      </c>
      <c r="C375" s="154"/>
      <c r="D375" s="14" t="s">
        <v>11</v>
      </c>
      <c r="E375" s="14" t="s">
        <v>25</v>
      </c>
      <c r="F375" s="14" t="s">
        <v>26</v>
      </c>
      <c r="G375" s="305">
        <f>'DIC-18'!I375</f>
        <v>0</v>
      </c>
      <c r="H375" s="157"/>
      <c r="I375" s="17">
        <f t="shared" si="6"/>
        <v>0</v>
      </c>
      <c r="J375" s="159"/>
      <c r="K375" s="325"/>
    </row>
    <row r="376" spans="1:11" ht="29.25">
      <c r="A376" s="152">
        <v>55603</v>
      </c>
      <c r="B376" s="164" t="s">
        <v>485</v>
      </c>
      <c r="C376" s="154"/>
      <c r="D376" s="14" t="s">
        <v>11</v>
      </c>
      <c r="E376" s="14" t="s">
        <v>25</v>
      </c>
      <c r="F376" s="14" t="s">
        <v>26</v>
      </c>
      <c r="G376" s="305">
        <f>'DIC-18'!I376</f>
        <v>0</v>
      </c>
      <c r="H376" s="157"/>
      <c r="I376" s="17">
        <f t="shared" si="6"/>
        <v>0</v>
      </c>
      <c r="J376" s="159"/>
      <c r="K376" s="325"/>
    </row>
    <row r="377" spans="1:11" ht="80.25" customHeight="1">
      <c r="A377" s="144" t="s">
        <v>486</v>
      </c>
      <c r="B377" s="54" t="s">
        <v>487</v>
      </c>
      <c r="C377" s="154"/>
      <c r="D377" s="155"/>
      <c r="E377" s="155"/>
      <c r="F377" s="155"/>
      <c r="G377" s="305">
        <f>'DIC-18'!I377</f>
        <v>0</v>
      </c>
      <c r="H377" s="157"/>
      <c r="I377" s="158"/>
      <c r="J377" s="159"/>
      <c r="K377" s="159"/>
    </row>
    <row r="378" spans="1:11" ht="29.25">
      <c r="A378" s="152">
        <v>51202</v>
      </c>
      <c r="B378" s="164" t="s">
        <v>488</v>
      </c>
      <c r="C378" s="154"/>
      <c r="D378" s="14" t="s">
        <v>11</v>
      </c>
      <c r="E378" s="14" t="s">
        <v>25</v>
      </c>
      <c r="F378" s="14" t="s">
        <v>26</v>
      </c>
      <c r="G378" s="305">
        <f>'DIC-18'!I378</f>
        <v>0</v>
      </c>
      <c r="H378" s="157"/>
      <c r="I378" s="17">
        <f t="shared" si="6"/>
        <v>0</v>
      </c>
      <c r="J378" s="326"/>
      <c r="K378" s="326"/>
    </row>
    <row r="379" spans="1:11" ht="29.25">
      <c r="A379" s="152">
        <v>51999</v>
      </c>
      <c r="B379" s="164" t="s">
        <v>489</v>
      </c>
      <c r="C379" s="154"/>
      <c r="D379" s="14" t="s">
        <v>11</v>
      </c>
      <c r="E379" s="14" t="s">
        <v>25</v>
      </c>
      <c r="F379" s="14" t="s">
        <v>26</v>
      </c>
      <c r="G379" s="305">
        <f>'DIC-18'!I379</f>
        <v>0</v>
      </c>
      <c r="H379" s="157"/>
      <c r="I379" s="17">
        <f t="shared" si="6"/>
        <v>0</v>
      </c>
      <c r="J379" s="326"/>
      <c r="K379" s="326"/>
    </row>
    <row r="380" spans="1:11" ht="29.25">
      <c r="A380" s="152">
        <v>54111</v>
      </c>
      <c r="B380" s="164" t="s">
        <v>490</v>
      </c>
      <c r="C380" s="154"/>
      <c r="D380" s="14" t="s">
        <v>11</v>
      </c>
      <c r="E380" s="14" t="s">
        <v>25</v>
      </c>
      <c r="F380" s="14" t="s">
        <v>26</v>
      </c>
      <c r="G380" s="305">
        <f>'DIC-18'!I380</f>
        <v>0</v>
      </c>
      <c r="H380" s="157"/>
      <c r="I380" s="17">
        <f t="shared" si="6"/>
        <v>0</v>
      </c>
      <c r="J380" s="326"/>
      <c r="K380" s="326"/>
    </row>
    <row r="381" spans="1:11" ht="29.25">
      <c r="A381" s="152">
        <v>54112</v>
      </c>
      <c r="B381" s="164" t="s">
        <v>491</v>
      </c>
      <c r="C381" s="154"/>
      <c r="D381" s="14" t="s">
        <v>11</v>
      </c>
      <c r="E381" s="14" t="s">
        <v>25</v>
      </c>
      <c r="F381" s="14" t="s">
        <v>26</v>
      </c>
      <c r="G381" s="305">
        <f>'DIC-18'!I381</f>
        <v>0</v>
      </c>
      <c r="H381" s="157"/>
      <c r="I381" s="17">
        <f t="shared" si="6"/>
        <v>0</v>
      </c>
      <c r="J381" s="326"/>
      <c r="K381" s="326"/>
    </row>
    <row r="382" spans="1:11" ht="29.25">
      <c r="A382" s="152">
        <v>54118</v>
      </c>
      <c r="B382" s="164" t="s">
        <v>492</v>
      </c>
      <c r="C382" s="154"/>
      <c r="D382" s="14" t="s">
        <v>11</v>
      </c>
      <c r="E382" s="14" t="s">
        <v>25</v>
      </c>
      <c r="F382" s="14" t="s">
        <v>26</v>
      </c>
      <c r="G382" s="305">
        <f>'DIC-18'!I382</f>
        <v>0</v>
      </c>
      <c r="H382" s="157"/>
      <c r="I382" s="17">
        <f t="shared" si="6"/>
        <v>0</v>
      </c>
      <c r="J382" s="326"/>
      <c r="K382" s="326"/>
    </row>
    <row r="383" spans="1:11" ht="29.25">
      <c r="A383" s="152">
        <v>54199</v>
      </c>
      <c r="B383" s="164" t="s">
        <v>493</v>
      </c>
      <c r="C383" s="154"/>
      <c r="D383" s="14" t="s">
        <v>11</v>
      </c>
      <c r="E383" s="14" t="s">
        <v>25</v>
      </c>
      <c r="F383" s="14" t="s">
        <v>26</v>
      </c>
      <c r="G383" s="305">
        <f>'DIC-18'!I383</f>
        <v>0</v>
      </c>
      <c r="H383" s="157"/>
      <c r="I383" s="17">
        <f t="shared" si="6"/>
        <v>0</v>
      </c>
      <c r="J383" s="326"/>
      <c r="K383" s="326"/>
    </row>
    <row r="384" spans="1:11" ht="29.25">
      <c r="A384" s="152">
        <v>54399</v>
      </c>
      <c r="B384" s="164" t="s">
        <v>494</v>
      </c>
      <c r="C384" s="154"/>
      <c r="D384" s="14" t="s">
        <v>11</v>
      </c>
      <c r="E384" s="14" t="s">
        <v>25</v>
      </c>
      <c r="F384" s="14" t="s">
        <v>26</v>
      </c>
      <c r="G384" s="305">
        <f>'DIC-18'!I384</f>
        <v>0</v>
      </c>
      <c r="H384" s="157"/>
      <c r="I384" s="17">
        <f t="shared" si="6"/>
        <v>0</v>
      </c>
      <c r="J384" s="326"/>
      <c r="K384" s="326"/>
    </row>
    <row r="385" spans="1:11" ht="29.25">
      <c r="A385" s="152">
        <v>55603</v>
      </c>
      <c r="B385" s="164" t="s">
        <v>495</v>
      </c>
      <c r="C385" s="154"/>
      <c r="D385" s="14" t="s">
        <v>11</v>
      </c>
      <c r="E385" s="14" t="s">
        <v>25</v>
      </c>
      <c r="F385" s="14" t="s">
        <v>26</v>
      </c>
      <c r="G385" s="305">
        <f>'DIC-18'!I385</f>
        <v>0</v>
      </c>
      <c r="H385" s="157"/>
      <c r="I385" s="17">
        <f t="shared" si="6"/>
        <v>0</v>
      </c>
      <c r="J385" s="326"/>
      <c r="K385" s="326"/>
    </row>
    <row r="386" spans="1:11" ht="55.5">
      <c r="A386" s="144" t="s">
        <v>504</v>
      </c>
      <c r="B386" s="54" t="s">
        <v>496</v>
      </c>
      <c r="C386" s="154" t="s">
        <v>1066</v>
      </c>
      <c r="D386" s="155"/>
      <c r="E386" s="155"/>
      <c r="F386" s="155"/>
      <c r="G386" s="305">
        <f>'DIC-18'!I386</f>
        <v>0</v>
      </c>
      <c r="H386" s="157"/>
      <c r="I386" s="158"/>
      <c r="J386" s="159"/>
      <c r="K386" s="159"/>
    </row>
    <row r="387" spans="1:11" ht="29.25">
      <c r="A387" s="152">
        <v>51202</v>
      </c>
      <c r="B387" s="164" t="s">
        <v>500</v>
      </c>
      <c r="C387" s="154"/>
      <c r="D387" s="14" t="s">
        <v>11</v>
      </c>
      <c r="E387" s="14" t="s">
        <v>25</v>
      </c>
      <c r="F387" s="14" t="s">
        <v>26</v>
      </c>
      <c r="G387" s="305">
        <f>'DIC-18'!I387</f>
        <v>0</v>
      </c>
      <c r="H387" s="157"/>
      <c r="I387" s="17">
        <f t="shared" si="6"/>
        <v>0</v>
      </c>
      <c r="J387" s="159"/>
      <c r="K387" s="326"/>
    </row>
    <row r="388" spans="1:11" ht="29.25">
      <c r="A388" s="152">
        <v>54111</v>
      </c>
      <c r="B388" s="164" t="s">
        <v>499</v>
      </c>
      <c r="C388" s="154" t="s">
        <v>1066</v>
      </c>
      <c r="D388" s="14" t="s">
        <v>11</v>
      </c>
      <c r="E388" s="14" t="s">
        <v>25</v>
      </c>
      <c r="F388" s="14" t="s">
        <v>26</v>
      </c>
      <c r="G388" s="305">
        <f>'DIC-18'!I388</f>
        <v>826.19999999999982</v>
      </c>
      <c r="H388" s="157"/>
      <c r="I388" s="17">
        <f t="shared" si="6"/>
        <v>826.19999999999982</v>
      </c>
      <c r="J388" s="159"/>
      <c r="K388" s="326"/>
    </row>
    <row r="389" spans="1:11" ht="29.25">
      <c r="A389" s="152">
        <v>54112</v>
      </c>
      <c r="B389" s="164" t="s">
        <v>497</v>
      </c>
      <c r="C389" s="154" t="s">
        <v>1066</v>
      </c>
      <c r="D389" s="14" t="s">
        <v>11</v>
      </c>
      <c r="E389" s="14" t="s">
        <v>25</v>
      </c>
      <c r="F389" s="14" t="s">
        <v>26</v>
      </c>
      <c r="G389" s="305">
        <f>'DIC-18'!I389</f>
        <v>1841.7999999999993</v>
      </c>
      <c r="H389" s="157"/>
      <c r="I389" s="17">
        <f t="shared" si="6"/>
        <v>1841.7999999999993</v>
      </c>
      <c r="J389" s="442"/>
      <c r="K389" s="327"/>
    </row>
    <row r="390" spans="1:11" ht="29.25">
      <c r="A390" s="152">
        <v>54118</v>
      </c>
      <c r="B390" s="164" t="s">
        <v>498</v>
      </c>
      <c r="C390" s="154"/>
      <c r="D390" s="14" t="s">
        <v>11</v>
      </c>
      <c r="E390" s="14" t="s">
        <v>25</v>
      </c>
      <c r="F390" s="14" t="s">
        <v>26</v>
      </c>
      <c r="G390" s="305">
        <f>'DIC-18'!I390</f>
        <v>0</v>
      </c>
      <c r="H390" s="157"/>
      <c r="I390" s="17">
        <f t="shared" si="6"/>
        <v>0</v>
      </c>
      <c r="J390" s="159"/>
      <c r="K390" s="327"/>
    </row>
    <row r="391" spans="1:11" ht="29.25">
      <c r="A391" s="152">
        <v>54313</v>
      </c>
      <c r="B391" s="164" t="s">
        <v>501</v>
      </c>
      <c r="C391" s="154"/>
      <c r="D391" s="14" t="s">
        <v>11</v>
      </c>
      <c r="E391" s="14" t="s">
        <v>25</v>
      </c>
      <c r="F391" s="14" t="s">
        <v>26</v>
      </c>
      <c r="G391" s="305">
        <f>'DIC-18'!I391</f>
        <v>0</v>
      </c>
      <c r="H391" s="157"/>
      <c r="I391" s="17">
        <f t="shared" si="6"/>
        <v>0</v>
      </c>
      <c r="J391" s="159"/>
      <c r="K391" s="326"/>
    </row>
    <row r="392" spans="1:11" ht="29.25">
      <c r="A392" s="152">
        <v>54399</v>
      </c>
      <c r="B392" s="164" t="s">
        <v>502</v>
      </c>
      <c r="C392" s="154"/>
      <c r="D392" s="14" t="s">
        <v>11</v>
      </c>
      <c r="E392" s="14" t="s">
        <v>25</v>
      </c>
      <c r="F392" s="14" t="s">
        <v>26</v>
      </c>
      <c r="G392" s="305">
        <f>'DIC-18'!I392</f>
        <v>0</v>
      </c>
      <c r="H392" s="157"/>
      <c r="I392" s="17">
        <f t="shared" si="6"/>
        <v>0</v>
      </c>
      <c r="J392" s="159"/>
      <c r="K392" s="326"/>
    </row>
    <row r="393" spans="1:11" ht="33.75" customHeight="1">
      <c r="A393" s="152">
        <v>55603</v>
      </c>
      <c r="B393" s="164" t="s">
        <v>503</v>
      </c>
      <c r="C393" s="154"/>
      <c r="D393" s="14" t="s">
        <v>11</v>
      </c>
      <c r="E393" s="14" t="s">
        <v>25</v>
      </c>
      <c r="F393" s="14" t="s">
        <v>26</v>
      </c>
      <c r="G393" s="305">
        <f>'DIC-18'!I393</f>
        <v>1.1799999999999997</v>
      </c>
      <c r="H393" s="157"/>
      <c r="I393" s="17">
        <f t="shared" si="6"/>
        <v>1.1799999999999997</v>
      </c>
      <c r="J393" s="159"/>
      <c r="K393" s="159"/>
    </row>
    <row r="394" spans="1:11" ht="84.75">
      <c r="A394" s="144" t="s">
        <v>505</v>
      </c>
      <c r="B394" s="53" t="s">
        <v>510</v>
      </c>
      <c r="C394" s="154"/>
      <c r="D394" s="155"/>
      <c r="E394" s="155"/>
      <c r="F394" s="155"/>
      <c r="G394" s="305">
        <f>'DIC-18'!I394</f>
        <v>0</v>
      </c>
      <c r="H394" s="157"/>
      <c r="I394" s="158"/>
      <c r="J394" s="159"/>
      <c r="K394" s="159"/>
    </row>
    <row r="395" spans="1:11" ht="29.25">
      <c r="A395" s="152">
        <v>51999</v>
      </c>
      <c r="B395" s="153" t="s">
        <v>506</v>
      </c>
      <c r="C395" s="154"/>
      <c r="D395" s="14" t="s">
        <v>11</v>
      </c>
      <c r="E395" s="14" t="s">
        <v>25</v>
      </c>
      <c r="F395" s="14" t="s">
        <v>26</v>
      </c>
      <c r="G395" s="305">
        <f>'DIC-18'!I395</f>
        <v>0</v>
      </c>
      <c r="H395" s="157"/>
      <c r="I395" s="17">
        <f t="shared" si="6"/>
        <v>0</v>
      </c>
      <c r="J395" s="159"/>
      <c r="K395" s="326"/>
    </row>
    <row r="396" spans="1:11" ht="29.25">
      <c r="A396" s="152">
        <v>54199</v>
      </c>
      <c r="B396" s="153" t="s">
        <v>507</v>
      </c>
      <c r="C396" s="154"/>
      <c r="D396" s="14" t="s">
        <v>11</v>
      </c>
      <c r="E396" s="14" t="s">
        <v>25</v>
      </c>
      <c r="F396" s="14" t="s">
        <v>26</v>
      </c>
      <c r="G396" s="305">
        <f>'DIC-18'!I396</f>
        <v>0</v>
      </c>
      <c r="H396" s="157"/>
      <c r="I396" s="17">
        <f t="shared" si="6"/>
        <v>0</v>
      </c>
      <c r="J396" s="159"/>
      <c r="K396" s="326"/>
    </row>
    <row r="397" spans="1:11" ht="43.5">
      <c r="A397" s="152">
        <v>54399</v>
      </c>
      <c r="B397" s="153" t="s">
        <v>508</v>
      </c>
      <c r="C397" s="154"/>
      <c r="D397" s="14" t="s">
        <v>11</v>
      </c>
      <c r="E397" s="14" t="s">
        <v>25</v>
      </c>
      <c r="F397" s="14" t="s">
        <v>26</v>
      </c>
      <c r="G397" s="305">
        <f>'DIC-18'!I397</f>
        <v>0</v>
      </c>
      <c r="H397" s="157"/>
      <c r="I397" s="17">
        <f t="shared" si="6"/>
        <v>0</v>
      </c>
      <c r="J397" s="159"/>
      <c r="K397" s="326"/>
    </row>
    <row r="398" spans="1:11" ht="29.25">
      <c r="A398" s="152">
        <v>55603</v>
      </c>
      <c r="B398" s="153" t="s">
        <v>509</v>
      </c>
      <c r="C398" s="154"/>
      <c r="D398" s="14" t="s">
        <v>11</v>
      </c>
      <c r="E398" s="14" t="s">
        <v>25</v>
      </c>
      <c r="F398" s="14" t="s">
        <v>26</v>
      </c>
      <c r="G398" s="305">
        <f>'DIC-18'!I398</f>
        <v>0</v>
      </c>
      <c r="H398" s="157"/>
      <c r="I398" s="17">
        <f t="shared" si="6"/>
        <v>0</v>
      </c>
      <c r="J398" s="159"/>
      <c r="K398" s="326"/>
    </row>
    <row r="399" spans="1:11" ht="94.5" customHeight="1">
      <c r="A399" s="384" t="s">
        <v>511</v>
      </c>
      <c r="B399" s="53" t="s">
        <v>512</v>
      </c>
      <c r="C399" s="154"/>
      <c r="D399" s="155"/>
      <c r="E399" s="155"/>
      <c r="F399" s="155"/>
      <c r="G399" s="305">
        <f>'DIC-18'!I399</f>
        <v>0</v>
      </c>
      <c r="H399" s="157"/>
      <c r="I399" s="158"/>
      <c r="J399" s="159"/>
      <c r="K399" s="159"/>
    </row>
    <row r="400" spans="1:11" ht="29.25">
      <c r="A400" s="152">
        <v>51999</v>
      </c>
      <c r="B400" s="164" t="s">
        <v>513</v>
      </c>
      <c r="C400" s="154"/>
      <c r="D400" s="14" t="s">
        <v>11</v>
      </c>
      <c r="E400" s="14" t="s">
        <v>25</v>
      </c>
      <c r="F400" s="14" t="s">
        <v>26</v>
      </c>
      <c r="G400" s="305">
        <f>'DIC-18'!I400</f>
        <v>550</v>
      </c>
      <c r="H400" s="157"/>
      <c r="I400" s="17">
        <f t="shared" si="6"/>
        <v>550</v>
      </c>
      <c r="J400" s="159"/>
      <c r="K400" s="159"/>
    </row>
    <row r="401" spans="1:11" ht="29.25">
      <c r="A401" s="152">
        <v>54115</v>
      </c>
      <c r="B401" s="164" t="s">
        <v>514</v>
      </c>
      <c r="C401" s="154"/>
      <c r="D401" s="14" t="s">
        <v>11</v>
      </c>
      <c r="E401" s="14" t="s">
        <v>25</v>
      </c>
      <c r="F401" s="14" t="s">
        <v>26</v>
      </c>
      <c r="G401" s="305">
        <f>'DIC-18'!I401</f>
        <v>490</v>
      </c>
      <c r="H401" s="157"/>
      <c r="I401" s="17">
        <f t="shared" si="6"/>
        <v>490</v>
      </c>
      <c r="J401" s="159"/>
      <c r="K401" s="426"/>
    </row>
    <row r="402" spans="1:11" ht="29.25">
      <c r="A402" s="152">
        <v>61104</v>
      </c>
      <c r="B402" s="164" t="s">
        <v>515</v>
      </c>
      <c r="C402" s="154"/>
      <c r="D402" s="14" t="s">
        <v>11</v>
      </c>
      <c r="E402" s="14" t="s">
        <v>25</v>
      </c>
      <c r="F402" s="14" t="s">
        <v>26</v>
      </c>
      <c r="G402" s="305">
        <f>'DIC-18'!I402</f>
        <v>74.5</v>
      </c>
      <c r="H402" s="157"/>
      <c r="I402" s="17">
        <f t="shared" si="6"/>
        <v>74.5</v>
      </c>
      <c r="J402" s="426"/>
      <c r="K402" s="159"/>
    </row>
    <row r="403" spans="1:11" ht="29.25">
      <c r="A403" s="152">
        <v>55603</v>
      </c>
      <c r="B403" s="164" t="s">
        <v>516</v>
      </c>
      <c r="C403" s="154"/>
      <c r="D403" s="14" t="s">
        <v>11</v>
      </c>
      <c r="E403" s="14" t="s">
        <v>25</v>
      </c>
      <c r="F403" s="14" t="s">
        <v>26</v>
      </c>
      <c r="G403" s="305">
        <f>'DIC-18'!I403</f>
        <v>8.59</v>
      </c>
      <c r="H403" s="157"/>
      <c r="I403" s="17">
        <f t="shared" si="6"/>
        <v>8.59</v>
      </c>
      <c r="J403" s="159"/>
      <c r="K403" s="159"/>
    </row>
    <row r="404" spans="1:11" ht="63" customHeight="1">
      <c r="A404" s="144" t="s">
        <v>517</v>
      </c>
      <c r="B404" s="53" t="s">
        <v>518</v>
      </c>
      <c r="C404" s="154"/>
      <c r="D404" s="155"/>
      <c r="E404" s="155"/>
      <c r="F404" s="155"/>
      <c r="G404" s="305">
        <f>'DIC-18'!I404</f>
        <v>0</v>
      </c>
      <c r="H404" s="157"/>
      <c r="I404" s="158"/>
      <c r="J404" s="159"/>
      <c r="K404" s="159"/>
    </row>
    <row r="405" spans="1:11" ht="29.25">
      <c r="A405" s="152">
        <v>51999</v>
      </c>
      <c r="B405" s="164" t="s">
        <v>519</v>
      </c>
      <c r="C405" s="154"/>
      <c r="D405" s="14" t="s">
        <v>11</v>
      </c>
      <c r="E405" s="14" t="s">
        <v>25</v>
      </c>
      <c r="F405" s="14" t="s">
        <v>26</v>
      </c>
      <c r="G405" s="305">
        <f>'DIC-18'!I405</f>
        <v>10000</v>
      </c>
      <c r="H405" s="157"/>
      <c r="I405" s="17">
        <f t="shared" si="6"/>
        <v>10000</v>
      </c>
      <c r="J405" s="159"/>
      <c r="K405" s="159"/>
    </row>
    <row r="406" spans="1:11" ht="30">
      <c r="A406" s="152">
        <v>54313</v>
      </c>
      <c r="B406" s="164" t="s">
        <v>520</v>
      </c>
      <c r="C406" s="154"/>
      <c r="D406" s="14" t="s">
        <v>11</v>
      </c>
      <c r="E406" s="14" t="s">
        <v>25</v>
      </c>
      <c r="F406" s="14" t="s">
        <v>26</v>
      </c>
      <c r="G406" s="305">
        <f>'DIC-18'!I406</f>
        <v>500</v>
      </c>
      <c r="H406" s="157"/>
      <c r="I406" s="17">
        <f t="shared" si="6"/>
        <v>500</v>
      </c>
      <c r="J406" s="159"/>
      <c r="K406" s="159"/>
    </row>
    <row r="407" spans="1:11" ht="30">
      <c r="A407" s="152">
        <v>54399</v>
      </c>
      <c r="B407" s="164" t="s">
        <v>521</v>
      </c>
      <c r="C407" s="154"/>
      <c r="D407" s="14" t="s">
        <v>11</v>
      </c>
      <c r="E407" s="14" t="s">
        <v>25</v>
      </c>
      <c r="F407" s="14" t="s">
        <v>26</v>
      </c>
      <c r="G407" s="305">
        <f>'DIC-18'!I407</f>
        <v>990</v>
      </c>
      <c r="H407" s="157"/>
      <c r="I407" s="17">
        <f t="shared" si="6"/>
        <v>990</v>
      </c>
      <c r="J407" s="159"/>
      <c r="K407" s="159"/>
    </row>
    <row r="408" spans="1:11" ht="29.25">
      <c r="A408" s="152">
        <v>54599</v>
      </c>
      <c r="B408" s="164" t="s">
        <v>522</v>
      </c>
      <c r="C408" s="154"/>
      <c r="D408" s="14" t="s">
        <v>11</v>
      </c>
      <c r="E408" s="14" t="s">
        <v>25</v>
      </c>
      <c r="F408" s="14" t="s">
        <v>26</v>
      </c>
      <c r="G408" s="305">
        <f>'DIC-18'!I408</f>
        <v>13500</v>
      </c>
      <c r="H408" s="157"/>
      <c r="I408" s="17">
        <f t="shared" si="6"/>
        <v>13500</v>
      </c>
      <c r="J408" s="159"/>
      <c r="K408" s="159"/>
    </row>
    <row r="409" spans="1:11" ht="29.25">
      <c r="A409" s="152">
        <v>55603</v>
      </c>
      <c r="B409" s="164" t="s">
        <v>523</v>
      </c>
      <c r="C409" s="154"/>
      <c r="D409" s="14" t="s">
        <v>11</v>
      </c>
      <c r="E409" s="14" t="s">
        <v>25</v>
      </c>
      <c r="F409" s="14" t="s">
        <v>26</v>
      </c>
      <c r="G409" s="305">
        <f>'DIC-18'!I409</f>
        <v>10</v>
      </c>
      <c r="H409" s="157"/>
      <c r="I409" s="17">
        <f t="shared" si="6"/>
        <v>10</v>
      </c>
      <c r="J409" s="159"/>
      <c r="K409" s="159"/>
    </row>
    <row r="410" spans="1:11" ht="69.75">
      <c r="A410" s="144" t="s">
        <v>524</v>
      </c>
      <c r="B410" s="53" t="s">
        <v>525</v>
      </c>
      <c r="C410" s="154"/>
      <c r="D410" s="14" t="s">
        <v>11</v>
      </c>
      <c r="E410" s="14" t="s">
        <v>25</v>
      </c>
      <c r="F410" s="14" t="s">
        <v>26</v>
      </c>
      <c r="G410" s="305">
        <f>'DIC-18'!I410</f>
        <v>0</v>
      </c>
      <c r="H410" s="157"/>
      <c r="I410" s="158">
        <f t="shared" si="6"/>
        <v>0</v>
      </c>
      <c r="J410" s="159"/>
      <c r="K410" s="328"/>
    </row>
    <row r="411" spans="1:11" ht="44.25">
      <c r="A411" s="144" t="s">
        <v>526</v>
      </c>
      <c r="B411" s="53" t="s">
        <v>527</v>
      </c>
      <c r="C411" s="154"/>
      <c r="D411" s="14" t="s">
        <v>11</v>
      </c>
      <c r="E411" s="14" t="s">
        <v>25</v>
      </c>
      <c r="F411" s="14" t="s">
        <v>26</v>
      </c>
      <c r="G411" s="305">
        <f>'DIC-18'!I411</f>
        <v>0</v>
      </c>
      <c r="H411" s="157"/>
      <c r="I411" s="158">
        <f t="shared" si="6"/>
        <v>0</v>
      </c>
      <c r="J411" s="381"/>
      <c r="K411" s="329"/>
    </row>
    <row r="412" spans="1:11" ht="39.75">
      <c r="A412" s="144" t="s">
        <v>528</v>
      </c>
      <c r="B412" s="53" t="s">
        <v>529</v>
      </c>
      <c r="C412" s="154"/>
      <c r="D412" s="14" t="s">
        <v>11</v>
      </c>
      <c r="E412" s="14" t="s">
        <v>25</v>
      </c>
      <c r="F412" s="14" t="s">
        <v>26</v>
      </c>
      <c r="G412" s="305">
        <f>'DIC-18'!I412</f>
        <v>0</v>
      </c>
      <c r="H412" s="157"/>
      <c r="I412" s="158">
        <f t="shared" si="6"/>
        <v>0</v>
      </c>
      <c r="J412" s="381"/>
      <c r="K412" s="329"/>
    </row>
    <row r="413" spans="1:11" ht="39.75">
      <c r="A413" s="144" t="s">
        <v>530</v>
      </c>
      <c r="B413" s="53" t="s">
        <v>531</v>
      </c>
      <c r="C413" s="154"/>
      <c r="D413" s="14" t="s">
        <v>11</v>
      </c>
      <c r="E413" s="14" t="s">
        <v>25</v>
      </c>
      <c r="F413" s="14" t="s">
        <v>26</v>
      </c>
      <c r="G413" s="305">
        <f>'DIC-18'!I413</f>
        <v>0</v>
      </c>
      <c r="H413" s="157"/>
      <c r="I413" s="158">
        <f t="shared" si="6"/>
        <v>0</v>
      </c>
      <c r="J413" s="381"/>
      <c r="K413" s="329"/>
    </row>
    <row r="414" spans="1:11" ht="55.5">
      <c r="A414" s="144" t="s">
        <v>532</v>
      </c>
      <c r="B414" s="53" t="s">
        <v>533</v>
      </c>
      <c r="C414" s="154"/>
      <c r="D414" s="155"/>
      <c r="E414" s="155"/>
      <c r="F414" s="155"/>
      <c r="G414" s="305">
        <f>'DIC-18'!I414</f>
        <v>0</v>
      </c>
      <c r="H414" s="157"/>
      <c r="I414" s="158">
        <f t="shared" si="6"/>
        <v>0</v>
      </c>
      <c r="J414" s="159"/>
      <c r="K414" s="159"/>
    </row>
    <row r="415" spans="1:11">
      <c r="A415" s="152">
        <v>51202</v>
      </c>
      <c r="B415" s="153" t="s">
        <v>534</v>
      </c>
      <c r="C415" s="154"/>
      <c r="D415" s="14" t="s">
        <v>11</v>
      </c>
      <c r="E415" s="14" t="s">
        <v>25</v>
      </c>
      <c r="F415" s="14" t="s">
        <v>26</v>
      </c>
      <c r="G415" s="305">
        <f>'DIC-18'!I415</f>
        <v>8000</v>
      </c>
      <c r="H415" s="157"/>
      <c r="I415" s="158">
        <f t="shared" si="6"/>
        <v>8000</v>
      </c>
      <c r="J415" s="159"/>
      <c r="K415" s="159"/>
    </row>
    <row r="416" spans="1:11" ht="29.25">
      <c r="A416" s="152">
        <v>54111</v>
      </c>
      <c r="B416" s="153" t="s">
        <v>535</v>
      </c>
      <c r="C416" s="154"/>
      <c r="D416" s="14" t="s">
        <v>11</v>
      </c>
      <c r="E416" s="14" t="s">
        <v>25</v>
      </c>
      <c r="F416" s="14" t="s">
        <v>26</v>
      </c>
      <c r="G416" s="305">
        <f>'DIC-18'!I416</f>
        <v>5500</v>
      </c>
      <c r="H416" s="157"/>
      <c r="I416" s="158">
        <f t="shared" si="6"/>
        <v>5500</v>
      </c>
      <c r="J416" s="159"/>
      <c r="K416" s="159"/>
    </row>
    <row r="417" spans="1:27" ht="29.25">
      <c r="A417" s="152">
        <v>54112</v>
      </c>
      <c r="B417" s="153" t="s">
        <v>536</v>
      </c>
      <c r="C417" s="154"/>
      <c r="D417" s="14" t="s">
        <v>11</v>
      </c>
      <c r="E417" s="14" t="s">
        <v>25</v>
      </c>
      <c r="F417" s="14" t="s">
        <v>26</v>
      </c>
      <c r="G417" s="305">
        <f>'DIC-18'!I417</f>
        <v>5000</v>
      </c>
      <c r="H417" s="157"/>
      <c r="I417" s="158">
        <f t="shared" si="6"/>
        <v>5000</v>
      </c>
      <c r="J417" s="159"/>
      <c r="K417" s="159"/>
    </row>
    <row r="418" spans="1:27" ht="30">
      <c r="A418" s="152">
        <v>54313</v>
      </c>
      <c r="B418" s="153" t="s">
        <v>537</v>
      </c>
      <c r="C418" s="154"/>
      <c r="D418" s="14" t="s">
        <v>11</v>
      </c>
      <c r="E418" s="14" t="s">
        <v>25</v>
      </c>
      <c r="F418" s="14" t="s">
        <v>26</v>
      </c>
      <c r="G418" s="305">
        <f>'DIC-18'!I418</f>
        <v>500</v>
      </c>
      <c r="H418" s="157"/>
      <c r="I418" s="158">
        <f t="shared" si="6"/>
        <v>500</v>
      </c>
      <c r="J418" s="159"/>
      <c r="K418" s="159"/>
    </row>
    <row r="419" spans="1:27" ht="30">
      <c r="A419" s="152">
        <v>54399</v>
      </c>
      <c r="B419" s="153" t="s">
        <v>538</v>
      </c>
      <c r="C419" s="154"/>
      <c r="D419" s="14" t="s">
        <v>11</v>
      </c>
      <c r="E419" s="14" t="s">
        <v>25</v>
      </c>
      <c r="F419" s="14" t="s">
        <v>26</v>
      </c>
      <c r="G419" s="305">
        <f>'DIC-18'!I419</f>
        <v>990</v>
      </c>
      <c r="H419" s="157"/>
      <c r="I419" s="158">
        <f t="shared" si="6"/>
        <v>990</v>
      </c>
      <c r="J419" s="159"/>
      <c r="K419" s="159"/>
    </row>
    <row r="420" spans="1:27" ht="29.25">
      <c r="A420" s="152">
        <v>55603</v>
      </c>
      <c r="B420" s="153" t="s">
        <v>539</v>
      </c>
      <c r="C420" s="154"/>
      <c r="D420" s="14" t="s">
        <v>11</v>
      </c>
      <c r="E420" s="14" t="s">
        <v>25</v>
      </c>
      <c r="F420" s="14" t="s">
        <v>26</v>
      </c>
      <c r="G420" s="305">
        <f>'DIC-18'!I420</f>
        <v>10</v>
      </c>
      <c r="H420" s="157"/>
      <c r="I420" s="158">
        <f t="shared" si="6"/>
        <v>10</v>
      </c>
      <c r="J420" s="159"/>
      <c r="K420" s="159"/>
    </row>
    <row r="421" spans="1:27" ht="55.5">
      <c r="A421" s="384" t="s">
        <v>540</v>
      </c>
      <c r="B421" s="53" t="s">
        <v>541</v>
      </c>
      <c r="C421" s="154"/>
      <c r="D421" s="155"/>
      <c r="E421" s="155"/>
      <c r="F421" s="155"/>
      <c r="G421" s="305">
        <f>'DIC-18'!I421</f>
        <v>0</v>
      </c>
      <c r="H421" s="157"/>
      <c r="I421" s="158"/>
      <c r="J421" s="159"/>
      <c r="K421" s="159"/>
    </row>
    <row r="422" spans="1:27" ht="29.25">
      <c r="A422" s="152">
        <v>51202</v>
      </c>
      <c r="B422" s="153" t="s">
        <v>542</v>
      </c>
      <c r="C422" s="154"/>
      <c r="D422" s="14" t="s">
        <v>11</v>
      </c>
      <c r="E422" s="14" t="s">
        <v>25</v>
      </c>
      <c r="F422" s="14" t="s">
        <v>26</v>
      </c>
      <c r="G422" s="305">
        <f>'DIC-18'!I422</f>
        <v>0</v>
      </c>
      <c r="H422" s="157"/>
      <c r="I422" s="158">
        <f t="shared" si="6"/>
        <v>0</v>
      </c>
      <c r="J422" s="159"/>
      <c r="K422" s="326"/>
    </row>
    <row r="423" spans="1:27" ht="46.5" customHeight="1">
      <c r="A423" s="152">
        <v>54111</v>
      </c>
      <c r="B423" s="153" t="s">
        <v>543</v>
      </c>
      <c r="C423" s="154"/>
      <c r="D423" s="14" t="s">
        <v>11</v>
      </c>
      <c r="E423" s="14" t="s">
        <v>25</v>
      </c>
      <c r="F423" s="14" t="s">
        <v>26</v>
      </c>
      <c r="G423" s="305">
        <f>'DIC-18'!I423</f>
        <v>0</v>
      </c>
      <c r="H423" s="157"/>
      <c r="I423" s="158">
        <f t="shared" si="6"/>
        <v>0</v>
      </c>
      <c r="J423" s="159"/>
      <c r="K423" s="326"/>
    </row>
    <row r="424" spans="1:27" ht="35.25" customHeight="1">
      <c r="A424" s="152">
        <v>54112</v>
      </c>
      <c r="B424" s="153" t="s">
        <v>544</v>
      </c>
      <c r="C424" s="154"/>
      <c r="D424" s="14" t="s">
        <v>11</v>
      </c>
      <c r="E424" s="14" t="s">
        <v>25</v>
      </c>
      <c r="F424" s="14" t="s">
        <v>26</v>
      </c>
      <c r="G424" s="305">
        <f>'DIC-18'!I424</f>
        <v>0</v>
      </c>
      <c r="H424" s="157"/>
      <c r="I424" s="158">
        <f t="shared" ref="I424:I439" si="7">G424-H424+J424-K424</f>
        <v>0</v>
      </c>
      <c r="J424" s="159"/>
      <c r="K424" s="326"/>
    </row>
    <row r="425" spans="1:27" ht="36.75" customHeight="1">
      <c r="A425" s="152">
        <v>54313</v>
      </c>
      <c r="B425" s="153" t="s">
        <v>545</v>
      </c>
      <c r="C425" s="154"/>
      <c r="D425" s="14" t="s">
        <v>11</v>
      </c>
      <c r="E425" s="14" t="s">
        <v>25</v>
      </c>
      <c r="F425" s="14" t="s">
        <v>26</v>
      </c>
      <c r="G425" s="305">
        <f>'DIC-18'!I425</f>
        <v>0</v>
      </c>
      <c r="H425" s="157"/>
      <c r="I425" s="158">
        <f t="shared" si="7"/>
        <v>0</v>
      </c>
      <c r="J425" s="159"/>
      <c r="K425" s="326"/>
      <c r="M425" s="167"/>
      <c r="N425" s="167"/>
      <c r="O425" s="167"/>
      <c r="P425" s="167"/>
      <c r="Q425" s="167"/>
    </row>
    <row r="426" spans="1:27" ht="42" customHeight="1">
      <c r="A426" s="152">
        <v>54399</v>
      </c>
      <c r="B426" s="153" t="s">
        <v>546</v>
      </c>
      <c r="C426" s="154"/>
      <c r="D426" s="14" t="s">
        <v>11</v>
      </c>
      <c r="E426" s="14" t="s">
        <v>25</v>
      </c>
      <c r="F426" s="14" t="s">
        <v>26</v>
      </c>
      <c r="G426" s="305">
        <f>'DIC-18'!I426</f>
        <v>0</v>
      </c>
      <c r="H426" s="157"/>
      <c r="I426" s="158">
        <f t="shared" si="7"/>
        <v>0</v>
      </c>
      <c r="J426" s="159"/>
      <c r="K426" s="326"/>
      <c r="M426" s="167"/>
      <c r="N426" s="167"/>
      <c r="O426" s="167"/>
      <c r="P426" s="167"/>
      <c r="Q426" s="167"/>
    </row>
    <row r="427" spans="1:27" s="47" customFormat="1" ht="29.25">
      <c r="A427" s="11">
        <v>55603</v>
      </c>
      <c r="B427" s="153" t="s">
        <v>547</v>
      </c>
      <c r="C427" s="12"/>
      <c r="D427" s="14" t="s">
        <v>11</v>
      </c>
      <c r="E427" s="14" t="s">
        <v>25</v>
      </c>
      <c r="F427" s="14" t="s">
        <v>26</v>
      </c>
      <c r="G427" s="305">
        <f>'DIC-18'!I427</f>
        <v>0</v>
      </c>
      <c r="H427" s="51"/>
      <c r="I427" s="158">
        <f t="shared" si="7"/>
        <v>0</v>
      </c>
      <c r="J427" s="44"/>
      <c r="K427" s="330"/>
      <c r="L427" s="167"/>
      <c r="M427" s="167"/>
      <c r="N427" s="167"/>
      <c r="O427" s="167"/>
      <c r="P427" s="167"/>
      <c r="Q427" s="167"/>
      <c r="R427" s="167"/>
      <c r="S427" s="167"/>
      <c r="T427" s="167"/>
      <c r="U427" s="167"/>
      <c r="V427" s="167"/>
      <c r="W427" s="167"/>
      <c r="X427" s="167"/>
      <c r="Y427" s="167"/>
      <c r="Z427" s="167"/>
      <c r="AA427" s="166"/>
    </row>
    <row r="428" spans="1:27" s="47" customFormat="1" ht="28.5">
      <c r="A428" s="144" t="s">
        <v>548</v>
      </c>
      <c r="B428" s="53" t="s">
        <v>549</v>
      </c>
      <c r="C428" s="12"/>
      <c r="D428" s="14" t="s">
        <v>11</v>
      </c>
      <c r="E428" s="14" t="s">
        <v>25</v>
      </c>
      <c r="F428" s="14" t="s">
        <v>26</v>
      </c>
      <c r="G428" s="305">
        <f>'DIC-18'!I428</f>
        <v>5000</v>
      </c>
      <c r="H428" s="51"/>
      <c r="I428" s="17">
        <f t="shared" si="7"/>
        <v>5000</v>
      </c>
      <c r="J428" s="44"/>
      <c r="K428" s="44"/>
      <c r="L428" s="167"/>
      <c r="M428" s="167"/>
      <c r="N428" s="167"/>
      <c r="O428" s="167"/>
      <c r="P428" s="167"/>
      <c r="Q428" s="167"/>
      <c r="R428" s="167"/>
      <c r="S428" s="167"/>
      <c r="T428" s="167"/>
      <c r="U428" s="167"/>
      <c r="V428" s="167"/>
      <c r="W428" s="167"/>
      <c r="X428" s="167"/>
      <c r="Y428" s="167"/>
      <c r="Z428" s="167"/>
      <c r="AA428" s="166"/>
    </row>
    <row r="429" spans="1:27" s="47" customFormat="1" ht="40.5">
      <c r="A429" s="144" t="s">
        <v>550</v>
      </c>
      <c r="B429" s="53" t="s">
        <v>1026</v>
      </c>
      <c r="C429" s="12"/>
      <c r="D429" s="3"/>
      <c r="E429" s="3"/>
      <c r="F429" s="3"/>
      <c r="G429" s="305">
        <f>'DIC-18'!I429</f>
        <v>0</v>
      </c>
      <c r="H429" s="51"/>
      <c r="I429" s="17"/>
      <c r="J429" s="44"/>
      <c r="K429" s="52"/>
      <c r="L429" s="167"/>
      <c r="M429" s="167"/>
      <c r="N429" s="167"/>
      <c r="O429" s="167"/>
      <c r="P429" s="167"/>
      <c r="Q429" s="167"/>
      <c r="R429" s="167"/>
      <c r="S429" s="167"/>
      <c r="T429" s="167"/>
      <c r="U429" s="167"/>
      <c r="V429" s="167"/>
      <c r="W429" s="167"/>
      <c r="X429" s="167"/>
      <c r="Y429" s="167"/>
      <c r="Z429" s="167"/>
      <c r="AA429" s="166"/>
    </row>
    <row r="430" spans="1:27" s="47" customFormat="1" ht="20.25" customHeight="1">
      <c r="A430" s="11">
        <v>51999</v>
      </c>
      <c r="B430" s="70" t="s">
        <v>552</v>
      </c>
      <c r="C430" s="12"/>
      <c r="D430" s="14" t="s">
        <v>11</v>
      </c>
      <c r="E430" s="14" t="s">
        <v>25</v>
      </c>
      <c r="F430" s="14" t="s">
        <v>26</v>
      </c>
      <c r="G430" s="305">
        <f>'DIC-18'!I430</f>
        <v>0</v>
      </c>
      <c r="H430" s="51"/>
      <c r="I430" s="17">
        <f t="shared" si="7"/>
        <v>0</v>
      </c>
      <c r="J430" s="44"/>
      <c r="K430" s="266"/>
      <c r="L430" s="167"/>
      <c r="M430" s="167"/>
      <c r="N430" s="167"/>
      <c r="O430" s="167"/>
      <c r="P430" s="167"/>
      <c r="Q430" s="167"/>
      <c r="R430" s="167"/>
      <c r="S430" s="167"/>
      <c r="T430" s="167"/>
      <c r="U430" s="167"/>
      <c r="V430" s="167"/>
      <c r="W430" s="167"/>
      <c r="X430" s="167"/>
      <c r="Y430" s="167"/>
      <c r="Z430" s="167"/>
    </row>
    <row r="431" spans="1:27" s="47" customFormat="1" ht="23.25" customHeight="1">
      <c r="A431" s="11">
        <v>54399</v>
      </c>
      <c r="B431" s="70" t="s">
        <v>553</v>
      </c>
      <c r="C431" s="12"/>
      <c r="D431" s="14" t="s">
        <v>11</v>
      </c>
      <c r="E431" s="14" t="s">
        <v>25</v>
      </c>
      <c r="F431" s="14" t="s">
        <v>26</v>
      </c>
      <c r="G431" s="305">
        <f>'DIC-18'!I431</f>
        <v>0</v>
      </c>
      <c r="H431" s="51"/>
      <c r="I431" s="17">
        <f t="shared" si="7"/>
        <v>0</v>
      </c>
      <c r="J431" s="44"/>
      <c r="K431" s="266"/>
      <c r="L431" s="167"/>
      <c r="M431" s="167"/>
      <c r="N431" s="167"/>
      <c r="O431" s="167"/>
      <c r="P431" s="167"/>
      <c r="Q431" s="167"/>
      <c r="R431" s="167"/>
      <c r="S431" s="167"/>
      <c r="T431" s="167"/>
      <c r="U431" s="167"/>
      <c r="V431" s="167"/>
      <c r="W431" s="167"/>
      <c r="X431" s="167"/>
      <c r="Y431" s="167"/>
      <c r="Z431" s="167"/>
    </row>
    <row r="432" spans="1:27" s="47" customFormat="1" ht="20.25" customHeight="1">
      <c r="A432" s="11">
        <v>54599</v>
      </c>
      <c r="B432" s="70" t="s">
        <v>554</v>
      </c>
      <c r="C432" s="12"/>
      <c r="D432" s="14" t="s">
        <v>11</v>
      </c>
      <c r="E432" s="14" t="s">
        <v>25</v>
      </c>
      <c r="F432" s="14" t="s">
        <v>26</v>
      </c>
      <c r="G432" s="305">
        <f>'DIC-18'!I432</f>
        <v>0</v>
      </c>
      <c r="H432" s="51"/>
      <c r="I432" s="17">
        <f t="shared" si="7"/>
        <v>0</v>
      </c>
      <c r="J432" s="44"/>
      <c r="K432" s="266"/>
      <c r="L432" s="167"/>
      <c r="M432" s="167"/>
      <c r="N432" s="167"/>
      <c r="O432" s="167"/>
      <c r="P432" s="167"/>
      <c r="Q432" s="167"/>
      <c r="R432" s="167"/>
      <c r="S432" s="167"/>
      <c r="T432" s="167"/>
      <c r="U432" s="167"/>
      <c r="V432" s="167"/>
      <c r="W432" s="167"/>
      <c r="X432" s="167"/>
      <c r="Y432" s="167"/>
      <c r="Z432" s="167"/>
    </row>
    <row r="433" spans="1:26" s="47" customFormat="1" ht="44.25" customHeight="1">
      <c r="A433" s="144" t="s">
        <v>909</v>
      </c>
      <c r="B433" s="349" t="s">
        <v>1089</v>
      </c>
      <c r="C433" s="12"/>
      <c r="D433" s="14"/>
      <c r="E433" s="14"/>
      <c r="F433" s="14"/>
      <c r="G433" s="305">
        <f>'DIC-18'!I433</f>
        <v>0</v>
      </c>
      <c r="H433" s="51"/>
      <c r="I433" s="17"/>
      <c r="J433" s="44"/>
      <c r="K433" s="266"/>
      <c r="L433" s="167"/>
      <c r="M433" s="167"/>
      <c r="N433" s="167"/>
      <c r="O433" s="167"/>
      <c r="P433" s="167"/>
      <c r="Q433" s="167"/>
      <c r="R433" s="167"/>
      <c r="S433" s="167"/>
      <c r="T433" s="167"/>
      <c r="U433" s="167"/>
      <c r="V433" s="167"/>
      <c r="W433" s="167"/>
      <c r="X433" s="167"/>
      <c r="Y433" s="167"/>
      <c r="Z433" s="167"/>
    </row>
    <row r="434" spans="1:26" s="47" customFormat="1" ht="45" customHeight="1">
      <c r="A434" s="11">
        <v>54314</v>
      </c>
      <c r="B434" s="70" t="s">
        <v>1125</v>
      </c>
      <c r="C434" s="12"/>
      <c r="D434" s="14" t="s">
        <v>11</v>
      </c>
      <c r="E434" s="14" t="s">
        <v>25</v>
      </c>
      <c r="F434" s="14" t="s">
        <v>26</v>
      </c>
      <c r="G434" s="305">
        <f>'DIC-18'!I434</f>
        <v>0</v>
      </c>
      <c r="H434" s="51"/>
      <c r="I434" s="17">
        <f t="shared" si="7"/>
        <v>0</v>
      </c>
      <c r="J434" s="347"/>
      <c r="K434" s="266"/>
      <c r="L434" s="167"/>
      <c r="M434" s="167"/>
      <c r="N434" s="167"/>
      <c r="O434" s="167"/>
      <c r="P434" s="167"/>
      <c r="Q434" s="167"/>
      <c r="R434" s="167"/>
      <c r="S434" s="167"/>
      <c r="T434" s="167"/>
      <c r="U434" s="167"/>
      <c r="V434" s="167"/>
      <c r="W434" s="167"/>
      <c r="X434" s="167"/>
      <c r="Y434" s="167"/>
      <c r="Z434" s="167"/>
    </row>
    <row r="435" spans="1:26" s="47" customFormat="1" ht="30">
      <c r="A435" s="47">
        <v>55603</v>
      </c>
      <c r="B435" s="5" t="s">
        <v>1091</v>
      </c>
      <c r="C435" s="12"/>
      <c r="D435" s="14" t="s">
        <v>11</v>
      </c>
      <c r="E435" s="14" t="s">
        <v>25</v>
      </c>
      <c r="F435" s="14" t="s">
        <v>26</v>
      </c>
      <c r="G435" s="305">
        <f>'DIC-18'!I435</f>
        <v>0</v>
      </c>
      <c r="H435" s="375"/>
      <c r="I435" s="17">
        <f t="shared" si="7"/>
        <v>0</v>
      </c>
      <c r="J435" s="316"/>
      <c r="K435" s="44"/>
      <c r="L435" s="167"/>
      <c r="M435" s="167"/>
      <c r="N435" s="167"/>
      <c r="O435" s="167"/>
      <c r="P435" s="167"/>
      <c r="Q435" s="167"/>
      <c r="R435" s="167"/>
      <c r="S435" s="167"/>
      <c r="T435" s="167"/>
      <c r="U435" s="167"/>
      <c r="V435" s="167"/>
      <c r="W435" s="167"/>
      <c r="X435" s="167"/>
      <c r="Y435" s="167"/>
      <c r="Z435" s="167"/>
    </row>
    <row r="436" spans="1:26" s="47" customFormat="1">
      <c r="B436" s="5"/>
      <c r="C436" s="12"/>
      <c r="D436" s="14"/>
      <c r="E436" s="14"/>
      <c r="F436" s="14"/>
      <c r="G436" s="305">
        <f>'DIC-18'!I436</f>
        <v>0</v>
      </c>
      <c r="H436" s="51"/>
      <c r="I436" s="17"/>
      <c r="J436" s="316"/>
      <c r="K436" s="44"/>
      <c r="L436" s="167"/>
      <c r="M436" s="167"/>
      <c r="N436" s="167"/>
      <c r="O436" s="167"/>
      <c r="P436" s="167"/>
      <c r="Q436" s="167"/>
      <c r="R436" s="167"/>
      <c r="S436" s="167"/>
      <c r="T436" s="167"/>
      <c r="U436" s="167"/>
      <c r="V436" s="167"/>
      <c r="W436" s="167"/>
      <c r="X436" s="167"/>
      <c r="Y436" s="167"/>
      <c r="Z436" s="167"/>
    </row>
    <row r="437" spans="1:26" s="47" customFormat="1" ht="75" customHeight="1">
      <c r="A437" s="317" t="s">
        <v>1149</v>
      </c>
      <c r="B437" s="338" t="s">
        <v>1186</v>
      </c>
      <c r="C437" s="318"/>
      <c r="D437" s="14" t="s">
        <v>11</v>
      </c>
      <c r="E437" s="14" t="s">
        <v>25</v>
      </c>
      <c r="F437" s="14" t="s">
        <v>26</v>
      </c>
      <c r="G437" s="305">
        <f>'DIC-18'!I437</f>
        <v>7749.2000000000135</v>
      </c>
      <c r="H437" s="51"/>
      <c r="I437" s="17">
        <f t="shared" si="7"/>
        <v>7749.2000000000135</v>
      </c>
      <c r="J437" s="316"/>
      <c r="K437" s="458"/>
      <c r="L437" s="167">
        <v>3500</v>
      </c>
      <c r="M437" s="167"/>
      <c r="N437" s="167"/>
      <c r="O437" s="167"/>
      <c r="P437" s="167"/>
      <c r="Q437" s="167"/>
      <c r="R437" s="167"/>
      <c r="S437" s="167"/>
      <c r="T437" s="167"/>
      <c r="U437" s="167"/>
      <c r="V437" s="167"/>
      <c r="W437" s="167"/>
      <c r="X437" s="167"/>
      <c r="Y437" s="167"/>
      <c r="Z437" s="167"/>
    </row>
    <row r="438" spans="1:26" s="47" customFormat="1" ht="86.25" customHeight="1">
      <c r="A438" s="47">
        <v>61599</v>
      </c>
      <c r="B438" s="179" t="s">
        <v>1187</v>
      </c>
      <c r="C438" s="12"/>
      <c r="D438" s="14" t="s">
        <v>11</v>
      </c>
      <c r="E438" s="14" t="s">
        <v>25</v>
      </c>
      <c r="F438" s="14" t="s">
        <v>1181</v>
      </c>
      <c r="G438" s="305">
        <f>'DIC-18'!I438</f>
        <v>0</v>
      </c>
      <c r="H438" s="51"/>
      <c r="I438" s="386">
        <f t="shared" si="7"/>
        <v>0</v>
      </c>
      <c r="J438" s="389"/>
      <c r="K438" s="347"/>
      <c r="L438" s="167"/>
      <c r="M438" s="167"/>
      <c r="N438" s="167"/>
      <c r="O438" s="167"/>
      <c r="P438" s="167"/>
      <c r="Q438" s="167"/>
      <c r="R438" s="167"/>
      <c r="S438" s="167"/>
      <c r="T438" s="167"/>
      <c r="U438" s="167"/>
      <c r="V438" s="167"/>
      <c r="W438" s="167"/>
      <c r="X438" s="167"/>
      <c r="Y438" s="167"/>
      <c r="Z438" s="167"/>
    </row>
    <row r="439" spans="1:26" s="47" customFormat="1" ht="57" customHeight="1">
      <c r="A439" s="47" t="s">
        <v>1150</v>
      </c>
      <c r="B439" s="340" t="s">
        <v>1116</v>
      </c>
      <c r="C439" s="319"/>
      <c r="D439" s="14" t="s">
        <v>11</v>
      </c>
      <c r="E439" s="14" t="s">
        <v>25</v>
      </c>
      <c r="F439" s="14" t="s">
        <v>26</v>
      </c>
      <c r="G439" s="305">
        <f>'DIC-18'!I439</f>
        <v>800.00000000000364</v>
      </c>
      <c r="H439" s="51"/>
      <c r="I439" s="17">
        <f t="shared" si="7"/>
        <v>800.00000000000364</v>
      </c>
      <c r="J439" s="347"/>
      <c r="K439" s="389"/>
      <c r="L439" s="167"/>
      <c r="M439" s="167"/>
      <c r="N439" s="167"/>
      <c r="O439" s="167"/>
      <c r="P439" s="167"/>
      <c r="Q439" s="167"/>
      <c r="R439" s="167"/>
      <c r="S439" s="167"/>
      <c r="T439" s="167"/>
      <c r="U439" s="167"/>
      <c r="V439" s="167"/>
      <c r="W439" s="167"/>
      <c r="X439" s="167"/>
      <c r="Y439" s="167"/>
      <c r="Z439" s="167"/>
    </row>
    <row r="440" spans="1:26" s="47" customFormat="1" ht="51.75" customHeight="1">
      <c r="A440" s="47">
        <v>54107</v>
      </c>
      <c r="B440" s="5" t="s">
        <v>1148</v>
      </c>
      <c r="C440" s="12"/>
      <c r="D440" s="14"/>
      <c r="E440" s="14"/>
      <c r="F440" s="14"/>
      <c r="G440" s="305">
        <f>'DIC-18'!I440</f>
        <v>0</v>
      </c>
      <c r="H440" s="51"/>
      <c r="I440" s="17"/>
      <c r="J440" s="316"/>
      <c r="K440" s="44"/>
      <c r="L440" s="167"/>
      <c r="M440" s="167"/>
      <c r="N440" s="167"/>
      <c r="O440" s="167"/>
      <c r="P440" s="167"/>
      <c r="Q440" s="167"/>
      <c r="R440" s="167"/>
      <c r="S440" s="167"/>
      <c r="T440" s="167"/>
      <c r="U440" s="167"/>
      <c r="V440" s="167"/>
      <c r="W440" s="167"/>
      <c r="X440" s="167"/>
      <c r="Y440" s="167"/>
      <c r="Z440" s="167"/>
    </row>
    <row r="441" spans="1:26" s="47" customFormat="1" ht="81.75">
      <c r="A441" s="379" t="s">
        <v>1151</v>
      </c>
      <c r="B441" s="53" t="s">
        <v>1170</v>
      </c>
      <c r="C441" s="344" t="s">
        <v>1157</v>
      </c>
      <c r="D441" s="14"/>
      <c r="E441" s="14"/>
      <c r="F441" s="14"/>
      <c r="G441" s="305">
        <f>'DIC-18'!I441</f>
        <v>0</v>
      </c>
      <c r="H441" s="51"/>
      <c r="I441" s="17"/>
      <c r="J441" s="316"/>
      <c r="K441" s="44"/>
      <c r="L441" s="167"/>
      <c r="M441" s="167"/>
      <c r="N441" s="167"/>
      <c r="O441" s="167"/>
      <c r="P441" s="167"/>
      <c r="Q441" s="167"/>
      <c r="R441" s="167"/>
      <c r="S441" s="167"/>
      <c r="T441" s="167"/>
      <c r="U441" s="167"/>
      <c r="V441" s="167"/>
      <c r="W441" s="167"/>
      <c r="X441" s="167"/>
      <c r="Y441" s="167"/>
      <c r="Z441" s="167"/>
    </row>
    <row r="442" spans="1:26" s="47" customFormat="1" ht="29.25">
      <c r="A442" s="152">
        <v>51202</v>
      </c>
      <c r="B442" s="153" t="s">
        <v>1152</v>
      </c>
      <c r="C442" s="12" t="s">
        <v>1158</v>
      </c>
      <c r="D442" s="14" t="s">
        <v>11</v>
      </c>
      <c r="E442" s="14" t="s">
        <v>25</v>
      </c>
      <c r="F442" s="14" t="s">
        <v>26</v>
      </c>
      <c r="G442" s="305">
        <f>'DIC-18'!I442</f>
        <v>2041.1999999999998</v>
      </c>
      <c r="H442" s="51"/>
      <c r="I442" s="17">
        <f t="shared" ref="I442:I465" si="8">G442-H442+J442-K442</f>
        <v>2041.1999999999998</v>
      </c>
      <c r="J442" s="347"/>
      <c r="K442" s="347"/>
      <c r="L442" s="167"/>
      <c r="M442" s="167"/>
      <c r="N442" s="167"/>
      <c r="O442" s="167"/>
      <c r="P442" s="167"/>
      <c r="Q442" s="167"/>
      <c r="R442" s="167"/>
      <c r="S442" s="167"/>
      <c r="T442" s="167"/>
      <c r="U442" s="167"/>
      <c r="V442" s="167"/>
      <c r="W442" s="167"/>
      <c r="X442" s="167"/>
      <c r="Y442" s="167"/>
      <c r="Z442" s="167"/>
    </row>
    <row r="443" spans="1:26" s="47" customFormat="1" ht="57.75">
      <c r="A443" s="152">
        <v>51999</v>
      </c>
      <c r="B443" s="153" t="s">
        <v>1220</v>
      </c>
      <c r="C443" s="12"/>
      <c r="D443" s="14" t="s">
        <v>11</v>
      </c>
      <c r="E443" s="14" t="s">
        <v>25</v>
      </c>
      <c r="F443" s="14" t="s">
        <v>27</v>
      </c>
      <c r="G443" s="305">
        <f>'DIC-18'!I443</f>
        <v>13</v>
      </c>
      <c r="H443" s="51"/>
      <c r="I443" s="18">
        <f t="shared" si="8"/>
        <v>13</v>
      </c>
      <c r="J443" s="347"/>
      <c r="K443" s="44"/>
      <c r="L443" s="167"/>
      <c r="M443" s="167"/>
      <c r="N443" s="167"/>
      <c r="O443" s="167"/>
      <c r="P443" s="167"/>
      <c r="Q443" s="167"/>
      <c r="R443" s="167"/>
      <c r="S443" s="167"/>
      <c r="T443" s="167"/>
      <c r="U443" s="167"/>
      <c r="V443" s="167"/>
      <c r="W443" s="167"/>
      <c r="X443" s="167"/>
      <c r="Y443" s="167"/>
      <c r="Z443" s="167"/>
    </row>
    <row r="444" spans="1:26" s="47" customFormat="1" ht="59.25">
      <c r="A444" s="152">
        <v>54107</v>
      </c>
      <c r="B444" s="164" t="s">
        <v>1188</v>
      </c>
      <c r="C444" s="12"/>
      <c r="D444" s="14" t="s">
        <v>11</v>
      </c>
      <c r="E444" s="14" t="s">
        <v>25</v>
      </c>
      <c r="F444" s="14" t="s">
        <v>1181</v>
      </c>
      <c r="G444" s="305">
        <f>'DIC-18'!I444</f>
        <v>0</v>
      </c>
      <c r="H444" s="51"/>
      <c r="I444" s="35">
        <f t="shared" si="8"/>
        <v>0</v>
      </c>
      <c r="J444" s="347"/>
      <c r="K444" s="44"/>
      <c r="L444" s="167"/>
      <c r="M444" s="167"/>
      <c r="N444" s="167"/>
      <c r="O444" s="167"/>
      <c r="P444" s="167"/>
      <c r="Q444" s="167"/>
      <c r="R444" s="167"/>
      <c r="S444" s="167"/>
      <c r="T444" s="167"/>
      <c r="U444" s="167"/>
      <c r="V444" s="167"/>
      <c r="W444" s="167"/>
      <c r="X444" s="167"/>
      <c r="Y444" s="167"/>
      <c r="Z444" s="167"/>
    </row>
    <row r="445" spans="1:26" s="47" customFormat="1" ht="30">
      <c r="A445" s="152">
        <v>54110</v>
      </c>
      <c r="B445" s="164" t="s">
        <v>1239</v>
      </c>
      <c r="C445" s="12"/>
      <c r="D445" s="14"/>
      <c r="E445" s="14"/>
      <c r="F445" s="14"/>
      <c r="G445" s="305">
        <f>'DIC-18'!I445</f>
        <v>8.9799999999999969</v>
      </c>
      <c r="H445" s="51"/>
      <c r="I445" s="134">
        <f t="shared" si="8"/>
        <v>8.9799999999999969</v>
      </c>
      <c r="J445" s="414"/>
      <c r="K445" s="44"/>
      <c r="L445" s="167"/>
      <c r="M445" s="167"/>
      <c r="N445" s="167"/>
      <c r="O445" s="167"/>
      <c r="P445" s="167"/>
      <c r="Q445" s="167"/>
      <c r="R445" s="167"/>
      <c r="S445" s="167"/>
      <c r="T445" s="167"/>
      <c r="U445" s="167"/>
      <c r="V445" s="167"/>
      <c r="W445" s="167"/>
      <c r="X445" s="167"/>
      <c r="Y445" s="167"/>
      <c r="Z445" s="167"/>
    </row>
    <row r="446" spans="1:26" s="47" customFormat="1" ht="44.25">
      <c r="A446" s="152">
        <v>54111</v>
      </c>
      <c r="B446" s="153" t="s">
        <v>1154</v>
      </c>
      <c r="C446" s="12"/>
      <c r="D446" s="14" t="s">
        <v>11</v>
      </c>
      <c r="E446" s="14" t="s">
        <v>25</v>
      </c>
      <c r="F446" s="14" t="s">
        <v>26</v>
      </c>
      <c r="G446" s="305">
        <f>'DIC-18'!I446</f>
        <v>1460.1099999999997</v>
      </c>
      <c r="H446" s="51"/>
      <c r="I446" s="17">
        <f t="shared" si="8"/>
        <v>1460.1099999999997</v>
      </c>
      <c r="J446" s="347"/>
      <c r="K446" s="347"/>
      <c r="L446" s="167"/>
      <c r="M446" s="167"/>
      <c r="N446" s="167"/>
      <c r="O446" s="167"/>
      <c r="P446" s="167"/>
      <c r="Q446" s="167"/>
      <c r="R446" s="167"/>
      <c r="S446" s="167"/>
      <c r="T446" s="167"/>
      <c r="U446" s="167"/>
      <c r="V446" s="167"/>
      <c r="W446" s="167"/>
      <c r="X446" s="167"/>
      <c r="Y446" s="167"/>
      <c r="Z446" s="167"/>
    </row>
    <row r="447" spans="1:26" s="47" customFormat="1" ht="44.25">
      <c r="A447" s="152">
        <v>54112</v>
      </c>
      <c r="B447" s="153" t="s">
        <v>1153</v>
      </c>
      <c r="C447" s="12"/>
      <c r="D447" s="14" t="s">
        <v>11</v>
      </c>
      <c r="E447" s="14" t="s">
        <v>25</v>
      </c>
      <c r="F447" s="14" t="s">
        <v>26</v>
      </c>
      <c r="G447" s="305">
        <f>'DIC-18'!I447</f>
        <v>295.66999999999973</v>
      </c>
      <c r="H447" s="51"/>
      <c r="I447" s="18">
        <f t="shared" si="8"/>
        <v>295.66999999999973</v>
      </c>
      <c r="J447" s="347"/>
      <c r="K447" s="44"/>
      <c r="L447" s="167"/>
      <c r="M447" s="167"/>
      <c r="N447" s="167"/>
      <c r="O447" s="167"/>
      <c r="P447" s="167"/>
      <c r="Q447" s="167"/>
      <c r="R447" s="167"/>
      <c r="S447" s="167"/>
      <c r="T447" s="167"/>
      <c r="U447" s="167"/>
      <c r="V447" s="167"/>
      <c r="W447" s="167"/>
      <c r="X447" s="167"/>
      <c r="Y447" s="167"/>
      <c r="Z447" s="167"/>
    </row>
    <row r="448" spans="1:26" s="47" customFormat="1" ht="43.5">
      <c r="A448" s="152">
        <v>54118</v>
      </c>
      <c r="B448" s="153" t="s">
        <v>1155</v>
      </c>
      <c r="C448" s="12"/>
      <c r="D448" s="14" t="s">
        <v>11</v>
      </c>
      <c r="E448" s="14" t="s">
        <v>25</v>
      </c>
      <c r="F448" s="14" t="s">
        <v>26</v>
      </c>
      <c r="G448" s="305">
        <f>'DIC-18'!I448</f>
        <v>361.90999999999985</v>
      </c>
      <c r="H448" s="51"/>
      <c r="I448" s="17">
        <f t="shared" si="8"/>
        <v>361.90999999999985</v>
      </c>
      <c r="J448" s="347"/>
      <c r="K448" s="390"/>
      <c r="L448" s="167"/>
      <c r="M448" s="167"/>
      <c r="N448" s="167"/>
      <c r="O448" s="167"/>
      <c r="P448" s="167"/>
      <c r="Q448" s="167"/>
      <c r="R448" s="167"/>
      <c r="S448" s="167"/>
      <c r="T448" s="167"/>
      <c r="U448" s="167"/>
      <c r="V448" s="167"/>
      <c r="W448" s="167"/>
      <c r="X448" s="167"/>
      <c r="Y448" s="167"/>
      <c r="Z448" s="167"/>
    </row>
    <row r="449" spans="1:26" s="47" customFormat="1" ht="30.75" customHeight="1">
      <c r="A449" s="152">
        <v>54119</v>
      </c>
      <c r="B449" s="153" t="s">
        <v>1240</v>
      </c>
      <c r="C449" s="12"/>
      <c r="D449" s="14" t="s">
        <v>11</v>
      </c>
      <c r="E449" s="14" t="s">
        <v>25</v>
      </c>
      <c r="F449" s="14" t="s">
        <v>26</v>
      </c>
      <c r="G449" s="305">
        <f>'DIC-18'!I449</f>
        <v>50.599999999999909</v>
      </c>
      <c r="H449" s="51"/>
      <c r="I449" s="17">
        <f t="shared" si="8"/>
        <v>50.599999999999909</v>
      </c>
      <c r="J449" s="347"/>
      <c r="K449" s="390"/>
      <c r="L449" s="167"/>
      <c r="M449" s="167"/>
      <c r="N449" s="167"/>
      <c r="O449" s="167"/>
      <c r="P449" s="167"/>
      <c r="Q449" s="167"/>
      <c r="R449" s="167"/>
      <c r="S449" s="167"/>
      <c r="T449" s="167"/>
      <c r="U449" s="167"/>
      <c r="V449" s="167"/>
      <c r="W449" s="167"/>
      <c r="X449" s="167"/>
      <c r="Y449" s="167"/>
      <c r="Z449" s="167"/>
    </row>
    <row r="450" spans="1:26" s="47" customFormat="1" ht="29.25">
      <c r="A450" s="152">
        <v>55603</v>
      </c>
      <c r="B450" s="153" t="s">
        <v>1156</v>
      </c>
      <c r="C450" s="12"/>
      <c r="D450" s="14" t="s">
        <v>11</v>
      </c>
      <c r="E450" s="14" t="s">
        <v>25</v>
      </c>
      <c r="F450" s="14" t="s">
        <v>26</v>
      </c>
      <c r="G450" s="305">
        <f>'DIC-18'!I450</f>
        <v>5.8699999999999992</v>
      </c>
      <c r="H450" s="51"/>
      <c r="I450" s="17">
        <f t="shared" si="8"/>
        <v>5.8699999999999992</v>
      </c>
      <c r="J450" s="347"/>
      <c r="K450" s="390"/>
      <c r="L450" s="167"/>
      <c r="M450" s="167"/>
      <c r="N450" s="167"/>
      <c r="O450" s="167"/>
      <c r="P450" s="167"/>
      <c r="Q450" s="167"/>
      <c r="R450" s="167"/>
      <c r="S450" s="167"/>
      <c r="T450" s="167"/>
      <c r="U450" s="167"/>
      <c r="V450" s="167"/>
      <c r="W450" s="167"/>
      <c r="X450" s="167"/>
      <c r="Y450" s="167"/>
      <c r="Z450" s="167"/>
    </row>
    <row r="451" spans="1:26" s="47" customFormat="1" ht="57">
      <c r="A451" s="152">
        <v>61101</v>
      </c>
      <c r="B451" s="153" t="s">
        <v>1269</v>
      </c>
      <c r="C451" s="12"/>
      <c r="D451" s="14" t="s">
        <v>11</v>
      </c>
      <c r="E451" s="14" t="s">
        <v>25</v>
      </c>
      <c r="F451" s="14" t="s">
        <v>26</v>
      </c>
      <c r="G451" s="305">
        <f>'DIC-18'!I451</f>
        <v>50</v>
      </c>
      <c r="H451" s="51"/>
      <c r="I451" s="18">
        <f t="shared" si="8"/>
        <v>50</v>
      </c>
      <c r="J451" s="459"/>
      <c r="K451" s="44"/>
      <c r="L451" s="167"/>
      <c r="M451" s="167"/>
      <c r="N451" s="167"/>
      <c r="O451" s="167"/>
      <c r="P451" s="167"/>
      <c r="Q451" s="167"/>
      <c r="R451" s="167"/>
      <c r="S451" s="167"/>
      <c r="T451" s="167"/>
      <c r="U451" s="167"/>
      <c r="V451" s="167"/>
      <c r="W451" s="167"/>
      <c r="X451" s="167"/>
      <c r="Y451" s="167"/>
      <c r="Z451" s="167"/>
    </row>
    <row r="452" spans="1:26" s="47" customFormat="1" ht="67.5">
      <c r="A452" s="379" t="s">
        <v>1190</v>
      </c>
      <c r="B452" s="53" t="s">
        <v>1191</v>
      </c>
      <c r="C452" s="12"/>
      <c r="D452" s="14"/>
      <c r="E452" s="14"/>
      <c r="F452" s="14"/>
      <c r="G452" s="305">
        <f>'DIC-18'!I452</f>
        <v>0</v>
      </c>
      <c r="H452" s="51"/>
      <c r="I452" s="17"/>
      <c r="J452" s="347"/>
      <c r="K452" s="44"/>
      <c r="L452" s="167"/>
      <c r="M452" s="167"/>
      <c r="N452" s="167"/>
      <c r="O452" s="167"/>
      <c r="P452" s="167"/>
      <c r="Q452" s="167"/>
      <c r="R452" s="167"/>
      <c r="S452" s="167"/>
      <c r="T452" s="167"/>
      <c r="U452" s="167"/>
      <c r="V452" s="167"/>
      <c r="W452" s="167"/>
      <c r="X452" s="167"/>
      <c r="Y452" s="167"/>
      <c r="Z452" s="167"/>
    </row>
    <row r="453" spans="1:26" s="47" customFormat="1" ht="29.25">
      <c r="A453" s="152">
        <v>51202</v>
      </c>
      <c r="B453" s="153" t="s">
        <v>1192</v>
      </c>
      <c r="C453" s="12"/>
      <c r="D453" s="14" t="s">
        <v>11</v>
      </c>
      <c r="E453" s="14" t="s">
        <v>25</v>
      </c>
      <c r="F453" s="14" t="s">
        <v>26</v>
      </c>
      <c r="G453" s="305">
        <f>'DIC-18'!I453</f>
        <v>1018</v>
      </c>
      <c r="H453" s="51"/>
      <c r="I453" s="17">
        <f t="shared" si="8"/>
        <v>1018</v>
      </c>
      <c r="J453" s="347"/>
      <c r="K453" s="143"/>
      <c r="L453" s="167"/>
      <c r="M453" s="167"/>
      <c r="N453" s="167"/>
      <c r="O453" s="167"/>
      <c r="P453" s="167"/>
      <c r="Q453" s="167"/>
      <c r="R453" s="167"/>
      <c r="S453" s="167"/>
      <c r="T453" s="167"/>
      <c r="U453" s="167"/>
      <c r="V453" s="167"/>
      <c r="W453" s="167"/>
      <c r="X453" s="167"/>
      <c r="Y453" s="167"/>
      <c r="Z453" s="167"/>
    </row>
    <row r="454" spans="1:26" s="47" customFormat="1" ht="44.25">
      <c r="A454" s="152">
        <v>54111</v>
      </c>
      <c r="B454" s="153" t="s">
        <v>1193</v>
      </c>
      <c r="C454" s="12"/>
      <c r="D454" s="14" t="s">
        <v>11</v>
      </c>
      <c r="E454" s="14" t="s">
        <v>25</v>
      </c>
      <c r="F454" s="14" t="s">
        <v>26</v>
      </c>
      <c r="G454" s="305">
        <f>'DIC-18'!I454</f>
        <v>923</v>
      </c>
      <c r="H454" s="51"/>
      <c r="I454" s="17">
        <f t="shared" si="8"/>
        <v>923</v>
      </c>
      <c r="J454" s="347"/>
      <c r="K454" s="136"/>
      <c r="L454" s="167"/>
      <c r="M454" s="167"/>
      <c r="N454" s="167"/>
      <c r="O454" s="167"/>
      <c r="P454" s="167"/>
      <c r="Q454" s="167"/>
      <c r="R454" s="167"/>
      <c r="S454" s="167"/>
      <c r="T454" s="167"/>
      <c r="U454" s="167"/>
      <c r="V454" s="167"/>
      <c r="W454" s="167"/>
      <c r="X454" s="167"/>
      <c r="Y454" s="167"/>
      <c r="Z454" s="167"/>
    </row>
    <row r="455" spans="1:26" s="47" customFormat="1" ht="44.25">
      <c r="A455" s="152">
        <v>54112</v>
      </c>
      <c r="B455" s="153" t="s">
        <v>1194</v>
      </c>
      <c r="C455" s="12"/>
      <c r="D455" s="14" t="s">
        <v>11</v>
      </c>
      <c r="E455" s="14" t="s">
        <v>25</v>
      </c>
      <c r="F455" s="14" t="s">
        <v>26</v>
      </c>
      <c r="G455" s="305">
        <f>'DIC-18'!I455</f>
        <v>1024.0999999999999</v>
      </c>
      <c r="H455" s="51"/>
      <c r="I455" s="17">
        <f t="shared" si="8"/>
        <v>1024.0999999999999</v>
      </c>
      <c r="J455" s="347"/>
      <c r="K455" s="143"/>
      <c r="L455" s="167"/>
      <c r="M455" s="167"/>
      <c r="N455" s="167"/>
      <c r="O455" s="167"/>
      <c r="P455" s="167"/>
      <c r="Q455" s="167"/>
      <c r="R455" s="167"/>
      <c r="S455" s="167"/>
      <c r="T455" s="167"/>
      <c r="U455" s="167"/>
      <c r="V455" s="167"/>
      <c r="W455" s="167"/>
      <c r="X455" s="167"/>
      <c r="Y455" s="167"/>
      <c r="Z455" s="167"/>
    </row>
    <row r="456" spans="1:26" s="47" customFormat="1" ht="29.25">
      <c r="A456" s="152">
        <v>54118</v>
      </c>
      <c r="B456" s="153" t="s">
        <v>1195</v>
      </c>
      <c r="C456" s="12"/>
      <c r="D456" s="14" t="s">
        <v>11</v>
      </c>
      <c r="E456" s="14" t="s">
        <v>25</v>
      </c>
      <c r="F456" s="14" t="s">
        <v>26</v>
      </c>
      <c r="G456" s="305">
        <f>'DIC-18'!I456</f>
        <v>1485.63</v>
      </c>
      <c r="H456" s="51"/>
      <c r="I456" s="17">
        <f t="shared" si="8"/>
        <v>1485.63</v>
      </c>
      <c r="J456" s="347"/>
      <c r="K456" s="143"/>
      <c r="L456" s="167"/>
      <c r="M456" s="167"/>
      <c r="N456" s="167"/>
      <c r="O456" s="167"/>
      <c r="P456" s="167"/>
      <c r="Q456" s="167"/>
      <c r="R456" s="167"/>
      <c r="S456" s="167"/>
      <c r="T456" s="167"/>
      <c r="U456" s="167"/>
      <c r="V456" s="167"/>
      <c r="W456" s="167"/>
      <c r="X456" s="167"/>
      <c r="Y456" s="167"/>
      <c r="Z456" s="167"/>
    </row>
    <row r="457" spans="1:26" s="47" customFormat="1" ht="29.25">
      <c r="A457" s="152">
        <v>55603</v>
      </c>
      <c r="B457" s="153" t="s">
        <v>1196</v>
      </c>
      <c r="C457" s="12"/>
      <c r="D457" s="14" t="s">
        <v>11</v>
      </c>
      <c r="E457" s="14" t="s">
        <v>25</v>
      </c>
      <c r="F457" s="14" t="s">
        <v>26</v>
      </c>
      <c r="G457" s="305">
        <f>'DIC-18'!I457</f>
        <v>5.2</v>
      </c>
      <c r="H457" s="51"/>
      <c r="I457" s="17">
        <f t="shared" si="8"/>
        <v>5.2</v>
      </c>
      <c r="J457" s="347"/>
      <c r="K457" s="44"/>
      <c r="L457" s="167"/>
      <c r="M457" s="167"/>
      <c r="N457" s="167"/>
      <c r="O457" s="167"/>
      <c r="P457" s="167"/>
      <c r="Q457" s="167"/>
      <c r="R457" s="167"/>
      <c r="S457" s="167"/>
      <c r="T457" s="167"/>
      <c r="U457" s="167"/>
      <c r="V457" s="167"/>
      <c r="W457" s="167"/>
      <c r="X457" s="167"/>
      <c r="Y457" s="167"/>
      <c r="Z457" s="167"/>
    </row>
    <row r="458" spans="1:26" s="47" customFormat="1" ht="92.25">
      <c r="A458" s="152"/>
      <c r="B458" s="53" t="s">
        <v>1258</v>
      </c>
      <c r="C458" s="12"/>
      <c r="D458" s="14"/>
      <c r="E458" s="14"/>
      <c r="F458" s="14"/>
      <c r="G458" s="305">
        <f>'DIC-18'!I458</f>
        <v>0</v>
      </c>
      <c r="H458" s="51"/>
      <c r="I458" s="17"/>
      <c r="J458" s="347"/>
      <c r="K458" s="44"/>
      <c r="L458" s="167"/>
      <c r="M458" s="167"/>
      <c r="N458" s="167"/>
      <c r="O458" s="167"/>
      <c r="P458" s="167"/>
      <c r="Q458" s="167"/>
      <c r="R458" s="167"/>
      <c r="S458" s="167"/>
      <c r="T458" s="167"/>
      <c r="U458" s="167"/>
      <c r="V458" s="167"/>
      <c r="W458" s="167"/>
      <c r="X458" s="167"/>
      <c r="Y458" s="167"/>
      <c r="Z458" s="167"/>
    </row>
    <row r="459" spans="1:26" s="47" customFormat="1" ht="42.75">
      <c r="A459" s="152">
        <v>54199</v>
      </c>
      <c r="B459" s="153" t="s">
        <v>1271</v>
      </c>
      <c r="C459" s="12"/>
      <c r="D459" s="14" t="s">
        <v>11</v>
      </c>
      <c r="E459" s="14" t="s">
        <v>25</v>
      </c>
      <c r="F459" s="14" t="s">
        <v>26</v>
      </c>
      <c r="G459" s="305">
        <f>'DIC-18'!I459</f>
        <v>5145</v>
      </c>
      <c r="H459" s="51"/>
      <c r="I459" s="18">
        <f t="shared" si="8"/>
        <v>5145</v>
      </c>
      <c r="J459" s="347"/>
      <c r="K459" s="44"/>
      <c r="L459" s="167"/>
      <c r="M459" s="167"/>
      <c r="N459" s="167"/>
      <c r="O459" s="167"/>
      <c r="P459" s="167"/>
      <c r="Q459" s="167"/>
      <c r="R459" s="167"/>
      <c r="S459" s="167"/>
      <c r="T459" s="167"/>
      <c r="U459" s="167"/>
      <c r="V459" s="167"/>
      <c r="W459" s="167"/>
      <c r="X459" s="167"/>
      <c r="Y459" s="167"/>
      <c r="Z459" s="167"/>
    </row>
    <row r="460" spans="1:26" s="47" customFormat="1" ht="28.5">
      <c r="A460" s="152">
        <v>54314</v>
      </c>
      <c r="B460" s="153" t="s">
        <v>1272</v>
      </c>
      <c r="C460" s="12"/>
      <c r="D460" s="14" t="s">
        <v>11</v>
      </c>
      <c r="E460" s="14" t="s">
        <v>25</v>
      </c>
      <c r="F460" s="14" t="s">
        <v>26</v>
      </c>
      <c r="G460" s="305">
        <f>'DIC-18'!I460</f>
        <v>4839.9600000000028</v>
      </c>
      <c r="H460" s="51"/>
      <c r="I460" s="17">
        <f t="shared" si="8"/>
        <v>4839.9600000000028</v>
      </c>
      <c r="J460" s="347"/>
      <c r="K460" s="44"/>
      <c r="L460" s="167"/>
      <c r="M460" s="167"/>
      <c r="N460" s="167"/>
      <c r="O460" s="167"/>
      <c r="P460" s="167"/>
      <c r="Q460" s="167"/>
      <c r="R460" s="167"/>
      <c r="S460" s="167"/>
      <c r="T460" s="167"/>
      <c r="U460" s="167"/>
      <c r="V460" s="167"/>
      <c r="W460" s="167"/>
      <c r="X460" s="167"/>
      <c r="Y460" s="167"/>
      <c r="Z460" s="167"/>
    </row>
    <row r="461" spans="1:26" s="47" customFormat="1" ht="42.75">
      <c r="A461" s="152">
        <v>54304</v>
      </c>
      <c r="B461" s="153" t="s">
        <v>1270</v>
      </c>
      <c r="C461" s="12"/>
      <c r="D461" s="14" t="s">
        <v>11</v>
      </c>
      <c r="E461" s="14" t="s">
        <v>25</v>
      </c>
      <c r="F461" s="14" t="s">
        <v>26</v>
      </c>
      <c r="G461" s="305">
        <f>'DIC-18'!I461</f>
        <v>45</v>
      </c>
      <c r="H461" s="51"/>
      <c r="I461" s="18">
        <f t="shared" si="8"/>
        <v>45</v>
      </c>
      <c r="J461" s="347"/>
      <c r="K461" s="44"/>
      <c r="L461" s="167"/>
      <c r="M461" s="167"/>
      <c r="N461" s="167"/>
      <c r="O461" s="167"/>
      <c r="P461" s="167"/>
      <c r="Q461" s="167"/>
      <c r="R461" s="167"/>
      <c r="S461" s="167"/>
      <c r="T461" s="167"/>
      <c r="U461" s="167"/>
      <c r="V461" s="167"/>
      <c r="W461" s="167"/>
      <c r="X461" s="167"/>
      <c r="Y461" s="167"/>
      <c r="Z461" s="167"/>
    </row>
    <row r="462" spans="1:26" s="47" customFormat="1" ht="42.75">
      <c r="A462" s="152">
        <v>54316</v>
      </c>
      <c r="B462" s="153" t="s">
        <v>1277</v>
      </c>
      <c r="C462" s="12"/>
      <c r="D462" s="14" t="s">
        <v>11</v>
      </c>
      <c r="E462" s="14" t="s">
        <v>25</v>
      </c>
      <c r="F462" s="14" t="s">
        <v>26</v>
      </c>
      <c r="G462" s="305">
        <f>'DIC-18'!I462</f>
        <v>0</v>
      </c>
      <c r="H462" s="51"/>
      <c r="I462" s="18">
        <f t="shared" si="8"/>
        <v>0</v>
      </c>
      <c r="J462" s="347"/>
      <c r="K462" s="44"/>
      <c r="L462" s="167"/>
      <c r="M462" s="167"/>
      <c r="N462" s="167"/>
      <c r="O462" s="167"/>
      <c r="P462" s="167"/>
      <c r="Q462" s="167"/>
      <c r="R462" s="167"/>
      <c r="S462" s="167"/>
      <c r="T462" s="167"/>
      <c r="U462" s="167"/>
      <c r="V462" s="167"/>
      <c r="W462" s="167"/>
      <c r="X462" s="167"/>
      <c r="Y462" s="167"/>
      <c r="Z462" s="167"/>
    </row>
    <row r="463" spans="1:26" s="47" customFormat="1" ht="42.75">
      <c r="A463" s="152">
        <v>54399</v>
      </c>
      <c r="B463" s="153" t="s">
        <v>1276</v>
      </c>
      <c r="C463" s="12"/>
      <c r="D463" s="14" t="s">
        <v>11</v>
      </c>
      <c r="E463" s="14" t="s">
        <v>25</v>
      </c>
      <c r="F463" s="14" t="s">
        <v>26</v>
      </c>
      <c r="G463" s="305">
        <f>'DIC-18'!I463</f>
        <v>350</v>
      </c>
      <c r="H463" s="51"/>
      <c r="I463" s="18">
        <f t="shared" si="8"/>
        <v>350</v>
      </c>
      <c r="J463" s="347"/>
      <c r="K463" s="44"/>
      <c r="L463" s="167"/>
      <c r="M463" s="167"/>
      <c r="N463" s="167"/>
      <c r="O463" s="167"/>
      <c r="P463" s="167"/>
      <c r="Q463" s="167"/>
      <c r="R463" s="167"/>
      <c r="S463" s="167"/>
      <c r="T463" s="167"/>
      <c r="U463" s="167"/>
      <c r="V463" s="167"/>
      <c r="W463" s="167"/>
      <c r="X463" s="167"/>
      <c r="Y463" s="167"/>
      <c r="Z463" s="167"/>
    </row>
    <row r="464" spans="1:26" s="47" customFormat="1" ht="28.5">
      <c r="A464" s="152">
        <v>55603</v>
      </c>
      <c r="B464" s="153" t="s">
        <v>1273</v>
      </c>
      <c r="C464" s="12"/>
      <c r="D464" s="14" t="s">
        <v>11</v>
      </c>
      <c r="E464" s="14" t="s">
        <v>25</v>
      </c>
      <c r="F464" s="14" t="s">
        <v>26</v>
      </c>
      <c r="G464" s="305">
        <f>'DIC-18'!I464</f>
        <v>2.74</v>
      </c>
      <c r="H464" s="51"/>
      <c r="I464" s="17">
        <f t="shared" si="8"/>
        <v>2.74</v>
      </c>
      <c r="J464" s="347"/>
      <c r="K464" s="44"/>
      <c r="L464" s="167"/>
      <c r="M464" s="167"/>
      <c r="N464" s="167"/>
      <c r="O464" s="167"/>
      <c r="P464" s="167"/>
      <c r="Q464" s="167"/>
      <c r="R464" s="167"/>
      <c r="S464" s="167"/>
      <c r="T464" s="167"/>
      <c r="U464" s="167"/>
      <c r="V464" s="167"/>
      <c r="W464" s="167"/>
      <c r="X464" s="167"/>
      <c r="Y464" s="167"/>
      <c r="Z464" s="167"/>
    </row>
    <row r="465" spans="1:26" s="47" customFormat="1" ht="42.75">
      <c r="A465" s="152">
        <v>56303</v>
      </c>
      <c r="B465" s="153" t="s">
        <v>1274</v>
      </c>
      <c r="C465" s="12"/>
      <c r="D465" s="14" t="s">
        <v>11</v>
      </c>
      <c r="E465" s="14" t="s">
        <v>25</v>
      </c>
      <c r="F465" s="14" t="s">
        <v>26</v>
      </c>
      <c r="G465" s="305">
        <f>'DIC-18'!I465</f>
        <v>2115</v>
      </c>
      <c r="H465" s="51"/>
      <c r="I465" s="17">
        <f t="shared" si="8"/>
        <v>2115</v>
      </c>
      <c r="J465" s="347"/>
      <c r="K465" s="347"/>
      <c r="L465" s="167"/>
      <c r="M465" s="167"/>
      <c r="N465" s="167"/>
      <c r="O465" s="167"/>
      <c r="P465" s="167"/>
      <c r="Q465" s="167"/>
      <c r="R465" s="167"/>
      <c r="S465" s="167"/>
      <c r="T465" s="167"/>
      <c r="U465" s="167"/>
      <c r="V465" s="167"/>
      <c r="W465" s="167"/>
      <c r="X465" s="167"/>
      <c r="Y465" s="167"/>
      <c r="Z465" s="167"/>
    </row>
    <row r="466" spans="1:26" s="47" customFormat="1">
      <c r="B466" s="5"/>
      <c r="C466" s="12"/>
      <c r="D466" s="14"/>
      <c r="E466" s="14"/>
      <c r="F466" s="14"/>
      <c r="G466" s="305">
        <f>'DIC-18'!I466</f>
        <v>0</v>
      </c>
      <c r="H466" s="51"/>
      <c r="I466" s="17"/>
      <c r="J466" s="316"/>
      <c r="K466" s="44"/>
      <c r="L466" s="167"/>
      <c r="M466" s="167"/>
      <c r="N466" s="167"/>
      <c r="O466" s="167"/>
      <c r="P466" s="167"/>
      <c r="Q466" s="167"/>
      <c r="R466" s="167"/>
      <c r="S466" s="167"/>
      <c r="T466" s="167"/>
      <c r="U466" s="167"/>
      <c r="V466" s="167"/>
      <c r="W466" s="167"/>
      <c r="X466" s="167"/>
      <c r="Y466" s="167"/>
      <c r="Z466" s="167"/>
    </row>
    <row r="467" spans="1:26" s="47" customFormat="1">
      <c r="A467" s="11"/>
      <c r="B467" s="5"/>
      <c r="C467" s="12"/>
      <c r="D467" s="3"/>
      <c r="E467" s="3"/>
      <c r="F467" s="3"/>
      <c r="G467" s="305">
        <f>'DIC-18'!I467</f>
        <v>0</v>
      </c>
      <c r="H467" s="51"/>
      <c r="I467" s="17"/>
      <c r="J467" s="44"/>
      <c r="K467" s="44"/>
      <c r="L467" s="167"/>
      <c r="M467" s="167"/>
      <c r="N467" s="167"/>
      <c r="O467" s="167"/>
      <c r="P467" s="167"/>
      <c r="Q467" s="167"/>
      <c r="R467" s="167"/>
      <c r="S467" s="167"/>
      <c r="T467" s="167"/>
      <c r="U467" s="167"/>
      <c r="V467" s="167"/>
      <c r="W467" s="167"/>
      <c r="X467" s="167"/>
      <c r="Y467" s="167"/>
      <c r="Z467" s="167"/>
    </row>
    <row r="468" spans="1:26">
      <c r="A468" s="160"/>
      <c r="B468" s="161" t="s">
        <v>17</v>
      </c>
      <c r="C468" s="161"/>
      <c r="D468" s="161"/>
      <c r="E468" s="161"/>
      <c r="F468" s="161"/>
      <c r="G468" s="305">
        <f>'DIC-18'!I468</f>
        <v>188974.99000000002</v>
      </c>
      <c r="H468" s="163">
        <f>SUM(H160:H467)</f>
        <v>0</v>
      </c>
      <c r="I468" s="162">
        <f>SUM(I160:I467)</f>
        <v>188974.99000000002</v>
      </c>
      <c r="J468" s="162">
        <f>SUM(J160:J467)</f>
        <v>0</v>
      </c>
      <c r="K468" s="162">
        <f>SUM(K160:K467)</f>
        <v>0</v>
      </c>
      <c r="M468" s="167"/>
      <c r="N468" s="167"/>
      <c r="O468" s="167"/>
      <c r="P468" s="167"/>
      <c r="Q468" s="167"/>
      <c r="R468" s="167"/>
      <c r="S468" s="167"/>
      <c r="T468" s="167"/>
      <c r="U468" s="167"/>
      <c r="V468" s="167"/>
      <c r="W468" s="167"/>
      <c r="X468" s="167"/>
      <c r="Y468" s="167"/>
      <c r="Z468" s="167"/>
    </row>
    <row r="469" spans="1:26" ht="58.5">
      <c r="A469" s="11" t="s">
        <v>555</v>
      </c>
      <c r="B469" s="57" t="s">
        <v>557</v>
      </c>
      <c r="C469" s="344" t="s">
        <v>1159</v>
      </c>
      <c r="D469" s="14" t="s">
        <v>18</v>
      </c>
      <c r="E469" s="14" t="s">
        <v>28</v>
      </c>
      <c r="F469" s="14" t="s">
        <v>26</v>
      </c>
      <c r="G469" s="305">
        <f>'DIC-18'!I469</f>
        <v>0</v>
      </c>
      <c r="H469" s="51"/>
      <c r="I469" s="17">
        <f t="shared" ref="I469:I540" si="9">G469-H469+J469-K469</f>
        <v>0</v>
      </c>
      <c r="J469" s="52"/>
      <c r="K469" s="143"/>
      <c r="M469" s="167"/>
      <c r="N469" s="167"/>
      <c r="O469" s="167"/>
      <c r="P469" s="167"/>
      <c r="Q469" s="167"/>
      <c r="R469" s="167"/>
      <c r="S469" s="167"/>
      <c r="T469" s="167"/>
      <c r="U469" s="167"/>
      <c r="V469" s="167"/>
      <c r="W469" s="167"/>
      <c r="X469" s="167"/>
      <c r="Y469" s="167"/>
      <c r="Z469" s="167"/>
    </row>
    <row r="470" spans="1:26" ht="58.5">
      <c r="A470" s="11" t="s">
        <v>556</v>
      </c>
      <c r="B470" s="57" t="s">
        <v>558</v>
      </c>
      <c r="C470" s="58"/>
      <c r="D470" s="14" t="s">
        <v>18</v>
      </c>
      <c r="E470" s="14" t="s">
        <v>28</v>
      </c>
      <c r="F470" s="14" t="s">
        <v>26</v>
      </c>
      <c r="G470" s="305">
        <f>'DIC-18'!I470</f>
        <v>-1.3820056210533949E-12</v>
      </c>
      <c r="H470" s="51"/>
      <c r="I470" s="17">
        <f t="shared" si="9"/>
        <v>-1.3820056210533949E-12</v>
      </c>
      <c r="J470" s="391"/>
      <c r="K470" s="266"/>
      <c r="M470" s="167"/>
      <c r="N470" s="167"/>
      <c r="O470" s="167"/>
      <c r="P470" s="167"/>
      <c r="Q470" s="167"/>
    </row>
    <row r="471" spans="1:26" ht="72.75">
      <c r="A471" s="11" t="s">
        <v>560</v>
      </c>
      <c r="B471" s="57" t="s">
        <v>559</v>
      </c>
      <c r="C471" s="59"/>
      <c r="D471" s="14" t="s">
        <v>18</v>
      </c>
      <c r="E471" s="14" t="s">
        <v>28</v>
      </c>
      <c r="F471" s="14" t="s">
        <v>26</v>
      </c>
      <c r="G471" s="305">
        <f>'DIC-18'!I471</f>
        <v>0</v>
      </c>
      <c r="H471" s="51"/>
      <c r="I471" s="17">
        <f t="shared" si="9"/>
        <v>0</v>
      </c>
      <c r="J471" s="52"/>
      <c r="K471" s="143"/>
    </row>
    <row r="472" spans="1:26" ht="72.75">
      <c r="A472" s="11" t="s">
        <v>561</v>
      </c>
      <c r="B472" s="57" t="s">
        <v>562</v>
      </c>
      <c r="C472" s="59"/>
      <c r="D472" s="14" t="s">
        <v>18</v>
      </c>
      <c r="E472" s="14" t="s">
        <v>28</v>
      </c>
      <c r="F472" s="14" t="s">
        <v>26</v>
      </c>
      <c r="G472" s="305">
        <f>'DIC-18'!I472</f>
        <v>0</v>
      </c>
      <c r="H472" s="51"/>
      <c r="I472" s="17">
        <f t="shared" si="9"/>
        <v>0</v>
      </c>
      <c r="J472" s="56"/>
      <c r="K472" s="391"/>
    </row>
    <row r="473" spans="1:26" ht="72.75">
      <c r="A473" s="11" t="s">
        <v>1160</v>
      </c>
      <c r="B473" s="57" t="s">
        <v>1161</v>
      </c>
      <c r="C473" s="59"/>
      <c r="D473" s="14" t="s">
        <v>18</v>
      </c>
      <c r="E473" s="14" t="s">
        <v>28</v>
      </c>
      <c r="F473" s="14" t="s">
        <v>26</v>
      </c>
      <c r="G473" s="305">
        <f>'DIC-18'!I473</f>
        <v>0</v>
      </c>
      <c r="H473" s="51"/>
      <c r="I473" s="17">
        <f t="shared" si="9"/>
        <v>0</v>
      </c>
      <c r="J473" s="137"/>
      <c r="K473" s="392"/>
    </row>
    <row r="474" spans="1:26" ht="72.75">
      <c r="A474" s="11" t="s">
        <v>564</v>
      </c>
      <c r="B474" s="57" t="s">
        <v>563</v>
      </c>
      <c r="C474" s="59"/>
      <c r="D474" s="14" t="s">
        <v>18</v>
      </c>
      <c r="E474" s="14" t="s">
        <v>28</v>
      </c>
      <c r="F474" s="14" t="s">
        <v>26</v>
      </c>
      <c r="G474" s="305">
        <f>'DIC-18'!I474</f>
        <v>0</v>
      </c>
      <c r="H474" s="51"/>
      <c r="I474" s="17">
        <f t="shared" si="9"/>
        <v>0</v>
      </c>
      <c r="J474" s="52"/>
      <c r="K474" s="391"/>
    </row>
    <row r="475" spans="1:26" ht="72.75">
      <c r="A475" s="11" t="s">
        <v>566</v>
      </c>
      <c r="B475" s="57" t="s">
        <v>567</v>
      </c>
      <c r="C475" s="380" t="s">
        <v>1162</v>
      </c>
      <c r="D475" s="14" t="s">
        <v>18</v>
      </c>
      <c r="E475" s="14" t="s">
        <v>28</v>
      </c>
      <c r="F475" s="14" t="s">
        <v>26</v>
      </c>
      <c r="G475" s="305">
        <f>'DIC-18'!I475</f>
        <v>4.3769432522822171E-12</v>
      </c>
      <c r="H475" s="51"/>
      <c r="I475" s="134">
        <f t="shared" si="9"/>
        <v>4.3769432522822171E-12</v>
      </c>
      <c r="J475" s="143"/>
      <c r="K475" s="392"/>
    </row>
    <row r="476" spans="1:26" ht="72.75">
      <c r="A476" s="11" t="s">
        <v>565</v>
      </c>
      <c r="B476" s="57" t="s">
        <v>568</v>
      </c>
      <c r="C476" s="59"/>
      <c r="D476" s="14" t="s">
        <v>18</v>
      </c>
      <c r="E476" s="14" t="s">
        <v>28</v>
      </c>
      <c r="F476" s="14" t="s">
        <v>26</v>
      </c>
      <c r="G476" s="305">
        <f>'DIC-18'!I476</f>
        <v>-4.5474735088646412E-13</v>
      </c>
      <c r="H476" s="51"/>
      <c r="I476" s="17">
        <f t="shared" si="9"/>
        <v>-4.5474735088646412E-13</v>
      </c>
      <c r="J476" s="52"/>
      <c r="K476" s="393"/>
    </row>
    <row r="477" spans="1:26" ht="87">
      <c r="A477" s="11" t="s">
        <v>1117</v>
      </c>
      <c r="B477" s="57" t="s">
        <v>1118</v>
      </c>
      <c r="C477" s="59"/>
      <c r="D477" s="14" t="s">
        <v>18</v>
      </c>
      <c r="E477" s="14" t="s">
        <v>28</v>
      </c>
      <c r="F477" s="14" t="s">
        <v>26</v>
      </c>
      <c r="G477" s="305">
        <f>'DIC-18'!I477</f>
        <v>0</v>
      </c>
      <c r="H477" s="51"/>
      <c r="I477" s="134">
        <f>G477-H477+J477-K477</f>
        <v>0</v>
      </c>
      <c r="J477" s="137"/>
      <c r="K477" s="393"/>
    </row>
    <row r="478" spans="1:26" ht="87">
      <c r="A478" s="11" t="s">
        <v>1163</v>
      </c>
      <c r="B478" s="57" t="s">
        <v>1164</v>
      </c>
      <c r="C478" s="59"/>
      <c r="D478" s="14" t="s">
        <v>18</v>
      </c>
      <c r="E478" s="14" t="s">
        <v>28</v>
      </c>
      <c r="F478" s="14" t="s">
        <v>26</v>
      </c>
      <c r="G478" s="305">
        <f>'DIC-18'!I478</f>
        <v>0</v>
      </c>
      <c r="H478" s="51"/>
      <c r="I478" s="134">
        <f>G478-H478+J478-K478</f>
        <v>0</v>
      </c>
      <c r="J478" s="137"/>
      <c r="K478" s="393"/>
    </row>
    <row r="479" spans="1:26" ht="72.75">
      <c r="A479" s="11" t="s">
        <v>569</v>
      </c>
      <c r="B479" s="57" t="s">
        <v>570</v>
      </c>
      <c r="C479" s="286" t="s">
        <v>1072</v>
      </c>
      <c r="D479" s="14" t="s">
        <v>18</v>
      </c>
      <c r="E479" s="14" t="s">
        <v>28</v>
      </c>
      <c r="F479" s="14" t="s">
        <v>26</v>
      </c>
      <c r="G479" s="305">
        <f>'DIC-18'!I479</f>
        <v>0</v>
      </c>
      <c r="H479" s="51"/>
      <c r="I479" s="17">
        <f t="shared" si="9"/>
        <v>0</v>
      </c>
      <c r="J479" s="52"/>
      <c r="K479" s="301"/>
    </row>
    <row r="480" spans="1:26" ht="72.75">
      <c r="A480" s="11" t="s">
        <v>571</v>
      </c>
      <c r="B480" s="57" t="s">
        <v>572</v>
      </c>
      <c r="C480" s="286"/>
      <c r="D480" s="14" t="s">
        <v>18</v>
      </c>
      <c r="E480" s="14" t="s">
        <v>28</v>
      </c>
      <c r="F480" s="14" t="s">
        <v>26</v>
      </c>
      <c r="G480" s="305">
        <f>'DIC-18'!I480</f>
        <v>6.8212102632969618E-13</v>
      </c>
      <c r="H480" s="51"/>
      <c r="I480" s="17">
        <f t="shared" si="9"/>
        <v>6.8212102632969618E-13</v>
      </c>
      <c r="J480" s="391"/>
      <c r="K480" s="137"/>
    </row>
    <row r="481" spans="1:510" ht="72.75">
      <c r="A481" s="11" t="s">
        <v>969</v>
      </c>
      <c r="B481" s="57" t="s">
        <v>970</v>
      </c>
      <c r="C481" s="59"/>
      <c r="D481" s="14" t="s">
        <v>18</v>
      </c>
      <c r="E481" s="14" t="s">
        <v>28</v>
      </c>
      <c r="F481" s="14" t="s">
        <v>26</v>
      </c>
      <c r="G481" s="305">
        <f>'DIC-18'!I481</f>
        <v>0</v>
      </c>
      <c r="H481" s="51"/>
      <c r="I481" s="17">
        <f t="shared" si="9"/>
        <v>0</v>
      </c>
      <c r="J481" s="137"/>
      <c r="K481" s="392"/>
    </row>
    <row r="482" spans="1:510" ht="39" customHeight="1">
      <c r="A482" s="11">
        <v>54109</v>
      </c>
      <c r="B482" s="54" t="s">
        <v>1180</v>
      </c>
      <c r="C482" s="13" t="s">
        <v>1165</v>
      </c>
      <c r="D482" s="14" t="s">
        <v>18</v>
      </c>
      <c r="E482" s="14" t="s">
        <v>28</v>
      </c>
      <c r="F482" s="14" t="s">
        <v>26</v>
      </c>
      <c r="G482" s="305">
        <f>'DIC-18'!I482</f>
        <v>687.6799999999995</v>
      </c>
      <c r="H482" s="51"/>
      <c r="I482" s="17">
        <f t="shared" si="9"/>
        <v>687.6799999999995</v>
      </c>
      <c r="J482" s="52"/>
      <c r="K482" s="52"/>
    </row>
    <row r="483" spans="1:510" ht="60">
      <c r="A483" s="11" t="s">
        <v>574</v>
      </c>
      <c r="B483" s="54" t="s">
        <v>575</v>
      </c>
      <c r="C483" s="61" t="s">
        <v>1167</v>
      </c>
      <c r="D483" s="14" t="s">
        <v>18</v>
      </c>
      <c r="E483" s="14" t="s">
        <v>28</v>
      </c>
      <c r="F483" s="14" t="s">
        <v>26</v>
      </c>
      <c r="G483" s="305">
        <f>'DIC-18'!I483</f>
        <v>642.55000000000041</v>
      </c>
      <c r="H483" s="51"/>
      <c r="I483" s="17">
        <f t="shared" si="9"/>
        <v>642.55000000000041</v>
      </c>
      <c r="J483" s="52"/>
      <c r="K483" s="300"/>
    </row>
    <row r="484" spans="1:510" ht="75">
      <c r="A484" s="11" t="s">
        <v>212</v>
      </c>
      <c r="B484" s="54" t="s">
        <v>576</v>
      </c>
      <c r="C484" s="61" t="s">
        <v>1167</v>
      </c>
      <c r="D484" s="14" t="s">
        <v>18</v>
      </c>
      <c r="E484" s="14" t="s">
        <v>28</v>
      </c>
      <c r="F484" s="14" t="s">
        <v>26</v>
      </c>
      <c r="G484" s="305">
        <f>'DIC-18'!I484</f>
        <v>3382.52</v>
      </c>
      <c r="H484" s="51"/>
      <c r="I484" s="17">
        <f t="shared" si="9"/>
        <v>3382.52</v>
      </c>
      <c r="J484" s="52"/>
      <c r="K484" s="300"/>
    </row>
    <row r="485" spans="1:510" ht="75">
      <c r="A485" s="11" t="s">
        <v>577</v>
      </c>
      <c r="B485" s="54" t="s">
        <v>1094</v>
      </c>
      <c r="C485" s="13"/>
      <c r="D485" s="14" t="s">
        <v>18</v>
      </c>
      <c r="E485" s="14" t="s">
        <v>28</v>
      </c>
      <c r="F485" s="14" t="s">
        <v>26</v>
      </c>
      <c r="G485" s="305">
        <f>'DIC-18'!I485</f>
        <v>7790.6299999999983</v>
      </c>
      <c r="H485" s="51"/>
      <c r="I485" s="17">
        <f t="shared" si="9"/>
        <v>7790.6299999999983</v>
      </c>
      <c r="J485" s="56"/>
      <c r="K485" s="300"/>
    </row>
    <row r="486" spans="1:510" s="220" customFormat="1" ht="30">
      <c r="A486" s="11" t="s">
        <v>218</v>
      </c>
      <c r="B486" s="54" t="s">
        <v>579</v>
      </c>
      <c r="C486" s="13"/>
      <c r="D486" s="14" t="s">
        <v>18</v>
      </c>
      <c r="E486" s="14" t="s">
        <v>28</v>
      </c>
      <c r="F486" s="14" t="s">
        <v>26</v>
      </c>
      <c r="G486" s="305">
        <f>'DIC-18'!I486</f>
        <v>2.87</v>
      </c>
      <c r="H486" s="51"/>
      <c r="I486" s="17">
        <f t="shared" si="9"/>
        <v>2.87</v>
      </c>
      <c r="J486" s="56"/>
      <c r="K486" s="56"/>
      <c r="L486" s="167"/>
      <c r="M486" s="167"/>
      <c r="N486" s="167"/>
      <c r="O486" s="167"/>
      <c r="P486" s="167"/>
      <c r="Q486" s="167"/>
      <c r="R486" s="167"/>
      <c r="S486" s="167"/>
      <c r="T486" s="167"/>
      <c r="U486" s="167"/>
      <c r="V486" s="167"/>
      <c r="W486" s="167"/>
      <c r="X486" s="167"/>
      <c r="Y486" s="167"/>
      <c r="Z486" s="167"/>
      <c r="AA486" s="167"/>
      <c r="AB486" s="167"/>
      <c r="AC486" s="167"/>
      <c r="AD486" s="167"/>
      <c r="AE486" s="167"/>
      <c r="AF486" s="167"/>
      <c r="AG486" s="167"/>
      <c r="AH486" s="167"/>
      <c r="AI486" s="167"/>
      <c r="AJ486" s="167"/>
      <c r="AK486" s="167"/>
      <c r="AL486" s="167"/>
      <c r="AM486" s="167"/>
      <c r="AN486" s="167"/>
      <c r="AO486" s="167"/>
      <c r="AP486" s="167"/>
      <c r="AQ486" s="167"/>
      <c r="AR486" s="167"/>
      <c r="AS486" s="167"/>
      <c r="AT486" s="167"/>
      <c r="AU486" s="167"/>
      <c r="AV486" s="167"/>
      <c r="AW486" s="167"/>
      <c r="AX486" s="167"/>
      <c r="AY486" s="167"/>
      <c r="AZ486" s="167"/>
      <c r="BA486" s="167"/>
      <c r="BB486" s="167"/>
      <c r="BC486" s="167"/>
      <c r="BD486" s="167"/>
      <c r="BE486" s="167"/>
      <c r="BF486" s="167"/>
      <c r="BG486" s="167"/>
      <c r="BH486" s="167"/>
      <c r="BI486" s="167"/>
      <c r="BJ486" s="167"/>
      <c r="BK486" s="167"/>
      <c r="BL486" s="167"/>
      <c r="BM486" s="167"/>
      <c r="BN486" s="167"/>
      <c r="BO486" s="167"/>
      <c r="BP486" s="167"/>
      <c r="BQ486" s="167"/>
      <c r="BR486" s="167"/>
      <c r="BS486" s="167"/>
      <c r="BT486" s="167"/>
      <c r="BU486" s="167"/>
      <c r="BV486" s="167"/>
      <c r="BW486" s="167"/>
      <c r="BX486" s="167"/>
      <c r="BY486" s="167"/>
      <c r="BZ486" s="167"/>
      <c r="CA486" s="167"/>
      <c r="CB486" s="167"/>
      <c r="CC486" s="167"/>
      <c r="CD486" s="167"/>
      <c r="CE486" s="167"/>
      <c r="CF486" s="167"/>
      <c r="CG486" s="167"/>
      <c r="CH486" s="167"/>
      <c r="CI486" s="167"/>
      <c r="CJ486" s="167"/>
      <c r="CK486" s="167"/>
      <c r="CL486" s="167"/>
      <c r="CM486" s="167"/>
      <c r="CN486" s="167"/>
      <c r="CO486" s="167"/>
      <c r="CP486" s="167"/>
      <c r="CQ486" s="167"/>
      <c r="CR486" s="167"/>
      <c r="CS486" s="167"/>
      <c r="CT486" s="167"/>
      <c r="CU486" s="167"/>
      <c r="CV486" s="167"/>
      <c r="CW486" s="167"/>
      <c r="CX486" s="167"/>
      <c r="CY486" s="167"/>
      <c r="CZ486" s="167"/>
      <c r="DA486" s="167"/>
      <c r="DB486" s="167"/>
      <c r="DC486" s="167"/>
      <c r="DD486" s="167"/>
      <c r="DE486" s="167"/>
      <c r="DF486" s="167"/>
      <c r="DG486" s="167"/>
      <c r="DH486" s="167"/>
      <c r="DI486" s="167"/>
      <c r="DJ486" s="167"/>
      <c r="DK486" s="167"/>
      <c r="DL486" s="167"/>
      <c r="DM486" s="167"/>
      <c r="DN486" s="167"/>
      <c r="DO486" s="167"/>
      <c r="DP486" s="167"/>
      <c r="DQ486" s="167"/>
      <c r="DR486" s="167"/>
      <c r="DS486" s="167"/>
      <c r="DT486" s="167"/>
      <c r="DU486" s="167"/>
      <c r="DV486" s="167"/>
      <c r="DW486" s="167"/>
      <c r="DX486" s="167"/>
      <c r="DY486" s="167"/>
      <c r="DZ486" s="167"/>
      <c r="EA486" s="167"/>
      <c r="EB486" s="167"/>
      <c r="EC486" s="167"/>
      <c r="ED486" s="167"/>
      <c r="EE486" s="167"/>
      <c r="EF486" s="167"/>
      <c r="EG486" s="167"/>
      <c r="EH486" s="167"/>
      <c r="EI486" s="167"/>
      <c r="EJ486" s="167"/>
      <c r="EK486" s="167"/>
      <c r="EL486" s="167"/>
      <c r="EM486" s="167"/>
      <c r="EN486" s="167"/>
      <c r="EO486" s="167"/>
      <c r="EP486" s="167"/>
      <c r="EQ486" s="167"/>
      <c r="ER486" s="167"/>
      <c r="ES486" s="167"/>
      <c r="ET486" s="167"/>
      <c r="EU486" s="167"/>
      <c r="EV486" s="167"/>
      <c r="EW486" s="167"/>
      <c r="EX486" s="167"/>
      <c r="EY486" s="167"/>
      <c r="EZ486" s="167"/>
      <c r="FA486" s="167"/>
      <c r="FB486" s="167"/>
      <c r="FC486" s="167"/>
      <c r="FD486" s="167"/>
      <c r="FE486" s="167"/>
      <c r="FF486" s="167"/>
      <c r="FG486" s="167"/>
      <c r="FH486" s="167"/>
      <c r="FI486" s="167"/>
      <c r="FJ486" s="167"/>
      <c r="FK486" s="167"/>
      <c r="FL486" s="167"/>
      <c r="FM486" s="167"/>
      <c r="FN486" s="167"/>
      <c r="FO486" s="167"/>
      <c r="FP486" s="167"/>
      <c r="FQ486" s="167"/>
      <c r="FR486" s="167"/>
      <c r="FS486" s="167"/>
      <c r="FT486" s="167"/>
      <c r="FU486" s="167"/>
      <c r="FV486" s="167"/>
      <c r="FW486" s="167"/>
      <c r="FX486" s="167"/>
      <c r="FY486" s="167"/>
      <c r="FZ486" s="167"/>
      <c r="GA486" s="167"/>
      <c r="GB486" s="167"/>
      <c r="GC486" s="167"/>
      <c r="GD486" s="167"/>
      <c r="GE486" s="167"/>
      <c r="GF486" s="167"/>
      <c r="GG486" s="167"/>
      <c r="GH486" s="167"/>
      <c r="GI486" s="167"/>
      <c r="GJ486" s="167"/>
      <c r="GK486" s="167"/>
      <c r="GL486" s="167"/>
      <c r="GM486" s="167"/>
      <c r="GN486" s="167"/>
      <c r="GO486" s="167"/>
      <c r="GP486" s="167"/>
      <c r="GQ486" s="167"/>
      <c r="GR486" s="167"/>
      <c r="GS486" s="167"/>
      <c r="GT486" s="167"/>
      <c r="GU486" s="167"/>
      <c r="GV486" s="167"/>
      <c r="GW486" s="167"/>
      <c r="GX486" s="167"/>
      <c r="GY486" s="167"/>
      <c r="GZ486" s="167"/>
      <c r="HA486" s="167"/>
      <c r="HB486" s="167"/>
      <c r="HC486" s="167"/>
      <c r="HD486" s="167"/>
      <c r="HE486" s="167"/>
      <c r="HF486" s="167"/>
      <c r="HG486" s="167"/>
      <c r="HH486" s="167"/>
      <c r="HI486" s="167"/>
      <c r="HJ486" s="167"/>
      <c r="HK486" s="167"/>
      <c r="HL486" s="167"/>
      <c r="HM486" s="167"/>
      <c r="HN486" s="167"/>
      <c r="HO486" s="167"/>
      <c r="HP486" s="167"/>
      <c r="HQ486" s="167"/>
      <c r="HR486" s="167"/>
      <c r="HS486" s="167"/>
      <c r="HT486" s="167"/>
      <c r="HU486" s="167"/>
      <c r="HV486" s="167"/>
      <c r="HW486" s="167"/>
      <c r="HX486" s="167"/>
      <c r="HY486" s="167"/>
      <c r="HZ486" s="167"/>
      <c r="IA486" s="167"/>
      <c r="IB486" s="167"/>
      <c r="IC486" s="167"/>
      <c r="ID486" s="167"/>
      <c r="IE486" s="167"/>
      <c r="IF486" s="167"/>
      <c r="IG486" s="167"/>
      <c r="IH486" s="167"/>
      <c r="II486" s="167"/>
      <c r="IJ486" s="167"/>
      <c r="IK486" s="167"/>
      <c r="IL486" s="167"/>
      <c r="IM486" s="167"/>
      <c r="IN486" s="167"/>
      <c r="IO486" s="167"/>
      <c r="IP486" s="167"/>
      <c r="IQ486" s="167"/>
      <c r="IR486" s="167"/>
      <c r="IS486" s="167"/>
      <c r="IT486" s="167"/>
      <c r="IU486" s="167"/>
      <c r="IV486" s="167"/>
      <c r="IW486" s="167"/>
      <c r="IX486" s="167"/>
      <c r="IY486" s="167"/>
      <c r="IZ486" s="167"/>
      <c r="JA486" s="167"/>
      <c r="JB486" s="167"/>
      <c r="JC486" s="167"/>
      <c r="JD486" s="167"/>
      <c r="JE486" s="167"/>
      <c r="JF486" s="167"/>
      <c r="JG486" s="167"/>
      <c r="JH486" s="167"/>
      <c r="JI486" s="167"/>
      <c r="JJ486" s="167"/>
      <c r="JK486" s="167"/>
      <c r="JL486" s="167"/>
      <c r="JM486" s="167"/>
      <c r="JN486" s="167"/>
      <c r="JO486" s="167"/>
      <c r="JP486" s="167"/>
      <c r="JQ486" s="167"/>
      <c r="JR486" s="167"/>
      <c r="JS486" s="167"/>
      <c r="JT486" s="167"/>
      <c r="JU486" s="167"/>
      <c r="JV486" s="167"/>
      <c r="JW486" s="167"/>
      <c r="JX486" s="167"/>
      <c r="JY486" s="167"/>
      <c r="JZ486" s="167"/>
      <c r="KA486" s="167"/>
      <c r="KB486" s="167"/>
      <c r="KC486" s="167"/>
      <c r="KD486" s="167"/>
      <c r="KE486" s="167"/>
      <c r="KF486" s="167"/>
      <c r="KG486" s="167"/>
      <c r="KH486" s="167"/>
      <c r="KI486" s="167"/>
      <c r="KJ486" s="167"/>
      <c r="KK486" s="167"/>
      <c r="KL486" s="167"/>
      <c r="KM486" s="167"/>
      <c r="KN486" s="167"/>
      <c r="KO486" s="167"/>
      <c r="KP486" s="167"/>
      <c r="KQ486" s="167"/>
      <c r="KR486" s="167"/>
      <c r="KS486" s="167"/>
      <c r="KT486" s="167"/>
      <c r="KU486" s="167"/>
      <c r="KV486" s="167"/>
      <c r="KW486" s="167"/>
      <c r="KX486" s="167"/>
      <c r="KY486" s="167"/>
      <c r="KZ486" s="167"/>
      <c r="LA486" s="167"/>
      <c r="LB486" s="167"/>
      <c r="LC486" s="167"/>
      <c r="LD486" s="167"/>
      <c r="LE486" s="167"/>
      <c r="LF486" s="167"/>
      <c r="LG486" s="167"/>
      <c r="LH486" s="167"/>
      <c r="LI486" s="167"/>
      <c r="LJ486" s="167"/>
      <c r="LK486" s="167"/>
      <c r="LL486" s="167"/>
      <c r="LM486" s="167"/>
      <c r="LN486" s="167"/>
      <c r="LO486" s="167"/>
      <c r="LP486" s="167"/>
      <c r="LQ486" s="167"/>
      <c r="LR486" s="167"/>
      <c r="LS486" s="167"/>
      <c r="LT486" s="167"/>
      <c r="LU486" s="167"/>
      <c r="LV486" s="167"/>
      <c r="LW486" s="167"/>
      <c r="LX486" s="167"/>
      <c r="LY486" s="167"/>
      <c r="LZ486" s="167"/>
      <c r="MA486" s="167"/>
      <c r="MB486" s="167"/>
      <c r="MC486" s="167"/>
      <c r="MD486" s="167"/>
      <c r="ME486" s="167"/>
      <c r="MF486" s="167"/>
      <c r="MG486" s="167"/>
      <c r="MH486" s="167"/>
      <c r="MI486" s="167"/>
      <c r="MJ486" s="167"/>
      <c r="MK486" s="167"/>
      <c r="ML486" s="167"/>
      <c r="MM486" s="167"/>
      <c r="MN486" s="167"/>
      <c r="MO486" s="167"/>
      <c r="MP486" s="167"/>
      <c r="MQ486" s="167"/>
      <c r="MR486" s="167"/>
      <c r="MS486" s="167"/>
      <c r="MT486" s="167"/>
      <c r="MU486" s="167"/>
      <c r="MV486" s="167"/>
      <c r="MW486" s="167"/>
      <c r="MX486" s="167"/>
      <c r="MY486" s="167"/>
      <c r="MZ486" s="167"/>
      <c r="NA486" s="167"/>
      <c r="NB486" s="167"/>
      <c r="NC486" s="167"/>
      <c r="ND486" s="167"/>
      <c r="NE486" s="167"/>
      <c r="NF486" s="167"/>
      <c r="NG486" s="167"/>
      <c r="NH486" s="167"/>
      <c r="NI486" s="167"/>
      <c r="NJ486" s="167"/>
      <c r="NK486" s="167"/>
      <c r="NL486" s="167"/>
      <c r="NM486" s="167"/>
      <c r="NN486" s="167"/>
      <c r="NO486" s="167"/>
      <c r="NP486" s="167"/>
      <c r="NQ486" s="167"/>
      <c r="NR486" s="167"/>
      <c r="NS486" s="167"/>
      <c r="NT486" s="167"/>
      <c r="NU486" s="167"/>
      <c r="NV486" s="167"/>
      <c r="NW486" s="167"/>
      <c r="NX486" s="167"/>
      <c r="NY486" s="167"/>
      <c r="NZ486" s="167"/>
      <c r="OA486" s="167"/>
      <c r="OB486" s="167"/>
      <c r="OC486" s="167"/>
      <c r="OD486" s="167"/>
      <c r="OE486" s="167"/>
      <c r="OF486" s="167"/>
      <c r="OG486" s="167"/>
      <c r="OH486" s="167"/>
      <c r="OI486" s="167"/>
      <c r="OJ486" s="167"/>
      <c r="OK486" s="167"/>
      <c r="OL486" s="167"/>
      <c r="OM486" s="167"/>
      <c r="ON486" s="167"/>
      <c r="OO486" s="167"/>
      <c r="OP486" s="167"/>
      <c r="OQ486" s="167"/>
      <c r="OR486" s="167"/>
      <c r="OS486" s="167"/>
      <c r="OT486" s="167"/>
      <c r="OU486" s="167"/>
      <c r="OV486" s="167"/>
      <c r="OW486" s="167"/>
      <c r="OX486" s="167"/>
      <c r="OY486" s="167"/>
      <c r="OZ486" s="167"/>
      <c r="PA486" s="167"/>
      <c r="PB486" s="167"/>
      <c r="PC486" s="167"/>
      <c r="PD486" s="167"/>
      <c r="PE486" s="167"/>
      <c r="PF486" s="167"/>
      <c r="PG486" s="167"/>
      <c r="PH486" s="167"/>
      <c r="PI486" s="167"/>
      <c r="PJ486" s="167"/>
      <c r="PK486" s="167"/>
      <c r="PL486" s="167"/>
      <c r="PM486" s="167"/>
      <c r="PN486" s="167"/>
      <c r="PO486" s="167"/>
      <c r="PP486" s="167"/>
      <c r="PQ486" s="167"/>
      <c r="PR486" s="167"/>
      <c r="PS486" s="167"/>
      <c r="PT486" s="167"/>
      <c r="PU486" s="167"/>
      <c r="PV486" s="167"/>
      <c r="PW486" s="167"/>
      <c r="PX486" s="167"/>
      <c r="PY486" s="167"/>
      <c r="PZ486" s="167"/>
      <c r="QA486" s="167"/>
      <c r="QB486" s="167"/>
      <c r="QC486" s="167"/>
      <c r="QD486" s="167"/>
      <c r="QE486" s="167"/>
      <c r="QF486" s="167"/>
      <c r="QG486" s="167"/>
      <c r="QH486" s="167"/>
      <c r="QI486" s="167"/>
      <c r="QJ486" s="167"/>
      <c r="QK486" s="167"/>
      <c r="QL486" s="167"/>
      <c r="QM486" s="167"/>
      <c r="QN486" s="167"/>
      <c r="QO486" s="167"/>
      <c r="QP486" s="167"/>
      <c r="QQ486" s="167"/>
      <c r="QR486" s="167"/>
      <c r="QS486" s="167"/>
      <c r="QT486" s="167"/>
      <c r="QU486" s="167"/>
      <c r="QV486" s="167"/>
      <c r="QW486" s="167"/>
      <c r="QX486" s="167"/>
      <c r="QY486" s="167"/>
      <c r="QZ486" s="167"/>
      <c r="RA486" s="167"/>
      <c r="RB486" s="167"/>
      <c r="RC486" s="167"/>
      <c r="RD486" s="167"/>
      <c r="RE486" s="167"/>
      <c r="RF486" s="167"/>
      <c r="RG486" s="167"/>
      <c r="RH486" s="167"/>
      <c r="RI486" s="167"/>
      <c r="RJ486" s="167"/>
      <c r="RK486" s="167"/>
      <c r="RL486" s="167"/>
      <c r="RM486" s="167"/>
      <c r="RN486" s="167"/>
      <c r="RO486" s="167"/>
      <c r="RP486" s="167"/>
      <c r="RQ486" s="167"/>
      <c r="RR486" s="167"/>
      <c r="RS486" s="167"/>
      <c r="RT486" s="167"/>
      <c r="RU486" s="167"/>
      <c r="RV486" s="167"/>
      <c r="RW486" s="167"/>
      <c r="RX486" s="167"/>
      <c r="RY486" s="167"/>
      <c r="RZ486" s="167"/>
      <c r="SA486" s="167"/>
      <c r="SB486" s="167"/>
      <c r="SC486" s="167"/>
      <c r="SD486" s="167"/>
      <c r="SE486" s="167"/>
      <c r="SF486" s="167"/>
      <c r="SG486" s="167"/>
      <c r="SH486" s="167"/>
      <c r="SI486" s="167"/>
      <c r="SJ486" s="167"/>
      <c r="SK486" s="167"/>
      <c r="SL486" s="167"/>
      <c r="SM486" s="167"/>
      <c r="SN486" s="167"/>
      <c r="SO486" s="167"/>
      <c r="SP486" s="167"/>
    </row>
    <row r="487" spans="1:510" s="229" customFormat="1" ht="9.75" customHeight="1">
      <c r="A487" s="221"/>
      <c r="B487" s="222"/>
      <c r="C487" s="223"/>
      <c r="D487" s="224"/>
      <c r="E487" s="224"/>
      <c r="F487" s="224"/>
      <c r="G487" s="305">
        <f>'DIC-18'!I487</f>
        <v>0</v>
      </c>
      <c r="H487" s="226"/>
      <c r="I487" s="227"/>
      <c r="J487" s="228"/>
      <c r="K487" s="397"/>
      <c r="L487" s="199"/>
      <c r="M487" s="199"/>
      <c r="N487" s="199"/>
      <c r="O487" s="199"/>
      <c r="P487" s="199"/>
      <c r="Q487" s="199"/>
      <c r="R487" s="199"/>
      <c r="S487" s="199"/>
      <c r="T487" s="199"/>
      <c r="U487" s="199"/>
      <c r="V487" s="199"/>
      <c r="W487" s="199"/>
      <c r="X487" s="199"/>
      <c r="Y487" s="199"/>
      <c r="Z487" s="199"/>
      <c r="AA487" s="199"/>
      <c r="AB487" s="199"/>
      <c r="AC487" s="199"/>
      <c r="AD487" s="199"/>
      <c r="AE487" s="199"/>
      <c r="AF487" s="199"/>
      <c r="AG487" s="199"/>
      <c r="AH487" s="199"/>
      <c r="AI487" s="199"/>
      <c r="AJ487" s="199"/>
      <c r="AK487" s="199"/>
      <c r="AL487" s="199"/>
      <c r="AM487" s="199"/>
      <c r="AN487" s="199"/>
      <c r="AO487" s="199"/>
      <c r="AP487" s="199"/>
      <c r="AQ487" s="199"/>
      <c r="AR487" s="199"/>
      <c r="AS487" s="199"/>
      <c r="AT487" s="199"/>
      <c r="AU487" s="199"/>
      <c r="AV487" s="199"/>
      <c r="AW487" s="199"/>
      <c r="AX487" s="199"/>
      <c r="AY487" s="199"/>
      <c r="AZ487" s="199"/>
      <c r="BA487" s="199"/>
      <c r="BB487" s="199"/>
      <c r="BC487" s="199"/>
      <c r="BD487" s="199"/>
      <c r="BE487" s="199"/>
      <c r="BF487" s="199"/>
      <c r="BG487" s="199"/>
      <c r="BH487" s="199"/>
      <c r="BI487" s="199"/>
      <c r="BJ487" s="199"/>
      <c r="BK487" s="199"/>
      <c r="BL487" s="199"/>
      <c r="BM487" s="199"/>
      <c r="BN487" s="199"/>
      <c r="BO487" s="199"/>
      <c r="BP487" s="199"/>
      <c r="BQ487" s="199"/>
      <c r="BR487" s="199"/>
      <c r="BS487" s="199"/>
      <c r="BT487" s="199"/>
      <c r="BU487" s="199"/>
      <c r="BV487" s="199"/>
      <c r="BW487" s="199"/>
      <c r="BX487" s="199"/>
      <c r="BY487" s="199"/>
      <c r="BZ487" s="199"/>
      <c r="CA487" s="199"/>
      <c r="CB487" s="199"/>
      <c r="CC487" s="199"/>
      <c r="CD487" s="199"/>
      <c r="CE487" s="199"/>
      <c r="CF487" s="199"/>
      <c r="CG487" s="199"/>
      <c r="CH487" s="199"/>
      <c r="CI487" s="199"/>
      <c r="CJ487" s="199"/>
      <c r="CK487" s="199"/>
      <c r="CL487" s="199"/>
      <c r="CM487" s="199"/>
      <c r="CN487" s="199"/>
      <c r="CO487" s="199"/>
      <c r="CP487" s="199"/>
      <c r="CQ487" s="199"/>
      <c r="CR487" s="199"/>
      <c r="CS487" s="199"/>
      <c r="CT487" s="199"/>
      <c r="CU487" s="199"/>
      <c r="CV487" s="199"/>
      <c r="CW487" s="199"/>
      <c r="CX487" s="199"/>
      <c r="CY487" s="199"/>
      <c r="CZ487" s="199"/>
      <c r="DA487" s="199"/>
      <c r="DB487" s="199"/>
      <c r="DC487" s="199"/>
      <c r="DD487" s="199"/>
      <c r="DE487" s="199"/>
      <c r="DF487" s="199"/>
      <c r="DG487" s="199"/>
      <c r="DH487" s="199"/>
      <c r="DI487" s="199"/>
      <c r="DJ487" s="199"/>
      <c r="DK487" s="199"/>
      <c r="DL487" s="199"/>
      <c r="DM487" s="199"/>
      <c r="DN487" s="199"/>
      <c r="DO487" s="199"/>
      <c r="DP487" s="199"/>
      <c r="DQ487" s="199"/>
      <c r="DR487" s="199"/>
      <c r="DS487" s="199"/>
      <c r="DT487" s="199"/>
      <c r="DU487" s="199"/>
      <c r="DV487" s="199"/>
      <c r="DW487" s="199"/>
      <c r="DX487" s="199"/>
      <c r="DY487" s="199"/>
      <c r="DZ487" s="199"/>
      <c r="EA487" s="199"/>
      <c r="EB487" s="199"/>
      <c r="EC487" s="199"/>
      <c r="ED487" s="199"/>
      <c r="EE487" s="199"/>
      <c r="EF487" s="199"/>
      <c r="EG487" s="199"/>
      <c r="EH487" s="199"/>
      <c r="EI487" s="199"/>
      <c r="EJ487" s="199"/>
      <c r="EK487" s="199"/>
      <c r="EL487" s="199"/>
      <c r="EM487" s="199"/>
      <c r="EN487" s="199"/>
      <c r="EO487" s="199"/>
      <c r="EP487" s="199"/>
      <c r="EQ487" s="199"/>
      <c r="ER487" s="199"/>
      <c r="ES487" s="199"/>
      <c r="ET487" s="199"/>
      <c r="EU487" s="199"/>
      <c r="EV487" s="199"/>
      <c r="EW487" s="199"/>
      <c r="EX487" s="199"/>
      <c r="EY487" s="199"/>
      <c r="EZ487" s="199"/>
      <c r="FA487" s="199"/>
      <c r="FB487" s="199"/>
      <c r="FC487" s="199"/>
      <c r="FD487" s="199"/>
      <c r="FE487" s="199"/>
      <c r="FF487" s="199"/>
      <c r="FG487" s="199"/>
      <c r="FH487" s="199"/>
      <c r="FI487" s="199"/>
      <c r="FJ487" s="199"/>
      <c r="FK487" s="199"/>
      <c r="FL487" s="199"/>
      <c r="FM487" s="199"/>
      <c r="FN487" s="199"/>
      <c r="FO487" s="199"/>
      <c r="FP487" s="199"/>
      <c r="FQ487" s="199"/>
      <c r="FR487" s="199"/>
      <c r="FS487" s="199"/>
      <c r="FT487" s="199"/>
      <c r="FU487" s="199"/>
      <c r="FV487" s="199"/>
      <c r="FW487" s="199"/>
      <c r="FX487" s="199"/>
      <c r="FY487" s="199"/>
      <c r="FZ487" s="199"/>
      <c r="GA487" s="199"/>
      <c r="GB487" s="199"/>
      <c r="GC487" s="199"/>
      <c r="GD487" s="199"/>
      <c r="GE487" s="199"/>
      <c r="GF487" s="199"/>
      <c r="GG487" s="199"/>
      <c r="GH487" s="199"/>
      <c r="GI487" s="199"/>
      <c r="GJ487" s="199"/>
      <c r="GK487" s="199"/>
      <c r="GL487" s="199"/>
      <c r="GM487" s="199"/>
      <c r="GN487" s="199"/>
      <c r="GO487" s="199"/>
      <c r="GP487" s="199"/>
      <c r="GQ487" s="199"/>
      <c r="GR487" s="199"/>
      <c r="GS487" s="199"/>
      <c r="GT487" s="199"/>
      <c r="GU487" s="199"/>
      <c r="GV487" s="199"/>
      <c r="GW487" s="199"/>
      <c r="GX487" s="199"/>
      <c r="GY487" s="199"/>
      <c r="GZ487" s="199"/>
      <c r="HA487" s="199"/>
      <c r="HB487" s="199"/>
      <c r="HC487" s="199"/>
      <c r="HD487" s="199"/>
      <c r="HE487" s="199"/>
      <c r="HF487" s="199"/>
      <c r="HG487" s="199"/>
      <c r="HH487" s="199"/>
      <c r="HI487" s="199"/>
      <c r="HJ487" s="199"/>
      <c r="HK487" s="199"/>
      <c r="HL487" s="199"/>
      <c r="HM487" s="199"/>
      <c r="HN487" s="199"/>
      <c r="HO487" s="199"/>
      <c r="HP487" s="199"/>
      <c r="HQ487" s="199"/>
      <c r="HR487" s="199"/>
      <c r="HS487" s="199"/>
      <c r="HT487" s="199"/>
      <c r="HU487" s="199"/>
      <c r="HV487" s="199"/>
      <c r="HW487" s="199"/>
      <c r="HX487" s="199"/>
      <c r="HY487" s="199"/>
      <c r="HZ487" s="199"/>
      <c r="IA487" s="199"/>
      <c r="IB487" s="199"/>
      <c r="IC487" s="199"/>
      <c r="ID487" s="199"/>
      <c r="IE487" s="199"/>
      <c r="IF487" s="199"/>
      <c r="IG487" s="199"/>
      <c r="IH487" s="199"/>
      <c r="II487" s="199"/>
      <c r="IJ487" s="199"/>
      <c r="IK487" s="199"/>
      <c r="IL487" s="199"/>
      <c r="IM487" s="199"/>
      <c r="IN487" s="199"/>
      <c r="IO487" s="199"/>
      <c r="IP487" s="199"/>
      <c r="IQ487" s="199"/>
      <c r="IR487" s="199"/>
      <c r="IS487" s="199"/>
      <c r="IT487" s="199"/>
      <c r="IU487" s="199"/>
      <c r="IV487" s="199"/>
      <c r="IW487" s="199"/>
      <c r="IX487" s="199"/>
      <c r="IY487" s="199"/>
      <c r="IZ487" s="199"/>
      <c r="JA487" s="199"/>
      <c r="JB487" s="199"/>
      <c r="JC487" s="199"/>
      <c r="JD487" s="199"/>
      <c r="JE487" s="199"/>
      <c r="JF487" s="199"/>
      <c r="JG487" s="199"/>
      <c r="JH487" s="199"/>
      <c r="JI487" s="199"/>
      <c r="JJ487" s="199"/>
      <c r="JK487" s="199"/>
      <c r="JL487" s="199"/>
      <c r="JM487" s="199"/>
      <c r="JN487" s="199"/>
      <c r="JO487" s="199"/>
      <c r="JP487" s="199"/>
      <c r="JQ487" s="199"/>
      <c r="JR487" s="199"/>
      <c r="JS487" s="199"/>
      <c r="JT487" s="199"/>
      <c r="JU487" s="199"/>
      <c r="JV487" s="199"/>
      <c r="JW487" s="199"/>
      <c r="JX487" s="199"/>
      <c r="JY487" s="199"/>
      <c r="JZ487" s="199"/>
      <c r="KA487" s="199"/>
      <c r="KB487" s="199"/>
      <c r="KC487" s="199"/>
      <c r="KD487" s="199"/>
      <c r="KE487" s="199"/>
      <c r="KF487" s="199"/>
      <c r="KG487" s="199"/>
      <c r="KH487" s="199"/>
      <c r="KI487" s="199"/>
      <c r="KJ487" s="199"/>
      <c r="KK487" s="199"/>
      <c r="KL487" s="199"/>
      <c r="KM487" s="199"/>
      <c r="KN487" s="199"/>
      <c r="KO487" s="199"/>
      <c r="KP487" s="199"/>
      <c r="KQ487" s="199"/>
      <c r="KR487" s="199"/>
      <c r="KS487" s="199"/>
      <c r="KT487" s="199"/>
      <c r="KU487" s="199"/>
      <c r="KV487" s="199"/>
      <c r="KW487" s="199"/>
      <c r="KX487" s="199"/>
      <c r="KY487" s="199"/>
      <c r="KZ487" s="199"/>
      <c r="LA487" s="199"/>
      <c r="LB487" s="199"/>
      <c r="LC487" s="199"/>
      <c r="LD487" s="199"/>
      <c r="LE487" s="199"/>
      <c r="LF487" s="199"/>
      <c r="LG487" s="199"/>
      <c r="LH487" s="199"/>
      <c r="LI487" s="199"/>
      <c r="LJ487" s="199"/>
      <c r="LK487" s="199"/>
      <c r="LL487" s="199"/>
      <c r="LM487" s="199"/>
      <c r="LN487" s="199"/>
      <c r="LO487" s="199"/>
      <c r="LP487" s="199"/>
      <c r="LQ487" s="199"/>
      <c r="LR487" s="199"/>
      <c r="LS487" s="199"/>
      <c r="LT487" s="199"/>
      <c r="LU487" s="199"/>
      <c r="LV487" s="199"/>
      <c r="LW487" s="199"/>
      <c r="LX487" s="199"/>
      <c r="LY487" s="199"/>
      <c r="LZ487" s="199"/>
      <c r="MA487" s="199"/>
      <c r="MB487" s="199"/>
      <c r="MC487" s="199"/>
      <c r="MD487" s="199"/>
      <c r="ME487" s="199"/>
      <c r="MF487" s="199"/>
      <c r="MG487" s="199"/>
      <c r="MH487" s="199"/>
      <c r="MI487" s="199"/>
      <c r="MJ487" s="199"/>
      <c r="MK487" s="199"/>
      <c r="ML487" s="199"/>
      <c r="MM487" s="199"/>
      <c r="MN487" s="199"/>
      <c r="MO487" s="199"/>
      <c r="MP487" s="199"/>
      <c r="MQ487" s="199"/>
      <c r="MR487" s="199"/>
      <c r="MS487" s="199"/>
      <c r="MT487" s="199"/>
      <c r="MU487" s="199"/>
      <c r="MV487" s="199"/>
      <c r="MW487" s="199"/>
      <c r="MX487" s="199"/>
      <c r="MY487" s="199"/>
      <c r="MZ487" s="199"/>
      <c r="NA487" s="199"/>
      <c r="NB487" s="199"/>
      <c r="NC487" s="199"/>
      <c r="ND487" s="199"/>
      <c r="NE487" s="199"/>
      <c r="NF487" s="199"/>
      <c r="NG487" s="199"/>
      <c r="NH487" s="199"/>
      <c r="NI487" s="199"/>
      <c r="NJ487" s="199"/>
      <c r="NK487" s="199"/>
      <c r="NL487" s="199"/>
      <c r="NM487" s="199"/>
      <c r="NN487" s="199"/>
      <c r="NO487" s="199"/>
      <c r="NP487" s="199"/>
      <c r="NQ487" s="199"/>
      <c r="NR487" s="199"/>
      <c r="NS487" s="199"/>
      <c r="NT487" s="199"/>
      <c r="NU487" s="199"/>
      <c r="NV487" s="199"/>
      <c r="NW487" s="199"/>
      <c r="NX487" s="199"/>
      <c r="NY487" s="199"/>
      <c r="NZ487" s="199"/>
      <c r="OA487" s="199"/>
      <c r="OB487" s="199"/>
      <c r="OC487" s="199"/>
      <c r="OD487" s="199"/>
      <c r="OE487" s="199"/>
      <c r="OF487" s="199"/>
      <c r="OG487" s="199"/>
      <c r="OH487" s="199"/>
      <c r="OI487" s="199"/>
      <c r="OJ487" s="199"/>
      <c r="OK487" s="199"/>
      <c r="OL487" s="199"/>
      <c r="OM487" s="199"/>
      <c r="ON487" s="199"/>
      <c r="OO487" s="199"/>
      <c r="OP487" s="199"/>
      <c r="OQ487" s="199"/>
      <c r="OR487" s="199"/>
      <c r="OS487" s="199"/>
      <c r="OT487" s="199"/>
      <c r="OU487" s="199"/>
      <c r="OV487" s="199"/>
      <c r="OW487" s="199"/>
      <c r="OX487" s="199"/>
      <c r="OY487" s="199"/>
      <c r="OZ487" s="199"/>
      <c r="PA487" s="199"/>
      <c r="PB487" s="199"/>
      <c r="PC487" s="199"/>
      <c r="PD487" s="199"/>
      <c r="PE487" s="199"/>
      <c r="PF487" s="199"/>
      <c r="PG487" s="199"/>
      <c r="PH487" s="199"/>
      <c r="PI487" s="199"/>
      <c r="PJ487" s="199"/>
      <c r="PK487" s="199"/>
      <c r="PL487" s="199"/>
      <c r="PM487" s="199"/>
      <c r="PN487" s="199"/>
      <c r="PO487" s="199"/>
      <c r="PP487" s="199"/>
      <c r="PQ487" s="199"/>
      <c r="PR487" s="199"/>
      <c r="PS487" s="199"/>
      <c r="PT487" s="199"/>
      <c r="PU487" s="199"/>
      <c r="PV487" s="199"/>
      <c r="PW487" s="199"/>
      <c r="PX487" s="199"/>
      <c r="PY487" s="199"/>
      <c r="PZ487" s="199"/>
      <c r="QA487" s="199"/>
      <c r="QB487" s="199"/>
      <c r="QC487" s="199"/>
      <c r="QD487" s="199"/>
      <c r="QE487" s="199"/>
      <c r="QF487" s="199"/>
      <c r="QG487" s="199"/>
      <c r="QH487" s="199"/>
      <c r="QI487" s="199"/>
      <c r="QJ487" s="199"/>
      <c r="QK487" s="199"/>
      <c r="QL487" s="199"/>
      <c r="QM487" s="199"/>
      <c r="QN487" s="199"/>
      <c r="QO487" s="199"/>
      <c r="QP487" s="199"/>
      <c r="QQ487" s="199"/>
      <c r="QR487" s="199"/>
      <c r="QS487" s="199"/>
      <c r="QT487" s="199"/>
      <c r="QU487" s="199"/>
      <c r="QV487" s="199"/>
      <c r="QW487" s="199"/>
      <c r="QX487" s="199"/>
      <c r="QY487" s="199"/>
      <c r="QZ487" s="199"/>
      <c r="RA487" s="199"/>
      <c r="RB487" s="199"/>
      <c r="RC487" s="199"/>
      <c r="RD487" s="199"/>
      <c r="RE487" s="199"/>
      <c r="RF487" s="199"/>
      <c r="RG487" s="199"/>
      <c r="RH487" s="199"/>
      <c r="RI487" s="199"/>
      <c r="RJ487" s="199"/>
      <c r="RK487" s="199"/>
      <c r="RL487" s="199"/>
      <c r="RM487" s="199"/>
      <c r="RN487" s="199"/>
      <c r="RO487" s="199"/>
      <c r="RP487" s="199"/>
      <c r="RQ487" s="199"/>
      <c r="RR487" s="199"/>
      <c r="RS487" s="199"/>
      <c r="RT487" s="199"/>
      <c r="RU487" s="199"/>
      <c r="RV487" s="199"/>
      <c r="RW487" s="199"/>
      <c r="RX487" s="199"/>
      <c r="RY487" s="199"/>
      <c r="RZ487" s="199"/>
      <c r="SA487" s="199"/>
      <c r="SB487" s="199"/>
      <c r="SC487" s="199"/>
      <c r="SD487" s="199"/>
      <c r="SE487" s="199"/>
      <c r="SF487" s="199"/>
      <c r="SG487" s="199"/>
      <c r="SH487" s="199"/>
      <c r="SI487" s="199"/>
      <c r="SJ487" s="199"/>
      <c r="SK487" s="199"/>
      <c r="SL487" s="199"/>
      <c r="SM487" s="199"/>
      <c r="SN487" s="199"/>
      <c r="SO487" s="199"/>
      <c r="SP487" s="199"/>
    </row>
    <row r="488" spans="1:510" ht="52.5">
      <c r="A488" s="214" t="s">
        <v>988</v>
      </c>
      <c r="B488" s="215" t="s">
        <v>581</v>
      </c>
      <c r="C488" s="344" t="s">
        <v>1104</v>
      </c>
      <c r="D488" s="187" t="s">
        <v>18</v>
      </c>
      <c r="E488" s="187" t="s">
        <v>28</v>
      </c>
      <c r="F488" s="187" t="s">
        <v>27</v>
      </c>
      <c r="G488" s="305">
        <f>'DIC-18'!I488</f>
        <v>587.49000000000024</v>
      </c>
      <c r="H488" s="348"/>
      <c r="I488" s="460">
        <f t="shared" si="9"/>
        <v>587.49000000000024</v>
      </c>
      <c r="J488" s="448"/>
      <c r="K488" s="219"/>
    </row>
    <row r="489" spans="1:510" ht="30">
      <c r="A489" s="11" t="s">
        <v>235</v>
      </c>
      <c r="B489" s="54" t="s">
        <v>582</v>
      </c>
      <c r="C489" s="13"/>
      <c r="D489" s="14" t="s">
        <v>18</v>
      </c>
      <c r="E489" s="14" t="s">
        <v>28</v>
      </c>
      <c r="F489" s="14" t="s">
        <v>27</v>
      </c>
      <c r="G489" s="305">
        <f>'DIC-18'!I489</f>
        <v>2.8699999999999992</v>
      </c>
      <c r="H489" s="276"/>
      <c r="I489" s="17">
        <f t="shared" si="9"/>
        <v>2.8699999999999992</v>
      </c>
      <c r="J489" s="56"/>
      <c r="K489" s="56"/>
    </row>
    <row r="490" spans="1:510" ht="96" customHeight="1">
      <c r="A490" s="11" t="s">
        <v>200</v>
      </c>
      <c r="B490" s="53" t="s">
        <v>584</v>
      </c>
      <c r="C490" s="61"/>
      <c r="D490" s="14"/>
      <c r="E490" s="14"/>
      <c r="F490" s="14"/>
      <c r="G490" s="305">
        <f>'DIC-18'!I490</f>
        <v>0</v>
      </c>
      <c r="H490" s="51"/>
      <c r="I490" s="17"/>
      <c r="J490" s="56"/>
      <c r="K490" s="56"/>
    </row>
    <row r="491" spans="1:510" ht="30">
      <c r="A491" s="11">
        <v>54111</v>
      </c>
      <c r="B491" s="54" t="s">
        <v>583</v>
      </c>
      <c r="C491" s="13"/>
      <c r="D491" s="14" t="s">
        <v>18</v>
      </c>
      <c r="E491" s="14" t="s">
        <v>28</v>
      </c>
      <c r="F491" s="14" t="s">
        <v>27</v>
      </c>
      <c r="G491" s="305">
        <f>'DIC-18'!I491</f>
        <v>0</v>
      </c>
      <c r="H491" s="51"/>
      <c r="I491" s="17">
        <f t="shared" si="9"/>
        <v>0</v>
      </c>
      <c r="J491" s="56"/>
      <c r="K491" s="300"/>
    </row>
    <row r="492" spans="1:510" ht="75">
      <c r="A492" s="141" t="s">
        <v>201</v>
      </c>
      <c r="B492" s="53" t="s">
        <v>585</v>
      </c>
      <c r="C492" s="13"/>
      <c r="D492" s="14"/>
      <c r="E492" s="14"/>
      <c r="F492" s="14"/>
      <c r="G492" s="305">
        <f>'DIC-18'!I492</f>
        <v>0</v>
      </c>
      <c r="H492" s="51"/>
      <c r="I492" s="17"/>
      <c r="J492" s="56"/>
      <c r="K492" s="56"/>
    </row>
    <row r="493" spans="1:510" ht="29.25">
      <c r="A493" s="11">
        <v>54110</v>
      </c>
      <c r="B493" s="54" t="s">
        <v>586</v>
      </c>
      <c r="C493" s="13"/>
      <c r="D493" s="14" t="s">
        <v>18</v>
      </c>
      <c r="E493" s="14" t="s">
        <v>28</v>
      </c>
      <c r="F493" s="14" t="s">
        <v>27</v>
      </c>
      <c r="G493" s="305">
        <f>'DIC-18'!I493</f>
        <v>0</v>
      </c>
      <c r="H493" s="51"/>
      <c r="I493" s="17">
        <f t="shared" si="9"/>
        <v>0</v>
      </c>
      <c r="J493" s="56"/>
      <c r="K493" s="300"/>
    </row>
    <row r="494" spans="1:510" ht="30">
      <c r="A494" s="11">
        <v>54111</v>
      </c>
      <c r="B494" s="54" t="s">
        <v>587</v>
      </c>
      <c r="C494" s="13"/>
      <c r="D494" s="14" t="s">
        <v>18</v>
      </c>
      <c r="E494" s="14" t="s">
        <v>28</v>
      </c>
      <c r="F494" s="14" t="s">
        <v>27</v>
      </c>
      <c r="G494" s="305">
        <f>'DIC-18'!I494</f>
        <v>0</v>
      </c>
      <c r="H494" s="51"/>
      <c r="I494" s="17">
        <f t="shared" si="9"/>
        <v>0</v>
      </c>
      <c r="J494" s="56"/>
      <c r="K494" s="300"/>
    </row>
    <row r="495" spans="1:510" ht="29.25">
      <c r="A495" s="11">
        <v>54112</v>
      </c>
      <c r="B495" s="54" t="s">
        <v>588</v>
      </c>
      <c r="C495" s="59"/>
      <c r="D495" s="14" t="s">
        <v>18</v>
      </c>
      <c r="E495" s="14" t="s">
        <v>28</v>
      </c>
      <c r="F495" s="14" t="s">
        <v>27</v>
      </c>
      <c r="G495" s="305">
        <f>'DIC-18'!I495</f>
        <v>0</v>
      </c>
      <c r="H495" s="51"/>
      <c r="I495" s="17">
        <f t="shared" si="9"/>
        <v>0</v>
      </c>
      <c r="J495" s="56"/>
      <c r="K495" s="300"/>
    </row>
    <row r="496" spans="1:510" ht="29.25">
      <c r="A496" s="11">
        <v>55603</v>
      </c>
      <c r="B496" s="54" t="s">
        <v>974</v>
      </c>
      <c r="C496" s="55"/>
      <c r="D496" s="14" t="s">
        <v>18</v>
      </c>
      <c r="E496" s="14" t="s">
        <v>28</v>
      </c>
      <c r="F496" s="14" t="s">
        <v>27</v>
      </c>
      <c r="G496" s="305">
        <f>'DIC-18'!I496</f>
        <v>0</v>
      </c>
      <c r="H496" s="51"/>
      <c r="I496" s="17">
        <f t="shared" si="9"/>
        <v>0</v>
      </c>
      <c r="J496" s="11"/>
      <c r="K496" s="129"/>
    </row>
    <row r="497" spans="1:11" ht="90">
      <c r="A497" s="11" t="s">
        <v>220</v>
      </c>
      <c r="B497" s="53" t="s">
        <v>966</v>
      </c>
      <c r="C497" s="55"/>
      <c r="D497" s="14"/>
      <c r="E497" s="14"/>
      <c r="F497" s="14"/>
      <c r="G497" s="305">
        <f>'DIC-18'!I497</f>
        <v>0</v>
      </c>
      <c r="H497" s="51"/>
      <c r="I497" s="17"/>
      <c r="J497" s="11"/>
      <c r="K497" s="54"/>
    </row>
    <row r="498" spans="1:11" ht="29.25">
      <c r="A498" s="11">
        <v>51202</v>
      </c>
      <c r="B498" s="54" t="s">
        <v>589</v>
      </c>
      <c r="C498" s="55"/>
      <c r="D498" s="14" t="s">
        <v>18</v>
      </c>
      <c r="E498" s="14" t="s">
        <v>28</v>
      </c>
      <c r="F498" s="14" t="s">
        <v>27</v>
      </c>
      <c r="G498" s="305">
        <f>'DIC-18'!I498</f>
        <v>0</v>
      </c>
      <c r="H498" s="51"/>
      <c r="I498" s="17">
        <f t="shared" si="9"/>
        <v>0</v>
      </c>
      <c r="J498" s="11"/>
      <c r="K498" s="251"/>
    </row>
    <row r="499" spans="1:11" ht="29.25" customHeight="1">
      <c r="A499" s="11">
        <v>54110</v>
      </c>
      <c r="B499" s="54" t="s">
        <v>590</v>
      </c>
      <c r="C499" s="55"/>
      <c r="D499" s="14" t="s">
        <v>18</v>
      </c>
      <c r="E499" s="14" t="s">
        <v>28</v>
      </c>
      <c r="F499" s="14" t="s">
        <v>27</v>
      </c>
      <c r="G499" s="305">
        <f>'DIC-18'!I499</f>
        <v>0</v>
      </c>
      <c r="H499" s="51"/>
      <c r="I499" s="17">
        <f t="shared" si="9"/>
        <v>0</v>
      </c>
      <c r="J499" s="11"/>
      <c r="K499" s="251"/>
    </row>
    <row r="500" spans="1:11" ht="30">
      <c r="A500" s="11">
        <v>54111</v>
      </c>
      <c r="B500" s="54" t="s">
        <v>591</v>
      </c>
      <c r="C500" s="55"/>
      <c r="D500" s="14" t="s">
        <v>18</v>
      </c>
      <c r="E500" s="14" t="s">
        <v>28</v>
      </c>
      <c r="F500" s="14" t="s">
        <v>27</v>
      </c>
      <c r="G500" s="305">
        <f>'DIC-18'!I500</f>
        <v>-6.3726801613483985E-14</v>
      </c>
      <c r="H500" s="51"/>
      <c r="I500" s="17">
        <f t="shared" si="9"/>
        <v>-6.3726801613483985E-14</v>
      </c>
      <c r="J500" s="252"/>
      <c r="K500" s="251"/>
    </row>
    <row r="501" spans="1:11" ht="29.25">
      <c r="A501" s="11">
        <v>54112</v>
      </c>
      <c r="B501" s="54" t="s">
        <v>592</v>
      </c>
      <c r="C501" s="55"/>
      <c r="D501" s="14" t="s">
        <v>18</v>
      </c>
      <c r="E501" s="14" t="s">
        <v>28</v>
      </c>
      <c r="F501" s="14" t="s">
        <v>27</v>
      </c>
      <c r="G501" s="305">
        <f>'DIC-18'!I501</f>
        <v>0</v>
      </c>
      <c r="H501" s="51"/>
      <c r="I501" s="17">
        <f t="shared" si="9"/>
        <v>0</v>
      </c>
      <c r="J501" s="11"/>
      <c r="K501" s="251"/>
    </row>
    <row r="502" spans="1:11" ht="29.25">
      <c r="A502" s="11">
        <v>54313</v>
      </c>
      <c r="B502" s="54" t="s">
        <v>593</v>
      </c>
      <c r="C502" s="55"/>
      <c r="D502" s="14" t="s">
        <v>18</v>
      </c>
      <c r="E502" s="14" t="s">
        <v>28</v>
      </c>
      <c r="F502" s="14" t="s">
        <v>27</v>
      </c>
      <c r="G502" s="305">
        <f>'DIC-18'!I502</f>
        <v>0</v>
      </c>
      <c r="H502" s="51"/>
      <c r="I502" s="17">
        <f t="shared" si="9"/>
        <v>0</v>
      </c>
      <c r="J502" s="11"/>
      <c r="K502" s="251"/>
    </row>
    <row r="503" spans="1:11" ht="105" customHeight="1">
      <c r="A503" s="11" t="s">
        <v>238</v>
      </c>
      <c r="B503" s="53" t="s">
        <v>595</v>
      </c>
      <c r="C503" s="343" t="s">
        <v>1105</v>
      </c>
      <c r="D503" s="14"/>
      <c r="E503" s="14"/>
      <c r="F503" s="14"/>
      <c r="G503" s="305">
        <f>'DIC-18'!I503</f>
        <v>0</v>
      </c>
      <c r="H503" s="51"/>
      <c r="I503" s="17"/>
      <c r="J503" s="11"/>
      <c r="K503" s="54"/>
    </row>
    <row r="504" spans="1:11" ht="29.25">
      <c r="A504" s="11">
        <v>51202</v>
      </c>
      <c r="B504" s="54" t="s">
        <v>594</v>
      </c>
      <c r="C504" s="55"/>
      <c r="D504" s="14" t="s">
        <v>18</v>
      </c>
      <c r="E504" s="14" t="s">
        <v>28</v>
      </c>
      <c r="F504" s="14" t="s">
        <v>27</v>
      </c>
      <c r="G504" s="305">
        <f>'DIC-18'!I504</f>
        <v>0</v>
      </c>
      <c r="H504" s="51"/>
      <c r="I504" s="17">
        <f t="shared" si="9"/>
        <v>0</v>
      </c>
      <c r="J504" s="272"/>
      <c r="K504" s="129"/>
    </row>
    <row r="505" spans="1:11" ht="29.25">
      <c r="A505" s="11">
        <v>54110</v>
      </c>
      <c r="B505" s="54" t="s">
        <v>596</v>
      </c>
      <c r="C505" s="55"/>
      <c r="D505" s="14" t="s">
        <v>18</v>
      </c>
      <c r="E505" s="14" t="s">
        <v>28</v>
      </c>
      <c r="F505" s="14" t="s">
        <v>27</v>
      </c>
      <c r="G505" s="305">
        <f>'DIC-18'!I505</f>
        <v>0</v>
      </c>
      <c r="H505" s="51"/>
      <c r="I505" s="17">
        <f t="shared" si="9"/>
        <v>0</v>
      </c>
      <c r="J505" s="272"/>
      <c r="K505" s="129"/>
    </row>
    <row r="506" spans="1:11" ht="29.25">
      <c r="A506" s="11">
        <v>54111</v>
      </c>
      <c r="B506" s="54" t="s">
        <v>597</v>
      </c>
      <c r="C506" s="55"/>
      <c r="D506" s="14" t="s">
        <v>18</v>
      </c>
      <c r="E506" s="14" t="s">
        <v>28</v>
      </c>
      <c r="F506" s="14" t="s">
        <v>27</v>
      </c>
      <c r="G506" s="305">
        <f>'DIC-18'!I506</f>
        <v>0</v>
      </c>
      <c r="H506" s="51"/>
      <c r="I506" s="17">
        <f t="shared" si="9"/>
        <v>0</v>
      </c>
      <c r="J506" s="128"/>
      <c r="K506" s="129"/>
    </row>
    <row r="507" spans="1:11" ht="29.25">
      <c r="A507" s="11">
        <v>54112</v>
      </c>
      <c r="B507" s="54" t="s">
        <v>598</v>
      </c>
      <c r="C507" s="55"/>
      <c r="D507" s="14" t="s">
        <v>18</v>
      </c>
      <c r="E507" s="14" t="s">
        <v>28</v>
      </c>
      <c r="F507" s="14" t="s">
        <v>27</v>
      </c>
      <c r="G507" s="305">
        <f>'DIC-18'!I507</f>
        <v>0</v>
      </c>
      <c r="H507" s="51"/>
      <c r="I507" s="17">
        <f t="shared" si="9"/>
        <v>0</v>
      </c>
      <c r="J507" s="128"/>
      <c r="K507" s="129"/>
    </row>
    <row r="508" spans="1:11" ht="29.25">
      <c r="A508" s="11">
        <v>54118</v>
      </c>
      <c r="B508" s="54" t="s">
        <v>599</v>
      </c>
      <c r="C508" s="55"/>
      <c r="D508" s="14" t="s">
        <v>18</v>
      </c>
      <c r="E508" s="14" t="s">
        <v>28</v>
      </c>
      <c r="F508" s="14" t="s">
        <v>27</v>
      </c>
      <c r="G508" s="305">
        <f>'DIC-18'!I508</f>
        <v>0</v>
      </c>
      <c r="H508" s="51"/>
      <c r="I508" s="17">
        <f t="shared" si="9"/>
        <v>0</v>
      </c>
      <c r="J508" s="142"/>
      <c r="K508" s="142"/>
    </row>
    <row r="509" spans="1:11" ht="29.25">
      <c r="A509" s="11">
        <v>54304</v>
      </c>
      <c r="B509" s="54" t="s">
        <v>600</v>
      </c>
      <c r="C509" s="55"/>
      <c r="D509" s="14" t="s">
        <v>18</v>
      </c>
      <c r="E509" s="14" t="s">
        <v>28</v>
      </c>
      <c r="F509" s="14" t="s">
        <v>27</v>
      </c>
      <c r="G509" s="305">
        <f>'DIC-18'!I509</f>
        <v>0</v>
      </c>
      <c r="H509" s="51"/>
      <c r="I509" s="17">
        <f t="shared" si="9"/>
        <v>0</v>
      </c>
      <c r="J509" s="56"/>
      <c r="K509" s="237"/>
    </row>
    <row r="510" spans="1:11" ht="29.25">
      <c r="A510" s="11">
        <v>54313</v>
      </c>
      <c r="B510" s="54" t="s">
        <v>601</v>
      </c>
      <c r="C510" s="55"/>
      <c r="D510" s="14" t="s">
        <v>18</v>
      </c>
      <c r="E510" s="14" t="s">
        <v>28</v>
      </c>
      <c r="F510" s="14" t="s">
        <v>27</v>
      </c>
      <c r="G510" s="305">
        <f>'DIC-18'!I510</f>
        <v>0</v>
      </c>
      <c r="H510" s="51"/>
      <c r="I510" s="17">
        <f t="shared" si="9"/>
        <v>0</v>
      </c>
      <c r="J510" s="56"/>
      <c r="K510" s="237"/>
    </row>
    <row r="511" spans="1:11" ht="57.75">
      <c r="A511" s="11">
        <v>54316</v>
      </c>
      <c r="B511" s="54" t="s">
        <v>1047</v>
      </c>
      <c r="C511" s="55"/>
      <c r="D511" s="14" t="s">
        <v>18</v>
      </c>
      <c r="E511" s="14" t="s">
        <v>28</v>
      </c>
      <c r="F511" s="14" t="s">
        <v>27</v>
      </c>
      <c r="G511" s="305">
        <f>'DIC-18'!I511</f>
        <v>0</v>
      </c>
      <c r="H511" s="51"/>
      <c r="I511" s="17">
        <f t="shared" si="9"/>
        <v>0</v>
      </c>
      <c r="J511" s="137"/>
      <c r="K511" s="237"/>
    </row>
    <row r="512" spans="1:11" ht="29.25">
      <c r="A512" s="11">
        <v>54399</v>
      </c>
      <c r="B512" s="54" t="s">
        <v>602</v>
      </c>
      <c r="C512" s="13"/>
      <c r="D512" s="14" t="s">
        <v>18</v>
      </c>
      <c r="E512" s="14" t="s">
        <v>28</v>
      </c>
      <c r="F512" s="14" t="s">
        <v>27</v>
      </c>
      <c r="G512" s="305">
        <f>'DIC-18'!I512</f>
        <v>0</v>
      </c>
      <c r="H512" s="51"/>
      <c r="I512" s="17">
        <f t="shared" si="9"/>
        <v>0</v>
      </c>
      <c r="J512" s="56"/>
      <c r="K512" s="300"/>
    </row>
    <row r="513" spans="1:11" ht="29.25">
      <c r="A513" s="11">
        <v>55603</v>
      </c>
      <c r="B513" s="54" t="s">
        <v>603</v>
      </c>
      <c r="C513" s="55"/>
      <c r="D513" s="14" t="s">
        <v>18</v>
      </c>
      <c r="E513" s="14" t="s">
        <v>28</v>
      </c>
      <c r="F513" s="14" t="s">
        <v>27</v>
      </c>
      <c r="G513" s="305">
        <f>'DIC-18'!I513</f>
        <v>0</v>
      </c>
      <c r="H513" s="51"/>
      <c r="I513" s="17">
        <f t="shared" si="9"/>
        <v>0</v>
      </c>
      <c r="J513" s="56"/>
      <c r="K513" s="300"/>
    </row>
    <row r="514" spans="1:11" ht="102.75" customHeight="1">
      <c r="A514" s="141" t="s">
        <v>256</v>
      </c>
      <c r="B514" s="53" t="s">
        <v>982</v>
      </c>
      <c r="C514" s="13"/>
      <c r="D514" s="14"/>
      <c r="E514" s="14"/>
      <c r="F514" s="14"/>
      <c r="G514" s="305">
        <f>'DIC-18'!I514</f>
        <v>0</v>
      </c>
      <c r="H514" s="51"/>
      <c r="I514" s="17"/>
      <c r="J514" s="56"/>
      <c r="K514" s="56"/>
    </row>
    <row r="515" spans="1:11" ht="29.25">
      <c r="A515" s="11">
        <v>51202</v>
      </c>
      <c r="B515" s="53" t="s">
        <v>605</v>
      </c>
      <c r="C515" s="13"/>
      <c r="D515" s="14" t="s">
        <v>18</v>
      </c>
      <c r="E515" s="14" t="s">
        <v>28</v>
      </c>
      <c r="F515" s="14" t="s">
        <v>27</v>
      </c>
      <c r="G515" s="305">
        <f>'DIC-18'!I515</f>
        <v>0</v>
      </c>
      <c r="H515" s="51"/>
      <c r="I515" s="17">
        <f t="shared" si="9"/>
        <v>0</v>
      </c>
      <c r="J515" s="237"/>
      <c r="K515" s="333"/>
    </row>
    <row r="516" spans="1:11" ht="29.25">
      <c r="A516" s="11">
        <v>54110</v>
      </c>
      <c r="B516" s="53" t="s">
        <v>606</v>
      </c>
      <c r="C516" s="13"/>
      <c r="D516" s="14" t="s">
        <v>18</v>
      </c>
      <c r="E516" s="14" t="s">
        <v>28</v>
      </c>
      <c r="F516" s="14" t="s">
        <v>27</v>
      </c>
      <c r="G516" s="305">
        <f>'DIC-18'!I516</f>
        <v>0</v>
      </c>
      <c r="H516" s="51"/>
      <c r="I516" s="17">
        <f t="shared" si="9"/>
        <v>0</v>
      </c>
      <c r="J516" s="237"/>
      <c r="K516" s="333"/>
    </row>
    <row r="517" spans="1:11" ht="30">
      <c r="A517" s="11">
        <v>54111</v>
      </c>
      <c r="B517" s="53" t="s">
        <v>607</v>
      </c>
      <c r="C517" s="13"/>
      <c r="D517" s="14" t="s">
        <v>18</v>
      </c>
      <c r="E517" s="14" t="s">
        <v>28</v>
      </c>
      <c r="F517" s="14" t="s">
        <v>27</v>
      </c>
      <c r="G517" s="305">
        <f>'DIC-18'!I517</f>
        <v>0</v>
      </c>
      <c r="H517" s="212"/>
      <c r="I517" s="17">
        <f t="shared" si="9"/>
        <v>0</v>
      </c>
      <c r="J517" s="253"/>
      <c r="K517" s="333"/>
    </row>
    <row r="518" spans="1:11" ht="29.25">
      <c r="A518" s="11">
        <v>54112</v>
      </c>
      <c r="B518" s="53" t="s">
        <v>608</v>
      </c>
      <c r="C518" s="13"/>
      <c r="D518" s="14" t="s">
        <v>18</v>
      </c>
      <c r="E518" s="14" t="s">
        <v>28</v>
      </c>
      <c r="F518" s="14" t="s">
        <v>27</v>
      </c>
      <c r="G518" s="305">
        <f>'DIC-18'!I518</f>
        <v>0</v>
      </c>
      <c r="H518" s="51"/>
      <c r="I518" s="17">
        <f t="shared" si="9"/>
        <v>0</v>
      </c>
      <c r="J518" s="237"/>
      <c r="K518" s="334"/>
    </row>
    <row r="519" spans="1:11" ht="29.25">
      <c r="A519" s="11">
        <v>54118</v>
      </c>
      <c r="B519" s="53" t="s">
        <v>609</v>
      </c>
      <c r="C519" s="13"/>
      <c r="D519" s="14" t="s">
        <v>18</v>
      </c>
      <c r="E519" s="14" t="s">
        <v>28</v>
      </c>
      <c r="F519" s="14" t="s">
        <v>27</v>
      </c>
      <c r="G519" s="305">
        <f>'DIC-18'!I519</f>
        <v>0</v>
      </c>
      <c r="H519" s="51"/>
      <c r="I519" s="17">
        <f t="shared" si="9"/>
        <v>0</v>
      </c>
      <c r="J519" s="237"/>
      <c r="K519" s="333"/>
    </row>
    <row r="520" spans="1:11" ht="29.25">
      <c r="A520" s="11">
        <v>54304</v>
      </c>
      <c r="B520" s="53" t="s">
        <v>610</v>
      </c>
      <c r="C520" s="13"/>
      <c r="D520" s="14" t="s">
        <v>18</v>
      </c>
      <c r="E520" s="14" t="s">
        <v>28</v>
      </c>
      <c r="F520" s="14" t="s">
        <v>27</v>
      </c>
      <c r="G520" s="305">
        <f>'DIC-18'!I520</f>
        <v>0</v>
      </c>
      <c r="H520" s="51"/>
      <c r="I520" s="17">
        <f t="shared" si="9"/>
        <v>0</v>
      </c>
      <c r="J520" s="56"/>
      <c r="K520" s="300"/>
    </row>
    <row r="521" spans="1:11" ht="29.25">
      <c r="A521" s="11">
        <v>54313</v>
      </c>
      <c r="B521" s="53" t="s">
        <v>611</v>
      </c>
      <c r="C521" s="13"/>
      <c r="D521" s="14" t="s">
        <v>18</v>
      </c>
      <c r="E521" s="14" t="s">
        <v>28</v>
      </c>
      <c r="F521" s="14" t="s">
        <v>27</v>
      </c>
      <c r="G521" s="305">
        <f>'DIC-18'!I521</f>
        <v>0</v>
      </c>
      <c r="H521" s="51"/>
      <c r="I521" s="17">
        <f t="shared" si="9"/>
        <v>0</v>
      </c>
      <c r="J521" s="56"/>
      <c r="K521" s="300"/>
    </row>
    <row r="522" spans="1:11" ht="105">
      <c r="A522" s="141" t="s">
        <v>264</v>
      </c>
      <c r="B522" s="53" t="s">
        <v>981</v>
      </c>
      <c r="C522" s="13"/>
      <c r="D522" s="14"/>
      <c r="E522" s="14"/>
      <c r="F522" s="14"/>
      <c r="G522" s="305">
        <f>'DIC-18'!I522</f>
        <v>0</v>
      </c>
      <c r="H522" s="51"/>
      <c r="I522" s="17"/>
      <c r="J522" s="56"/>
      <c r="K522" s="331"/>
    </row>
    <row r="523" spans="1:11" ht="29.25">
      <c r="A523" s="11">
        <v>51202</v>
      </c>
      <c r="B523" s="53" t="s">
        <v>613</v>
      </c>
      <c r="C523" s="13"/>
      <c r="D523" s="14" t="s">
        <v>18</v>
      </c>
      <c r="E523" s="14" t="s">
        <v>28</v>
      </c>
      <c r="F523" s="14" t="s">
        <v>27</v>
      </c>
      <c r="G523" s="305">
        <f>'DIC-18'!I523</f>
        <v>0</v>
      </c>
      <c r="H523" s="51"/>
      <c r="I523" s="17">
        <f t="shared" si="9"/>
        <v>0</v>
      </c>
      <c r="J523" s="56"/>
      <c r="K523" s="335"/>
    </row>
    <row r="524" spans="1:11" ht="29.25">
      <c r="A524" s="11">
        <v>54110</v>
      </c>
      <c r="B524" s="53" t="s">
        <v>614</v>
      </c>
      <c r="C524" s="13"/>
      <c r="D524" s="14" t="s">
        <v>18</v>
      </c>
      <c r="E524" s="14" t="s">
        <v>28</v>
      </c>
      <c r="F524" s="14" t="s">
        <v>27</v>
      </c>
      <c r="G524" s="305">
        <f>'DIC-18'!I524</f>
        <v>0</v>
      </c>
      <c r="H524" s="51"/>
      <c r="I524" s="17">
        <f t="shared" si="9"/>
        <v>0</v>
      </c>
      <c r="J524" s="56"/>
      <c r="K524" s="336"/>
    </row>
    <row r="525" spans="1:11" ht="43.5">
      <c r="A525" s="11">
        <v>54111</v>
      </c>
      <c r="B525" s="53" t="s">
        <v>615</v>
      </c>
      <c r="C525" s="13"/>
      <c r="D525" s="14" t="s">
        <v>18</v>
      </c>
      <c r="E525" s="14" t="s">
        <v>28</v>
      </c>
      <c r="F525" s="14" t="s">
        <v>27</v>
      </c>
      <c r="G525" s="305">
        <f>'DIC-18'!I525</f>
        <v>0</v>
      </c>
      <c r="H525" s="51"/>
      <c r="I525" s="17">
        <f t="shared" si="9"/>
        <v>0</v>
      </c>
      <c r="J525" s="239"/>
      <c r="K525" s="333"/>
    </row>
    <row r="526" spans="1:11" ht="43.5">
      <c r="A526" s="11">
        <v>54112</v>
      </c>
      <c r="B526" s="53" t="s">
        <v>616</v>
      </c>
      <c r="C526" s="13"/>
      <c r="D526" s="14" t="s">
        <v>18</v>
      </c>
      <c r="E526" s="14" t="s">
        <v>28</v>
      </c>
      <c r="F526" s="14" t="s">
        <v>27</v>
      </c>
      <c r="G526" s="305">
        <f>'DIC-18'!I526</f>
        <v>0</v>
      </c>
      <c r="H526" s="51"/>
      <c r="I526" s="17">
        <f t="shared" si="9"/>
        <v>0</v>
      </c>
      <c r="J526" s="56"/>
      <c r="K526" s="336"/>
    </row>
    <row r="527" spans="1:11" ht="43.5">
      <c r="A527" s="11">
        <v>54118</v>
      </c>
      <c r="B527" s="53" t="s">
        <v>617</v>
      </c>
      <c r="C527" s="13"/>
      <c r="D527" s="14" t="s">
        <v>18</v>
      </c>
      <c r="E527" s="14" t="s">
        <v>28</v>
      </c>
      <c r="F527" s="14" t="s">
        <v>27</v>
      </c>
      <c r="G527" s="305">
        <f>'DIC-18'!I527</f>
        <v>-9.9920072216264089E-16</v>
      </c>
      <c r="H527" s="51"/>
      <c r="I527" s="17">
        <f t="shared" si="9"/>
        <v>-9.9920072216264089E-16</v>
      </c>
      <c r="J527" s="56"/>
      <c r="K527" s="301"/>
    </row>
    <row r="528" spans="1:11" ht="43.5">
      <c r="A528" s="11">
        <v>54304</v>
      </c>
      <c r="B528" s="53" t="s">
        <v>618</v>
      </c>
      <c r="C528" s="13"/>
      <c r="D528" s="14" t="s">
        <v>18</v>
      </c>
      <c r="E528" s="14" t="s">
        <v>28</v>
      </c>
      <c r="F528" s="14" t="s">
        <v>27</v>
      </c>
      <c r="G528" s="305">
        <f>'DIC-18'!I528</f>
        <v>0</v>
      </c>
      <c r="H528" s="51"/>
      <c r="I528" s="17">
        <f t="shared" si="9"/>
        <v>0</v>
      </c>
      <c r="J528" s="56"/>
      <c r="K528" s="142"/>
    </row>
    <row r="529" spans="1:11" ht="43.5">
      <c r="A529" s="11">
        <v>54313</v>
      </c>
      <c r="B529" s="53" t="s">
        <v>619</v>
      </c>
      <c r="C529" s="13"/>
      <c r="D529" s="14" t="s">
        <v>18</v>
      </c>
      <c r="E529" s="14" t="s">
        <v>28</v>
      </c>
      <c r="F529" s="14" t="s">
        <v>27</v>
      </c>
      <c r="G529" s="305">
        <f>'DIC-18'!I529</f>
        <v>0</v>
      </c>
      <c r="H529" s="51"/>
      <c r="I529" s="17">
        <f t="shared" si="9"/>
        <v>0</v>
      </c>
      <c r="J529" s="237"/>
      <c r="K529" s="137"/>
    </row>
    <row r="530" spans="1:11" ht="105">
      <c r="A530" s="144" t="s">
        <v>269</v>
      </c>
      <c r="B530" s="53" t="s">
        <v>983</v>
      </c>
      <c r="C530" s="13"/>
      <c r="D530" s="14"/>
      <c r="E530" s="14"/>
      <c r="F530" s="14"/>
      <c r="G530" s="305">
        <f>'DIC-18'!I530</f>
        <v>0</v>
      </c>
      <c r="H530" s="51"/>
      <c r="I530" s="17"/>
      <c r="J530" s="331"/>
      <c r="K530" s="56"/>
    </row>
    <row r="531" spans="1:11" ht="29.25">
      <c r="A531" s="11">
        <v>51202</v>
      </c>
      <c r="B531" s="54" t="s">
        <v>620</v>
      </c>
      <c r="C531" s="13"/>
      <c r="D531" s="14" t="s">
        <v>18</v>
      </c>
      <c r="E531" s="14" t="s">
        <v>28</v>
      </c>
      <c r="F531" s="14" t="s">
        <v>27</v>
      </c>
      <c r="G531" s="305">
        <f>'DIC-18'!I531</f>
        <v>6000</v>
      </c>
      <c r="H531" s="51"/>
      <c r="I531" s="17">
        <f t="shared" si="9"/>
        <v>6000</v>
      </c>
      <c r="J531" s="142"/>
      <c r="K531" s="300"/>
    </row>
    <row r="532" spans="1:11" ht="35.25" customHeight="1">
      <c r="A532" s="11">
        <v>54110</v>
      </c>
      <c r="B532" s="54" t="s">
        <v>622</v>
      </c>
      <c r="C532" s="13"/>
      <c r="D532" s="14" t="s">
        <v>18</v>
      </c>
      <c r="E532" s="14" t="s">
        <v>28</v>
      </c>
      <c r="F532" s="14" t="s">
        <v>27</v>
      </c>
      <c r="G532" s="305">
        <f>'DIC-18'!I532</f>
        <v>300</v>
      </c>
      <c r="H532" s="51"/>
      <c r="I532" s="17">
        <f t="shared" si="9"/>
        <v>300</v>
      </c>
      <c r="J532" s="142"/>
      <c r="K532" s="300"/>
    </row>
    <row r="533" spans="1:11" ht="43.5">
      <c r="A533" s="11">
        <v>54111</v>
      </c>
      <c r="B533" s="54" t="s">
        <v>621</v>
      </c>
      <c r="C533" s="13"/>
      <c r="D533" s="14" t="s">
        <v>18</v>
      </c>
      <c r="E533" s="14" t="s">
        <v>28</v>
      </c>
      <c r="F533" s="14" t="s">
        <v>27</v>
      </c>
      <c r="G533" s="305">
        <f>'DIC-18'!I533</f>
        <v>7095.87</v>
      </c>
      <c r="H533" s="51"/>
      <c r="I533" s="17">
        <f t="shared" si="9"/>
        <v>7095.87</v>
      </c>
      <c r="J533" s="142"/>
      <c r="K533" s="300"/>
    </row>
    <row r="534" spans="1:11" ht="43.5">
      <c r="A534" s="11">
        <v>54112</v>
      </c>
      <c r="B534" s="54" t="s">
        <v>623</v>
      </c>
      <c r="C534" s="13"/>
      <c r="D534" s="14" t="s">
        <v>18</v>
      </c>
      <c r="E534" s="14" t="s">
        <v>28</v>
      </c>
      <c r="F534" s="14" t="s">
        <v>27</v>
      </c>
      <c r="G534" s="305">
        <f>'DIC-18'!I534</f>
        <v>5000</v>
      </c>
      <c r="H534" s="51"/>
      <c r="I534" s="17">
        <f t="shared" si="9"/>
        <v>5000</v>
      </c>
      <c r="J534" s="142"/>
      <c r="K534" s="300"/>
    </row>
    <row r="535" spans="1:11" ht="43.5">
      <c r="A535" s="11">
        <v>54118</v>
      </c>
      <c r="B535" s="54" t="s">
        <v>624</v>
      </c>
      <c r="C535" s="13"/>
      <c r="D535" s="14" t="s">
        <v>18</v>
      </c>
      <c r="E535" s="14" t="s">
        <v>28</v>
      </c>
      <c r="F535" s="14" t="s">
        <v>27</v>
      </c>
      <c r="G535" s="305">
        <f>'DIC-18'!I535</f>
        <v>1000</v>
      </c>
      <c r="H535" s="51"/>
      <c r="I535" s="17">
        <f t="shared" si="9"/>
        <v>1000</v>
      </c>
      <c r="J535" s="142"/>
      <c r="K535" s="300"/>
    </row>
    <row r="536" spans="1:11" ht="43.5">
      <c r="A536" s="11">
        <v>54304</v>
      </c>
      <c r="B536" s="54" t="s">
        <v>625</v>
      </c>
      <c r="C536" s="13"/>
      <c r="D536" s="14" t="s">
        <v>18</v>
      </c>
      <c r="E536" s="14" t="s">
        <v>28</v>
      </c>
      <c r="F536" s="14" t="s">
        <v>27</v>
      </c>
      <c r="G536" s="305">
        <f>'DIC-18'!I536</f>
        <v>300</v>
      </c>
      <c r="H536" s="51"/>
      <c r="I536" s="17">
        <f t="shared" si="9"/>
        <v>300</v>
      </c>
      <c r="J536" s="142"/>
      <c r="K536" s="300"/>
    </row>
    <row r="537" spans="1:11" ht="43.5">
      <c r="A537" s="11">
        <v>54313</v>
      </c>
      <c r="B537" s="54" t="s">
        <v>626</v>
      </c>
      <c r="C537" s="13"/>
      <c r="D537" s="14" t="s">
        <v>18</v>
      </c>
      <c r="E537" s="14" t="s">
        <v>28</v>
      </c>
      <c r="F537" s="14" t="s">
        <v>27</v>
      </c>
      <c r="G537" s="305">
        <f>'DIC-18'!I537</f>
        <v>300</v>
      </c>
      <c r="H537" s="51"/>
      <c r="I537" s="17">
        <f t="shared" si="9"/>
        <v>300</v>
      </c>
      <c r="J537" s="142"/>
      <c r="K537" s="300"/>
    </row>
    <row r="538" spans="1:11" ht="105">
      <c r="A538" s="144" t="s">
        <v>289</v>
      </c>
      <c r="B538" s="53" t="s">
        <v>984</v>
      </c>
      <c r="C538" s="13"/>
      <c r="D538" s="14"/>
      <c r="E538" s="14"/>
      <c r="F538" s="14"/>
      <c r="G538" s="305">
        <f>'DIC-18'!I538</f>
        <v>0</v>
      </c>
      <c r="H538" s="51"/>
      <c r="I538" s="17"/>
      <c r="J538" s="56"/>
      <c r="K538" s="56"/>
    </row>
    <row r="539" spans="1:11" ht="29.25">
      <c r="A539" s="11">
        <v>51202</v>
      </c>
      <c r="B539" s="53" t="s">
        <v>628</v>
      </c>
      <c r="C539" s="13"/>
      <c r="D539" s="14" t="s">
        <v>18</v>
      </c>
      <c r="E539" s="14" t="s">
        <v>28</v>
      </c>
      <c r="F539" s="14" t="s">
        <v>27</v>
      </c>
      <c r="G539" s="305">
        <f>'DIC-18'!I539</f>
        <v>0</v>
      </c>
      <c r="H539" s="108"/>
      <c r="I539" s="17">
        <f t="shared" si="9"/>
        <v>0</v>
      </c>
      <c r="J539" s="56"/>
      <c r="K539" s="142"/>
    </row>
    <row r="540" spans="1:11" ht="29.25">
      <c r="A540" s="11">
        <v>54110</v>
      </c>
      <c r="B540" s="53" t="s">
        <v>629</v>
      </c>
      <c r="C540" s="13"/>
      <c r="D540" s="14" t="s">
        <v>18</v>
      </c>
      <c r="E540" s="14" t="s">
        <v>28</v>
      </c>
      <c r="F540" s="14" t="s">
        <v>27</v>
      </c>
      <c r="G540" s="305">
        <f>'DIC-18'!I540</f>
        <v>0</v>
      </c>
      <c r="H540" s="51"/>
      <c r="I540" s="17">
        <f t="shared" si="9"/>
        <v>0</v>
      </c>
      <c r="J540" s="56"/>
      <c r="K540" s="142"/>
    </row>
    <row r="541" spans="1:11" ht="29.25">
      <c r="A541" s="11">
        <v>54111</v>
      </c>
      <c r="B541" s="53" t="s">
        <v>630</v>
      </c>
      <c r="C541" s="13"/>
      <c r="D541" s="14" t="s">
        <v>18</v>
      </c>
      <c r="E541" s="14" t="s">
        <v>28</v>
      </c>
      <c r="F541" s="14" t="s">
        <v>27</v>
      </c>
      <c r="G541" s="305">
        <f>'DIC-18'!I541</f>
        <v>0</v>
      </c>
      <c r="H541" s="51"/>
      <c r="I541" s="17">
        <f t="shared" ref="I541:I604" si="10">G541-H541+J541-K541</f>
        <v>0</v>
      </c>
      <c r="J541" s="142"/>
      <c r="K541" s="142"/>
    </row>
    <row r="542" spans="1:11" ht="29.25">
      <c r="A542" s="11">
        <v>54112</v>
      </c>
      <c r="B542" s="53" t="s">
        <v>631</v>
      </c>
      <c r="C542" s="13"/>
      <c r="D542" s="14" t="s">
        <v>18</v>
      </c>
      <c r="E542" s="14" t="s">
        <v>28</v>
      </c>
      <c r="F542" s="14" t="s">
        <v>27</v>
      </c>
      <c r="G542" s="305">
        <f>'DIC-18'!I542</f>
        <v>0</v>
      </c>
      <c r="H542" s="51"/>
      <c r="I542" s="17">
        <f t="shared" si="10"/>
        <v>0</v>
      </c>
      <c r="J542" s="56"/>
      <c r="K542" s="142"/>
    </row>
    <row r="543" spans="1:11" ht="29.25">
      <c r="A543" s="11">
        <v>54118</v>
      </c>
      <c r="B543" s="53" t="s">
        <v>632</v>
      </c>
      <c r="C543" s="13"/>
      <c r="D543" s="14" t="s">
        <v>18</v>
      </c>
      <c r="E543" s="14" t="s">
        <v>28</v>
      </c>
      <c r="F543" s="14" t="s">
        <v>27</v>
      </c>
      <c r="G543" s="305">
        <f>'DIC-18'!I543</f>
        <v>0</v>
      </c>
      <c r="H543" s="51"/>
      <c r="I543" s="17">
        <f t="shared" si="10"/>
        <v>0</v>
      </c>
      <c r="J543" s="56"/>
      <c r="K543" s="137"/>
    </row>
    <row r="544" spans="1:11" ht="29.25">
      <c r="A544" s="11">
        <v>54304</v>
      </c>
      <c r="B544" s="53" t="s">
        <v>633</v>
      </c>
      <c r="C544" s="13"/>
      <c r="D544" s="14" t="s">
        <v>18</v>
      </c>
      <c r="E544" s="14" t="s">
        <v>28</v>
      </c>
      <c r="F544" s="14" t="s">
        <v>27</v>
      </c>
      <c r="G544" s="305">
        <f>'DIC-18'!I544</f>
        <v>0</v>
      </c>
      <c r="H544" s="51"/>
      <c r="I544" s="17">
        <f t="shared" si="10"/>
        <v>0</v>
      </c>
      <c r="J544" s="56"/>
      <c r="K544" s="137"/>
    </row>
    <row r="545" spans="1:11" ht="29.25">
      <c r="A545" s="11">
        <v>54313</v>
      </c>
      <c r="B545" s="53" t="s">
        <v>634</v>
      </c>
      <c r="C545" s="13"/>
      <c r="D545" s="14" t="s">
        <v>18</v>
      </c>
      <c r="E545" s="14" t="s">
        <v>28</v>
      </c>
      <c r="F545" s="14" t="s">
        <v>27</v>
      </c>
      <c r="G545" s="305">
        <f>'DIC-18'!I545</f>
        <v>0</v>
      </c>
      <c r="H545" s="51"/>
      <c r="I545" s="17">
        <f t="shared" si="10"/>
        <v>0</v>
      </c>
      <c r="J545" s="56"/>
      <c r="K545" s="142"/>
    </row>
    <row r="546" spans="1:11" ht="90">
      <c r="A546" s="141" t="s">
        <v>300</v>
      </c>
      <c r="B546" s="53" t="s">
        <v>635</v>
      </c>
      <c r="C546" s="13"/>
      <c r="D546" s="14"/>
      <c r="E546" s="14"/>
      <c r="F546" s="14"/>
      <c r="G546" s="305">
        <f>'DIC-18'!I546</f>
        <v>0</v>
      </c>
      <c r="H546" s="51"/>
      <c r="I546" s="17"/>
      <c r="J546" s="56"/>
      <c r="K546" s="56"/>
    </row>
    <row r="547" spans="1:11" ht="29.25">
      <c r="A547" s="11">
        <v>51202</v>
      </c>
      <c r="B547" s="53" t="s">
        <v>636</v>
      </c>
      <c r="C547" s="13"/>
      <c r="D547" s="14" t="s">
        <v>18</v>
      </c>
      <c r="E547" s="14" t="s">
        <v>28</v>
      </c>
      <c r="F547" s="14" t="s">
        <v>27</v>
      </c>
      <c r="G547" s="305">
        <f>'DIC-18'!I547</f>
        <v>0</v>
      </c>
      <c r="H547" s="51"/>
      <c r="I547" s="17">
        <f t="shared" si="10"/>
        <v>0</v>
      </c>
      <c r="J547" s="56"/>
      <c r="K547" s="142"/>
    </row>
    <row r="548" spans="1:11" ht="29.25">
      <c r="A548" s="11">
        <v>54110</v>
      </c>
      <c r="B548" s="53" t="s">
        <v>637</v>
      </c>
      <c r="C548" s="13"/>
      <c r="D548" s="14" t="s">
        <v>18</v>
      </c>
      <c r="E548" s="14" t="s">
        <v>28</v>
      </c>
      <c r="F548" s="14" t="s">
        <v>27</v>
      </c>
      <c r="G548" s="305">
        <f>'DIC-18'!I548</f>
        <v>0</v>
      </c>
      <c r="H548" s="51"/>
      <c r="I548" s="17">
        <f t="shared" si="10"/>
        <v>0</v>
      </c>
      <c r="J548" s="56"/>
      <c r="K548" s="142"/>
    </row>
    <row r="549" spans="1:11" ht="29.25">
      <c r="A549" s="11">
        <v>54111</v>
      </c>
      <c r="B549" s="53" t="s">
        <v>638</v>
      </c>
      <c r="C549" s="13"/>
      <c r="D549" s="14" t="s">
        <v>18</v>
      </c>
      <c r="E549" s="14" t="s">
        <v>28</v>
      </c>
      <c r="F549" s="14" t="s">
        <v>27</v>
      </c>
      <c r="G549" s="305">
        <f>'DIC-18'!I549</f>
        <v>1.8207657603852567E-13</v>
      </c>
      <c r="H549" s="211"/>
      <c r="I549" s="17">
        <f t="shared" si="10"/>
        <v>1.8207657603852567E-13</v>
      </c>
      <c r="J549" s="142"/>
      <c r="K549" s="137"/>
    </row>
    <row r="550" spans="1:11" ht="29.25">
      <c r="A550" s="11">
        <v>54304</v>
      </c>
      <c r="B550" s="53" t="s">
        <v>639</v>
      </c>
      <c r="C550" s="55"/>
      <c r="D550" s="14" t="s">
        <v>18</v>
      </c>
      <c r="E550" s="14" t="s">
        <v>28</v>
      </c>
      <c r="F550" s="14" t="s">
        <v>27</v>
      </c>
      <c r="G550" s="305">
        <f>'DIC-18'!I550</f>
        <v>0</v>
      </c>
      <c r="H550" s="51"/>
      <c r="I550" s="17">
        <f t="shared" si="10"/>
        <v>0</v>
      </c>
      <c r="J550" s="56"/>
      <c r="K550" s="142"/>
    </row>
    <row r="551" spans="1:11" ht="38.25" customHeight="1">
      <c r="A551" s="11">
        <v>54313</v>
      </c>
      <c r="B551" s="53" t="s">
        <v>640</v>
      </c>
      <c r="C551" s="60"/>
      <c r="D551" s="14" t="s">
        <v>18</v>
      </c>
      <c r="E551" s="14" t="s">
        <v>28</v>
      </c>
      <c r="F551" s="14" t="s">
        <v>27</v>
      </c>
      <c r="G551" s="305">
        <f>'DIC-18'!I551</f>
        <v>0</v>
      </c>
      <c r="H551" s="51"/>
      <c r="I551" s="17">
        <f t="shared" si="10"/>
        <v>0</v>
      </c>
      <c r="J551" s="56"/>
      <c r="K551" s="142"/>
    </row>
    <row r="552" spans="1:11" ht="106.5" customHeight="1">
      <c r="A552" s="141" t="s">
        <v>316</v>
      </c>
      <c r="B552" s="53" t="s">
        <v>641</v>
      </c>
      <c r="C552" s="60" t="s">
        <v>1013</v>
      </c>
      <c r="D552" s="14"/>
      <c r="E552" s="14"/>
      <c r="F552" s="14"/>
      <c r="G552" s="305">
        <f>'DIC-18'!I552</f>
        <v>0</v>
      </c>
      <c r="H552" s="51"/>
      <c r="I552" s="17"/>
      <c r="J552" s="56"/>
      <c r="K552" s="56"/>
    </row>
    <row r="553" spans="1:11" ht="38.25" customHeight="1">
      <c r="A553" s="11">
        <v>51202</v>
      </c>
      <c r="B553" s="53" t="s">
        <v>642</v>
      </c>
      <c r="C553" s="60"/>
      <c r="D553" s="14" t="s">
        <v>18</v>
      </c>
      <c r="E553" s="14" t="s">
        <v>28</v>
      </c>
      <c r="F553" s="14" t="s">
        <v>27</v>
      </c>
      <c r="G553" s="305">
        <f>'DIC-18'!I553</f>
        <v>7.2830630415410269E-14</v>
      </c>
      <c r="H553" s="51"/>
      <c r="I553" s="17">
        <f t="shared" si="10"/>
        <v>7.2830630415410269E-14</v>
      </c>
      <c r="J553" s="56"/>
      <c r="K553" s="142"/>
    </row>
    <row r="554" spans="1:11" ht="38.25" customHeight="1">
      <c r="A554" s="11">
        <v>54110</v>
      </c>
      <c r="B554" s="53" t="s">
        <v>643</v>
      </c>
      <c r="C554" s="60"/>
      <c r="D554" s="14" t="s">
        <v>18</v>
      </c>
      <c r="E554" s="14" t="s">
        <v>28</v>
      </c>
      <c r="F554" s="14" t="s">
        <v>27</v>
      </c>
      <c r="G554" s="305">
        <f>'DIC-18'!I554</f>
        <v>0</v>
      </c>
      <c r="H554" s="51"/>
      <c r="I554" s="17">
        <f t="shared" si="10"/>
        <v>0</v>
      </c>
      <c r="J554" s="56"/>
      <c r="K554" s="142"/>
    </row>
    <row r="555" spans="1:11" ht="38.25" customHeight="1">
      <c r="A555" s="11">
        <v>54111</v>
      </c>
      <c r="B555" s="53" t="s">
        <v>644</v>
      </c>
      <c r="C555" s="60"/>
      <c r="D555" s="14" t="s">
        <v>18</v>
      </c>
      <c r="E555" s="14" t="s">
        <v>28</v>
      </c>
      <c r="F555" s="14" t="s">
        <v>27</v>
      </c>
      <c r="G555" s="305">
        <f>'DIC-18'!I555</f>
        <v>2.2737367544323206E-13</v>
      </c>
      <c r="H555" s="51"/>
      <c r="I555" s="17">
        <f t="shared" si="10"/>
        <v>2.2737367544323206E-13</v>
      </c>
      <c r="J555" s="137"/>
      <c r="K555" s="142"/>
    </row>
    <row r="556" spans="1:11" ht="38.25" customHeight="1">
      <c r="A556" s="11">
        <v>54304</v>
      </c>
      <c r="B556" s="53" t="s">
        <v>645</v>
      </c>
      <c r="C556" s="60"/>
      <c r="D556" s="14" t="s">
        <v>18</v>
      </c>
      <c r="E556" s="14" t="s">
        <v>28</v>
      </c>
      <c r="F556" s="14" t="s">
        <v>27</v>
      </c>
      <c r="G556" s="305">
        <f>'DIC-18'!I556</f>
        <v>0</v>
      </c>
      <c r="H556" s="51"/>
      <c r="I556" s="17">
        <f t="shared" si="10"/>
        <v>0</v>
      </c>
      <c r="J556" s="56"/>
      <c r="K556" s="142"/>
    </row>
    <row r="557" spans="1:11" ht="38.25" customHeight="1">
      <c r="A557" s="11">
        <v>54313</v>
      </c>
      <c r="B557" s="53" t="s">
        <v>646</v>
      </c>
      <c r="C557" s="60"/>
      <c r="D557" s="14" t="s">
        <v>18</v>
      </c>
      <c r="E557" s="14" t="s">
        <v>28</v>
      </c>
      <c r="F557" s="14" t="s">
        <v>27</v>
      </c>
      <c r="G557" s="305">
        <f>'DIC-18'!I557</f>
        <v>0</v>
      </c>
      <c r="H557" s="51"/>
      <c r="I557" s="17">
        <f t="shared" si="10"/>
        <v>0</v>
      </c>
      <c r="J557" s="56"/>
      <c r="K557" s="142"/>
    </row>
    <row r="558" spans="1:11" ht="99" customHeight="1">
      <c r="A558" s="240" t="s">
        <v>326</v>
      </c>
      <c r="B558" s="53" t="s">
        <v>647</v>
      </c>
      <c r="C558" s="345" t="s">
        <v>1106</v>
      </c>
      <c r="D558" s="14"/>
      <c r="E558" s="14"/>
      <c r="F558" s="14"/>
      <c r="G558" s="305">
        <f>'DIC-18'!I558</f>
        <v>0</v>
      </c>
      <c r="H558" s="51"/>
      <c r="I558" s="17"/>
      <c r="J558" s="56"/>
      <c r="K558" s="56"/>
    </row>
    <row r="559" spans="1:11" ht="38.25" customHeight="1">
      <c r="A559" s="11">
        <v>51202</v>
      </c>
      <c r="B559" s="53" t="s">
        <v>648</v>
      </c>
      <c r="C559" s="60"/>
      <c r="D559" s="14" t="s">
        <v>18</v>
      </c>
      <c r="E559" s="14" t="s">
        <v>28</v>
      </c>
      <c r="F559" s="14" t="s">
        <v>27</v>
      </c>
      <c r="G559" s="305">
        <f>'DIC-18'!I559</f>
        <v>0</v>
      </c>
      <c r="H559" s="51"/>
      <c r="I559" s="17">
        <f t="shared" si="10"/>
        <v>0</v>
      </c>
      <c r="J559" s="301"/>
      <c r="K559" s="237"/>
    </row>
    <row r="560" spans="1:11" ht="38.25" customHeight="1">
      <c r="A560" s="11">
        <v>54110</v>
      </c>
      <c r="B560" s="53" t="s">
        <v>649</v>
      </c>
      <c r="C560" s="60"/>
      <c r="D560" s="14" t="s">
        <v>18</v>
      </c>
      <c r="E560" s="14" t="s">
        <v>28</v>
      </c>
      <c r="F560" s="14" t="s">
        <v>27</v>
      </c>
      <c r="G560" s="305">
        <f>'DIC-18'!I560</f>
        <v>0</v>
      </c>
      <c r="H560" s="51"/>
      <c r="I560" s="17">
        <f t="shared" si="10"/>
        <v>0</v>
      </c>
      <c r="J560" s="237"/>
      <c r="K560" s="237"/>
    </row>
    <row r="561" spans="1:11" ht="38.25" customHeight="1">
      <c r="A561" s="11">
        <v>54111</v>
      </c>
      <c r="B561" s="53" t="s">
        <v>650</v>
      </c>
      <c r="C561" s="60" t="s">
        <v>1107</v>
      </c>
      <c r="D561" s="14" t="s">
        <v>18</v>
      </c>
      <c r="E561" s="14" t="s">
        <v>28</v>
      </c>
      <c r="F561" s="14" t="s">
        <v>27</v>
      </c>
      <c r="G561" s="305">
        <f>'DIC-18'!I561</f>
        <v>0</v>
      </c>
      <c r="H561" s="51"/>
      <c r="I561" s="134">
        <f t="shared" si="10"/>
        <v>0</v>
      </c>
      <c r="J561" s="346"/>
      <c r="K561" s="237"/>
    </row>
    <row r="562" spans="1:11" ht="29.25">
      <c r="A562" s="11">
        <v>54112</v>
      </c>
      <c r="B562" s="53" t="s">
        <v>651</v>
      </c>
      <c r="C562" s="13"/>
      <c r="D562" s="14" t="s">
        <v>18</v>
      </c>
      <c r="E562" s="14" t="s">
        <v>28</v>
      </c>
      <c r="F562" s="14" t="s">
        <v>27</v>
      </c>
      <c r="G562" s="305">
        <f>'DIC-18'!I562</f>
        <v>0</v>
      </c>
      <c r="H562" s="51"/>
      <c r="I562" s="17">
        <f t="shared" si="10"/>
        <v>0</v>
      </c>
      <c r="J562" s="237"/>
      <c r="K562" s="237"/>
    </row>
    <row r="563" spans="1:11" ht="29.25">
      <c r="A563" s="11">
        <v>54118</v>
      </c>
      <c r="B563" s="53" t="s">
        <v>652</v>
      </c>
      <c r="C563" s="13"/>
      <c r="D563" s="14" t="s">
        <v>18</v>
      </c>
      <c r="E563" s="14" t="s">
        <v>28</v>
      </c>
      <c r="F563" s="14" t="s">
        <v>27</v>
      </c>
      <c r="G563" s="305">
        <f>'DIC-18'!I563</f>
        <v>0</v>
      </c>
      <c r="H563" s="51"/>
      <c r="I563" s="17">
        <f t="shared" si="10"/>
        <v>0</v>
      </c>
      <c r="J563" s="237"/>
      <c r="K563" s="237"/>
    </row>
    <row r="564" spans="1:11" ht="29.25">
      <c r="A564" s="11">
        <v>54304</v>
      </c>
      <c r="B564" s="53" t="s">
        <v>653</v>
      </c>
      <c r="C564" s="13"/>
      <c r="D564" s="14" t="s">
        <v>18</v>
      </c>
      <c r="E564" s="14" t="s">
        <v>28</v>
      </c>
      <c r="F564" s="14" t="s">
        <v>27</v>
      </c>
      <c r="G564" s="305">
        <f>'DIC-18'!I564</f>
        <v>0</v>
      </c>
      <c r="H564" s="51"/>
      <c r="I564" s="17">
        <f t="shared" si="10"/>
        <v>0</v>
      </c>
      <c r="J564" s="237"/>
      <c r="K564" s="237"/>
    </row>
    <row r="565" spans="1:11" ht="29.25">
      <c r="A565" s="11">
        <v>54313</v>
      </c>
      <c r="B565" s="53" t="s">
        <v>654</v>
      </c>
      <c r="C565" s="13"/>
      <c r="D565" s="14" t="s">
        <v>18</v>
      </c>
      <c r="E565" s="14" t="s">
        <v>28</v>
      </c>
      <c r="F565" s="14" t="s">
        <v>27</v>
      </c>
      <c r="G565" s="305">
        <f>'DIC-18'!I565</f>
        <v>0</v>
      </c>
      <c r="H565" s="51"/>
      <c r="I565" s="17">
        <f t="shared" si="10"/>
        <v>0</v>
      </c>
      <c r="J565" s="237"/>
      <c r="K565" s="346"/>
    </row>
    <row r="566" spans="1:11" ht="29.25">
      <c r="A566" s="11">
        <v>54399</v>
      </c>
      <c r="B566" s="53" t="s">
        <v>655</v>
      </c>
      <c r="C566" s="13"/>
      <c r="D566" s="14" t="s">
        <v>18</v>
      </c>
      <c r="E566" s="14" t="s">
        <v>28</v>
      </c>
      <c r="F566" s="14" t="s">
        <v>27</v>
      </c>
      <c r="G566" s="305">
        <f>'DIC-18'!I566</f>
        <v>0</v>
      </c>
      <c r="H566" s="51"/>
      <c r="I566" s="17">
        <f t="shared" si="10"/>
        <v>0</v>
      </c>
      <c r="J566" s="237"/>
      <c r="K566" s="237"/>
    </row>
    <row r="567" spans="1:11" ht="75">
      <c r="A567" s="141" t="s">
        <v>338</v>
      </c>
      <c r="B567" s="53" t="s">
        <v>656</v>
      </c>
      <c r="C567" s="13"/>
      <c r="D567" s="14"/>
      <c r="E567" s="14"/>
      <c r="F567" s="14"/>
      <c r="G567" s="305">
        <f>'DIC-18'!I567</f>
        <v>0</v>
      </c>
      <c r="H567" s="51"/>
      <c r="I567" s="17"/>
      <c r="J567" s="56"/>
      <c r="K567" s="56"/>
    </row>
    <row r="568" spans="1:11" ht="29.25">
      <c r="A568" s="11">
        <v>51202</v>
      </c>
      <c r="B568" s="54" t="s">
        <v>657</v>
      </c>
      <c r="C568" s="13"/>
      <c r="D568" s="14" t="s">
        <v>18</v>
      </c>
      <c r="E568" s="14" t="s">
        <v>28</v>
      </c>
      <c r="F568" s="14" t="s">
        <v>27</v>
      </c>
      <c r="G568" s="305">
        <f>'DIC-18'!I568</f>
        <v>0</v>
      </c>
      <c r="H568" s="51"/>
      <c r="I568" s="17">
        <f t="shared" si="10"/>
        <v>0</v>
      </c>
      <c r="J568" s="56"/>
      <c r="K568" s="137"/>
    </row>
    <row r="569" spans="1:11" ht="29.25">
      <c r="A569" s="11">
        <v>54110</v>
      </c>
      <c r="B569" s="54" t="s">
        <v>658</v>
      </c>
      <c r="C569" s="13"/>
      <c r="D569" s="14" t="s">
        <v>18</v>
      </c>
      <c r="E569" s="14" t="s">
        <v>28</v>
      </c>
      <c r="F569" s="14" t="s">
        <v>27</v>
      </c>
      <c r="G569" s="305">
        <f>'DIC-18'!I569</f>
        <v>0</v>
      </c>
      <c r="H569" s="51"/>
      <c r="I569" s="17">
        <f t="shared" si="10"/>
        <v>0</v>
      </c>
      <c r="J569" s="56"/>
      <c r="K569" s="137"/>
    </row>
    <row r="570" spans="1:11" ht="44.25">
      <c r="A570" s="11">
        <v>54111</v>
      </c>
      <c r="B570" s="54" t="s">
        <v>659</v>
      </c>
      <c r="C570" s="13"/>
      <c r="D570" s="14" t="s">
        <v>18</v>
      </c>
      <c r="E570" s="14" t="s">
        <v>28</v>
      </c>
      <c r="F570" s="14" t="s">
        <v>27</v>
      </c>
      <c r="G570" s="305">
        <f>'DIC-18'!I570</f>
        <v>0</v>
      </c>
      <c r="H570" s="51"/>
      <c r="I570" s="17">
        <f t="shared" si="10"/>
        <v>0</v>
      </c>
      <c r="J570" s="56"/>
      <c r="K570" s="137"/>
    </row>
    <row r="571" spans="1:11" ht="44.25">
      <c r="A571" s="11">
        <v>54112</v>
      </c>
      <c r="B571" s="54" t="s">
        <v>660</v>
      </c>
      <c r="C571" s="13"/>
      <c r="D571" s="14" t="s">
        <v>18</v>
      </c>
      <c r="E571" s="14" t="s">
        <v>28</v>
      </c>
      <c r="F571" s="14" t="s">
        <v>27</v>
      </c>
      <c r="G571" s="305">
        <f>'DIC-18'!I571</f>
        <v>0</v>
      </c>
      <c r="H571" s="51"/>
      <c r="I571" s="17">
        <f t="shared" si="10"/>
        <v>0</v>
      </c>
      <c r="J571" s="56"/>
      <c r="K571" s="137"/>
    </row>
    <row r="572" spans="1:11" ht="44.25">
      <c r="A572" s="11">
        <v>54304</v>
      </c>
      <c r="B572" s="54" t="s">
        <v>661</v>
      </c>
      <c r="C572" s="13"/>
      <c r="D572" s="14" t="s">
        <v>18</v>
      </c>
      <c r="E572" s="14" t="s">
        <v>28</v>
      </c>
      <c r="F572" s="14" t="s">
        <v>27</v>
      </c>
      <c r="G572" s="305">
        <f>'DIC-18'!I572</f>
        <v>0</v>
      </c>
      <c r="H572" s="51"/>
      <c r="I572" s="17">
        <f t="shared" si="10"/>
        <v>0</v>
      </c>
      <c r="J572" s="56"/>
      <c r="K572" s="137"/>
    </row>
    <row r="573" spans="1:11" ht="44.25">
      <c r="A573" s="11">
        <v>54313</v>
      </c>
      <c r="B573" s="54" t="s">
        <v>662</v>
      </c>
      <c r="C573" s="13"/>
      <c r="D573" s="14" t="s">
        <v>18</v>
      </c>
      <c r="E573" s="14" t="s">
        <v>28</v>
      </c>
      <c r="F573" s="14" t="s">
        <v>27</v>
      </c>
      <c r="G573" s="305">
        <f>'DIC-18'!I573</f>
        <v>0</v>
      </c>
      <c r="H573" s="51"/>
      <c r="I573" s="17">
        <f t="shared" si="10"/>
        <v>0</v>
      </c>
      <c r="J573" s="56"/>
      <c r="K573" s="137"/>
    </row>
    <row r="574" spans="1:11" ht="44.25">
      <c r="A574" s="11">
        <v>54399</v>
      </c>
      <c r="B574" s="54" t="s">
        <v>663</v>
      </c>
      <c r="C574" s="13"/>
      <c r="D574" s="14" t="s">
        <v>18</v>
      </c>
      <c r="E574" s="14" t="s">
        <v>28</v>
      </c>
      <c r="F574" s="14" t="s">
        <v>27</v>
      </c>
      <c r="G574" s="305">
        <f>'DIC-18'!I574</f>
        <v>0</v>
      </c>
      <c r="H574" s="51"/>
      <c r="I574" s="17">
        <f t="shared" si="10"/>
        <v>0</v>
      </c>
      <c r="J574" s="56"/>
      <c r="K574" s="137"/>
    </row>
    <row r="575" spans="1:11" ht="29.25">
      <c r="A575" s="11">
        <v>55603</v>
      </c>
      <c r="B575" s="54" t="s">
        <v>664</v>
      </c>
      <c r="C575" s="13"/>
      <c r="D575" s="14" t="s">
        <v>18</v>
      </c>
      <c r="E575" s="14" t="s">
        <v>28</v>
      </c>
      <c r="F575" s="14" t="s">
        <v>27</v>
      </c>
      <c r="G575" s="305">
        <f>'DIC-18'!I575</f>
        <v>0</v>
      </c>
      <c r="H575" s="51"/>
      <c r="I575" s="17">
        <f t="shared" si="10"/>
        <v>0</v>
      </c>
      <c r="J575" s="56"/>
      <c r="K575" s="137"/>
    </row>
    <row r="576" spans="1:11" ht="90">
      <c r="A576" s="141" t="s">
        <v>348</v>
      </c>
      <c r="B576" s="53" t="s">
        <v>665</v>
      </c>
      <c r="C576" s="13"/>
      <c r="D576" s="14"/>
      <c r="E576" s="14"/>
      <c r="F576" s="14"/>
      <c r="G576" s="305">
        <f>'DIC-18'!I576</f>
        <v>0</v>
      </c>
      <c r="H576" s="51"/>
      <c r="I576" s="17"/>
      <c r="J576" s="56"/>
      <c r="K576" s="56"/>
    </row>
    <row r="577" spans="1:11" ht="29.25">
      <c r="A577" s="11">
        <v>51202</v>
      </c>
      <c r="B577" s="54" t="s">
        <v>666</v>
      </c>
      <c r="C577" s="13"/>
      <c r="D577" s="14" t="s">
        <v>18</v>
      </c>
      <c r="E577" s="14" t="s">
        <v>28</v>
      </c>
      <c r="F577" s="14" t="s">
        <v>27</v>
      </c>
      <c r="G577" s="305">
        <f>'DIC-18'!I577</f>
        <v>0</v>
      </c>
      <c r="H577" s="51"/>
      <c r="I577" s="17">
        <f t="shared" si="10"/>
        <v>0</v>
      </c>
      <c r="J577" s="56"/>
      <c r="K577" s="300"/>
    </row>
    <row r="578" spans="1:11" ht="29.25">
      <c r="A578" s="11">
        <v>54110</v>
      </c>
      <c r="B578" s="54" t="s">
        <v>667</v>
      </c>
      <c r="C578" s="13"/>
      <c r="D578" s="14" t="s">
        <v>18</v>
      </c>
      <c r="E578" s="14" t="s">
        <v>28</v>
      </c>
      <c r="F578" s="14" t="s">
        <v>27</v>
      </c>
      <c r="G578" s="305">
        <f>'DIC-18'!I578</f>
        <v>0</v>
      </c>
      <c r="H578" s="51"/>
      <c r="I578" s="17">
        <f t="shared" si="10"/>
        <v>0</v>
      </c>
      <c r="J578" s="56"/>
      <c r="K578" s="300"/>
    </row>
    <row r="579" spans="1:11" ht="44.25">
      <c r="A579" s="11">
        <v>54111</v>
      </c>
      <c r="B579" s="54" t="s">
        <v>668</v>
      </c>
      <c r="C579" s="13"/>
      <c r="D579" s="14" t="s">
        <v>18</v>
      </c>
      <c r="E579" s="14" t="s">
        <v>28</v>
      </c>
      <c r="F579" s="14" t="s">
        <v>27</v>
      </c>
      <c r="G579" s="305">
        <f>'DIC-18'!I579</f>
        <v>0</v>
      </c>
      <c r="H579" s="51"/>
      <c r="I579" s="17">
        <f t="shared" si="10"/>
        <v>0</v>
      </c>
      <c r="J579" s="56"/>
      <c r="K579" s="300"/>
    </row>
    <row r="580" spans="1:11" ht="44.25">
      <c r="A580" s="11">
        <v>54112</v>
      </c>
      <c r="B580" s="54" t="s">
        <v>669</v>
      </c>
      <c r="C580" s="13"/>
      <c r="D580" s="14" t="s">
        <v>18</v>
      </c>
      <c r="E580" s="14" t="s">
        <v>28</v>
      </c>
      <c r="F580" s="14" t="s">
        <v>27</v>
      </c>
      <c r="G580" s="305">
        <f>'DIC-18'!I580</f>
        <v>0</v>
      </c>
      <c r="H580" s="51"/>
      <c r="I580" s="17">
        <f t="shared" si="10"/>
        <v>0</v>
      </c>
      <c r="J580" s="56"/>
      <c r="K580" s="300"/>
    </row>
    <row r="581" spans="1:11" ht="44.25">
      <c r="A581" s="11">
        <v>54313</v>
      </c>
      <c r="B581" s="54" t="s">
        <v>670</v>
      </c>
      <c r="C581" s="13"/>
      <c r="D581" s="14" t="s">
        <v>18</v>
      </c>
      <c r="E581" s="14" t="s">
        <v>28</v>
      </c>
      <c r="F581" s="14" t="s">
        <v>27</v>
      </c>
      <c r="G581" s="305">
        <f>'DIC-18'!I581</f>
        <v>0</v>
      </c>
      <c r="H581" s="51"/>
      <c r="I581" s="17">
        <f t="shared" si="10"/>
        <v>0</v>
      </c>
      <c r="J581" s="56"/>
      <c r="K581" s="300"/>
    </row>
    <row r="582" spans="1:11" ht="44.25">
      <c r="A582" s="11">
        <v>54399</v>
      </c>
      <c r="B582" s="54" t="s">
        <v>671</v>
      </c>
      <c r="C582" s="13"/>
      <c r="D582" s="14" t="s">
        <v>18</v>
      </c>
      <c r="E582" s="14" t="s">
        <v>28</v>
      </c>
      <c r="F582" s="14" t="s">
        <v>27</v>
      </c>
      <c r="G582" s="305">
        <f>'DIC-18'!I582</f>
        <v>0</v>
      </c>
      <c r="H582" s="51"/>
      <c r="I582" s="17">
        <f t="shared" si="10"/>
        <v>0</v>
      </c>
      <c r="J582" s="56"/>
      <c r="K582" s="300"/>
    </row>
    <row r="583" spans="1:11" ht="29.25">
      <c r="A583" s="11">
        <v>55603</v>
      </c>
      <c r="B583" s="54" t="s">
        <v>672</v>
      </c>
      <c r="C583" s="13"/>
      <c r="D583" s="14" t="s">
        <v>18</v>
      </c>
      <c r="E583" s="14" t="s">
        <v>28</v>
      </c>
      <c r="F583" s="14" t="s">
        <v>27</v>
      </c>
      <c r="G583" s="305">
        <f>'DIC-18'!I583</f>
        <v>0</v>
      </c>
      <c r="H583" s="51"/>
      <c r="I583" s="17">
        <f t="shared" si="10"/>
        <v>0</v>
      </c>
      <c r="J583" s="56"/>
      <c r="K583" s="300"/>
    </row>
    <row r="584" spans="1:11" ht="119.25" customHeight="1">
      <c r="A584" s="141" t="s">
        <v>358</v>
      </c>
      <c r="B584" s="53" t="s">
        <v>673</v>
      </c>
      <c r="C584" s="13"/>
      <c r="D584" s="14"/>
      <c r="E584" s="14"/>
      <c r="F584" s="14"/>
      <c r="G584" s="305">
        <f>'DIC-18'!I584</f>
        <v>0</v>
      </c>
      <c r="H584" s="51"/>
      <c r="I584" s="17"/>
      <c r="J584" s="56"/>
      <c r="K584" s="56"/>
    </row>
    <row r="585" spans="1:11" ht="29.25">
      <c r="A585" s="11">
        <v>51202</v>
      </c>
      <c r="B585" s="54" t="s">
        <v>674</v>
      </c>
      <c r="C585" s="13"/>
      <c r="D585" s="14" t="s">
        <v>18</v>
      </c>
      <c r="E585" s="14" t="s">
        <v>28</v>
      </c>
      <c r="F585" s="14" t="s">
        <v>27</v>
      </c>
      <c r="G585" s="305">
        <f>'DIC-18'!I585</f>
        <v>0</v>
      </c>
      <c r="H585" s="51"/>
      <c r="I585" s="17">
        <f t="shared" si="10"/>
        <v>0</v>
      </c>
      <c r="J585" s="56"/>
      <c r="K585" s="300"/>
    </row>
    <row r="586" spans="1:11" ht="29.25">
      <c r="A586" s="11">
        <v>54110</v>
      </c>
      <c r="B586" s="54" t="s">
        <v>675</v>
      </c>
      <c r="C586" s="13"/>
      <c r="D586" s="14" t="s">
        <v>18</v>
      </c>
      <c r="E586" s="14" t="s">
        <v>28</v>
      </c>
      <c r="F586" s="14" t="s">
        <v>27</v>
      </c>
      <c r="G586" s="305">
        <f>'DIC-18'!I586</f>
        <v>0</v>
      </c>
      <c r="H586" s="51"/>
      <c r="I586" s="17">
        <f t="shared" si="10"/>
        <v>0</v>
      </c>
      <c r="J586" s="56"/>
      <c r="K586" s="300"/>
    </row>
    <row r="587" spans="1:11" ht="29.25">
      <c r="A587" s="11">
        <v>54111</v>
      </c>
      <c r="B587" s="54" t="s">
        <v>677</v>
      </c>
      <c r="C587" s="13"/>
      <c r="D587" s="14" t="s">
        <v>18</v>
      </c>
      <c r="E587" s="14" t="s">
        <v>28</v>
      </c>
      <c r="F587" s="14" t="s">
        <v>27</v>
      </c>
      <c r="G587" s="305">
        <f>'DIC-18'!I587</f>
        <v>0</v>
      </c>
      <c r="H587" s="51"/>
      <c r="I587" s="17">
        <f t="shared" si="10"/>
        <v>0</v>
      </c>
      <c r="J587" s="56"/>
      <c r="K587" s="300"/>
    </row>
    <row r="588" spans="1:11" ht="29.25">
      <c r="A588" s="11">
        <v>54112</v>
      </c>
      <c r="B588" s="54" t="s">
        <v>676</v>
      </c>
      <c r="C588" s="13"/>
      <c r="D588" s="14" t="s">
        <v>18</v>
      </c>
      <c r="E588" s="14" t="s">
        <v>28</v>
      </c>
      <c r="F588" s="14" t="s">
        <v>27</v>
      </c>
      <c r="G588" s="305">
        <f>'DIC-18'!I588</f>
        <v>0</v>
      </c>
      <c r="H588" s="51"/>
      <c r="I588" s="17">
        <f t="shared" si="10"/>
        <v>0</v>
      </c>
      <c r="J588" s="56"/>
      <c r="K588" s="300"/>
    </row>
    <row r="589" spans="1:11" ht="29.25">
      <c r="A589" s="11">
        <v>54118</v>
      </c>
      <c r="B589" s="54" t="s">
        <v>678</v>
      </c>
      <c r="C589" s="13"/>
      <c r="D589" s="14" t="s">
        <v>18</v>
      </c>
      <c r="E589" s="14" t="s">
        <v>28</v>
      </c>
      <c r="F589" s="14" t="s">
        <v>27</v>
      </c>
      <c r="G589" s="305">
        <f>'DIC-18'!I589</f>
        <v>0</v>
      </c>
      <c r="H589" s="51"/>
      <c r="I589" s="17">
        <f t="shared" si="10"/>
        <v>0</v>
      </c>
      <c r="J589" s="56"/>
      <c r="K589" s="300"/>
    </row>
    <row r="590" spans="1:11" ht="29.25">
      <c r="A590" s="11">
        <v>54313</v>
      </c>
      <c r="B590" s="54" t="s">
        <v>679</v>
      </c>
      <c r="C590" s="13"/>
      <c r="D590" s="14" t="s">
        <v>18</v>
      </c>
      <c r="E590" s="14" t="s">
        <v>28</v>
      </c>
      <c r="F590" s="14" t="s">
        <v>27</v>
      </c>
      <c r="G590" s="305">
        <f>'DIC-18'!I590</f>
        <v>0</v>
      </c>
      <c r="H590" s="51"/>
      <c r="I590" s="17">
        <f t="shared" si="10"/>
        <v>0</v>
      </c>
      <c r="J590" s="56"/>
      <c r="K590" s="300"/>
    </row>
    <row r="591" spans="1:11" ht="36.75" customHeight="1">
      <c r="A591" s="11">
        <v>54399</v>
      </c>
      <c r="B591" s="54" t="s">
        <v>680</v>
      </c>
      <c r="C591" s="13"/>
      <c r="D591" s="14" t="s">
        <v>18</v>
      </c>
      <c r="E591" s="14" t="s">
        <v>28</v>
      </c>
      <c r="F591" s="14" t="s">
        <v>27</v>
      </c>
      <c r="G591" s="305">
        <f>'DIC-18'!I591</f>
        <v>0</v>
      </c>
      <c r="H591" s="51"/>
      <c r="I591" s="17">
        <f t="shared" si="10"/>
        <v>0</v>
      </c>
      <c r="J591" s="56"/>
      <c r="K591" s="300"/>
    </row>
    <row r="592" spans="1:11" ht="29.25">
      <c r="A592" s="11">
        <v>55603</v>
      </c>
      <c r="B592" s="54" t="s">
        <v>681</v>
      </c>
      <c r="C592" s="13"/>
      <c r="D592" s="14" t="s">
        <v>18</v>
      </c>
      <c r="E592" s="14" t="s">
        <v>28</v>
      </c>
      <c r="F592" s="14" t="s">
        <v>27</v>
      </c>
      <c r="G592" s="305">
        <f>'DIC-18'!I592</f>
        <v>0</v>
      </c>
      <c r="H592" s="51"/>
      <c r="I592" s="17">
        <f t="shared" si="10"/>
        <v>0</v>
      </c>
      <c r="J592" s="56"/>
      <c r="K592" s="300"/>
    </row>
    <row r="593" spans="1:11" ht="74.25">
      <c r="A593" s="141" t="s">
        <v>374</v>
      </c>
      <c r="B593" s="53" t="s">
        <v>690</v>
      </c>
      <c r="C593" s="13"/>
      <c r="D593" s="14"/>
      <c r="E593" s="14"/>
      <c r="F593" s="14"/>
      <c r="G593" s="305">
        <f>'DIC-18'!I593</f>
        <v>0</v>
      </c>
      <c r="H593" s="51"/>
      <c r="I593" s="17"/>
      <c r="J593" s="56"/>
      <c r="K593" s="56"/>
    </row>
    <row r="594" spans="1:11">
      <c r="A594" s="11">
        <v>51202</v>
      </c>
      <c r="B594" s="54" t="s">
        <v>682</v>
      </c>
      <c r="C594" s="13"/>
      <c r="D594" s="14" t="s">
        <v>18</v>
      </c>
      <c r="E594" s="14" t="s">
        <v>28</v>
      </c>
      <c r="F594" s="14" t="s">
        <v>27</v>
      </c>
      <c r="G594" s="305">
        <f>'DIC-18'!I594</f>
        <v>7000</v>
      </c>
      <c r="H594" s="51"/>
      <c r="I594" s="17">
        <f t="shared" si="10"/>
        <v>7000</v>
      </c>
      <c r="J594" s="142"/>
      <c r="K594" s="300"/>
    </row>
    <row r="595" spans="1:11" ht="29.25">
      <c r="A595" s="11">
        <v>54110</v>
      </c>
      <c r="B595" s="54" t="s">
        <v>683</v>
      </c>
      <c r="C595" s="13"/>
      <c r="D595" s="14" t="s">
        <v>18</v>
      </c>
      <c r="E595" s="14" t="s">
        <v>28</v>
      </c>
      <c r="F595" s="14" t="s">
        <v>27</v>
      </c>
      <c r="G595" s="305">
        <f>'DIC-18'!I595</f>
        <v>300</v>
      </c>
      <c r="H595" s="51"/>
      <c r="I595" s="17">
        <f t="shared" si="10"/>
        <v>300</v>
      </c>
      <c r="J595" s="142"/>
      <c r="K595" s="300"/>
    </row>
    <row r="596" spans="1:11" ht="30">
      <c r="A596" s="11">
        <v>54111</v>
      </c>
      <c r="B596" s="53" t="s">
        <v>689</v>
      </c>
      <c r="C596" s="13"/>
      <c r="D596" s="14" t="s">
        <v>18</v>
      </c>
      <c r="E596" s="14" t="s">
        <v>28</v>
      </c>
      <c r="F596" s="14" t="s">
        <v>27</v>
      </c>
      <c r="G596" s="305">
        <f>'DIC-18'!I596</f>
        <v>8000</v>
      </c>
      <c r="H596" s="51"/>
      <c r="I596" s="17">
        <f t="shared" si="10"/>
        <v>8000</v>
      </c>
      <c r="J596" s="142"/>
      <c r="K596" s="300"/>
    </row>
    <row r="597" spans="1:11" ht="29.25">
      <c r="A597" s="11">
        <v>54112</v>
      </c>
      <c r="B597" s="53" t="s">
        <v>684</v>
      </c>
      <c r="C597" s="13"/>
      <c r="D597" s="14" t="s">
        <v>18</v>
      </c>
      <c r="E597" s="14" t="s">
        <v>28</v>
      </c>
      <c r="F597" s="14" t="s">
        <v>27</v>
      </c>
      <c r="G597" s="305">
        <f>'DIC-18'!I597</f>
        <v>6000</v>
      </c>
      <c r="H597" s="51"/>
      <c r="I597" s="17">
        <f t="shared" si="10"/>
        <v>6000</v>
      </c>
      <c r="J597" s="142"/>
      <c r="K597" s="300"/>
    </row>
    <row r="598" spans="1:11" ht="29.25">
      <c r="A598" s="11">
        <v>54118</v>
      </c>
      <c r="B598" s="53" t="s">
        <v>685</v>
      </c>
      <c r="C598" s="13"/>
      <c r="D598" s="14" t="s">
        <v>18</v>
      </c>
      <c r="E598" s="14" t="s">
        <v>28</v>
      </c>
      <c r="F598" s="14" t="s">
        <v>27</v>
      </c>
      <c r="G598" s="305">
        <f>'DIC-18'!I598</f>
        <v>3000</v>
      </c>
      <c r="H598" s="51"/>
      <c r="I598" s="17">
        <f t="shared" si="10"/>
        <v>3000</v>
      </c>
      <c r="J598" s="142"/>
      <c r="K598" s="300"/>
    </row>
    <row r="599" spans="1:11" ht="29.25">
      <c r="A599" s="11">
        <v>54313</v>
      </c>
      <c r="B599" s="53" t="s">
        <v>686</v>
      </c>
      <c r="C599" s="13"/>
      <c r="D599" s="14" t="s">
        <v>18</v>
      </c>
      <c r="E599" s="14" t="s">
        <v>28</v>
      </c>
      <c r="F599" s="14" t="s">
        <v>27</v>
      </c>
      <c r="G599" s="305">
        <f>'DIC-18'!I599</f>
        <v>200</v>
      </c>
      <c r="H599" s="51"/>
      <c r="I599" s="17">
        <f t="shared" si="10"/>
        <v>200</v>
      </c>
      <c r="J599" s="142"/>
      <c r="K599" s="300"/>
    </row>
    <row r="600" spans="1:11" ht="29.25">
      <c r="A600" s="11">
        <v>54399</v>
      </c>
      <c r="B600" s="54" t="s">
        <v>687</v>
      </c>
      <c r="C600" s="13"/>
      <c r="D600" s="14" t="s">
        <v>18</v>
      </c>
      <c r="E600" s="14" t="s">
        <v>28</v>
      </c>
      <c r="F600" s="14" t="s">
        <v>27</v>
      </c>
      <c r="G600" s="305">
        <f>'DIC-18'!I600</f>
        <v>490</v>
      </c>
      <c r="H600" s="51"/>
      <c r="I600" s="17">
        <f t="shared" si="10"/>
        <v>490</v>
      </c>
      <c r="J600" s="142"/>
      <c r="K600" s="300"/>
    </row>
    <row r="601" spans="1:11" ht="29.25">
      <c r="A601" s="11">
        <v>55603</v>
      </c>
      <c r="B601" s="53" t="s">
        <v>688</v>
      </c>
      <c r="C601" s="13"/>
      <c r="D601" s="14" t="s">
        <v>18</v>
      </c>
      <c r="E601" s="14" t="s">
        <v>28</v>
      </c>
      <c r="F601" s="14" t="s">
        <v>27</v>
      </c>
      <c r="G601" s="305">
        <f>'DIC-18'!I601</f>
        <v>10</v>
      </c>
      <c r="H601" s="51"/>
      <c r="I601" s="17">
        <f t="shared" si="10"/>
        <v>10</v>
      </c>
      <c r="J601" s="142"/>
      <c r="K601" s="300"/>
    </row>
    <row r="602" spans="1:11" ht="60">
      <c r="A602" s="141" t="s">
        <v>388</v>
      </c>
      <c r="B602" s="53" t="s">
        <v>699</v>
      </c>
      <c r="C602" s="13"/>
      <c r="D602" s="14"/>
      <c r="E602" s="14"/>
      <c r="F602" s="14"/>
      <c r="G602" s="305">
        <f>'DIC-18'!I602</f>
        <v>0</v>
      </c>
      <c r="H602" s="51"/>
      <c r="I602" s="17"/>
      <c r="J602" s="56"/>
      <c r="K602" s="56"/>
    </row>
    <row r="603" spans="1:11" ht="29.25">
      <c r="A603" s="11">
        <v>51202</v>
      </c>
      <c r="B603" s="54" t="s">
        <v>691</v>
      </c>
      <c r="C603" s="13"/>
      <c r="D603" s="14" t="s">
        <v>18</v>
      </c>
      <c r="E603" s="14" t="s">
        <v>28</v>
      </c>
      <c r="F603" s="14" t="s">
        <v>27</v>
      </c>
      <c r="G603" s="305">
        <f>'DIC-18'!I603</f>
        <v>7000</v>
      </c>
      <c r="H603" s="51"/>
      <c r="I603" s="17">
        <f t="shared" si="10"/>
        <v>7000</v>
      </c>
      <c r="J603" s="142"/>
      <c r="K603" s="300"/>
    </row>
    <row r="604" spans="1:11" ht="29.25">
      <c r="A604" s="11">
        <v>54110</v>
      </c>
      <c r="B604" s="54" t="s">
        <v>692</v>
      </c>
      <c r="C604" s="13"/>
      <c r="D604" s="14" t="s">
        <v>18</v>
      </c>
      <c r="E604" s="14" t="s">
        <v>28</v>
      </c>
      <c r="F604" s="14" t="s">
        <v>27</v>
      </c>
      <c r="G604" s="305">
        <f>'DIC-18'!I604</f>
        <v>300</v>
      </c>
      <c r="H604" s="51"/>
      <c r="I604" s="17">
        <f t="shared" si="10"/>
        <v>300</v>
      </c>
      <c r="J604" s="142"/>
      <c r="K604" s="300"/>
    </row>
    <row r="605" spans="1:11" ht="44.25">
      <c r="A605" s="11">
        <v>54111</v>
      </c>
      <c r="B605" s="53" t="s">
        <v>693</v>
      </c>
      <c r="C605" s="13"/>
      <c r="D605" s="14" t="s">
        <v>18</v>
      </c>
      <c r="E605" s="14" t="s">
        <v>28</v>
      </c>
      <c r="F605" s="14" t="s">
        <v>27</v>
      </c>
      <c r="G605" s="305">
        <f>'DIC-18'!I605</f>
        <v>8000</v>
      </c>
      <c r="H605" s="51"/>
      <c r="I605" s="17">
        <f t="shared" ref="I605:I615" si="11">G605-H605+J605-K605</f>
        <v>8000</v>
      </c>
      <c r="J605" s="142"/>
      <c r="K605" s="300"/>
    </row>
    <row r="606" spans="1:11" ht="29.25">
      <c r="A606" s="11">
        <v>54112</v>
      </c>
      <c r="B606" s="54" t="s">
        <v>694</v>
      </c>
      <c r="C606" s="13"/>
      <c r="D606" s="14" t="s">
        <v>18</v>
      </c>
      <c r="E606" s="14" t="s">
        <v>28</v>
      </c>
      <c r="F606" s="14" t="s">
        <v>27</v>
      </c>
      <c r="G606" s="305">
        <f>'DIC-18'!I606</f>
        <v>7000</v>
      </c>
      <c r="H606" s="51"/>
      <c r="I606" s="17">
        <f t="shared" si="11"/>
        <v>7000</v>
      </c>
      <c r="J606" s="142"/>
      <c r="K606" s="300"/>
    </row>
    <row r="607" spans="1:11" ht="29.25">
      <c r="A607" s="11">
        <v>54118</v>
      </c>
      <c r="B607" s="54" t="s">
        <v>695</v>
      </c>
      <c r="C607" s="13"/>
      <c r="D607" s="14" t="s">
        <v>18</v>
      </c>
      <c r="E607" s="14" t="s">
        <v>28</v>
      </c>
      <c r="F607" s="14" t="s">
        <v>27</v>
      </c>
      <c r="G607" s="305">
        <f>'DIC-18'!I607</f>
        <v>2000</v>
      </c>
      <c r="H607" s="51"/>
      <c r="I607" s="17">
        <f t="shared" si="11"/>
        <v>2000</v>
      </c>
      <c r="J607" s="142"/>
      <c r="K607" s="300"/>
    </row>
    <row r="608" spans="1:11" ht="44.25">
      <c r="A608" s="11">
        <v>54313</v>
      </c>
      <c r="B608" s="53" t="s">
        <v>696</v>
      </c>
      <c r="C608" s="13"/>
      <c r="D608" s="14" t="s">
        <v>18</v>
      </c>
      <c r="E608" s="14" t="s">
        <v>28</v>
      </c>
      <c r="F608" s="14" t="s">
        <v>27</v>
      </c>
      <c r="G608" s="305">
        <f>'DIC-18'!I608</f>
        <v>300</v>
      </c>
      <c r="H608" s="51"/>
      <c r="I608" s="17">
        <f t="shared" si="11"/>
        <v>300</v>
      </c>
      <c r="J608" s="142"/>
      <c r="K608" s="300"/>
    </row>
    <row r="609" spans="1:11" ht="29.25">
      <c r="A609" s="11">
        <v>54399</v>
      </c>
      <c r="B609" s="54" t="s">
        <v>697</v>
      </c>
      <c r="C609" s="13"/>
      <c r="D609" s="14" t="s">
        <v>18</v>
      </c>
      <c r="E609" s="14" t="s">
        <v>28</v>
      </c>
      <c r="F609" s="14" t="s">
        <v>27</v>
      </c>
      <c r="G609" s="305">
        <f>'DIC-18'!I609</f>
        <v>390</v>
      </c>
      <c r="H609" s="51"/>
      <c r="I609" s="17">
        <f t="shared" si="11"/>
        <v>390</v>
      </c>
      <c r="J609" s="142"/>
      <c r="K609" s="300"/>
    </row>
    <row r="610" spans="1:11" ht="29.25">
      <c r="A610" s="11">
        <v>55603</v>
      </c>
      <c r="B610" s="54" t="s">
        <v>698</v>
      </c>
      <c r="C610" s="13"/>
      <c r="D610" s="14" t="s">
        <v>18</v>
      </c>
      <c r="E610" s="14" t="s">
        <v>28</v>
      </c>
      <c r="F610" s="14" t="s">
        <v>27</v>
      </c>
      <c r="G610" s="305">
        <f>'DIC-18'!I610</f>
        <v>10</v>
      </c>
      <c r="H610" s="51"/>
      <c r="I610" s="17">
        <f t="shared" si="11"/>
        <v>10</v>
      </c>
      <c r="J610" s="142"/>
      <c r="K610" s="300"/>
    </row>
    <row r="611" spans="1:11" ht="60">
      <c r="A611" s="141" t="s">
        <v>392</v>
      </c>
      <c r="B611" s="53" t="s">
        <v>700</v>
      </c>
      <c r="C611" s="13"/>
      <c r="D611" s="14"/>
      <c r="E611" s="14"/>
      <c r="F611" s="14"/>
      <c r="G611" s="305">
        <f>'DIC-18'!I611</f>
        <v>0</v>
      </c>
      <c r="H611" s="51"/>
      <c r="I611" s="17"/>
      <c r="J611" s="56"/>
      <c r="K611" s="56"/>
    </row>
    <row r="612" spans="1:11" ht="29.25">
      <c r="A612" s="11">
        <v>51202</v>
      </c>
      <c r="B612" s="54" t="s">
        <v>701</v>
      </c>
      <c r="C612" s="13"/>
      <c r="D612" s="14" t="s">
        <v>18</v>
      </c>
      <c r="E612" s="14" t="s">
        <v>28</v>
      </c>
      <c r="F612" s="14" t="s">
        <v>27</v>
      </c>
      <c r="G612" s="305">
        <f>'DIC-18'!I612</f>
        <v>0</v>
      </c>
      <c r="H612" s="51"/>
      <c r="I612" s="17">
        <f t="shared" si="11"/>
        <v>0</v>
      </c>
      <c r="J612" s="56"/>
      <c r="K612" s="332"/>
    </row>
    <row r="613" spans="1:11" ht="29.25">
      <c r="A613" s="11">
        <v>54110</v>
      </c>
      <c r="B613" s="53" t="s">
        <v>702</v>
      </c>
      <c r="C613" s="13"/>
      <c r="D613" s="14" t="s">
        <v>18</v>
      </c>
      <c r="E613" s="14" t="s">
        <v>28</v>
      </c>
      <c r="F613" s="14" t="s">
        <v>27</v>
      </c>
      <c r="G613" s="305">
        <f>'DIC-18'!I613</f>
        <v>0</v>
      </c>
      <c r="H613" s="51"/>
      <c r="I613" s="17">
        <f t="shared" si="11"/>
        <v>0</v>
      </c>
      <c r="J613" s="56"/>
      <c r="K613" s="332"/>
    </row>
    <row r="614" spans="1:11" ht="44.25">
      <c r="A614" s="11">
        <v>54111</v>
      </c>
      <c r="B614" s="53" t="s">
        <v>703</v>
      </c>
      <c r="C614" s="13"/>
      <c r="D614" s="14" t="s">
        <v>18</v>
      </c>
      <c r="E614" s="14" t="s">
        <v>28</v>
      </c>
      <c r="F614" s="14" t="s">
        <v>27</v>
      </c>
      <c r="G614" s="305">
        <f>'DIC-18'!I614</f>
        <v>0</v>
      </c>
      <c r="H614" s="51"/>
      <c r="I614" s="17">
        <f t="shared" si="11"/>
        <v>0</v>
      </c>
      <c r="J614" s="56"/>
      <c r="K614" s="332"/>
    </row>
    <row r="615" spans="1:11" ht="44.25">
      <c r="A615" s="11">
        <v>54313</v>
      </c>
      <c r="B615" s="53" t="s">
        <v>704</v>
      </c>
      <c r="C615" s="13"/>
      <c r="D615" s="14" t="s">
        <v>18</v>
      </c>
      <c r="E615" s="14" t="s">
        <v>28</v>
      </c>
      <c r="F615" s="14" t="s">
        <v>27</v>
      </c>
      <c r="G615" s="305">
        <f>'DIC-18'!I615</f>
        <v>0</v>
      </c>
      <c r="H615" s="51"/>
      <c r="I615" s="17">
        <f t="shared" si="11"/>
        <v>0</v>
      </c>
      <c r="J615" s="56"/>
      <c r="K615" s="332"/>
    </row>
    <row r="616" spans="1:11" ht="29.25">
      <c r="A616" s="11">
        <v>55603</v>
      </c>
      <c r="B616" s="53" t="s">
        <v>705</v>
      </c>
      <c r="C616" s="13"/>
      <c r="D616" s="14" t="s">
        <v>18</v>
      </c>
      <c r="E616" s="14" t="s">
        <v>28</v>
      </c>
      <c r="F616" s="14" t="s">
        <v>27</v>
      </c>
      <c r="G616" s="305">
        <f>'DIC-18'!I616</f>
        <v>0</v>
      </c>
      <c r="H616" s="51"/>
      <c r="I616" s="17">
        <f>G616-H616+J616-K616</f>
        <v>0</v>
      </c>
      <c r="J616" s="56"/>
      <c r="K616" s="332"/>
    </row>
    <row r="617" spans="1:11" ht="105">
      <c r="A617" s="141" t="s">
        <v>401</v>
      </c>
      <c r="B617" s="53" t="s">
        <v>706</v>
      </c>
      <c r="C617" s="13"/>
      <c r="D617" s="14"/>
      <c r="E617" s="14"/>
      <c r="F617" s="14"/>
      <c r="G617" s="305">
        <f>'DIC-18'!I617</f>
        <v>0</v>
      </c>
      <c r="H617" s="51"/>
      <c r="I617" s="17"/>
      <c r="J617" s="56"/>
      <c r="K617" s="56"/>
    </row>
    <row r="618" spans="1:11" ht="29.25">
      <c r="A618" s="11">
        <v>51202</v>
      </c>
      <c r="B618" s="54" t="s">
        <v>707</v>
      </c>
      <c r="C618" s="13"/>
      <c r="D618" s="14" t="s">
        <v>18</v>
      </c>
      <c r="E618" s="14" t="s">
        <v>28</v>
      </c>
      <c r="F618" s="14" t="s">
        <v>27</v>
      </c>
      <c r="G618" s="305">
        <f>'DIC-18'!I618</f>
        <v>6000</v>
      </c>
      <c r="H618" s="51"/>
      <c r="I618" s="17">
        <f>G618-H618+J618-K618</f>
        <v>6000</v>
      </c>
      <c r="J618" s="142"/>
      <c r="K618" s="300"/>
    </row>
    <row r="619" spans="1:11" ht="43.5">
      <c r="A619" s="11">
        <v>54110</v>
      </c>
      <c r="B619" s="54" t="s">
        <v>708</v>
      </c>
      <c r="C619" s="13"/>
      <c r="D619" s="14" t="s">
        <v>18</v>
      </c>
      <c r="E619" s="14" t="s">
        <v>28</v>
      </c>
      <c r="F619" s="14" t="s">
        <v>27</v>
      </c>
      <c r="G619" s="305">
        <f>'DIC-18'!I619</f>
        <v>300</v>
      </c>
      <c r="H619" s="51"/>
      <c r="I619" s="17">
        <f t="shared" ref="I619:I659" si="12">G619-H619+J619-K619</f>
        <v>300</v>
      </c>
      <c r="J619" s="142"/>
      <c r="K619" s="300"/>
    </row>
    <row r="620" spans="1:11" ht="44.25">
      <c r="A620" s="11">
        <v>54111</v>
      </c>
      <c r="B620" s="54" t="s">
        <v>709</v>
      </c>
      <c r="C620" s="13"/>
      <c r="D620" s="14" t="s">
        <v>18</v>
      </c>
      <c r="E620" s="14" t="s">
        <v>28</v>
      </c>
      <c r="F620" s="14" t="s">
        <v>27</v>
      </c>
      <c r="G620" s="305">
        <f>'DIC-18'!I620</f>
        <v>8000</v>
      </c>
      <c r="H620" s="51"/>
      <c r="I620" s="17">
        <f t="shared" si="12"/>
        <v>8000</v>
      </c>
      <c r="J620" s="142"/>
      <c r="K620" s="300"/>
    </row>
    <row r="621" spans="1:11" ht="43.5">
      <c r="A621" s="11">
        <v>54118</v>
      </c>
      <c r="B621" s="54" t="s">
        <v>710</v>
      </c>
      <c r="C621" s="13"/>
      <c r="D621" s="14" t="s">
        <v>18</v>
      </c>
      <c r="E621" s="14" t="s">
        <v>28</v>
      </c>
      <c r="F621" s="14" t="s">
        <v>27</v>
      </c>
      <c r="G621" s="305">
        <f>'DIC-18'!I621</f>
        <v>5000</v>
      </c>
      <c r="H621" s="51"/>
      <c r="I621" s="17">
        <f t="shared" si="12"/>
        <v>5000</v>
      </c>
      <c r="J621" s="142"/>
      <c r="K621" s="300"/>
    </row>
    <row r="622" spans="1:11" ht="43.5">
      <c r="A622" s="11">
        <v>54313</v>
      </c>
      <c r="B622" s="54" t="s">
        <v>711</v>
      </c>
      <c r="C622" s="13"/>
      <c r="D622" s="14" t="s">
        <v>18</v>
      </c>
      <c r="E622" s="14" t="s">
        <v>28</v>
      </c>
      <c r="F622" s="14" t="s">
        <v>27</v>
      </c>
      <c r="G622" s="305">
        <f>'DIC-18'!I622</f>
        <v>300</v>
      </c>
      <c r="H622" s="51"/>
      <c r="I622" s="17">
        <f t="shared" si="12"/>
        <v>300</v>
      </c>
      <c r="J622" s="142"/>
      <c r="K622" s="300"/>
    </row>
    <row r="623" spans="1:11" ht="44.25">
      <c r="A623" s="11">
        <v>54399</v>
      </c>
      <c r="B623" s="54" t="s">
        <v>712</v>
      </c>
      <c r="C623" s="13"/>
      <c r="D623" s="14" t="s">
        <v>18</v>
      </c>
      <c r="E623" s="14" t="s">
        <v>28</v>
      </c>
      <c r="F623" s="14" t="s">
        <v>27</v>
      </c>
      <c r="G623" s="305">
        <f>'DIC-18'!I623</f>
        <v>390</v>
      </c>
      <c r="H623" s="51"/>
      <c r="I623" s="17">
        <f t="shared" si="12"/>
        <v>390</v>
      </c>
      <c r="J623" s="142"/>
      <c r="K623" s="300"/>
    </row>
    <row r="624" spans="1:11" ht="43.5">
      <c r="A624" s="11">
        <v>55603</v>
      </c>
      <c r="B624" s="53" t="s">
        <v>713</v>
      </c>
      <c r="C624" s="13"/>
      <c r="D624" s="14" t="s">
        <v>18</v>
      </c>
      <c r="E624" s="14" t="s">
        <v>28</v>
      </c>
      <c r="F624" s="14" t="s">
        <v>27</v>
      </c>
      <c r="G624" s="305">
        <f>'DIC-18'!I624</f>
        <v>10</v>
      </c>
      <c r="H624" s="51"/>
      <c r="I624" s="17">
        <f t="shared" si="12"/>
        <v>10</v>
      </c>
      <c r="J624" s="142"/>
      <c r="K624" s="300"/>
    </row>
    <row r="625" spans="1:11" ht="59.25">
      <c r="A625" s="141" t="s">
        <v>408</v>
      </c>
      <c r="B625" s="53" t="s">
        <v>714</v>
      </c>
      <c r="C625" s="13"/>
      <c r="D625" s="14"/>
      <c r="E625" s="14"/>
      <c r="F625" s="14"/>
      <c r="G625" s="305">
        <f>'DIC-18'!I625</f>
        <v>0</v>
      </c>
      <c r="H625" s="51"/>
      <c r="I625" s="17"/>
      <c r="J625" s="56"/>
      <c r="K625" s="56"/>
    </row>
    <row r="626" spans="1:11" ht="29.25">
      <c r="A626" s="11">
        <v>51202</v>
      </c>
      <c r="B626" s="54" t="s">
        <v>715</v>
      </c>
      <c r="C626" s="13"/>
      <c r="D626" s="14" t="s">
        <v>18</v>
      </c>
      <c r="E626" s="14" t="s">
        <v>28</v>
      </c>
      <c r="F626" s="14" t="s">
        <v>27</v>
      </c>
      <c r="G626" s="305">
        <f>'DIC-18'!I626</f>
        <v>6000</v>
      </c>
      <c r="H626" s="51"/>
      <c r="I626" s="17">
        <f t="shared" si="12"/>
        <v>6000</v>
      </c>
      <c r="J626" s="142"/>
      <c r="K626" s="142"/>
    </row>
    <row r="627" spans="1:11" ht="29.25">
      <c r="A627" s="11">
        <v>54110</v>
      </c>
      <c r="B627" s="54" t="s">
        <v>716</v>
      </c>
      <c r="C627" s="13"/>
      <c r="D627" s="14" t="s">
        <v>18</v>
      </c>
      <c r="E627" s="14" t="s">
        <v>28</v>
      </c>
      <c r="F627" s="14" t="s">
        <v>27</v>
      </c>
      <c r="G627" s="305">
        <f>'DIC-18'!I627</f>
        <v>300</v>
      </c>
      <c r="H627" s="51"/>
      <c r="I627" s="17">
        <f t="shared" si="12"/>
        <v>300</v>
      </c>
      <c r="J627" s="142"/>
      <c r="K627" s="142"/>
    </row>
    <row r="628" spans="1:11" ht="44.25">
      <c r="A628" s="11">
        <v>54111</v>
      </c>
      <c r="B628" s="54" t="s">
        <v>717</v>
      </c>
      <c r="C628" s="13"/>
      <c r="D628" s="14" t="s">
        <v>18</v>
      </c>
      <c r="E628" s="14" t="s">
        <v>28</v>
      </c>
      <c r="F628" s="14" t="s">
        <v>27</v>
      </c>
      <c r="G628" s="305">
        <f>'DIC-18'!I628</f>
        <v>8000</v>
      </c>
      <c r="H628" s="51"/>
      <c r="I628" s="17">
        <f t="shared" si="12"/>
        <v>8000</v>
      </c>
      <c r="J628" s="142"/>
      <c r="K628" s="142"/>
    </row>
    <row r="629" spans="1:11" ht="43.5">
      <c r="A629" s="11">
        <v>54112</v>
      </c>
      <c r="B629" s="53" t="s">
        <v>718</v>
      </c>
      <c r="C629" s="13"/>
      <c r="D629" s="14" t="s">
        <v>18</v>
      </c>
      <c r="E629" s="14" t="s">
        <v>28</v>
      </c>
      <c r="F629" s="14" t="s">
        <v>27</v>
      </c>
      <c r="G629" s="305">
        <f>'DIC-18'!I629</f>
        <v>4500</v>
      </c>
      <c r="H629" s="51"/>
      <c r="I629" s="17">
        <f t="shared" si="12"/>
        <v>4500</v>
      </c>
      <c r="J629" s="142"/>
      <c r="K629" s="142"/>
    </row>
    <row r="630" spans="1:11" ht="29.25">
      <c r="A630" s="11">
        <v>54118</v>
      </c>
      <c r="B630" s="54" t="s">
        <v>719</v>
      </c>
      <c r="C630" s="13"/>
      <c r="D630" s="14" t="s">
        <v>18</v>
      </c>
      <c r="E630" s="14" t="s">
        <v>28</v>
      </c>
      <c r="F630" s="14" t="s">
        <v>27</v>
      </c>
      <c r="G630" s="305">
        <f>'DIC-18'!I630</f>
        <v>300</v>
      </c>
      <c r="H630" s="51"/>
      <c r="I630" s="17">
        <f t="shared" si="12"/>
        <v>300</v>
      </c>
      <c r="J630" s="142"/>
      <c r="K630" s="142"/>
    </row>
    <row r="631" spans="1:11" ht="44.25">
      <c r="A631" s="11">
        <v>54313</v>
      </c>
      <c r="B631" s="54" t="s">
        <v>720</v>
      </c>
      <c r="C631" s="13"/>
      <c r="D631" s="14" t="s">
        <v>18</v>
      </c>
      <c r="E631" s="14" t="s">
        <v>28</v>
      </c>
      <c r="F631" s="14" t="s">
        <v>27</v>
      </c>
      <c r="G631" s="305">
        <f>'DIC-18'!I631</f>
        <v>390</v>
      </c>
      <c r="H631" s="51"/>
      <c r="I631" s="17">
        <f t="shared" si="12"/>
        <v>390</v>
      </c>
      <c r="J631" s="142"/>
      <c r="K631" s="142"/>
    </row>
    <row r="632" spans="1:11" ht="44.25">
      <c r="A632" s="11">
        <v>54399</v>
      </c>
      <c r="B632" s="53" t="s">
        <v>721</v>
      </c>
      <c r="C632" s="13"/>
      <c r="D632" s="14" t="s">
        <v>18</v>
      </c>
      <c r="E632" s="14" t="s">
        <v>28</v>
      </c>
      <c r="F632" s="14" t="s">
        <v>27</v>
      </c>
      <c r="G632" s="305">
        <f>'DIC-18'!I632</f>
        <v>500</v>
      </c>
      <c r="H632" s="51"/>
      <c r="I632" s="17">
        <f t="shared" si="12"/>
        <v>500</v>
      </c>
      <c r="J632" s="142"/>
      <c r="K632" s="142"/>
    </row>
    <row r="633" spans="1:11" ht="29.25">
      <c r="A633" s="11">
        <v>55603</v>
      </c>
      <c r="B633" s="53" t="s">
        <v>722</v>
      </c>
      <c r="C633" s="13"/>
      <c r="D633" s="14" t="s">
        <v>18</v>
      </c>
      <c r="E633" s="14" t="s">
        <v>28</v>
      </c>
      <c r="F633" s="14" t="s">
        <v>27</v>
      </c>
      <c r="G633" s="305">
        <f>'DIC-18'!I633</f>
        <v>10</v>
      </c>
      <c r="H633" s="51"/>
      <c r="I633" s="17">
        <f t="shared" si="12"/>
        <v>10</v>
      </c>
      <c r="J633" s="142"/>
      <c r="K633" s="142"/>
    </row>
    <row r="634" spans="1:11" ht="89.25">
      <c r="A634" s="141" t="s">
        <v>418</v>
      </c>
      <c r="B634" s="53" t="s">
        <v>723</v>
      </c>
      <c r="C634" s="13"/>
      <c r="D634" s="14"/>
      <c r="E634" s="14"/>
      <c r="F634" s="14"/>
      <c r="G634" s="305">
        <f>'DIC-18'!I634</f>
        <v>0</v>
      </c>
      <c r="H634" s="51"/>
      <c r="I634" s="17"/>
      <c r="J634" s="56"/>
      <c r="K634" s="56"/>
    </row>
    <row r="635" spans="1:11" ht="29.25">
      <c r="A635" s="11">
        <v>51202</v>
      </c>
      <c r="B635" s="53" t="s">
        <v>724</v>
      </c>
      <c r="C635" s="13"/>
      <c r="D635" s="14" t="s">
        <v>18</v>
      </c>
      <c r="E635" s="14" t="s">
        <v>28</v>
      </c>
      <c r="F635" s="14" t="s">
        <v>27</v>
      </c>
      <c r="G635" s="305">
        <f>'DIC-18'!I635</f>
        <v>0</v>
      </c>
      <c r="H635" s="51"/>
      <c r="I635" s="17">
        <f t="shared" si="12"/>
        <v>0</v>
      </c>
      <c r="J635" s="56"/>
      <c r="K635" s="337"/>
    </row>
    <row r="636" spans="1:11" ht="29.25">
      <c r="A636" s="11">
        <v>54110</v>
      </c>
      <c r="B636" s="53" t="s">
        <v>725</v>
      </c>
      <c r="C636" s="13"/>
      <c r="D636" s="14" t="s">
        <v>18</v>
      </c>
      <c r="E636" s="14" t="s">
        <v>28</v>
      </c>
      <c r="F636" s="14" t="s">
        <v>27</v>
      </c>
      <c r="G636" s="305">
        <f>'DIC-18'!I636</f>
        <v>0</v>
      </c>
      <c r="H636" s="51"/>
      <c r="I636" s="17">
        <f t="shared" si="12"/>
        <v>0</v>
      </c>
      <c r="J636" s="56"/>
      <c r="K636" s="337"/>
    </row>
    <row r="637" spans="1:11" ht="29.25">
      <c r="A637" s="11">
        <v>54111</v>
      </c>
      <c r="B637" s="53" t="s">
        <v>726</v>
      </c>
      <c r="C637" s="13"/>
      <c r="D637" s="14" t="s">
        <v>18</v>
      </c>
      <c r="E637" s="14" t="s">
        <v>28</v>
      </c>
      <c r="F637" s="14" t="s">
        <v>27</v>
      </c>
      <c r="G637" s="305">
        <f>'DIC-18'!I637</f>
        <v>0</v>
      </c>
      <c r="H637" s="51"/>
      <c r="I637" s="17">
        <f t="shared" si="12"/>
        <v>0</v>
      </c>
      <c r="J637" s="56"/>
      <c r="K637" s="337"/>
    </row>
    <row r="638" spans="1:11" ht="29.25">
      <c r="A638" s="11">
        <v>54118</v>
      </c>
      <c r="B638" s="53" t="s">
        <v>727</v>
      </c>
      <c r="C638" s="13"/>
      <c r="D638" s="14" t="s">
        <v>18</v>
      </c>
      <c r="E638" s="14" t="s">
        <v>28</v>
      </c>
      <c r="F638" s="14" t="s">
        <v>27</v>
      </c>
      <c r="G638" s="305">
        <f>'DIC-18'!I638</f>
        <v>0</v>
      </c>
      <c r="H638" s="51"/>
      <c r="I638" s="17">
        <f t="shared" si="12"/>
        <v>0</v>
      </c>
      <c r="J638" s="56"/>
      <c r="K638" s="337"/>
    </row>
    <row r="639" spans="1:11" ht="29.25">
      <c r="A639" s="11">
        <v>54313</v>
      </c>
      <c r="B639" s="53" t="s">
        <v>728</v>
      </c>
      <c r="C639" s="13"/>
      <c r="D639" s="14" t="s">
        <v>18</v>
      </c>
      <c r="E639" s="14" t="s">
        <v>28</v>
      </c>
      <c r="F639" s="14" t="s">
        <v>27</v>
      </c>
      <c r="G639" s="305">
        <f>'DIC-18'!I639</f>
        <v>0</v>
      </c>
      <c r="H639" s="51"/>
      <c r="I639" s="17">
        <f t="shared" si="12"/>
        <v>0</v>
      </c>
      <c r="J639" s="56"/>
      <c r="K639" s="337"/>
    </row>
    <row r="640" spans="1:11" ht="30">
      <c r="A640" s="11">
        <v>54399</v>
      </c>
      <c r="B640" s="53" t="s">
        <v>729</v>
      </c>
      <c r="C640" s="13"/>
      <c r="D640" s="14" t="s">
        <v>18</v>
      </c>
      <c r="E640" s="14" t="s">
        <v>28</v>
      </c>
      <c r="F640" s="14" t="s">
        <v>27</v>
      </c>
      <c r="G640" s="305">
        <f>'DIC-18'!I640</f>
        <v>0</v>
      </c>
      <c r="H640" s="51"/>
      <c r="I640" s="17">
        <f t="shared" si="12"/>
        <v>0</v>
      </c>
      <c r="J640" s="56"/>
      <c r="K640" s="337"/>
    </row>
    <row r="641" spans="1:11" ht="29.25">
      <c r="A641" s="11">
        <v>55603</v>
      </c>
      <c r="B641" s="53" t="s">
        <v>730</v>
      </c>
      <c r="C641" s="13"/>
      <c r="D641" s="14" t="s">
        <v>18</v>
      </c>
      <c r="E641" s="14" t="s">
        <v>28</v>
      </c>
      <c r="F641" s="14" t="s">
        <v>27</v>
      </c>
      <c r="G641" s="305">
        <f>'DIC-18'!I641</f>
        <v>0</v>
      </c>
      <c r="H641" s="51"/>
      <c r="I641" s="17">
        <f t="shared" si="12"/>
        <v>0</v>
      </c>
      <c r="J641" s="56"/>
      <c r="K641" s="337"/>
    </row>
    <row r="642" spans="1:11" ht="90">
      <c r="A642" s="141" t="s">
        <v>429</v>
      </c>
      <c r="B642" s="53" t="s">
        <v>1176</v>
      </c>
      <c r="C642" s="13"/>
      <c r="D642" s="14"/>
      <c r="E642" s="14"/>
      <c r="F642" s="14"/>
      <c r="G642" s="305">
        <f>'DIC-18'!I642</f>
        <v>0</v>
      </c>
      <c r="H642" s="51"/>
      <c r="I642" s="17"/>
      <c r="J642" s="56"/>
      <c r="K642" s="56"/>
    </row>
    <row r="643" spans="1:11">
      <c r="A643" s="11">
        <v>51202</v>
      </c>
      <c r="B643" s="53" t="s">
        <v>732</v>
      </c>
      <c r="C643" s="13"/>
      <c r="D643" s="14" t="s">
        <v>18</v>
      </c>
      <c r="E643" s="14" t="s">
        <v>28</v>
      </c>
      <c r="F643" s="14" t="s">
        <v>27</v>
      </c>
      <c r="G643" s="305">
        <f>'DIC-18'!I643</f>
        <v>12190</v>
      </c>
      <c r="H643" s="51"/>
      <c r="I643" s="17">
        <f t="shared" si="12"/>
        <v>12190</v>
      </c>
      <c r="J643" s="56"/>
      <c r="K643" s="56"/>
    </row>
    <row r="644" spans="1:11" ht="29.25">
      <c r="A644" s="11">
        <v>54110</v>
      </c>
      <c r="B644" s="53" t="s">
        <v>733</v>
      </c>
      <c r="C644" s="13"/>
      <c r="D644" s="14" t="s">
        <v>18</v>
      </c>
      <c r="E644" s="14" t="s">
        <v>28</v>
      </c>
      <c r="F644" s="14" t="s">
        <v>27</v>
      </c>
      <c r="G644" s="305">
        <f>'DIC-18'!I644</f>
        <v>300</v>
      </c>
      <c r="H644" s="51"/>
      <c r="I644" s="17">
        <f t="shared" si="12"/>
        <v>300</v>
      </c>
      <c r="J644" s="56"/>
      <c r="K644" s="56"/>
    </row>
    <row r="645" spans="1:11" ht="29.25">
      <c r="A645" s="11">
        <v>54111</v>
      </c>
      <c r="B645" s="53" t="s">
        <v>734</v>
      </c>
      <c r="C645" s="13"/>
      <c r="D645" s="14" t="s">
        <v>18</v>
      </c>
      <c r="E645" s="14" t="s">
        <v>28</v>
      </c>
      <c r="F645" s="14" t="s">
        <v>27</v>
      </c>
      <c r="G645" s="305">
        <f>'DIC-18'!I645</f>
        <v>15000</v>
      </c>
      <c r="H645" s="51"/>
      <c r="I645" s="17">
        <f t="shared" si="12"/>
        <v>15000</v>
      </c>
      <c r="J645" s="56"/>
      <c r="K645" s="56"/>
    </row>
    <row r="646" spans="1:11" ht="29.25">
      <c r="A646" s="11">
        <v>54112</v>
      </c>
      <c r="B646" s="53" t="s">
        <v>735</v>
      </c>
      <c r="C646" s="13"/>
      <c r="D646" s="14" t="s">
        <v>18</v>
      </c>
      <c r="E646" s="14" t="s">
        <v>28</v>
      </c>
      <c r="F646" s="14" t="s">
        <v>27</v>
      </c>
      <c r="G646" s="305">
        <f>'DIC-18'!I646</f>
        <v>8000</v>
      </c>
      <c r="H646" s="51"/>
      <c r="I646" s="17">
        <f t="shared" si="12"/>
        <v>8000</v>
      </c>
      <c r="J646" s="56"/>
      <c r="K646" s="56"/>
    </row>
    <row r="647" spans="1:11" ht="29.25">
      <c r="A647" s="11">
        <v>54118</v>
      </c>
      <c r="B647" s="53" t="s">
        <v>736</v>
      </c>
      <c r="C647" s="13"/>
      <c r="D647" s="14" t="s">
        <v>18</v>
      </c>
      <c r="E647" s="14" t="s">
        <v>28</v>
      </c>
      <c r="F647" s="14" t="s">
        <v>27</v>
      </c>
      <c r="G647" s="305">
        <f>'DIC-18'!I647</f>
        <v>7000</v>
      </c>
      <c r="H647" s="51"/>
      <c r="I647" s="17">
        <f t="shared" si="12"/>
        <v>7000</v>
      </c>
      <c r="J647" s="56"/>
      <c r="K647" s="56"/>
    </row>
    <row r="648" spans="1:11" ht="29.25">
      <c r="A648" s="11">
        <v>54304</v>
      </c>
      <c r="B648" s="53" t="s">
        <v>737</v>
      </c>
      <c r="C648" s="13"/>
      <c r="D648" s="14" t="s">
        <v>18</v>
      </c>
      <c r="E648" s="14" t="s">
        <v>28</v>
      </c>
      <c r="F648" s="14" t="s">
        <v>27</v>
      </c>
      <c r="G648" s="305">
        <f>'DIC-18'!I648</f>
        <v>2000</v>
      </c>
      <c r="H648" s="51"/>
      <c r="I648" s="17">
        <f t="shared" si="12"/>
        <v>2000</v>
      </c>
      <c r="J648" s="56"/>
      <c r="K648" s="56"/>
    </row>
    <row r="649" spans="1:11" ht="30">
      <c r="A649" s="11">
        <v>54313</v>
      </c>
      <c r="B649" s="53" t="s">
        <v>738</v>
      </c>
      <c r="C649" s="13"/>
      <c r="D649" s="14" t="s">
        <v>18</v>
      </c>
      <c r="E649" s="14" t="s">
        <v>28</v>
      </c>
      <c r="F649" s="14" t="s">
        <v>27</v>
      </c>
      <c r="G649" s="305">
        <f>'DIC-18'!I649</f>
        <v>300</v>
      </c>
      <c r="H649" s="51"/>
      <c r="I649" s="17">
        <f t="shared" si="12"/>
        <v>300</v>
      </c>
      <c r="J649" s="56"/>
      <c r="K649" s="56"/>
    </row>
    <row r="650" spans="1:11" ht="29.25">
      <c r="A650" s="11">
        <v>54399</v>
      </c>
      <c r="B650" s="53" t="s">
        <v>739</v>
      </c>
      <c r="C650" s="13"/>
      <c r="D650" s="14" t="s">
        <v>18</v>
      </c>
      <c r="E650" s="14" t="s">
        <v>28</v>
      </c>
      <c r="F650" s="14" t="s">
        <v>27</v>
      </c>
      <c r="G650" s="305">
        <f>'DIC-18'!I650</f>
        <v>200</v>
      </c>
      <c r="H650" s="51"/>
      <c r="I650" s="17">
        <f t="shared" si="12"/>
        <v>200</v>
      </c>
      <c r="J650" s="56"/>
      <c r="K650" s="56"/>
    </row>
    <row r="651" spans="1:11" ht="29.25">
      <c r="A651" s="11">
        <v>55603</v>
      </c>
      <c r="B651" s="53" t="s">
        <v>740</v>
      </c>
      <c r="C651" s="13"/>
      <c r="D651" s="14" t="s">
        <v>18</v>
      </c>
      <c r="E651" s="14" t="s">
        <v>28</v>
      </c>
      <c r="F651" s="14" t="s">
        <v>27</v>
      </c>
      <c r="G651" s="305">
        <f>'DIC-18'!I651</f>
        <v>10</v>
      </c>
      <c r="H651" s="51"/>
      <c r="I651" s="17">
        <f t="shared" si="12"/>
        <v>10</v>
      </c>
      <c r="J651" s="56"/>
      <c r="K651" s="56"/>
    </row>
    <row r="652" spans="1:11" ht="75">
      <c r="A652" s="144" t="s">
        <v>437</v>
      </c>
      <c r="B652" s="53" t="s">
        <v>742</v>
      </c>
      <c r="C652" s="13"/>
      <c r="D652" s="14"/>
      <c r="E652" s="14"/>
      <c r="F652" s="14"/>
      <c r="G652" s="305">
        <f>'DIC-18'!I652</f>
        <v>0</v>
      </c>
      <c r="H652" s="51"/>
      <c r="I652" s="17"/>
      <c r="J652" s="56"/>
      <c r="K652" s="56"/>
    </row>
    <row r="653" spans="1:11" ht="29.25">
      <c r="A653" s="11">
        <v>51202</v>
      </c>
      <c r="B653" s="53" t="s">
        <v>743</v>
      </c>
      <c r="C653" s="13"/>
      <c r="D653" s="14" t="s">
        <v>18</v>
      </c>
      <c r="E653" s="14" t="s">
        <v>28</v>
      </c>
      <c r="F653" s="14" t="s">
        <v>27</v>
      </c>
      <c r="G653" s="305">
        <f>'DIC-18'!I653</f>
        <v>0</v>
      </c>
      <c r="H653" s="51"/>
      <c r="I653" s="17">
        <f t="shared" si="12"/>
        <v>0</v>
      </c>
      <c r="J653" s="56"/>
      <c r="K653" s="337"/>
    </row>
    <row r="654" spans="1:11" ht="29.25">
      <c r="A654" s="11">
        <v>54110</v>
      </c>
      <c r="B654" s="53" t="s">
        <v>744</v>
      </c>
      <c r="C654" s="13"/>
      <c r="D654" s="14" t="s">
        <v>18</v>
      </c>
      <c r="E654" s="14" t="s">
        <v>28</v>
      </c>
      <c r="F654" s="14" t="s">
        <v>27</v>
      </c>
      <c r="G654" s="305">
        <f>'DIC-18'!I654</f>
        <v>0</v>
      </c>
      <c r="H654" s="51"/>
      <c r="I654" s="17">
        <f t="shared" si="12"/>
        <v>0</v>
      </c>
      <c r="J654" s="56"/>
      <c r="K654" s="337"/>
    </row>
    <row r="655" spans="1:11" ht="43.5">
      <c r="A655" s="11">
        <v>54111</v>
      </c>
      <c r="B655" s="53" t="s">
        <v>745</v>
      </c>
      <c r="C655" s="13"/>
      <c r="D655" s="14" t="s">
        <v>18</v>
      </c>
      <c r="E655" s="14" t="s">
        <v>28</v>
      </c>
      <c r="F655" s="14" t="s">
        <v>27</v>
      </c>
      <c r="G655" s="305">
        <f>'DIC-18'!I655</f>
        <v>0</v>
      </c>
      <c r="H655" s="51"/>
      <c r="I655" s="17">
        <f t="shared" si="12"/>
        <v>0</v>
      </c>
      <c r="J655" s="56"/>
      <c r="K655" s="337"/>
    </row>
    <row r="656" spans="1:11" ht="43.5">
      <c r="A656" s="11">
        <v>54118</v>
      </c>
      <c r="B656" s="53" t="s">
        <v>746</v>
      </c>
      <c r="C656" s="13"/>
      <c r="D656" s="14" t="s">
        <v>18</v>
      </c>
      <c r="E656" s="14" t="s">
        <v>28</v>
      </c>
      <c r="F656" s="14" t="s">
        <v>27</v>
      </c>
      <c r="G656" s="305">
        <f>'DIC-18'!I656</f>
        <v>0</v>
      </c>
      <c r="H656" s="51"/>
      <c r="I656" s="17">
        <f t="shared" si="12"/>
        <v>0</v>
      </c>
      <c r="J656" s="56"/>
      <c r="K656" s="300"/>
    </row>
    <row r="657" spans="1:11" ht="43.5">
      <c r="A657" s="11">
        <v>54313</v>
      </c>
      <c r="B657" s="53" t="s">
        <v>747</v>
      </c>
      <c r="C657" s="13"/>
      <c r="D657" s="14" t="s">
        <v>18</v>
      </c>
      <c r="E657" s="14" t="s">
        <v>28</v>
      </c>
      <c r="F657" s="14" t="s">
        <v>27</v>
      </c>
      <c r="G657" s="305">
        <f>'DIC-18'!I657</f>
        <v>0</v>
      </c>
      <c r="H657" s="51"/>
      <c r="I657" s="17">
        <f t="shared" si="12"/>
        <v>0</v>
      </c>
      <c r="J657" s="56"/>
      <c r="K657" s="337"/>
    </row>
    <row r="658" spans="1:11" ht="44.25">
      <c r="A658" s="11">
        <v>54399</v>
      </c>
      <c r="B658" s="53" t="s">
        <v>748</v>
      </c>
      <c r="C658" s="13"/>
      <c r="D658" s="14" t="s">
        <v>18</v>
      </c>
      <c r="E658" s="14" t="s">
        <v>28</v>
      </c>
      <c r="F658" s="14" t="s">
        <v>27</v>
      </c>
      <c r="G658" s="305">
        <f>'DIC-18'!I658</f>
        <v>0</v>
      </c>
      <c r="H658" s="51"/>
      <c r="I658" s="17">
        <f t="shared" si="12"/>
        <v>0</v>
      </c>
      <c r="J658" s="56"/>
      <c r="K658" s="337"/>
    </row>
    <row r="659" spans="1:11" ht="29.25">
      <c r="A659" s="11">
        <v>55603</v>
      </c>
      <c r="B659" s="53" t="s">
        <v>749</v>
      </c>
      <c r="C659" s="13"/>
      <c r="D659" s="14" t="s">
        <v>18</v>
      </c>
      <c r="E659" s="14" t="s">
        <v>28</v>
      </c>
      <c r="F659" s="14" t="s">
        <v>27</v>
      </c>
      <c r="G659" s="305">
        <f>'DIC-18'!I659</f>
        <v>0</v>
      </c>
      <c r="H659" s="51"/>
      <c r="I659" s="17">
        <f t="shared" si="12"/>
        <v>0</v>
      </c>
      <c r="J659" s="56"/>
      <c r="K659" s="142"/>
    </row>
    <row r="660" spans="1:11">
      <c r="A660" s="11"/>
      <c r="B660" s="54"/>
      <c r="C660" s="13"/>
      <c r="D660" s="14"/>
      <c r="E660" s="14"/>
      <c r="F660" s="14"/>
      <c r="G660" s="305">
        <f>'DIC-18'!I660</f>
        <v>0</v>
      </c>
      <c r="H660" s="51"/>
      <c r="I660" s="17"/>
      <c r="J660" s="56"/>
      <c r="K660" s="56"/>
    </row>
    <row r="661" spans="1:11" ht="60">
      <c r="A661" s="141" t="s">
        <v>443</v>
      </c>
      <c r="B661" s="53" t="s">
        <v>750</v>
      </c>
      <c r="C661" s="13"/>
      <c r="D661" s="14"/>
      <c r="E661" s="14"/>
      <c r="F661" s="14"/>
      <c r="G661" s="305">
        <f>'DIC-18'!I661</f>
        <v>0</v>
      </c>
      <c r="H661" s="51"/>
      <c r="I661" s="17"/>
      <c r="J661" s="56"/>
      <c r="K661" s="56"/>
    </row>
    <row r="662" spans="1:11" ht="29.25">
      <c r="A662" s="11">
        <v>51202</v>
      </c>
      <c r="B662" s="53" t="s">
        <v>741</v>
      </c>
      <c r="C662" s="13"/>
      <c r="D662" s="14" t="s">
        <v>18</v>
      </c>
      <c r="E662" s="14" t="s">
        <v>28</v>
      </c>
      <c r="F662" s="14" t="s">
        <v>27</v>
      </c>
      <c r="G662" s="305">
        <f>'DIC-18'!I662</f>
        <v>3000</v>
      </c>
      <c r="H662" s="51"/>
      <c r="I662" s="17">
        <f t="shared" ref="I662:I728" si="13">G662-H662+J662-K662</f>
        <v>3000</v>
      </c>
      <c r="J662" s="56"/>
      <c r="K662" s="56"/>
    </row>
    <row r="663" spans="1:11" ht="29.25">
      <c r="A663" s="11">
        <v>54110</v>
      </c>
      <c r="B663" s="53" t="s">
        <v>751</v>
      </c>
      <c r="C663" s="13"/>
      <c r="D663" s="14" t="s">
        <v>18</v>
      </c>
      <c r="E663" s="14" t="s">
        <v>28</v>
      </c>
      <c r="F663" s="14" t="s">
        <v>27</v>
      </c>
      <c r="G663" s="305">
        <f>'DIC-18'!I663</f>
        <v>100</v>
      </c>
      <c r="H663" s="51"/>
      <c r="I663" s="17">
        <f t="shared" si="13"/>
        <v>100</v>
      </c>
      <c r="J663" s="56"/>
      <c r="K663" s="56"/>
    </row>
    <row r="664" spans="1:11" ht="43.5">
      <c r="A664" s="11">
        <v>54111</v>
      </c>
      <c r="B664" s="53" t="s">
        <v>752</v>
      </c>
      <c r="C664" s="13"/>
      <c r="D664" s="14" t="s">
        <v>18</v>
      </c>
      <c r="E664" s="14" t="s">
        <v>28</v>
      </c>
      <c r="F664" s="14" t="s">
        <v>27</v>
      </c>
      <c r="G664" s="305">
        <f>'DIC-18'!I664</f>
        <v>2000</v>
      </c>
      <c r="H664" s="51"/>
      <c r="I664" s="17">
        <f t="shared" si="13"/>
        <v>2000</v>
      </c>
      <c r="J664" s="56"/>
      <c r="K664" s="56"/>
    </row>
    <row r="665" spans="1:11" ht="29.25">
      <c r="A665" s="11">
        <v>54118</v>
      </c>
      <c r="B665" s="53" t="s">
        <v>753</v>
      </c>
      <c r="C665" s="13"/>
      <c r="D665" s="14" t="s">
        <v>18</v>
      </c>
      <c r="E665" s="14" t="s">
        <v>28</v>
      </c>
      <c r="F665" s="14" t="s">
        <v>27</v>
      </c>
      <c r="G665" s="305">
        <f>'DIC-18'!I665</f>
        <v>290</v>
      </c>
      <c r="H665" s="51"/>
      <c r="I665" s="17">
        <f t="shared" si="13"/>
        <v>290</v>
      </c>
      <c r="J665" s="56"/>
      <c r="K665" s="56"/>
    </row>
    <row r="666" spans="1:11" ht="29.25">
      <c r="A666" s="11">
        <v>54304</v>
      </c>
      <c r="B666" s="53" t="s">
        <v>754</v>
      </c>
      <c r="C666" s="13"/>
      <c r="D666" s="14" t="s">
        <v>18</v>
      </c>
      <c r="E666" s="14" t="s">
        <v>28</v>
      </c>
      <c r="F666" s="14" t="s">
        <v>27</v>
      </c>
      <c r="G666" s="305">
        <f>'DIC-18'!I666</f>
        <v>100</v>
      </c>
      <c r="H666" s="51"/>
      <c r="I666" s="17">
        <f t="shared" si="13"/>
        <v>100</v>
      </c>
      <c r="J666" s="56"/>
      <c r="K666" s="56"/>
    </row>
    <row r="667" spans="1:11" ht="29.25">
      <c r="A667" s="11">
        <v>54313</v>
      </c>
      <c r="B667" s="53" t="s">
        <v>755</v>
      </c>
      <c r="C667" s="13"/>
      <c r="D667" s="14" t="s">
        <v>18</v>
      </c>
      <c r="E667" s="14" t="s">
        <v>28</v>
      </c>
      <c r="F667" s="14" t="s">
        <v>27</v>
      </c>
      <c r="G667" s="305">
        <f>'DIC-18'!I667</f>
        <v>300</v>
      </c>
      <c r="H667" s="17"/>
      <c r="I667" s="17">
        <f t="shared" si="13"/>
        <v>300</v>
      </c>
      <c r="J667" s="56"/>
      <c r="K667" s="56"/>
    </row>
    <row r="668" spans="1:11" ht="43.5">
      <c r="A668" s="11">
        <v>54399</v>
      </c>
      <c r="B668" s="53" t="s">
        <v>756</v>
      </c>
      <c r="C668" s="13"/>
      <c r="D668" s="14" t="s">
        <v>18</v>
      </c>
      <c r="E668" s="14" t="s">
        <v>28</v>
      </c>
      <c r="F668" s="14" t="s">
        <v>27</v>
      </c>
      <c r="G668" s="305">
        <f>'DIC-18'!I668</f>
        <v>200</v>
      </c>
      <c r="H668" s="51"/>
      <c r="I668" s="17">
        <f t="shared" si="13"/>
        <v>200</v>
      </c>
      <c r="J668" s="56"/>
      <c r="K668" s="56"/>
    </row>
    <row r="669" spans="1:11" ht="29.25">
      <c r="A669" s="11">
        <v>55603</v>
      </c>
      <c r="B669" s="53" t="s">
        <v>757</v>
      </c>
      <c r="C669" s="13"/>
      <c r="D669" s="14" t="s">
        <v>18</v>
      </c>
      <c r="E669" s="14" t="s">
        <v>28</v>
      </c>
      <c r="F669" s="14" t="s">
        <v>27</v>
      </c>
      <c r="G669" s="305">
        <f>'DIC-18'!I669</f>
        <v>10</v>
      </c>
      <c r="H669" s="51"/>
      <c r="I669" s="17">
        <f t="shared" si="13"/>
        <v>10</v>
      </c>
      <c r="J669" s="56"/>
      <c r="K669" s="56"/>
    </row>
    <row r="670" spans="1:11" ht="60">
      <c r="A670" s="141" t="s">
        <v>451</v>
      </c>
      <c r="B670" s="53" t="s">
        <v>758</v>
      </c>
      <c r="C670" s="13"/>
      <c r="D670" s="14"/>
      <c r="E670" s="14"/>
      <c r="F670" s="14"/>
      <c r="G670" s="305">
        <f>'DIC-18'!I670</f>
        <v>0</v>
      </c>
      <c r="H670" s="51"/>
      <c r="I670" s="17"/>
      <c r="J670" s="56"/>
      <c r="K670" s="56"/>
    </row>
    <row r="671" spans="1:11" ht="29.25">
      <c r="A671" s="11">
        <v>51202</v>
      </c>
      <c r="B671" s="54" t="s">
        <v>759</v>
      </c>
      <c r="C671" s="13"/>
      <c r="D671" s="14" t="s">
        <v>18</v>
      </c>
      <c r="E671" s="14" t="s">
        <v>28</v>
      </c>
      <c r="F671" s="14" t="s">
        <v>27</v>
      </c>
      <c r="G671" s="305">
        <f>'DIC-18'!I671</f>
        <v>0</v>
      </c>
      <c r="H671" s="51"/>
      <c r="I671" s="17">
        <f t="shared" si="13"/>
        <v>0</v>
      </c>
      <c r="J671" s="56"/>
      <c r="K671" s="142"/>
    </row>
    <row r="672" spans="1:11" ht="29.25">
      <c r="A672" s="11">
        <v>54110</v>
      </c>
      <c r="B672" s="54" t="s">
        <v>760</v>
      </c>
      <c r="C672" s="13"/>
      <c r="D672" s="14" t="s">
        <v>18</v>
      </c>
      <c r="E672" s="14" t="s">
        <v>28</v>
      </c>
      <c r="F672" s="14" t="s">
        <v>27</v>
      </c>
      <c r="G672" s="305">
        <f>'DIC-18'!I672</f>
        <v>0</v>
      </c>
      <c r="H672" s="51"/>
      <c r="I672" s="17">
        <f t="shared" si="13"/>
        <v>0</v>
      </c>
      <c r="J672" s="56"/>
      <c r="K672" s="142"/>
    </row>
    <row r="673" spans="1:11" ht="41.25" customHeight="1">
      <c r="A673" s="11">
        <v>54111</v>
      </c>
      <c r="B673" s="54" t="s">
        <v>761</v>
      </c>
      <c r="C673" s="13"/>
      <c r="D673" s="14" t="s">
        <v>18</v>
      </c>
      <c r="E673" s="14" t="s">
        <v>28</v>
      </c>
      <c r="F673" s="14" t="s">
        <v>27</v>
      </c>
      <c r="G673" s="305">
        <f>'DIC-18'!I673</f>
        <v>0</v>
      </c>
      <c r="H673" s="51"/>
      <c r="I673" s="17">
        <f t="shared" si="13"/>
        <v>0</v>
      </c>
      <c r="J673" s="56"/>
      <c r="K673" s="142"/>
    </row>
    <row r="674" spans="1:11" ht="30" customHeight="1">
      <c r="A674" s="11">
        <v>54118</v>
      </c>
      <c r="B674" s="54" t="s">
        <v>762</v>
      </c>
      <c r="C674" s="13"/>
      <c r="D674" s="14" t="s">
        <v>18</v>
      </c>
      <c r="E674" s="14" t="s">
        <v>28</v>
      </c>
      <c r="F674" s="14" t="s">
        <v>27</v>
      </c>
      <c r="G674" s="305">
        <f>'DIC-18'!I674</f>
        <v>0</v>
      </c>
      <c r="H674" s="51"/>
      <c r="I674" s="17">
        <f t="shared" si="13"/>
        <v>0</v>
      </c>
      <c r="J674" s="56"/>
      <c r="K674" s="142"/>
    </row>
    <row r="675" spans="1:11" ht="29.25">
      <c r="A675" s="11">
        <v>54313</v>
      </c>
      <c r="B675" s="54" t="s">
        <v>763</v>
      </c>
      <c r="C675" s="13"/>
      <c r="D675" s="14" t="s">
        <v>18</v>
      </c>
      <c r="E675" s="14" t="s">
        <v>28</v>
      </c>
      <c r="F675" s="14" t="s">
        <v>27</v>
      </c>
      <c r="G675" s="305">
        <f>'DIC-18'!I675</f>
        <v>0</v>
      </c>
      <c r="H675" s="51"/>
      <c r="I675" s="17">
        <f t="shared" si="13"/>
        <v>0</v>
      </c>
      <c r="J675" s="56"/>
      <c r="K675" s="142"/>
    </row>
    <row r="676" spans="1:11" ht="44.25">
      <c r="A676" s="11">
        <v>54399</v>
      </c>
      <c r="B676" s="54" t="s">
        <v>764</v>
      </c>
      <c r="C676" s="13"/>
      <c r="D676" s="14" t="s">
        <v>18</v>
      </c>
      <c r="E676" s="14" t="s">
        <v>28</v>
      </c>
      <c r="F676" s="14" t="s">
        <v>27</v>
      </c>
      <c r="G676" s="305">
        <f>'DIC-18'!I676</f>
        <v>0</v>
      </c>
      <c r="H676" s="51"/>
      <c r="I676" s="17">
        <f t="shared" si="13"/>
        <v>0</v>
      </c>
      <c r="J676" s="56"/>
      <c r="K676" s="142"/>
    </row>
    <row r="677" spans="1:11" ht="29.25">
      <c r="A677" s="11">
        <v>55603</v>
      </c>
      <c r="B677" s="54" t="s">
        <v>765</v>
      </c>
      <c r="C677" s="13"/>
      <c r="D677" s="14" t="s">
        <v>18</v>
      </c>
      <c r="E677" s="14" t="s">
        <v>28</v>
      </c>
      <c r="F677" s="14" t="s">
        <v>27</v>
      </c>
      <c r="G677" s="305">
        <f>'DIC-18'!I677</f>
        <v>0</v>
      </c>
      <c r="H677" s="51"/>
      <c r="I677" s="17">
        <f t="shared" si="13"/>
        <v>0</v>
      </c>
      <c r="J677" s="56"/>
      <c r="K677" s="142"/>
    </row>
    <row r="678" spans="1:11" ht="78.75" customHeight="1">
      <c r="A678" s="141" t="s">
        <v>459</v>
      </c>
      <c r="B678" s="53" t="s">
        <v>766</v>
      </c>
      <c r="C678" s="13"/>
      <c r="D678" s="14"/>
      <c r="E678" s="14"/>
      <c r="F678" s="14"/>
      <c r="G678" s="305">
        <f>'DIC-18'!I678</f>
        <v>0</v>
      </c>
      <c r="H678" s="51"/>
      <c r="I678" s="17"/>
      <c r="J678" s="56"/>
      <c r="K678" s="56"/>
    </row>
    <row r="679" spans="1:11" ht="29.25">
      <c r="A679" s="11">
        <v>51202</v>
      </c>
      <c r="B679" s="54" t="s">
        <v>767</v>
      </c>
      <c r="C679" s="13"/>
      <c r="D679" s="14" t="s">
        <v>18</v>
      </c>
      <c r="E679" s="14" t="s">
        <v>28</v>
      </c>
      <c r="F679" s="14" t="s">
        <v>27</v>
      </c>
      <c r="G679" s="305">
        <f>'DIC-18'!I679</f>
        <v>0</v>
      </c>
      <c r="H679" s="51"/>
      <c r="I679" s="17">
        <f t="shared" si="13"/>
        <v>0</v>
      </c>
      <c r="J679" s="56"/>
      <c r="K679" s="137"/>
    </row>
    <row r="680" spans="1:11" ht="29.25">
      <c r="A680" s="11">
        <v>54110</v>
      </c>
      <c r="B680" s="54" t="s">
        <v>768</v>
      </c>
      <c r="C680" s="13"/>
      <c r="D680" s="14" t="s">
        <v>18</v>
      </c>
      <c r="E680" s="14" t="s">
        <v>28</v>
      </c>
      <c r="F680" s="14" t="s">
        <v>27</v>
      </c>
      <c r="G680" s="305">
        <f>'DIC-18'!I680</f>
        <v>0</v>
      </c>
      <c r="H680" s="51"/>
      <c r="I680" s="17">
        <f t="shared" si="13"/>
        <v>0</v>
      </c>
      <c r="J680" s="56"/>
      <c r="K680" s="137"/>
    </row>
    <row r="681" spans="1:11" ht="43.5">
      <c r="A681" s="11">
        <v>54111</v>
      </c>
      <c r="B681" s="54" t="s">
        <v>769</v>
      </c>
      <c r="C681" s="13"/>
      <c r="D681" s="14" t="s">
        <v>18</v>
      </c>
      <c r="E681" s="14" t="s">
        <v>28</v>
      </c>
      <c r="F681" s="14" t="s">
        <v>27</v>
      </c>
      <c r="G681" s="305">
        <f>'DIC-18'!I681</f>
        <v>0</v>
      </c>
      <c r="H681" s="51"/>
      <c r="I681" s="17">
        <f t="shared" si="13"/>
        <v>0</v>
      </c>
      <c r="J681" s="56"/>
      <c r="K681" s="137"/>
    </row>
    <row r="682" spans="1:11" ht="43.5">
      <c r="A682" s="11">
        <v>54118</v>
      </c>
      <c r="B682" s="54" t="s">
        <v>770</v>
      </c>
      <c r="C682" s="13"/>
      <c r="D682" s="14" t="s">
        <v>18</v>
      </c>
      <c r="E682" s="14" t="s">
        <v>28</v>
      </c>
      <c r="F682" s="14" t="s">
        <v>27</v>
      </c>
      <c r="G682" s="305">
        <f>'DIC-18'!I682</f>
        <v>0</v>
      </c>
      <c r="H682" s="51"/>
      <c r="I682" s="17">
        <f t="shared" si="13"/>
        <v>0</v>
      </c>
      <c r="J682" s="56"/>
      <c r="K682" s="137"/>
    </row>
    <row r="683" spans="1:11" ht="44.25">
      <c r="A683" s="11">
        <v>54313</v>
      </c>
      <c r="B683" s="54" t="s">
        <v>771</v>
      </c>
      <c r="C683" s="13"/>
      <c r="D683" s="14" t="s">
        <v>18</v>
      </c>
      <c r="E683" s="14" t="s">
        <v>28</v>
      </c>
      <c r="F683" s="14" t="s">
        <v>27</v>
      </c>
      <c r="G683" s="305">
        <f>'DIC-18'!I683</f>
        <v>0</v>
      </c>
      <c r="H683" s="51"/>
      <c r="I683" s="17">
        <f t="shared" si="13"/>
        <v>0</v>
      </c>
      <c r="J683" s="56"/>
      <c r="K683" s="137"/>
    </row>
    <row r="684" spans="1:11" ht="43.5">
      <c r="A684" s="11">
        <v>54399</v>
      </c>
      <c r="B684" s="54" t="s">
        <v>772</v>
      </c>
      <c r="C684" s="13"/>
      <c r="D684" s="14" t="s">
        <v>18</v>
      </c>
      <c r="E684" s="14" t="s">
        <v>28</v>
      </c>
      <c r="F684" s="14" t="s">
        <v>27</v>
      </c>
      <c r="G684" s="305">
        <f>'DIC-18'!I684</f>
        <v>0</v>
      </c>
      <c r="H684" s="51"/>
      <c r="I684" s="17">
        <f t="shared" si="13"/>
        <v>0</v>
      </c>
      <c r="J684" s="56"/>
      <c r="K684" s="137"/>
    </row>
    <row r="685" spans="1:11" ht="43.5">
      <c r="A685" s="11">
        <v>55603</v>
      </c>
      <c r="B685" s="54" t="s">
        <v>773</v>
      </c>
      <c r="C685" s="13"/>
      <c r="D685" s="14" t="s">
        <v>18</v>
      </c>
      <c r="E685" s="14" t="s">
        <v>28</v>
      </c>
      <c r="F685" s="14" t="s">
        <v>27</v>
      </c>
      <c r="G685" s="305">
        <f>'DIC-18'!I685</f>
        <v>0</v>
      </c>
      <c r="H685" s="51"/>
      <c r="I685" s="17">
        <f t="shared" si="13"/>
        <v>0</v>
      </c>
      <c r="J685" s="56"/>
      <c r="K685" s="137"/>
    </row>
    <row r="686" spans="1:11" ht="74.25">
      <c r="A686" s="141" t="s">
        <v>461</v>
      </c>
      <c r="B686" s="53" t="s">
        <v>774</v>
      </c>
      <c r="C686" s="13"/>
      <c r="D686" s="14"/>
      <c r="E686" s="14"/>
      <c r="F686" s="14"/>
      <c r="G686" s="305">
        <f>'DIC-18'!I686</f>
        <v>0</v>
      </c>
      <c r="H686" s="51"/>
      <c r="I686" s="17"/>
      <c r="J686" s="56"/>
      <c r="K686" s="56"/>
    </row>
    <row r="687" spans="1:11" ht="29.25">
      <c r="A687" s="11">
        <v>51202</v>
      </c>
      <c r="B687" s="54" t="s">
        <v>775</v>
      </c>
      <c r="C687" s="13"/>
      <c r="D687" s="14" t="s">
        <v>18</v>
      </c>
      <c r="E687" s="14" t="s">
        <v>28</v>
      </c>
      <c r="F687" s="14" t="s">
        <v>27</v>
      </c>
      <c r="G687" s="305">
        <f>'DIC-18'!I687</f>
        <v>7000</v>
      </c>
      <c r="H687" s="51"/>
      <c r="I687" s="17">
        <f t="shared" si="13"/>
        <v>7000</v>
      </c>
      <c r="J687" s="56"/>
      <c r="K687" s="56"/>
    </row>
    <row r="688" spans="1:11" ht="29.25">
      <c r="A688" s="11">
        <v>54110</v>
      </c>
      <c r="B688" s="54" t="s">
        <v>776</v>
      </c>
      <c r="C688" s="13"/>
      <c r="D688" s="14" t="s">
        <v>18</v>
      </c>
      <c r="E688" s="14" t="s">
        <v>28</v>
      </c>
      <c r="F688" s="14" t="s">
        <v>27</v>
      </c>
      <c r="G688" s="305">
        <f>'DIC-18'!I688</f>
        <v>200</v>
      </c>
      <c r="H688" s="51"/>
      <c r="I688" s="17">
        <f t="shared" si="13"/>
        <v>200</v>
      </c>
      <c r="J688" s="56"/>
      <c r="K688" s="56"/>
    </row>
    <row r="689" spans="1:11" ht="44.25">
      <c r="A689" s="11">
        <v>54111</v>
      </c>
      <c r="B689" s="54" t="s">
        <v>777</v>
      </c>
      <c r="C689" s="13"/>
      <c r="D689" s="14" t="s">
        <v>18</v>
      </c>
      <c r="E689" s="14" t="s">
        <v>28</v>
      </c>
      <c r="F689" s="14" t="s">
        <v>27</v>
      </c>
      <c r="G689" s="305">
        <f>'DIC-18'!I689</f>
        <v>9290</v>
      </c>
      <c r="H689" s="51"/>
      <c r="I689" s="17">
        <f t="shared" si="13"/>
        <v>9290</v>
      </c>
      <c r="J689" s="56"/>
      <c r="K689" s="56"/>
    </row>
    <row r="690" spans="1:11" ht="43.5">
      <c r="A690" s="11">
        <v>54118</v>
      </c>
      <c r="B690" s="54" t="s">
        <v>778</v>
      </c>
      <c r="C690" s="13"/>
      <c r="D690" s="14" t="s">
        <v>18</v>
      </c>
      <c r="E690" s="14" t="s">
        <v>28</v>
      </c>
      <c r="F690" s="14" t="s">
        <v>27</v>
      </c>
      <c r="G690" s="305">
        <f>'DIC-18'!I690</f>
        <v>3000</v>
      </c>
      <c r="H690" s="51"/>
      <c r="I690" s="17">
        <f t="shared" si="13"/>
        <v>3000</v>
      </c>
      <c r="J690" s="56"/>
      <c r="K690" s="56"/>
    </row>
    <row r="691" spans="1:11" ht="43.5">
      <c r="A691" s="11">
        <v>54313</v>
      </c>
      <c r="B691" s="54" t="s">
        <v>779</v>
      </c>
      <c r="C691" s="13"/>
      <c r="D691" s="14" t="s">
        <v>18</v>
      </c>
      <c r="E691" s="14" t="s">
        <v>28</v>
      </c>
      <c r="F691" s="14" t="s">
        <v>27</v>
      </c>
      <c r="G691" s="305">
        <f>'DIC-18'!I691</f>
        <v>300</v>
      </c>
      <c r="H691" s="51"/>
      <c r="I691" s="17">
        <f t="shared" si="13"/>
        <v>300</v>
      </c>
      <c r="J691" s="56"/>
      <c r="K691" s="56"/>
    </row>
    <row r="692" spans="1:11" ht="43.5">
      <c r="A692" s="11">
        <v>54399</v>
      </c>
      <c r="B692" s="54" t="s">
        <v>780</v>
      </c>
      <c r="C692" s="13"/>
      <c r="D692" s="14" t="s">
        <v>18</v>
      </c>
      <c r="E692" s="14" t="s">
        <v>28</v>
      </c>
      <c r="F692" s="14" t="s">
        <v>27</v>
      </c>
      <c r="G692" s="305">
        <f>'DIC-18'!I692</f>
        <v>200</v>
      </c>
      <c r="H692" s="51"/>
      <c r="I692" s="17">
        <f t="shared" si="13"/>
        <v>200</v>
      </c>
      <c r="J692" s="56"/>
      <c r="K692" s="56"/>
    </row>
    <row r="693" spans="1:11" ht="43.5">
      <c r="A693" s="11">
        <v>55603</v>
      </c>
      <c r="B693" s="54" t="s">
        <v>781</v>
      </c>
      <c r="C693" s="13"/>
      <c r="D693" s="14" t="s">
        <v>18</v>
      </c>
      <c r="E693" s="14" t="s">
        <v>28</v>
      </c>
      <c r="F693" s="14" t="s">
        <v>27</v>
      </c>
      <c r="G693" s="305">
        <f>'DIC-18'!I693</f>
        <v>10</v>
      </c>
      <c r="H693" s="51"/>
      <c r="I693" s="17">
        <f t="shared" si="13"/>
        <v>10</v>
      </c>
      <c r="J693" s="56"/>
      <c r="K693" s="56"/>
    </row>
    <row r="694" spans="1:11" ht="89.25">
      <c r="A694" s="141" t="s">
        <v>468</v>
      </c>
      <c r="B694" s="53" t="s">
        <v>782</v>
      </c>
      <c r="C694" s="13"/>
      <c r="D694" s="14"/>
      <c r="E694" s="14"/>
      <c r="F694" s="14"/>
      <c r="G694" s="305">
        <f>'DIC-18'!I694</f>
        <v>0</v>
      </c>
      <c r="H694" s="51"/>
      <c r="I694" s="17"/>
      <c r="J694" s="56"/>
      <c r="K694" s="56"/>
    </row>
    <row r="695" spans="1:11" ht="29.25">
      <c r="A695" s="11">
        <v>51202</v>
      </c>
      <c r="B695" s="54" t="s">
        <v>783</v>
      </c>
      <c r="C695" s="13"/>
      <c r="D695" s="14" t="s">
        <v>18</v>
      </c>
      <c r="E695" s="14" t="s">
        <v>28</v>
      </c>
      <c r="F695" s="14" t="s">
        <v>27</v>
      </c>
      <c r="G695" s="305">
        <f>'DIC-18'!I695</f>
        <v>7000</v>
      </c>
      <c r="H695" s="51"/>
      <c r="I695" s="17">
        <f t="shared" si="13"/>
        <v>7000</v>
      </c>
      <c r="J695" s="56"/>
      <c r="K695" s="56"/>
    </row>
    <row r="696" spans="1:11" ht="43.5">
      <c r="A696" s="11">
        <v>54110</v>
      </c>
      <c r="B696" s="54" t="s">
        <v>784</v>
      </c>
      <c r="C696" s="13"/>
      <c r="D696" s="14" t="s">
        <v>18</v>
      </c>
      <c r="E696" s="14" t="s">
        <v>28</v>
      </c>
      <c r="F696" s="14" t="s">
        <v>27</v>
      </c>
      <c r="G696" s="305">
        <f>'DIC-18'!I696</f>
        <v>200</v>
      </c>
      <c r="H696" s="51"/>
      <c r="I696" s="17">
        <f t="shared" si="13"/>
        <v>200</v>
      </c>
      <c r="J696" s="56"/>
      <c r="K696" s="56"/>
    </row>
    <row r="697" spans="1:11" ht="44.25">
      <c r="A697" s="11">
        <v>54111</v>
      </c>
      <c r="B697" s="53" t="s">
        <v>785</v>
      </c>
      <c r="C697" s="13"/>
      <c r="D697" s="14" t="s">
        <v>18</v>
      </c>
      <c r="E697" s="14" t="s">
        <v>28</v>
      </c>
      <c r="F697" s="14" t="s">
        <v>27</v>
      </c>
      <c r="G697" s="305">
        <f>'DIC-18'!I697</f>
        <v>9290</v>
      </c>
      <c r="H697" s="51"/>
      <c r="I697" s="17">
        <f t="shared" si="13"/>
        <v>9290</v>
      </c>
      <c r="J697" s="56"/>
      <c r="K697" s="56"/>
    </row>
    <row r="698" spans="1:11" ht="43.5">
      <c r="A698" s="11">
        <v>54118</v>
      </c>
      <c r="B698" s="54" t="s">
        <v>786</v>
      </c>
      <c r="C698" s="13"/>
      <c r="D698" s="14" t="s">
        <v>18</v>
      </c>
      <c r="E698" s="14" t="s">
        <v>28</v>
      </c>
      <c r="F698" s="14" t="s">
        <v>27</v>
      </c>
      <c r="G698" s="305">
        <f>'DIC-18'!I698</f>
        <v>3000</v>
      </c>
      <c r="H698" s="51"/>
      <c r="I698" s="17">
        <f t="shared" si="13"/>
        <v>3000</v>
      </c>
      <c r="J698" s="56"/>
      <c r="K698" s="56"/>
    </row>
    <row r="699" spans="1:11" ht="44.25">
      <c r="A699" s="11">
        <v>54313</v>
      </c>
      <c r="B699" s="54" t="s">
        <v>787</v>
      </c>
      <c r="C699" s="13"/>
      <c r="D699" s="14" t="s">
        <v>18</v>
      </c>
      <c r="E699" s="14" t="s">
        <v>28</v>
      </c>
      <c r="F699" s="14" t="s">
        <v>27</v>
      </c>
      <c r="G699" s="305">
        <f>'DIC-18'!I699</f>
        <v>300</v>
      </c>
      <c r="H699" s="51"/>
      <c r="I699" s="17">
        <f t="shared" si="13"/>
        <v>300</v>
      </c>
      <c r="J699" s="56"/>
      <c r="K699" s="56"/>
    </row>
    <row r="700" spans="1:11" ht="44.25">
      <c r="A700" s="11">
        <v>54399</v>
      </c>
      <c r="B700" s="54" t="s">
        <v>788</v>
      </c>
      <c r="C700" s="13"/>
      <c r="D700" s="14" t="s">
        <v>18</v>
      </c>
      <c r="E700" s="14" t="s">
        <v>28</v>
      </c>
      <c r="F700" s="14" t="s">
        <v>27</v>
      </c>
      <c r="G700" s="305">
        <f>'DIC-18'!I700</f>
        <v>200</v>
      </c>
      <c r="H700" s="51"/>
      <c r="I700" s="17">
        <f t="shared" si="13"/>
        <v>200</v>
      </c>
      <c r="J700" s="56"/>
      <c r="K700" s="56"/>
    </row>
    <row r="701" spans="1:11" ht="40.5" customHeight="1">
      <c r="A701" s="11">
        <v>55603</v>
      </c>
      <c r="B701" s="54" t="s">
        <v>789</v>
      </c>
      <c r="C701" s="13"/>
      <c r="D701" s="14" t="s">
        <v>18</v>
      </c>
      <c r="E701" s="14" t="s">
        <v>28</v>
      </c>
      <c r="F701" s="14" t="s">
        <v>27</v>
      </c>
      <c r="G701" s="305">
        <f>'DIC-18'!I701</f>
        <v>10</v>
      </c>
      <c r="H701" s="51"/>
      <c r="I701" s="17">
        <f t="shared" si="13"/>
        <v>10</v>
      </c>
      <c r="J701" s="56"/>
      <c r="K701" s="56"/>
    </row>
    <row r="702" spans="1:11" ht="60">
      <c r="A702" s="144" t="s">
        <v>477</v>
      </c>
      <c r="B702" s="53" t="s">
        <v>791</v>
      </c>
      <c r="C702" s="13"/>
      <c r="D702" s="14"/>
      <c r="E702" s="14"/>
      <c r="F702" s="14"/>
      <c r="G702" s="305">
        <f>'DIC-18'!I702</f>
        <v>0</v>
      </c>
      <c r="H702" s="51"/>
      <c r="I702" s="17"/>
      <c r="J702" s="56"/>
      <c r="K702" s="56"/>
    </row>
    <row r="703" spans="1:11" ht="30">
      <c r="A703" s="11">
        <v>51202</v>
      </c>
      <c r="B703" s="54" t="s">
        <v>792</v>
      </c>
      <c r="C703" s="13"/>
      <c r="D703" s="14" t="s">
        <v>18</v>
      </c>
      <c r="E703" s="14" t="s">
        <v>28</v>
      </c>
      <c r="F703" s="14" t="s">
        <v>27</v>
      </c>
      <c r="G703" s="305">
        <f>'DIC-18'!I703</f>
        <v>9000</v>
      </c>
      <c r="H703" s="51"/>
      <c r="I703" s="17">
        <f t="shared" si="13"/>
        <v>9000</v>
      </c>
      <c r="J703" s="56"/>
      <c r="K703" s="56"/>
    </row>
    <row r="704" spans="1:11" ht="30">
      <c r="A704" s="11">
        <v>54110</v>
      </c>
      <c r="B704" s="54" t="s">
        <v>793</v>
      </c>
      <c r="C704" s="13"/>
      <c r="D704" s="14" t="s">
        <v>18</v>
      </c>
      <c r="E704" s="14" t="s">
        <v>28</v>
      </c>
      <c r="F704" s="14" t="s">
        <v>27</v>
      </c>
      <c r="G704" s="305">
        <f>'DIC-18'!I704</f>
        <v>200</v>
      </c>
      <c r="H704" s="51"/>
      <c r="I704" s="17">
        <f t="shared" si="13"/>
        <v>200</v>
      </c>
      <c r="J704" s="56"/>
      <c r="K704" s="56"/>
    </row>
    <row r="705" spans="1:11" ht="30">
      <c r="A705" s="11">
        <v>54111</v>
      </c>
      <c r="B705" s="54" t="s">
        <v>794</v>
      </c>
      <c r="C705" s="13"/>
      <c r="D705" s="14" t="s">
        <v>18</v>
      </c>
      <c r="E705" s="14" t="s">
        <v>28</v>
      </c>
      <c r="F705" s="14" t="s">
        <v>27</v>
      </c>
      <c r="G705" s="305">
        <f>'DIC-18'!I705</f>
        <v>11290</v>
      </c>
      <c r="H705" s="51"/>
      <c r="I705" s="17">
        <f t="shared" si="13"/>
        <v>11290</v>
      </c>
      <c r="J705" s="56"/>
      <c r="K705" s="56"/>
    </row>
    <row r="706" spans="1:11" ht="30">
      <c r="A706" s="11">
        <v>54118</v>
      </c>
      <c r="B706" s="54" t="s">
        <v>795</v>
      </c>
      <c r="C706" s="13"/>
      <c r="D706" s="14" t="s">
        <v>18</v>
      </c>
      <c r="E706" s="14" t="s">
        <v>28</v>
      </c>
      <c r="F706" s="14" t="s">
        <v>27</v>
      </c>
      <c r="G706" s="305">
        <f>'DIC-18'!I706</f>
        <v>3000</v>
      </c>
      <c r="H706" s="51"/>
      <c r="I706" s="17">
        <f t="shared" si="13"/>
        <v>3000</v>
      </c>
      <c r="J706" s="56"/>
      <c r="K706" s="56"/>
    </row>
    <row r="707" spans="1:11" ht="45">
      <c r="A707" s="11">
        <v>54313</v>
      </c>
      <c r="B707" s="54" t="s">
        <v>796</v>
      </c>
      <c r="C707" s="13"/>
      <c r="D707" s="14" t="s">
        <v>18</v>
      </c>
      <c r="E707" s="14" t="s">
        <v>28</v>
      </c>
      <c r="F707" s="14" t="s">
        <v>27</v>
      </c>
      <c r="G707" s="305">
        <f>'DIC-18'!I707</f>
        <v>300</v>
      </c>
      <c r="H707" s="51"/>
      <c r="I707" s="17">
        <f t="shared" si="13"/>
        <v>300</v>
      </c>
      <c r="J707" s="56"/>
      <c r="K707" s="56"/>
    </row>
    <row r="708" spans="1:11" ht="30">
      <c r="A708" s="11">
        <v>54399</v>
      </c>
      <c r="B708" s="54" t="s">
        <v>797</v>
      </c>
      <c r="C708" s="13"/>
      <c r="D708" s="14" t="s">
        <v>18</v>
      </c>
      <c r="E708" s="14" t="s">
        <v>28</v>
      </c>
      <c r="F708" s="14" t="s">
        <v>27</v>
      </c>
      <c r="G708" s="305">
        <f>'DIC-18'!I708</f>
        <v>1200</v>
      </c>
      <c r="H708" s="51"/>
      <c r="I708" s="17">
        <f t="shared" si="13"/>
        <v>1200</v>
      </c>
      <c r="J708" s="56"/>
      <c r="K708" s="56"/>
    </row>
    <row r="709" spans="1:11" ht="30">
      <c r="A709" s="11">
        <v>55603</v>
      </c>
      <c r="B709" s="54" t="s">
        <v>798</v>
      </c>
      <c r="C709" s="13"/>
      <c r="D709" s="14" t="s">
        <v>18</v>
      </c>
      <c r="E709" s="14" t="s">
        <v>28</v>
      </c>
      <c r="F709" s="14" t="s">
        <v>27</v>
      </c>
      <c r="G709" s="305">
        <f>'DIC-18'!I709</f>
        <v>10</v>
      </c>
      <c r="H709" s="51"/>
      <c r="I709" s="17">
        <f t="shared" si="13"/>
        <v>10</v>
      </c>
      <c r="J709" s="56"/>
      <c r="K709" s="56"/>
    </row>
    <row r="710" spans="1:11" ht="60">
      <c r="A710" s="141" t="s">
        <v>486</v>
      </c>
      <c r="B710" s="53" t="s">
        <v>790</v>
      </c>
      <c r="C710" s="13"/>
      <c r="D710" s="14"/>
      <c r="E710" s="14"/>
      <c r="F710" s="14"/>
      <c r="G710" s="305">
        <f>'DIC-18'!I710</f>
        <v>0</v>
      </c>
      <c r="H710" s="51"/>
      <c r="I710" s="17"/>
      <c r="J710" s="56"/>
      <c r="K710" s="56"/>
    </row>
    <row r="711" spans="1:11" ht="29.25">
      <c r="A711" s="11">
        <v>51202</v>
      </c>
      <c r="B711" s="54" t="s">
        <v>799</v>
      </c>
      <c r="C711" s="13"/>
      <c r="D711" s="14" t="s">
        <v>18</v>
      </c>
      <c r="E711" s="14" t="s">
        <v>28</v>
      </c>
      <c r="F711" s="14" t="s">
        <v>27</v>
      </c>
      <c r="G711" s="305">
        <f>'DIC-18'!I711</f>
        <v>9000</v>
      </c>
      <c r="H711" s="51"/>
      <c r="I711" s="17">
        <f t="shared" si="13"/>
        <v>9000</v>
      </c>
      <c r="J711" s="56"/>
      <c r="K711" s="56"/>
    </row>
    <row r="712" spans="1:11" ht="29.25">
      <c r="A712" s="11">
        <v>54110</v>
      </c>
      <c r="B712" s="54" t="s">
        <v>800</v>
      </c>
      <c r="C712" s="13"/>
      <c r="D712" s="14" t="s">
        <v>18</v>
      </c>
      <c r="E712" s="14" t="s">
        <v>28</v>
      </c>
      <c r="F712" s="14" t="s">
        <v>27</v>
      </c>
      <c r="G712" s="305">
        <f>'DIC-18'!I712</f>
        <v>200</v>
      </c>
      <c r="H712" s="51"/>
      <c r="I712" s="17">
        <f t="shared" si="13"/>
        <v>200</v>
      </c>
      <c r="J712" s="56"/>
      <c r="K712" s="56"/>
    </row>
    <row r="713" spans="1:11" ht="44.25">
      <c r="A713" s="11">
        <v>54111</v>
      </c>
      <c r="B713" s="54" t="s">
        <v>801</v>
      </c>
      <c r="C713" s="13"/>
      <c r="D713" s="14" t="s">
        <v>18</v>
      </c>
      <c r="E713" s="14" t="s">
        <v>28</v>
      </c>
      <c r="F713" s="14" t="s">
        <v>27</v>
      </c>
      <c r="G713" s="305">
        <f>'DIC-18'!I713</f>
        <v>12290</v>
      </c>
      <c r="H713" s="51"/>
      <c r="I713" s="17">
        <f t="shared" si="13"/>
        <v>12290</v>
      </c>
      <c r="J713" s="56"/>
      <c r="K713" s="56"/>
    </row>
    <row r="714" spans="1:11" ht="29.25">
      <c r="A714" s="11">
        <v>54118</v>
      </c>
      <c r="B714" s="54" t="s">
        <v>802</v>
      </c>
      <c r="C714" s="13"/>
      <c r="D714" s="14" t="s">
        <v>18</v>
      </c>
      <c r="E714" s="14" t="s">
        <v>28</v>
      </c>
      <c r="F714" s="14" t="s">
        <v>27</v>
      </c>
      <c r="G714" s="305">
        <f>'DIC-18'!I714</f>
        <v>3000</v>
      </c>
      <c r="H714" s="51"/>
      <c r="I714" s="17">
        <f t="shared" si="13"/>
        <v>3000</v>
      </c>
      <c r="J714" s="56"/>
      <c r="K714" s="56"/>
    </row>
    <row r="715" spans="1:11" ht="43.5">
      <c r="A715" s="11">
        <v>54313</v>
      </c>
      <c r="B715" s="54" t="s">
        <v>803</v>
      </c>
      <c r="C715" s="13"/>
      <c r="D715" s="14" t="s">
        <v>18</v>
      </c>
      <c r="E715" s="14" t="s">
        <v>28</v>
      </c>
      <c r="F715" s="14" t="s">
        <v>27</v>
      </c>
      <c r="G715" s="305">
        <f>'DIC-18'!I715</f>
        <v>300</v>
      </c>
      <c r="H715" s="51"/>
      <c r="I715" s="17">
        <f t="shared" si="13"/>
        <v>300</v>
      </c>
      <c r="J715" s="56"/>
      <c r="K715" s="56"/>
    </row>
    <row r="716" spans="1:11" ht="43.5">
      <c r="A716" s="11">
        <v>54399</v>
      </c>
      <c r="B716" s="54" t="s">
        <v>804</v>
      </c>
      <c r="C716" s="13"/>
      <c r="D716" s="14" t="s">
        <v>18</v>
      </c>
      <c r="E716" s="14" t="s">
        <v>28</v>
      </c>
      <c r="F716" s="14" t="s">
        <v>27</v>
      </c>
      <c r="G716" s="305">
        <f>'DIC-18'!I716</f>
        <v>200</v>
      </c>
      <c r="H716" s="51"/>
      <c r="I716" s="17">
        <f t="shared" si="13"/>
        <v>200</v>
      </c>
      <c r="J716" s="56"/>
      <c r="K716" s="56"/>
    </row>
    <row r="717" spans="1:11" ht="33.75" customHeight="1">
      <c r="A717" s="11">
        <v>55603</v>
      </c>
      <c r="B717" s="54" t="s">
        <v>805</v>
      </c>
      <c r="C717" s="13"/>
      <c r="D717" s="14" t="s">
        <v>18</v>
      </c>
      <c r="E717" s="14" t="s">
        <v>28</v>
      </c>
      <c r="F717" s="14" t="s">
        <v>27</v>
      </c>
      <c r="G717" s="305">
        <f>'DIC-18'!I717</f>
        <v>10</v>
      </c>
      <c r="H717" s="51"/>
      <c r="I717" s="17">
        <f t="shared" si="13"/>
        <v>10</v>
      </c>
      <c r="J717" s="56"/>
      <c r="K717" s="56"/>
    </row>
    <row r="718" spans="1:11" ht="75">
      <c r="A718" s="141" t="s">
        <v>504</v>
      </c>
      <c r="B718" s="53" t="s">
        <v>806</v>
      </c>
      <c r="C718" s="13"/>
      <c r="D718" s="14"/>
      <c r="E718" s="14"/>
      <c r="F718" s="14"/>
      <c r="G718" s="305">
        <f>'DIC-18'!I718</f>
        <v>0</v>
      </c>
      <c r="H718" s="51"/>
      <c r="I718" s="17"/>
      <c r="J718" s="56"/>
      <c r="K718" s="56"/>
    </row>
    <row r="719" spans="1:11" ht="29.25">
      <c r="A719" s="11">
        <v>51202</v>
      </c>
      <c r="B719" s="54" t="s">
        <v>807</v>
      </c>
      <c r="C719" s="13"/>
      <c r="D719" s="14" t="s">
        <v>18</v>
      </c>
      <c r="E719" s="14" t="s">
        <v>28</v>
      </c>
      <c r="F719" s="14" t="s">
        <v>27</v>
      </c>
      <c r="G719" s="305">
        <f>'DIC-18'!I719</f>
        <v>7000</v>
      </c>
      <c r="H719" s="51"/>
      <c r="I719" s="17">
        <f t="shared" si="13"/>
        <v>7000</v>
      </c>
      <c r="J719" s="56"/>
      <c r="K719" s="56"/>
    </row>
    <row r="720" spans="1:11" ht="29.25">
      <c r="A720" s="11">
        <v>54110</v>
      </c>
      <c r="B720" s="54" t="s">
        <v>808</v>
      </c>
      <c r="C720" s="13"/>
      <c r="D720" s="14" t="s">
        <v>18</v>
      </c>
      <c r="E720" s="14" t="s">
        <v>28</v>
      </c>
      <c r="F720" s="14" t="s">
        <v>27</v>
      </c>
      <c r="G720" s="305">
        <f>'DIC-18'!I720</f>
        <v>200</v>
      </c>
      <c r="H720" s="51"/>
      <c r="I720" s="17">
        <f t="shared" si="13"/>
        <v>200</v>
      </c>
      <c r="J720" s="56"/>
      <c r="K720" s="56"/>
    </row>
    <row r="721" spans="1:11" ht="29.25">
      <c r="A721" s="11">
        <v>54111</v>
      </c>
      <c r="B721" s="54" t="s">
        <v>809</v>
      </c>
      <c r="C721" s="13"/>
      <c r="D721" s="14" t="s">
        <v>18</v>
      </c>
      <c r="E721" s="14" t="s">
        <v>28</v>
      </c>
      <c r="F721" s="14" t="s">
        <v>27</v>
      </c>
      <c r="G721" s="305">
        <f>'DIC-18'!I721</f>
        <v>10290</v>
      </c>
      <c r="H721" s="51"/>
      <c r="I721" s="17">
        <f t="shared" si="13"/>
        <v>10290</v>
      </c>
      <c r="J721" s="56"/>
      <c r="K721" s="56"/>
    </row>
    <row r="722" spans="1:11" ht="29.25">
      <c r="A722" s="11">
        <v>54118</v>
      </c>
      <c r="B722" s="54" t="s">
        <v>810</v>
      </c>
      <c r="C722" s="13"/>
      <c r="D722" s="14" t="s">
        <v>18</v>
      </c>
      <c r="E722" s="14" t="s">
        <v>28</v>
      </c>
      <c r="F722" s="14" t="s">
        <v>27</v>
      </c>
      <c r="G722" s="305">
        <f>'DIC-18'!I722</f>
        <v>1500</v>
      </c>
      <c r="H722" s="51"/>
      <c r="I722" s="17">
        <f t="shared" si="13"/>
        <v>1500</v>
      </c>
      <c r="J722" s="56"/>
      <c r="K722" s="56"/>
    </row>
    <row r="723" spans="1:11" ht="44.25">
      <c r="A723" s="11">
        <v>54313</v>
      </c>
      <c r="B723" s="54" t="s">
        <v>811</v>
      </c>
      <c r="C723" s="13"/>
      <c r="D723" s="14" t="s">
        <v>18</v>
      </c>
      <c r="E723" s="14" t="s">
        <v>28</v>
      </c>
      <c r="F723" s="14" t="s">
        <v>27</v>
      </c>
      <c r="G723" s="305">
        <f>'DIC-18'!I723</f>
        <v>300</v>
      </c>
      <c r="H723" s="51"/>
      <c r="I723" s="17">
        <f t="shared" si="13"/>
        <v>300</v>
      </c>
      <c r="J723" s="56"/>
      <c r="K723" s="56"/>
    </row>
    <row r="724" spans="1:11" ht="29.25">
      <c r="A724" s="11">
        <v>54399</v>
      </c>
      <c r="B724" s="54" t="s">
        <v>812</v>
      </c>
      <c r="C724" s="13"/>
      <c r="D724" s="14" t="s">
        <v>18</v>
      </c>
      <c r="E724" s="14" t="s">
        <v>28</v>
      </c>
      <c r="F724" s="14" t="s">
        <v>27</v>
      </c>
      <c r="G724" s="305">
        <f>'DIC-18'!I724</f>
        <v>700</v>
      </c>
      <c r="H724" s="51"/>
      <c r="I724" s="17">
        <f t="shared" si="13"/>
        <v>700</v>
      </c>
      <c r="J724" s="56"/>
      <c r="K724" s="56"/>
    </row>
    <row r="725" spans="1:11" ht="29.25">
      <c r="A725" s="11">
        <v>55603</v>
      </c>
      <c r="B725" s="54" t="s">
        <v>813</v>
      </c>
      <c r="C725" s="13"/>
      <c r="D725" s="14" t="s">
        <v>18</v>
      </c>
      <c r="E725" s="14" t="s">
        <v>28</v>
      </c>
      <c r="F725" s="14" t="s">
        <v>27</v>
      </c>
      <c r="G725" s="305">
        <f>'DIC-18'!I725</f>
        <v>10</v>
      </c>
      <c r="H725" s="51"/>
      <c r="I725" s="17">
        <f t="shared" si="13"/>
        <v>10</v>
      </c>
      <c r="J725" s="56"/>
      <c r="K725" s="56"/>
    </row>
    <row r="726" spans="1:11" ht="88.5">
      <c r="A726" s="141" t="s">
        <v>505</v>
      </c>
      <c r="B726" s="53" t="s">
        <v>821</v>
      </c>
      <c r="C726" s="13"/>
      <c r="D726" s="14"/>
      <c r="E726" s="14"/>
      <c r="F726" s="14"/>
      <c r="G726" s="305">
        <f>'DIC-18'!I726</f>
        <v>0</v>
      </c>
      <c r="H726" s="51"/>
      <c r="I726" s="17"/>
      <c r="J726" s="56"/>
      <c r="K726" s="56"/>
    </row>
    <row r="727" spans="1:11" ht="29.25">
      <c r="A727" s="11">
        <v>51202</v>
      </c>
      <c r="B727" s="54" t="s">
        <v>814</v>
      </c>
      <c r="C727" s="13"/>
      <c r="D727" s="14" t="s">
        <v>18</v>
      </c>
      <c r="E727" s="14" t="s">
        <v>28</v>
      </c>
      <c r="F727" s="14" t="s">
        <v>27</v>
      </c>
      <c r="G727" s="305">
        <f>'DIC-18'!I727</f>
        <v>9000</v>
      </c>
      <c r="H727" s="51"/>
      <c r="I727" s="17">
        <f t="shared" si="13"/>
        <v>9000</v>
      </c>
      <c r="J727" s="56"/>
      <c r="K727" s="56"/>
    </row>
    <row r="728" spans="1:11" ht="29.25">
      <c r="A728" s="11">
        <v>54110</v>
      </c>
      <c r="B728" s="54" t="s">
        <v>815</v>
      </c>
      <c r="C728" s="13"/>
      <c r="D728" s="14" t="s">
        <v>18</v>
      </c>
      <c r="E728" s="14" t="s">
        <v>28</v>
      </c>
      <c r="F728" s="14" t="s">
        <v>27</v>
      </c>
      <c r="G728" s="305">
        <f>'DIC-18'!I728</f>
        <v>200</v>
      </c>
      <c r="H728" s="51"/>
      <c r="I728" s="17">
        <f t="shared" si="13"/>
        <v>200</v>
      </c>
      <c r="J728" s="56"/>
      <c r="K728" s="56"/>
    </row>
    <row r="729" spans="1:11" ht="44.25">
      <c r="A729" s="11">
        <v>54111</v>
      </c>
      <c r="B729" s="53" t="s">
        <v>816</v>
      </c>
      <c r="C729" s="13"/>
      <c r="D729" s="14" t="s">
        <v>18</v>
      </c>
      <c r="E729" s="14" t="s">
        <v>28</v>
      </c>
      <c r="F729" s="14" t="s">
        <v>27</v>
      </c>
      <c r="G729" s="305">
        <f>'DIC-18'!I729</f>
        <v>12290</v>
      </c>
      <c r="H729" s="51"/>
      <c r="I729" s="17">
        <f t="shared" ref="I729:I792" si="14">G729-H729+J729-K729</f>
        <v>12290</v>
      </c>
      <c r="J729" s="56"/>
      <c r="K729" s="56"/>
    </row>
    <row r="730" spans="1:11" ht="29.25">
      <c r="A730" s="11">
        <v>54118</v>
      </c>
      <c r="B730" s="54" t="s">
        <v>817</v>
      </c>
      <c r="C730" s="13"/>
      <c r="D730" s="14" t="s">
        <v>18</v>
      </c>
      <c r="E730" s="14" t="s">
        <v>28</v>
      </c>
      <c r="F730" s="14" t="s">
        <v>27</v>
      </c>
      <c r="G730" s="305">
        <f>'DIC-18'!I730</f>
        <v>3000</v>
      </c>
      <c r="H730" s="51"/>
      <c r="I730" s="17">
        <f t="shared" si="14"/>
        <v>3000</v>
      </c>
      <c r="J730" s="56"/>
      <c r="K730" s="56"/>
    </row>
    <row r="731" spans="1:11" ht="44.25">
      <c r="A731" s="11">
        <v>54313</v>
      </c>
      <c r="B731" s="54" t="s">
        <v>818</v>
      </c>
      <c r="C731" s="13"/>
      <c r="D731" s="14" t="s">
        <v>18</v>
      </c>
      <c r="E731" s="14" t="s">
        <v>28</v>
      </c>
      <c r="F731" s="14" t="s">
        <v>27</v>
      </c>
      <c r="G731" s="305">
        <f>'DIC-18'!I731</f>
        <v>300</v>
      </c>
      <c r="H731" s="51"/>
      <c r="I731" s="17">
        <f t="shared" si="14"/>
        <v>300</v>
      </c>
      <c r="J731" s="56"/>
      <c r="K731" s="56"/>
    </row>
    <row r="732" spans="1:11" ht="43.5">
      <c r="A732" s="11">
        <v>54399</v>
      </c>
      <c r="B732" s="54" t="s">
        <v>819</v>
      </c>
      <c r="C732" s="13"/>
      <c r="D732" s="14" t="s">
        <v>18</v>
      </c>
      <c r="E732" s="14" t="s">
        <v>28</v>
      </c>
      <c r="F732" s="14" t="s">
        <v>27</v>
      </c>
      <c r="G732" s="305">
        <f>'DIC-18'!I732</f>
        <v>200</v>
      </c>
      <c r="H732" s="51"/>
      <c r="I732" s="17">
        <f t="shared" si="14"/>
        <v>200</v>
      </c>
      <c r="J732" s="56"/>
      <c r="K732" s="56"/>
    </row>
    <row r="733" spans="1:11" ht="29.25">
      <c r="A733" s="11">
        <v>55603</v>
      </c>
      <c r="B733" s="54" t="s">
        <v>820</v>
      </c>
      <c r="C733" s="13"/>
      <c r="D733" s="14" t="s">
        <v>18</v>
      </c>
      <c r="E733" s="14" t="s">
        <v>28</v>
      </c>
      <c r="F733" s="14" t="s">
        <v>27</v>
      </c>
      <c r="G733" s="305">
        <f>'DIC-18'!I733</f>
        <v>10</v>
      </c>
      <c r="H733" s="51"/>
      <c r="I733" s="17">
        <f t="shared" si="14"/>
        <v>10</v>
      </c>
      <c r="J733" s="56"/>
      <c r="K733" s="56"/>
    </row>
    <row r="734" spans="1:11" ht="75">
      <c r="A734" s="141" t="s">
        <v>511</v>
      </c>
      <c r="B734" s="53" t="s">
        <v>824</v>
      </c>
      <c r="C734" s="13"/>
      <c r="D734" s="14"/>
      <c r="E734" s="14"/>
      <c r="F734" s="14"/>
      <c r="G734" s="305">
        <f>'DIC-18'!I734</f>
        <v>0</v>
      </c>
      <c r="H734" s="51"/>
      <c r="I734" s="17"/>
      <c r="J734" s="56"/>
      <c r="K734" s="56"/>
    </row>
    <row r="735" spans="1:11" ht="29.25">
      <c r="A735" s="11">
        <v>51202</v>
      </c>
      <c r="B735" s="54" t="s">
        <v>823</v>
      </c>
      <c r="C735" s="13"/>
      <c r="D735" s="14" t="s">
        <v>18</v>
      </c>
      <c r="E735" s="14" t="s">
        <v>28</v>
      </c>
      <c r="F735" s="14" t="s">
        <v>27</v>
      </c>
      <c r="G735" s="305">
        <f>'DIC-18'!I735</f>
        <v>3000</v>
      </c>
      <c r="H735" s="51"/>
      <c r="I735" s="17">
        <f t="shared" si="14"/>
        <v>3000</v>
      </c>
      <c r="J735" s="56"/>
      <c r="K735" s="56"/>
    </row>
    <row r="736" spans="1:11" ht="29.25">
      <c r="A736" s="11">
        <v>54110</v>
      </c>
      <c r="B736" s="54" t="s">
        <v>825</v>
      </c>
      <c r="C736" s="13"/>
      <c r="D736" s="14" t="s">
        <v>18</v>
      </c>
      <c r="E736" s="14" t="s">
        <v>28</v>
      </c>
      <c r="F736" s="14" t="s">
        <v>27</v>
      </c>
      <c r="G736" s="305">
        <f>'DIC-18'!I736</f>
        <v>200</v>
      </c>
      <c r="H736" s="51"/>
      <c r="I736" s="17">
        <f t="shared" si="14"/>
        <v>200</v>
      </c>
      <c r="J736" s="56"/>
      <c r="K736" s="56"/>
    </row>
    <row r="737" spans="1:11" ht="44.25">
      <c r="A737" s="11">
        <v>54111</v>
      </c>
      <c r="B737" s="54" t="s">
        <v>826</v>
      </c>
      <c r="C737" s="13"/>
      <c r="D737" s="14" t="s">
        <v>18</v>
      </c>
      <c r="E737" s="14" t="s">
        <v>28</v>
      </c>
      <c r="F737" s="14" t="s">
        <v>27</v>
      </c>
      <c r="G737" s="305">
        <f>'DIC-18'!I737</f>
        <v>4990</v>
      </c>
      <c r="H737" s="51"/>
      <c r="I737" s="17">
        <f t="shared" si="14"/>
        <v>4990</v>
      </c>
      <c r="J737" s="56"/>
      <c r="K737" s="56"/>
    </row>
    <row r="738" spans="1:11" ht="29.25">
      <c r="A738" s="11">
        <v>54118</v>
      </c>
      <c r="B738" s="54" t="s">
        <v>827</v>
      </c>
      <c r="C738" s="13"/>
      <c r="D738" s="14" t="s">
        <v>18</v>
      </c>
      <c r="E738" s="14" t="s">
        <v>28</v>
      </c>
      <c r="F738" s="14" t="s">
        <v>27</v>
      </c>
      <c r="G738" s="305">
        <f>'DIC-18'!I738</f>
        <v>800</v>
      </c>
      <c r="H738" s="51"/>
      <c r="I738" s="17">
        <f t="shared" si="14"/>
        <v>800</v>
      </c>
      <c r="J738" s="56"/>
      <c r="K738" s="56"/>
    </row>
    <row r="739" spans="1:11" ht="44.25">
      <c r="A739" s="11">
        <v>54313</v>
      </c>
      <c r="B739" s="54" t="s">
        <v>828</v>
      </c>
      <c r="C739" s="13"/>
      <c r="D739" s="14" t="s">
        <v>18</v>
      </c>
      <c r="E739" s="14" t="s">
        <v>28</v>
      </c>
      <c r="F739" s="14" t="s">
        <v>27</v>
      </c>
      <c r="G739" s="305">
        <f>'DIC-18'!I739</f>
        <v>300</v>
      </c>
      <c r="H739" s="51"/>
      <c r="I739" s="17">
        <f t="shared" si="14"/>
        <v>300</v>
      </c>
      <c r="J739" s="56"/>
      <c r="K739" s="56"/>
    </row>
    <row r="740" spans="1:11" ht="44.25">
      <c r="A740" s="11">
        <v>54399</v>
      </c>
      <c r="B740" s="54" t="s">
        <v>829</v>
      </c>
      <c r="C740" s="13"/>
      <c r="D740" s="14" t="s">
        <v>18</v>
      </c>
      <c r="E740" s="14" t="s">
        <v>28</v>
      </c>
      <c r="F740" s="14" t="s">
        <v>27</v>
      </c>
      <c r="G740" s="305">
        <f>'DIC-18'!I740</f>
        <v>700</v>
      </c>
      <c r="H740" s="51"/>
      <c r="I740" s="17">
        <f t="shared" si="14"/>
        <v>700</v>
      </c>
      <c r="J740" s="56"/>
      <c r="K740" s="56"/>
    </row>
    <row r="741" spans="1:11" ht="29.25">
      <c r="A741" s="11">
        <v>55603</v>
      </c>
      <c r="B741" s="54" t="s">
        <v>830</v>
      </c>
      <c r="C741" s="13"/>
      <c r="D741" s="14" t="s">
        <v>18</v>
      </c>
      <c r="E741" s="14" t="s">
        <v>28</v>
      </c>
      <c r="F741" s="14" t="s">
        <v>27</v>
      </c>
      <c r="G741" s="305">
        <f>'DIC-18'!I741</f>
        <v>10</v>
      </c>
      <c r="H741" s="51"/>
      <c r="I741" s="17">
        <f t="shared" si="14"/>
        <v>10</v>
      </c>
      <c r="J741" s="56"/>
      <c r="K741" s="56"/>
    </row>
    <row r="742" spans="1:11" ht="74.25">
      <c r="A742" s="141" t="s">
        <v>517</v>
      </c>
      <c r="B742" s="53" t="s">
        <v>822</v>
      </c>
      <c r="C742" s="13"/>
      <c r="D742" s="14"/>
      <c r="E742" s="14"/>
      <c r="F742" s="14"/>
      <c r="G742" s="305">
        <f>'DIC-18'!I742</f>
        <v>0</v>
      </c>
      <c r="H742" s="51"/>
      <c r="I742" s="17"/>
      <c r="J742" s="56"/>
      <c r="K742" s="56"/>
    </row>
    <row r="743" spans="1:11" ht="29.25">
      <c r="A743" s="11">
        <v>51202</v>
      </c>
      <c r="B743" s="54" t="s">
        <v>831</v>
      </c>
      <c r="C743" s="13"/>
      <c r="D743" s="14" t="s">
        <v>18</v>
      </c>
      <c r="E743" s="14" t="s">
        <v>28</v>
      </c>
      <c r="F743" s="14" t="s">
        <v>27</v>
      </c>
      <c r="G743" s="305">
        <f>'DIC-18'!I743</f>
        <v>9000</v>
      </c>
      <c r="H743" s="51"/>
      <c r="I743" s="17">
        <f t="shared" si="14"/>
        <v>9000</v>
      </c>
      <c r="J743" s="56"/>
      <c r="K743" s="56"/>
    </row>
    <row r="744" spans="1:11" ht="29.25">
      <c r="A744" s="11">
        <v>54110</v>
      </c>
      <c r="B744" s="54" t="s">
        <v>832</v>
      </c>
      <c r="C744" s="13"/>
      <c r="D744" s="14" t="s">
        <v>18</v>
      </c>
      <c r="E744" s="14" t="s">
        <v>28</v>
      </c>
      <c r="F744" s="14" t="s">
        <v>27</v>
      </c>
      <c r="G744" s="305">
        <f>'DIC-18'!I744</f>
        <v>200</v>
      </c>
      <c r="H744" s="51"/>
      <c r="I744" s="17">
        <f t="shared" si="14"/>
        <v>200</v>
      </c>
      <c r="J744" s="56"/>
      <c r="K744" s="56"/>
    </row>
    <row r="745" spans="1:11" ht="29.25">
      <c r="A745" s="11">
        <v>54111</v>
      </c>
      <c r="B745" s="54" t="s">
        <v>833</v>
      </c>
      <c r="C745" s="13"/>
      <c r="D745" s="14" t="s">
        <v>18</v>
      </c>
      <c r="E745" s="14" t="s">
        <v>28</v>
      </c>
      <c r="F745" s="14" t="s">
        <v>27</v>
      </c>
      <c r="G745" s="305">
        <f>'DIC-18'!I745</f>
        <v>12290</v>
      </c>
      <c r="H745" s="51"/>
      <c r="I745" s="17">
        <f t="shared" si="14"/>
        <v>12290</v>
      </c>
      <c r="J745" s="56"/>
      <c r="K745" s="56"/>
    </row>
    <row r="746" spans="1:11" ht="29.25">
      <c r="A746" s="11">
        <v>54118</v>
      </c>
      <c r="B746" s="54" t="s">
        <v>834</v>
      </c>
      <c r="C746" s="13"/>
      <c r="D746" s="14" t="s">
        <v>18</v>
      </c>
      <c r="E746" s="14" t="s">
        <v>28</v>
      </c>
      <c r="F746" s="14" t="s">
        <v>27</v>
      </c>
      <c r="G746" s="305">
        <f>'DIC-18'!I746</f>
        <v>3000</v>
      </c>
      <c r="H746" s="51"/>
      <c r="I746" s="17">
        <f t="shared" si="14"/>
        <v>3000</v>
      </c>
      <c r="J746" s="56"/>
      <c r="K746" s="56"/>
    </row>
    <row r="747" spans="1:11" ht="29.25">
      <c r="A747" s="11">
        <v>54313</v>
      </c>
      <c r="B747" s="54" t="s">
        <v>835</v>
      </c>
      <c r="C747" s="13"/>
      <c r="D747" s="14" t="s">
        <v>18</v>
      </c>
      <c r="E747" s="14" t="s">
        <v>28</v>
      </c>
      <c r="F747" s="14" t="s">
        <v>27</v>
      </c>
      <c r="G747" s="305">
        <f>'DIC-18'!I747</f>
        <v>300</v>
      </c>
      <c r="H747" s="51"/>
      <c r="I747" s="17">
        <f t="shared" si="14"/>
        <v>300</v>
      </c>
      <c r="J747" s="56"/>
      <c r="K747" s="56"/>
    </row>
    <row r="748" spans="1:11" ht="29.25">
      <c r="A748" s="11">
        <v>54399</v>
      </c>
      <c r="B748" s="54" t="s">
        <v>836</v>
      </c>
      <c r="C748" s="13"/>
      <c r="D748" s="14" t="s">
        <v>18</v>
      </c>
      <c r="E748" s="14" t="s">
        <v>28</v>
      </c>
      <c r="F748" s="14" t="s">
        <v>27</v>
      </c>
      <c r="G748" s="305">
        <f>'DIC-18'!I748</f>
        <v>200</v>
      </c>
      <c r="H748" s="51"/>
      <c r="I748" s="17">
        <f t="shared" si="14"/>
        <v>200</v>
      </c>
      <c r="J748" s="56"/>
      <c r="K748" s="56"/>
    </row>
    <row r="749" spans="1:11" ht="29.25">
      <c r="A749" s="11">
        <v>55603</v>
      </c>
      <c r="B749" s="53" t="s">
        <v>837</v>
      </c>
      <c r="C749" s="13"/>
      <c r="D749" s="14" t="s">
        <v>18</v>
      </c>
      <c r="E749" s="14" t="s">
        <v>28</v>
      </c>
      <c r="F749" s="14" t="s">
        <v>27</v>
      </c>
      <c r="G749" s="305">
        <f>'DIC-18'!I749</f>
        <v>10</v>
      </c>
      <c r="H749" s="51"/>
      <c r="I749" s="17">
        <f t="shared" si="14"/>
        <v>10</v>
      </c>
      <c r="J749" s="56"/>
      <c r="K749" s="56"/>
    </row>
    <row r="750" spans="1:11" ht="75">
      <c r="A750" s="141" t="s">
        <v>838</v>
      </c>
      <c r="B750" s="53" t="s">
        <v>840</v>
      </c>
      <c r="C750" s="13"/>
      <c r="D750" s="14"/>
      <c r="E750" s="14"/>
      <c r="F750" s="14"/>
      <c r="G750" s="305">
        <f>'DIC-18'!I750</f>
        <v>0</v>
      </c>
      <c r="H750" s="51"/>
      <c r="I750" s="17"/>
      <c r="J750" s="56"/>
      <c r="K750" s="56"/>
    </row>
    <row r="751" spans="1:11" ht="29.25">
      <c r="A751" s="11">
        <v>51202</v>
      </c>
      <c r="B751" s="54" t="s">
        <v>842</v>
      </c>
      <c r="C751" s="13"/>
      <c r="D751" s="14" t="s">
        <v>18</v>
      </c>
      <c r="E751" s="14" t="s">
        <v>28</v>
      </c>
      <c r="F751" s="14" t="s">
        <v>27</v>
      </c>
      <c r="G751" s="305">
        <f>'DIC-18'!I751</f>
        <v>9000</v>
      </c>
      <c r="H751" s="51"/>
      <c r="I751" s="17">
        <f t="shared" si="14"/>
        <v>9000</v>
      </c>
      <c r="J751" s="56"/>
      <c r="K751" s="56"/>
    </row>
    <row r="752" spans="1:11" ht="43.5">
      <c r="A752" s="11">
        <v>54110</v>
      </c>
      <c r="B752" s="53" t="s">
        <v>844</v>
      </c>
      <c r="C752" s="13"/>
      <c r="D752" s="14" t="s">
        <v>18</v>
      </c>
      <c r="E752" s="14" t="s">
        <v>28</v>
      </c>
      <c r="F752" s="14" t="s">
        <v>27</v>
      </c>
      <c r="G752" s="305">
        <f>'DIC-18'!I752</f>
        <v>200</v>
      </c>
      <c r="H752" s="51"/>
      <c r="I752" s="17">
        <f t="shared" si="14"/>
        <v>200</v>
      </c>
      <c r="J752" s="56"/>
      <c r="K752" s="56"/>
    </row>
    <row r="753" spans="1:11" ht="44.25">
      <c r="A753" s="11">
        <v>54111</v>
      </c>
      <c r="B753" s="53" t="s">
        <v>845</v>
      </c>
      <c r="C753" s="13"/>
      <c r="D753" s="14" t="s">
        <v>18</v>
      </c>
      <c r="E753" s="14" t="s">
        <v>28</v>
      </c>
      <c r="F753" s="14" t="s">
        <v>27</v>
      </c>
      <c r="G753" s="305">
        <f>'DIC-18'!I753</f>
        <v>12290</v>
      </c>
      <c r="H753" s="51"/>
      <c r="I753" s="17">
        <f t="shared" si="14"/>
        <v>12290</v>
      </c>
      <c r="J753" s="56"/>
      <c r="K753" s="56"/>
    </row>
    <row r="754" spans="1:11" ht="43.5">
      <c r="A754" s="11">
        <v>54118</v>
      </c>
      <c r="B754" s="53" t="s">
        <v>846</v>
      </c>
      <c r="C754" s="13"/>
      <c r="D754" s="14" t="s">
        <v>18</v>
      </c>
      <c r="E754" s="14" t="s">
        <v>28</v>
      </c>
      <c r="F754" s="14" t="s">
        <v>27</v>
      </c>
      <c r="G754" s="305">
        <f>'DIC-18'!I754</f>
        <v>3000</v>
      </c>
      <c r="H754" s="51"/>
      <c r="I754" s="17">
        <f t="shared" si="14"/>
        <v>3000</v>
      </c>
      <c r="J754" s="56"/>
      <c r="K754" s="56"/>
    </row>
    <row r="755" spans="1:11" ht="44.25">
      <c r="A755" s="11">
        <v>54313</v>
      </c>
      <c r="B755" s="53" t="s">
        <v>847</v>
      </c>
      <c r="C755" s="13"/>
      <c r="D755" s="14" t="s">
        <v>18</v>
      </c>
      <c r="E755" s="14" t="s">
        <v>28</v>
      </c>
      <c r="F755" s="14" t="s">
        <v>27</v>
      </c>
      <c r="G755" s="305">
        <f>'DIC-18'!I755</f>
        <v>300</v>
      </c>
      <c r="H755" s="51"/>
      <c r="I755" s="17">
        <f t="shared" si="14"/>
        <v>300</v>
      </c>
      <c r="J755" s="56"/>
      <c r="K755" s="56"/>
    </row>
    <row r="756" spans="1:11" ht="44.25">
      <c r="A756" s="11">
        <v>54399</v>
      </c>
      <c r="B756" s="53" t="s">
        <v>848</v>
      </c>
      <c r="C756" s="13"/>
      <c r="D756" s="14" t="s">
        <v>18</v>
      </c>
      <c r="E756" s="14" t="s">
        <v>28</v>
      </c>
      <c r="F756" s="14" t="s">
        <v>27</v>
      </c>
      <c r="G756" s="305">
        <f>'DIC-18'!I756</f>
        <v>200</v>
      </c>
      <c r="H756" s="51"/>
      <c r="I756" s="17">
        <f t="shared" si="14"/>
        <v>200</v>
      </c>
      <c r="J756" s="56"/>
      <c r="K756" s="56"/>
    </row>
    <row r="757" spans="1:11" ht="43.5">
      <c r="A757" s="11">
        <v>55603</v>
      </c>
      <c r="B757" s="53" t="s">
        <v>849</v>
      </c>
      <c r="C757" s="13"/>
      <c r="D757" s="14" t="s">
        <v>18</v>
      </c>
      <c r="E757" s="14" t="s">
        <v>28</v>
      </c>
      <c r="F757" s="14" t="s">
        <v>27</v>
      </c>
      <c r="G757" s="305">
        <f>'DIC-18'!I757</f>
        <v>10</v>
      </c>
      <c r="H757" s="51"/>
      <c r="I757" s="17">
        <f t="shared" si="14"/>
        <v>10</v>
      </c>
      <c r="J757" s="56"/>
      <c r="K757" s="56"/>
    </row>
    <row r="758" spans="1:11" ht="60">
      <c r="A758" s="141" t="s">
        <v>839</v>
      </c>
      <c r="B758" s="53" t="s">
        <v>841</v>
      </c>
      <c r="C758" s="13"/>
      <c r="D758" s="14"/>
      <c r="E758" s="14"/>
      <c r="F758" s="14"/>
      <c r="G758" s="305">
        <f>'DIC-18'!I758</f>
        <v>0</v>
      </c>
      <c r="H758" s="51"/>
      <c r="I758" s="17"/>
      <c r="J758" s="56"/>
      <c r="K758" s="56"/>
    </row>
    <row r="759" spans="1:11" ht="29.25">
      <c r="A759" s="11">
        <v>51202</v>
      </c>
      <c r="B759" s="54" t="s">
        <v>843</v>
      </c>
      <c r="C759" s="13"/>
      <c r="D759" s="14" t="s">
        <v>18</v>
      </c>
      <c r="E759" s="14" t="s">
        <v>28</v>
      </c>
      <c r="F759" s="14" t="s">
        <v>27</v>
      </c>
      <c r="G759" s="305">
        <f>'DIC-18'!I759</f>
        <v>9000</v>
      </c>
      <c r="H759" s="51"/>
      <c r="I759" s="17">
        <f t="shared" si="14"/>
        <v>9000</v>
      </c>
      <c r="J759" s="56"/>
      <c r="K759" s="56"/>
    </row>
    <row r="760" spans="1:11" ht="29.25">
      <c r="A760" s="11">
        <v>54110</v>
      </c>
      <c r="B760" s="53" t="s">
        <v>850</v>
      </c>
      <c r="C760" s="13"/>
      <c r="D760" s="14" t="s">
        <v>18</v>
      </c>
      <c r="E760" s="14" t="s">
        <v>28</v>
      </c>
      <c r="F760" s="14" t="s">
        <v>27</v>
      </c>
      <c r="G760" s="305">
        <f>'DIC-18'!I760</f>
        <v>200</v>
      </c>
      <c r="H760" s="51"/>
      <c r="I760" s="17">
        <f t="shared" si="14"/>
        <v>200</v>
      </c>
      <c r="J760" s="56"/>
      <c r="K760" s="56"/>
    </row>
    <row r="761" spans="1:11" ht="29.25">
      <c r="A761" s="11">
        <v>54111</v>
      </c>
      <c r="B761" s="54" t="s">
        <v>851</v>
      </c>
      <c r="C761" s="13"/>
      <c r="D761" s="14" t="s">
        <v>18</v>
      </c>
      <c r="E761" s="14" t="s">
        <v>28</v>
      </c>
      <c r="F761" s="14" t="s">
        <v>27</v>
      </c>
      <c r="G761" s="305">
        <f>'DIC-18'!I761</f>
        <v>12290</v>
      </c>
      <c r="H761" s="51"/>
      <c r="I761" s="17">
        <f t="shared" si="14"/>
        <v>12290</v>
      </c>
      <c r="J761" s="56"/>
      <c r="K761" s="56"/>
    </row>
    <row r="762" spans="1:11" ht="29.25">
      <c r="A762" s="11">
        <v>54118</v>
      </c>
      <c r="B762" s="53" t="s">
        <v>852</v>
      </c>
      <c r="C762" s="13"/>
      <c r="D762" s="14" t="s">
        <v>18</v>
      </c>
      <c r="E762" s="14" t="s">
        <v>28</v>
      </c>
      <c r="F762" s="14" t="s">
        <v>27</v>
      </c>
      <c r="G762" s="305">
        <f>'DIC-18'!I762</f>
        <v>3000</v>
      </c>
      <c r="H762" s="51"/>
      <c r="I762" s="17">
        <f t="shared" si="14"/>
        <v>3000</v>
      </c>
      <c r="J762" s="56"/>
      <c r="K762" s="56"/>
    </row>
    <row r="763" spans="1:11" ht="29.25">
      <c r="A763" s="11">
        <v>54313</v>
      </c>
      <c r="B763" s="54" t="s">
        <v>853</v>
      </c>
      <c r="C763" s="13"/>
      <c r="D763" s="14" t="s">
        <v>18</v>
      </c>
      <c r="E763" s="14" t="s">
        <v>28</v>
      </c>
      <c r="F763" s="14" t="s">
        <v>27</v>
      </c>
      <c r="G763" s="305">
        <f>'DIC-18'!I763</f>
        <v>300</v>
      </c>
      <c r="H763" s="51"/>
      <c r="I763" s="17">
        <f t="shared" si="14"/>
        <v>300</v>
      </c>
      <c r="J763" s="56"/>
      <c r="K763" s="56"/>
    </row>
    <row r="764" spans="1:11" ht="37.5" customHeight="1">
      <c r="A764" s="11">
        <v>54399</v>
      </c>
      <c r="B764" s="54" t="s">
        <v>854</v>
      </c>
      <c r="C764" s="13"/>
      <c r="D764" s="14" t="s">
        <v>18</v>
      </c>
      <c r="E764" s="14" t="s">
        <v>28</v>
      </c>
      <c r="F764" s="14" t="s">
        <v>27</v>
      </c>
      <c r="G764" s="305">
        <f>'DIC-18'!I764</f>
        <v>200</v>
      </c>
      <c r="H764" s="51"/>
      <c r="I764" s="17">
        <f t="shared" si="14"/>
        <v>200</v>
      </c>
      <c r="J764" s="56"/>
      <c r="K764" s="56"/>
    </row>
    <row r="765" spans="1:11" ht="29.25">
      <c r="A765" s="11">
        <v>55603</v>
      </c>
      <c r="B765" s="54" t="s">
        <v>855</v>
      </c>
      <c r="C765" s="13"/>
      <c r="D765" s="14" t="s">
        <v>18</v>
      </c>
      <c r="E765" s="14" t="s">
        <v>28</v>
      </c>
      <c r="F765" s="14" t="s">
        <v>27</v>
      </c>
      <c r="G765" s="305">
        <f>'DIC-18'!I765</f>
        <v>10</v>
      </c>
      <c r="H765" s="51"/>
      <c r="I765" s="17">
        <f t="shared" si="14"/>
        <v>10</v>
      </c>
      <c r="J765" s="56"/>
      <c r="K765" s="56"/>
    </row>
    <row r="766" spans="1:11" ht="60">
      <c r="A766" s="141" t="s">
        <v>872</v>
      </c>
      <c r="B766" s="53" t="s">
        <v>856</v>
      </c>
      <c r="C766" s="13"/>
      <c r="D766" s="14"/>
      <c r="E766" s="14"/>
      <c r="F766" s="14"/>
      <c r="G766" s="305">
        <f>'DIC-18'!I766</f>
        <v>0</v>
      </c>
      <c r="H766" s="51"/>
      <c r="I766" s="17"/>
      <c r="J766" s="56"/>
      <c r="K766" s="56"/>
    </row>
    <row r="767" spans="1:11" ht="29.25">
      <c r="A767" s="11">
        <v>51202</v>
      </c>
      <c r="B767" s="54" t="s">
        <v>857</v>
      </c>
      <c r="C767" s="13"/>
      <c r="D767" s="14" t="s">
        <v>18</v>
      </c>
      <c r="E767" s="14" t="s">
        <v>28</v>
      </c>
      <c r="F767" s="14" t="s">
        <v>27</v>
      </c>
      <c r="G767" s="305">
        <f>'DIC-18'!I767</f>
        <v>0</v>
      </c>
      <c r="H767" s="51"/>
      <c r="I767" s="17">
        <f t="shared" si="14"/>
        <v>0</v>
      </c>
      <c r="J767" s="56"/>
      <c r="K767" s="449"/>
    </row>
    <row r="768" spans="1:11" ht="29.25">
      <c r="A768" s="11">
        <v>54110</v>
      </c>
      <c r="B768" s="53" t="s">
        <v>858</v>
      </c>
      <c r="C768" s="13"/>
      <c r="D768" s="14" t="s">
        <v>18</v>
      </c>
      <c r="E768" s="14" t="s">
        <v>28</v>
      </c>
      <c r="F768" s="14" t="s">
        <v>27</v>
      </c>
      <c r="G768" s="305">
        <f>'DIC-18'!I768</f>
        <v>0</v>
      </c>
      <c r="H768" s="51"/>
      <c r="I768" s="17">
        <f t="shared" si="14"/>
        <v>0</v>
      </c>
      <c r="J768" s="56"/>
      <c r="K768" s="449"/>
    </row>
    <row r="769" spans="1:11" ht="44.25">
      <c r="A769" s="11">
        <v>54111</v>
      </c>
      <c r="B769" s="53" t="s">
        <v>859</v>
      </c>
      <c r="C769" s="13"/>
      <c r="D769" s="14" t="s">
        <v>18</v>
      </c>
      <c r="E769" s="14" t="s">
        <v>28</v>
      </c>
      <c r="F769" s="14" t="s">
        <v>27</v>
      </c>
      <c r="G769" s="305">
        <f>'DIC-18'!I769</f>
        <v>0</v>
      </c>
      <c r="H769" s="51"/>
      <c r="I769" s="17">
        <f t="shared" si="14"/>
        <v>0</v>
      </c>
      <c r="J769" s="56"/>
      <c r="K769" s="449"/>
    </row>
    <row r="770" spans="1:11" ht="29.25">
      <c r="A770" s="11">
        <v>54118</v>
      </c>
      <c r="B770" s="53" t="s">
        <v>860</v>
      </c>
      <c r="C770" s="13"/>
      <c r="D770" s="14" t="s">
        <v>18</v>
      </c>
      <c r="E770" s="14" t="s">
        <v>28</v>
      </c>
      <c r="F770" s="14" t="s">
        <v>27</v>
      </c>
      <c r="G770" s="305">
        <f>'DIC-18'!I770</f>
        <v>0</v>
      </c>
      <c r="H770" s="51"/>
      <c r="I770" s="17">
        <f t="shared" si="14"/>
        <v>0</v>
      </c>
      <c r="J770" s="56"/>
      <c r="K770" s="449"/>
    </row>
    <row r="771" spans="1:11" ht="44.25">
      <c r="A771" s="11">
        <v>54313</v>
      </c>
      <c r="B771" s="53" t="s">
        <v>861</v>
      </c>
      <c r="C771" s="13"/>
      <c r="D771" s="14" t="s">
        <v>18</v>
      </c>
      <c r="E771" s="14" t="s">
        <v>28</v>
      </c>
      <c r="F771" s="14" t="s">
        <v>27</v>
      </c>
      <c r="G771" s="305">
        <f>'DIC-18'!I771</f>
        <v>0</v>
      </c>
      <c r="H771" s="51"/>
      <c r="I771" s="17">
        <f t="shared" si="14"/>
        <v>0</v>
      </c>
      <c r="J771" s="56"/>
      <c r="K771" s="449"/>
    </row>
    <row r="772" spans="1:11" ht="44.25">
      <c r="A772" s="11">
        <v>54399</v>
      </c>
      <c r="B772" s="53" t="s">
        <v>862</v>
      </c>
      <c r="C772" s="13"/>
      <c r="D772" s="14" t="s">
        <v>18</v>
      </c>
      <c r="E772" s="14" t="s">
        <v>28</v>
      </c>
      <c r="F772" s="14" t="s">
        <v>27</v>
      </c>
      <c r="G772" s="305">
        <f>'DIC-18'!I772</f>
        <v>0</v>
      </c>
      <c r="H772" s="51"/>
      <c r="I772" s="17">
        <f t="shared" si="14"/>
        <v>0</v>
      </c>
      <c r="J772" s="56"/>
      <c r="K772" s="449"/>
    </row>
    <row r="773" spans="1:11" ht="29.25">
      <c r="A773" s="11">
        <v>55603</v>
      </c>
      <c r="B773" s="53" t="s">
        <v>863</v>
      </c>
      <c r="C773" s="13"/>
      <c r="D773" s="14" t="s">
        <v>18</v>
      </c>
      <c r="E773" s="14" t="s">
        <v>28</v>
      </c>
      <c r="F773" s="14" t="s">
        <v>27</v>
      </c>
      <c r="G773" s="305">
        <f>'DIC-18'!I773</f>
        <v>0</v>
      </c>
      <c r="H773" s="51"/>
      <c r="I773" s="17">
        <f t="shared" si="14"/>
        <v>0</v>
      </c>
      <c r="J773" s="56"/>
      <c r="K773" s="449"/>
    </row>
    <row r="774" spans="1:11" ht="56.25" customHeight="1">
      <c r="A774" s="141" t="s">
        <v>873</v>
      </c>
      <c r="B774" s="53" t="s">
        <v>864</v>
      </c>
      <c r="C774" s="13"/>
      <c r="D774" s="14"/>
      <c r="E774" s="14"/>
      <c r="F774" s="14"/>
      <c r="G774" s="305">
        <f>'DIC-18'!I774</f>
        <v>0</v>
      </c>
      <c r="H774" s="51"/>
      <c r="I774" s="17"/>
      <c r="J774" s="56"/>
      <c r="K774" s="450"/>
    </row>
    <row r="775" spans="1:11" ht="29.25">
      <c r="A775" s="11">
        <v>51202</v>
      </c>
      <c r="B775" s="53" t="s">
        <v>865</v>
      </c>
      <c r="C775" s="13"/>
      <c r="D775" s="14" t="s">
        <v>18</v>
      </c>
      <c r="E775" s="14" t="s">
        <v>28</v>
      </c>
      <c r="F775" s="14" t="s">
        <v>27</v>
      </c>
      <c r="G775" s="305">
        <f>'DIC-18'!I775</f>
        <v>0</v>
      </c>
      <c r="H775" s="51"/>
      <c r="I775" s="17">
        <f t="shared" si="14"/>
        <v>0</v>
      </c>
      <c r="J775" s="56"/>
      <c r="K775" s="451"/>
    </row>
    <row r="776" spans="1:11" ht="29.25">
      <c r="A776" s="11">
        <v>54110</v>
      </c>
      <c r="B776" s="53" t="s">
        <v>866</v>
      </c>
      <c r="C776" s="13"/>
      <c r="D776" s="14" t="s">
        <v>18</v>
      </c>
      <c r="E776" s="14" t="s">
        <v>28</v>
      </c>
      <c r="F776" s="14" t="s">
        <v>27</v>
      </c>
      <c r="G776" s="305">
        <f>'DIC-18'!I776</f>
        <v>0</v>
      </c>
      <c r="H776" s="51"/>
      <c r="I776" s="17">
        <f t="shared" si="14"/>
        <v>0</v>
      </c>
      <c r="J776" s="56"/>
      <c r="K776" s="451"/>
    </row>
    <row r="777" spans="1:11" ht="30">
      <c r="A777" s="11">
        <v>54111</v>
      </c>
      <c r="B777" s="53" t="s">
        <v>867</v>
      </c>
      <c r="C777" s="13"/>
      <c r="D777" s="14" t="s">
        <v>18</v>
      </c>
      <c r="E777" s="14" t="s">
        <v>28</v>
      </c>
      <c r="F777" s="14" t="s">
        <v>27</v>
      </c>
      <c r="G777" s="305">
        <f>'DIC-18'!I777</f>
        <v>0</v>
      </c>
      <c r="H777" s="51"/>
      <c r="I777" s="17">
        <f t="shared" si="14"/>
        <v>0</v>
      </c>
      <c r="J777" s="56"/>
      <c r="K777" s="451"/>
    </row>
    <row r="778" spans="1:11" ht="29.25">
      <c r="A778" s="11">
        <v>54118</v>
      </c>
      <c r="B778" s="53" t="s">
        <v>868</v>
      </c>
      <c r="C778" s="13"/>
      <c r="D778" s="14" t="s">
        <v>18</v>
      </c>
      <c r="E778" s="14" t="s">
        <v>28</v>
      </c>
      <c r="F778" s="14" t="s">
        <v>27</v>
      </c>
      <c r="G778" s="305">
        <f>'DIC-18'!I778</f>
        <v>0</v>
      </c>
      <c r="H778" s="51"/>
      <c r="I778" s="17">
        <f t="shared" si="14"/>
        <v>0</v>
      </c>
      <c r="J778" s="56"/>
      <c r="K778" s="451"/>
    </row>
    <row r="779" spans="1:11" ht="44.25">
      <c r="A779" s="11">
        <v>54313</v>
      </c>
      <c r="B779" s="53" t="s">
        <v>869</v>
      </c>
      <c r="C779" s="13"/>
      <c r="D779" s="14" t="s">
        <v>18</v>
      </c>
      <c r="E779" s="14" t="s">
        <v>28</v>
      </c>
      <c r="F779" s="14" t="s">
        <v>27</v>
      </c>
      <c r="G779" s="305">
        <f>'DIC-18'!I779</f>
        <v>0</v>
      </c>
      <c r="H779" s="51"/>
      <c r="I779" s="17">
        <f t="shared" si="14"/>
        <v>0</v>
      </c>
      <c r="J779" s="56"/>
      <c r="K779" s="451"/>
    </row>
    <row r="780" spans="1:11" ht="30">
      <c r="A780" s="11">
        <v>54399</v>
      </c>
      <c r="B780" s="53" t="s">
        <v>870</v>
      </c>
      <c r="C780" s="13"/>
      <c r="D780" s="14" t="s">
        <v>18</v>
      </c>
      <c r="E780" s="14" t="s">
        <v>28</v>
      </c>
      <c r="F780" s="14" t="s">
        <v>27</v>
      </c>
      <c r="G780" s="305">
        <f>'DIC-18'!I780</f>
        <v>0</v>
      </c>
      <c r="H780" s="51"/>
      <c r="I780" s="17">
        <f t="shared" si="14"/>
        <v>0</v>
      </c>
      <c r="J780" s="56"/>
      <c r="K780" s="451"/>
    </row>
    <row r="781" spans="1:11" ht="29.25">
      <c r="A781" s="11">
        <v>55603</v>
      </c>
      <c r="B781" s="53" t="s">
        <v>871</v>
      </c>
      <c r="C781" s="13"/>
      <c r="D781" s="14" t="s">
        <v>18</v>
      </c>
      <c r="E781" s="14" t="s">
        <v>28</v>
      </c>
      <c r="F781" s="14" t="s">
        <v>27</v>
      </c>
      <c r="G781" s="305">
        <f>'DIC-18'!I781</f>
        <v>0</v>
      </c>
      <c r="H781" s="51"/>
      <c r="I781" s="17">
        <f t="shared" si="14"/>
        <v>0</v>
      </c>
      <c r="J781" s="56"/>
      <c r="K781" s="451"/>
    </row>
    <row r="782" spans="1:11" ht="60">
      <c r="A782" s="141" t="s">
        <v>532</v>
      </c>
      <c r="B782" s="53" t="s">
        <v>874</v>
      </c>
      <c r="C782" s="13"/>
      <c r="D782" s="14"/>
      <c r="E782" s="14"/>
      <c r="F782" s="14"/>
      <c r="G782" s="305">
        <f>'DIC-18'!I782</f>
        <v>0</v>
      </c>
      <c r="H782" s="51"/>
      <c r="I782" s="17"/>
      <c r="J782" s="56"/>
      <c r="K782" s="450"/>
    </row>
    <row r="783" spans="1:11" ht="29.25">
      <c r="A783" s="11">
        <v>51202</v>
      </c>
      <c r="B783" s="53" t="s">
        <v>875</v>
      </c>
      <c r="C783" s="13"/>
      <c r="D783" s="14" t="s">
        <v>18</v>
      </c>
      <c r="E783" s="14" t="s">
        <v>28</v>
      </c>
      <c r="F783" s="14" t="s">
        <v>27</v>
      </c>
      <c r="G783" s="305">
        <f>'DIC-18'!I783</f>
        <v>0</v>
      </c>
      <c r="H783" s="51"/>
      <c r="I783" s="17">
        <f t="shared" si="14"/>
        <v>0</v>
      </c>
      <c r="J783" s="56"/>
      <c r="K783" s="449"/>
    </row>
    <row r="784" spans="1:11" ht="29.25">
      <c r="A784" s="11">
        <v>54110</v>
      </c>
      <c r="B784" s="53" t="s">
        <v>876</v>
      </c>
      <c r="C784" s="13"/>
      <c r="D784" s="14" t="s">
        <v>18</v>
      </c>
      <c r="E784" s="14" t="s">
        <v>28</v>
      </c>
      <c r="F784" s="14" t="s">
        <v>27</v>
      </c>
      <c r="G784" s="305">
        <f>'DIC-18'!I784</f>
        <v>0</v>
      </c>
      <c r="H784" s="51"/>
      <c r="I784" s="17">
        <f t="shared" si="14"/>
        <v>0</v>
      </c>
      <c r="J784" s="56"/>
      <c r="K784" s="449"/>
    </row>
    <row r="785" spans="1:11" ht="44.25">
      <c r="A785" s="11">
        <v>54111</v>
      </c>
      <c r="B785" s="53" t="s">
        <v>881</v>
      </c>
      <c r="C785" s="13"/>
      <c r="D785" s="14" t="s">
        <v>18</v>
      </c>
      <c r="E785" s="14" t="s">
        <v>28</v>
      </c>
      <c r="F785" s="14" t="s">
        <v>27</v>
      </c>
      <c r="G785" s="305">
        <f>'DIC-18'!I785</f>
        <v>0</v>
      </c>
      <c r="H785" s="51"/>
      <c r="I785" s="17">
        <f t="shared" si="14"/>
        <v>0</v>
      </c>
      <c r="J785" s="56"/>
      <c r="K785" s="449"/>
    </row>
    <row r="786" spans="1:11" ht="29.25">
      <c r="A786" s="11">
        <v>54118</v>
      </c>
      <c r="B786" s="53" t="s">
        <v>877</v>
      </c>
      <c r="C786" s="13"/>
      <c r="D786" s="14" t="s">
        <v>18</v>
      </c>
      <c r="E786" s="14" t="s">
        <v>28</v>
      </c>
      <c r="F786" s="14" t="s">
        <v>27</v>
      </c>
      <c r="G786" s="305">
        <f>'DIC-18'!I786</f>
        <v>0</v>
      </c>
      <c r="H786" s="51"/>
      <c r="I786" s="17">
        <f t="shared" si="14"/>
        <v>0</v>
      </c>
      <c r="J786" s="56"/>
      <c r="K786" s="449"/>
    </row>
    <row r="787" spans="1:11" ht="44.25">
      <c r="A787" s="11">
        <v>54313</v>
      </c>
      <c r="B787" s="53" t="s">
        <v>878</v>
      </c>
      <c r="C787" s="13"/>
      <c r="D787" s="14" t="s">
        <v>18</v>
      </c>
      <c r="E787" s="14" t="s">
        <v>28</v>
      </c>
      <c r="F787" s="14" t="s">
        <v>27</v>
      </c>
      <c r="G787" s="305">
        <f>'DIC-18'!I787</f>
        <v>0</v>
      </c>
      <c r="H787" s="51"/>
      <c r="I787" s="17">
        <f t="shared" si="14"/>
        <v>0</v>
      </c>
      <c r="J787" s="56"/>
      <c r="K787" s="449"/>
    </row>
    <row r="788" spans="1:11" ht="43.5">
      <c r="A788" s="11">
        <v>54399</v>
      </c>
      <c r="B788" s="53" t="s">
        <v>879</v>
      </c>
      <c r="C788" s="13"/>
      <c r="D788" s="14" t="s">
        <v>18</v>
      </c>
      <c r="E788" s="14" t="s">
        <v>28</v>
      </c>
      <c r="F788" s="14" t="s">
        <v>27</v>
      </c>
      <c r="G788" s="305">
        <f>'DIC-18'!I788</f>
        <v>0</v>
      </c>
      <c r="H788" s="51"/>
      <c r="I788" s="17">
        <f t="shared" si="14"/>
        <v>0</v>
      </c>
      <c r="J788" s="56"/>
      <c r="K788" s="449"/>
    </row>
    <row r="789" spans="1:11" ht="29.25">
      <c r="A789" s="11">
        <v>55603</v>
      </c>
      <c r="B789" s="53" t="s">
        <v>880</v>
      </c>
      <c r="C789" s="13"/>
      <c r="D789" s="14" t="s">
        <v>18</v>
      </c>
      <c r="E789" s="14" t="s">
        <v>28</v>
      </c>
      <c r="F789" s="14" t="s">
        <v>27</v>
      </c>
      <c r="G789" s="305">
        <f>'DIC-18'!I789</f>
        <v>0</v>
      </c>
      <c r="H789" s="51"/>
      <c r="I789" s="17">
        <f t="shared" si="14"/>
        <v>0</v>
      </c>
      <c r="J789" s="56"/>
      <c r="K789" s="449"/>
    </row>
    <row r="790" spans="1:11" ht="66.75" customHeight="1">
      <c r="A790" s="144" t="s">
        <v>540</v>
      </c>
      <c r="B790" s="53" t="s">
        <v>882</v>
      </c>
      <c r="C790" s="13"/>
      <c r="D790" s="14"/>
      <c r="E790" s="14"/>
      <c r="F790" s="14"/>
      <c r="G790" s="305">
        <f>'DIC-18'!I790</f>
        <v>0</v>
      </c>
      <c r="H790" s="51"/>
      <c r="I790" s="17"/>
      <c r="J790" s="56"/>
      <c r="K790" s="450"/>
    </row>
    <row r="791" spans="1:11" ht="43.5">
      <c r="A791" s="11">
        <v>51202</v>
      </c>
      <c r="B791" s="53" t="s">
        <v>883</v>
      </c>
      <c r="C791" s="13"/>
      <c r="D791" s="14" t="s">
        <v>18</v>
      </c>
      <c r="E791" s="14" t="s">
        <v>28</v>
      </c>
      <c r="F791" s="14" t="s">
        <v>27</v>
      </c>
      <c r="G791" s="305">
        <f>'DIC-18'!I791</f>
        <v>5702.4</v>
      </c>
      <c r="H791" s="51"/>
      <c r="I791" s="17">
        <f t="shared" si="14"/>
        <v>5702.4</v>
      </c>
      <c r="J791" s="56"/>
      <c r="K791" s="452"/>
    </row>
    <row r="792" spans="1:11" ht="43.5">
      <c r="A792" s="11">
        <v>54110</v>
      </c>
      <c r="B792" s="53" t="s">
        <v>968</v>
      </c>
      <c r="C792" s="13"/>
      <c r="D792" s="14" t="s">
        <v>18</v>
      </c>
      <c r="E792" s="14" t="s">
        <v>28</v>
      </c>
      <c r="F792" s="14" t="s">
        <v>27</v>
      </c>
      <c r="G792" s="305">
        <f>'DIC-18'!I792</f>
        <v>500</v>
      </c>
      <c r="H792" s="51"/>
      <c r="I792" s="17">
        <f t="shared" si="14"/>
        <v>500</v>
      </c>
      <c r="J792" s="56"/>
      <c r="K792" s="450"/>
    </row>
    <row r="793" spans="1:11" ht="44.25">
      <c r="A793" s="11">
        <v>54111</v>
      </c>
      <c r="B793" s="53" t="s">
        <v>884</v>
      </c>
      <c r="C793" s="13"/>
      <c r="D793" s="14" t="s">
        <v>18</v>
      </c>
      <c r="E793" s="14" t="s">
        <v>28</v>
      </c>
      <c r="F793" s="14" t="s">
        <v>27</v>
      </c>
      <c r="G793" s="305">
        <f>'DIC-18'!I793</f>
        <v>15000</v>
      </c>
      <c r="H793" s="51"/>
      <c r="I793" s="17">
        <f t="shared" ref="I793:I857" si="15">G793-H793+J793-K793</f>
        <v>15000</v>
      </c>
      <c r="J793" s="56"/>
      <c r="K793" s="450"/>
    </row>
    <row r="794" spans="1:11" ht="43.5">
      <c r="A794" s="11">
        <v>54118</v>
      </c>
      <c r="B794" s="53" t="s">
        <v>885</v>
      </c>
      <c r="C794" s="13"/>
      <c r="D794" s="14" t="s">
        <v>18</v>
      </c>
      <c r="E794" s="14" t="s">
        <v>28</v>
      </c>
      <c r="F794" s="14" t="s">
        <v>27</v>
      </c>
      <c r="G794" s="305">
        <f>'DIC-18'!I794</f>
        <v>5000</v>
      </c>
      <c r="H794" s="51"/>
      <c r="I794" s="17">
        <f t="shared" si="15"/>
        <v>5000</v>
      </c>
      <c r="J794" s="56"/>
      <c r="K794" s="450"/>
    </row>
    <row r="795" spans="1:11" ht="43.5">
      <c r="A795" s="11">
        <v>54304</v>
      </c>
      <c r="B795" s="53" t="s">
        <v>889</v>
      </c>
      <c r="C795" s="13"/>
      <c r="D795" s="14" t="s">
        <v>18</v>
      </c>
      <c r="E795" s="14" t="s">
        <v>28</v>
      </c>
      <c r="F795" s="14" t="s">
        <v>27</v>
      </c>
      <c r="G795" s="305">
        <f>'DIC-18'!I795</f>
        <v>2690</v>
      </c>
      <c r="H795" s="51"/>
      <c r="I795" s="17">
        <f t="shared" si="15"/>
        <v>2690</v>
      </c>
      <c r="J795" s="56"/>
      <c r="K795" s="56"/>
    </row>
    <row r="796" spans="1:11" ht="44.25">
      <c r="A796" s="11">
        <v>54313</v>
      </c>
      <c r="B796" s="53" t="s">
        <v>886</v>
      </c>
      <c r="C796" s="13"/>
      <c r="D796" s="14" t="s">
        <v>18</v>
      </c>
      <c r="E796" s="14" t="s">
        <v>28</v>
      </c>
      <c r="F796" s="14" t="s">
        <v>27</v>
      </c>
      <c r="G796" s="305">
        <f>'DIC-18'!I796</f>
        <v>300</v>
      </c>
      <c r="H796" s="51"/>
      <c r="I796" s="17">
        <f t="shared" si="15"/>
        <v>300</v>
      </c>
      <c r="J796" s="56"/>
      <c r="K796" s="56"/>
    </row>
    <row r="797" spans="1:11" ht="44.25">
      <c r="A797" s="11">
        <v>54399</v>
      </c>
      <c r="B797" s="53" t="s">
        <v>887</v>
      </c>
      <c r="C797" s="13"/>
      <c r="D797" s="14" t="s">
        <v>18</v>
      </c>
      <c r="E797" s="14" t="s">
        <v>28</v>
      </c>
      <c r="F797" s="14" t="s">
        <v>27</v>
      </c>
      <c r="G797" s="305">
        <f>'DIC-18'!I797</f>
        <v>1500</v>
      </c>
      <c r="H797" s="51"/>
      <c r="I797" s="17">
        <f t="shared" si="15"/>
        <v>1500</v>
      </c>
      <c r="J797" s="56"/>
      <c r="K797" s="392"/>
    </row>
    <row r="798" spans="1:11" ht="43.5">
      <c r="A798" s="11">
        <v>55603</v>
      </c>
      <c r="B798" s="53" t="s">
        <v>888</v>
      </c>
      <c r="C798" s="13"/>
      <c r="D798" s="14" t="s">
        <v>18</v>
      </c>
      <c r="E798" s="14" t="s">
        <v>28</v>
      </c>
      <c r="F798" s="14" t="s">
        <v>27</v>
      </c>
      <c r="G798" s="305">
        <f>'DIC-18'!I798</f>
        <v>10</v>
      </c>
      <c r="H798" s="51"/>
      <c r="I798" s="17">
        <f t="shared" si="15"/>
        <v>10</v>
      </c>
      <c r="J798" s="56"/>
      <c r="K798" s="56"/>
    </row>
    <row r="799" spans="1:11" ht="26.25" customHeight="1">
      <c r="A799" s="141">
        <v>61</v>
      </c>
      <c r="B799" s="53" t="s">
        <v>1228</v>
      </c>
      <c r="C799" s="13"/>
      <c r="D799" s="14"/>
      <c r="E799" s="14"/>
      <c r="F799" s="14"/>
      <c r="G799" s="305">
        <f>'DIC-18'!I799</f>
        <v>0</v>
      </c>
      <c r="H799" s="51"/>
      <c r="I799" s="17">
        <f t="shared" si="15"/>
        <v>0</v>
      </c>
      <c r="J799" s="56"/>
      <c r="K799" s="56"/>
    </row>
    <row r="800" spans="1:11" ht="26.25" customHeight="1">
      <c r="A800" s="141">
        <v>616</v>
      </c>
      <c r="B800" s="53" t="s">
        <v>1225</v>
      </c>
      <c r="C800" s="13"/>
      <c r="D800" s="14"/>
      <c r="E800" s="14"/>
      <c r="F800" s="14"/>
      <c r="G800" s="305">
        <f>'DIC-18'!I800</f>
        <v>0</v>
      </c>
      <c r="H800" s="51"/>
      <c r="I800" s="17"/>
      <c r="J800" s="56"/>
      <c r="K800" s="56"/>
    </row>
    <row r="801" spans="1:11" ht="26.25" customHeight="1">
      <c r="A801" s="141">
        <v>61601</v>
      </c>
      <c r="B801" s="53" t="s">
        <v>1226</v>
      </c>
      <c r="C801" s="13"/>
      <c r="D801" s="14"/>
      <c r="E801" s="14"/>
      <c r="F801" s="14"/>
      <c r="G801" s="305">
        <f>'DIC-18'!I801</f>
        <v>0</v>
      </c>
      <c r="H801" s="51"/>
      <c r="I801" s="17"/>
      <c r="J801" s="56"/>
      <c r="K801" s="56"/>
    </row>
    <row r="802" spans="1:11" ht="87" customHeight="1">
      <c r="A802" s="439" t="s">
        <v>1224</v>
      </c>
      <c r="B802" s="53" t="s">
        <v>1227</v>
      </c>
      <c r="C802" s="13"/>
      <c r="D802" s="14" t="s">
        <v>18</v>
      </c>
      <c r="E802" s="14" t="s">
        <v>28</v>
      </c>
      <c r="F802" s="14" t="s">
        <v>27</v>
      </c>
      <c r="G802" s="305">
        <f>'DIC-18'!I802</f>
        <v>170.17999999999302</v>
      </c>
      <c r="H802" s="51"/>
      <c r="I802" s="17">
        <f t="shared" si="15"/>
        <v>170.17999999999302</v>
      </c>
      <c r="J802" s="410"/>
      <c r="K802" s="56"/>
    </row>
    <row r="803" spans="1:11" ht="90" customHeight="1">
      <c r="A803" s="11"/>
      <c r="B803" s="53" t="s">
        <v>1248</v>
      </c>
      <c r="C803" s="13"/>
      <c r="D803" s="14"/>
      <c r="E803" s="14"/>
      <c r="F803" s="14"/>
      <c r="G803" s="305">
        <f>'DIC-18'!I803</f>
        <v>0</v>
      </c>
      <c r="H803" s="51"/>
      <c r="I803" s="17"/>
      <c r="J803" s="56"/>
      <c r="K803" s="56"/>
    </row>
    <row r="804" spans="1:11" ht="37.5" customHeight="1">
      <c r="A804" s="11">
        <v>51202</v>
      </c>
      <c r="B804" s="53" t="s">
        <v>1247</v>
      </c>
      <c r="C804" s="13"/>
      <c r="D804" s="14" t="s">
        <v>18</v>
      </c>
      <c r="E804" s="14" t="s">
        <v>28</v>
      </c>
      <c r="F804" s="14" t="s">
        <v>27</v>
      </c>
      <c r="G804" s="305">
        <f>'DIC-18'!I804</f>
        <v>10000</v>
      </c>
      <c r="H804" s="51"/>
      <c r="I804" s="17">
        <f t="shared" si="15"/>
        <v>10000</v>
      </c>
      <c r="J804" s="410"/>
      <c r="K804" s="56"/>
    </row>
    <row r="805" spans="1:11" ht="38.25" customHeight="1">
      <c r="A805" s="11">
        <v>54110</v>
      </c>
      <c r="B805" s="53" t="s">
        <v>1249</v>
      </c>
      <c r="C805" s="13"/>
      <c r="D805" s="14" t="s">
        <v>18</v>
      </c>
      <c r="E805" s="14" t="s">
        <v>28</v>
      </c>
      <c r="F805" s="14" t="s">
        <v>27</v>
      </c>
      <c r="G805" s="305">
        <f>'DIC-18'!I805</f>
        <v>995</v>
      </c>
      <c r="H805" s="51"/>
      <c r="I805" s="17">
        <f t="shared" si="15"/>
        <v>995</v>
      </c>
      <c r="J805" s="410"/>
      <c r="K805" s="430"/>
    </row>
    <row r="806" spans="1:11" ht="50.25" customHeight="1">
      <c r="A806" s="11">
        <v>54111</v>
      </c>
      <c r="B806" s="53" t="s">
        <v>1251</v>
      </c>
      <c r="C806" s="13"/>
      <c r="D806" s="14" t="s">
        <v>18</v>
      </c>
      <c r="E806" s="14" t="s">
        <v>28</v>
      </c>
      <c r="F806" s="14" t="s">
        <v>27</v>
      </c>
      <c r="G806" s="305">
        <f>'DIC-18'!I806</f>
        <v>15000</v>
      </c>
      <c r="H806" s="51"/>
      <c r="I806" s="17">
        <f t="shared" si="15"/>
        <v>15000</v>
      </c>
      <c r="J806" s="410"/>
      <c r="K806" s="56"/>
    </row>
    <row r="807" spans="1:11" ht="57" customHeight="1">
      <c r="A807" s="11">
        <v>54112</v>
      </c>
      <c r="B807" s="53" t="s">
        <v>1250</v>
      </c>
      <c r="C807" s="13"/>
      <c r="D807" s="14" t="s">
        <v>18</v>
      </c>
      <c r="E807" s="14" t="s">
        <v>28</v>
      </c>
      <c r="F807" s="14" t="s">
        <v>27</v>
      </c>
      <c r="G807" s="305">
        <f>'DIC-18'!I807</f>
        <v>10000</v>
      </c>
      <c r="H807" s="51"/>
      <c r="I807" s="17">
        <f t="shared" si="15"/>
        <v>10000</v>
      </c>
      <c r="J807" s="410"/>
      <c r="K807" s="56"/>
    </row>
    <row r="808" spans="1:11" ht="45" customHeight="1">
      <c r="A808" s="11">
        <v>54316</v>
      </c>
      <c r="B808" s="53" t="s">
        <v>1252</v>
      </c>
      <c r="C808" s="13"/>
      <c r="D808" s="14" t="s">
        <v>18</v>
      </c>
      <c r="E808" s="14" t="s">
        <v>28</v>
      </c>
      <c r="F808" s="14" t="s">
        <v>27</v>
      </c>
      <c r="G808" s="305">
        <f>'DIC-18'!I808</f>
        <v>24000</v>
      </c>
      <c r="H808" s="51"/>
      <c r="I808" s="17">
        <f t="shared" si="15"/>
        <v>24000</v>
      </c>
      <c r="J808" s="410"/>
      <c r="K808" s="56"/>
    </row>
    <row r="809" spans="1:11" ht="47.25" customHeight="1">
      <c r="A809" s="11">
        <v>55603</v>
      </c>
      <c r="B809" s="53" t="s">
        <v>1275</v>
      </c>
      <c r="C809" s="13"/>
      <c r="D809" s="14" t="s">
        <v>18</v>
      </c>
      <c r="E809" s="14" t="s">
        <v>28</v>
      </c>
      <c r="F809" s="14" t="s">
        <v>27</v>
      </c>
      <c r="G809" s="305">
        <f>'DIC-18'!I809</f>
        <v>3.59</v>
      </c>
      <c r="H809" s="51"/>
      <c r="I809" s="18">
        <f t="shared" si="15"/>
        <v>3.59</v>
      </c>
      <c r="J809" s="430"/>
      <c r="K809" s="56"/>
    </row>
    <row r="810" spans="1:11" ht="63.75" customHeight="1">
      <c r="A810" s="141" t="s">
        <v>901</v>
      </c>
      <c r="B810" s="53" t="s">
        <v>1246</v>
      </c>
      <c r="C810" s="344" t="s">
        <v>1108</v>
      </c>
      <c r="D810" s="14"/>
      <c r="E810" s="14"/>
      <c r="F810" s="14"/>
      <c r="G810" s="305">
        <f>'DIC-18'!I810</f>
        <v>0</v>
      </c>
      <c r="H810" s="51"/>
      <c r="I810" s="17"/>
      <c r="J810" s="56"/>
      <c r="K810" s="56"/>
    </row>
    <row r="811" spans="1:11" ht="29.25">
      <c r="A811" s="11">
        <v>51202</v>
      </c>
      <c r="B811" s="53" t="s">
        <v>1014</v>
      </c>
      <c r="C811" s="13"/>
      <c r="D811" s="14" t="s">
        <v>18</v>
      </c>
      <c r="E811" s="14" t="s">
        <v>28</v>
      </c>
      <c r="F811" s="14" t="s">
        <v>27</v>
      </c>
      <c r="G811" s="305">
        <f>'DIC-18'!I811</f>
        <v>1.4499999999998181</v>
      </c>
      <c r="H811" s="51"/>
      <c r="I811" s="18">
        <f t="shared" si="15"/>
        <v>1.4499999999998181</v>
      </c>
      <c r="J811" s="462"/>
      <c r="K811" s="127"/>
    </row>
    <row r="812" spans="1:11" ht="29.25">
      <c r="A812" s="11">
        <v>51999</v>
      </c>
      <c r="B812" s="53" t="s">
        <v>1015</v>
      </c>
      <c r="C812" s="13"/>
      <c r="D812" s="14" t="s">
        <v>18</v>
      </c>
      <c r="E812" s="14" t="s">
        <v>28</v>
      </c>
      <c r="F812" s="14" t="s">
        <v>27</v>
      </c>
      <c r="G812" s="305">
        <f>'DIC-18'!I812</f>
        <v>0</v>
      </c>
      <c r="H812" s="51"/>
      <c r="I812" s="17">
        <f t="shared" si="15"/>
        <v>0</v>
      </c>
      <c r="J812" s="137"/>
      <c r="K812" s="127"/>
    </row>
    <row r="813" spans="1:11" ht="57" customHeight="1">
      <c r="A813" s="11">
        <v>54107</v>
      </c>
      <c r="B813" s="53" t="s">
        <v>1212</v>
      </c>
      <c r="C813" s="13"/>
      <c r="D813" s="14" t="s">
        <v>18</v>
      </c>
      <c r="E813" s="14" t="s">
        <v>28</v>
      </c>
      <c r="F813" s="14" t="s">
        <v>27</v>
      </c>
      <c r="G813" s="305">
        <f>'DIC-18'!I813</f>
        <v>0.45000000000000284</v>
      </c>
      <c r="H813" s="51"/>
      <c r="I813" s="18">
        <f t="shared" si="15"/>
        <v>0.45000000000000284</v>
      </c>
      <c r="J813" s="266"/>
      <c r="K813" s="56"/>
    </row>
    <row r="814" spans="1:11" ht="33.75" customHeight="1">
      <c r="A814" s="11">
        <v>54110</v>
      </c>
      <c r="B814" s="53" t="s">
        <v>1016</v>
      </c>
      <c r="C814" s="13"/>
      <c r="D814" s="14" t="s">
        <v>18</v>
      </c>
      <c r="E814" s="14" t="s">
        <v>28</v>
      </c>
      <c r="F814" s="14" t="s">
        <v>27</v>
      </c>
      <c r="G814" s="305">
        <f>'DIC-18'!I814</f>
        <v>0</v>
      </c>
      <c r="H814" s="51"/>
      <c r="I814" s="17">
        <f t="shared" si="15"/>
        <v>0</v>
      </c>
      <c r="J814" s="56"/>
      <c r="K814" s="142"/>
    </row>
    <row r="815" spans="1:11" ht="34.5" customHeight="1">
      <c r="A815" s="11">
        <v>54111</v>
      </c>
      <c r="B815" s="53" t="s">
        <v>1017</v>
      </c>
      <c r="C815" s="13"/>
      <c r="D815" s="14" t="s">
        <v>18</v>
      </c>
      <c r="E815" s="14" t="s">
        <v>28</v>
      </c>
      <c r="F815" s="14" t="s">
        <v>27</v>
      </c>
      <c r="G815" s="305">
        <f>'DIC-18'!I815</f>
        <v>4.1211478674085811E-13</v>
      </c>
      <c r="H815" s="51"/>
      <c r="I815" s="17">
        <f t="shared" si="15"/>
        <v>4.1211478674085811E-13</v>
      </c>
      <c r="J815" s="56"/>
      <c r="K815" s="410"/>
    </row>
    <row r="816" spans="1:11" ht="44.25">
      <c r="A816" s="11">
        <v>54112</v>
      </c>
      <c r="B816" s="53" t="s">
        <v>1021</v>
      </c>
      <c r="C816" s="13"/>
      <c r="D816" s="14" t="s">
        <v>18</v>
      </c>
      <c r="E816" s="14" t="s">
        <v>28</v>
      </c>
      <c r="F816" s="14" t="s">
        <v>27</v>
      </c>
      <c r="G816" s="305">
        <f>'DIC-18'!I816</f>
        <v>0</v>
      </c>
      <c r="H816" s="51"/>
      <c r="I816" s="17">
        <f t="shared" si="15"/>
        <v>0</v>
      </c>
      <c r="J816" s="127"/>
      <c r="K816" s="409"/>
    </row>
    <row r="817" spans="1:11" ht="29.25">
      <c r="A817" s="11">
        <v>54118</v>
      </c>
      <c r="B817" s="53" t="s">
        <v>1020</v>
      </c>
      <c r="C817" s="61" t="s">
        <v>1109</v>
      </c>
      <c r="D817" s="14" t="s">
        <v>18</v>
      </c>
      <c r="E817" s="14" t="s">
        <v>28</v>
      </c>
      <c r="F817" s="14" t="s">
        <v>27</v>
      </c>
      <c r="G817" s="305">
        <f>'DIC-18'!I817</f>
        <v>0</v>
      </c>
      <c r="H817" s="51"/>
      <c r="I817" s="17">
        <f t="shared" si="15"/>
        <v>0</v>
      </c>
      <c r="J817" s="56"/>
      <c r="K817" s="409"/>
    </row>
    <row r="818" spans="1:11" ht="29.25">
      <c r="A818" s="11">
        <v>54199</v>
      </c>
      <c r="B818" s="53" t="s">
        <v>1018</v>
      </c>
      <c r="C818" s="13"/>
      <c r="D818" s="14" t="s">
        <v>18</v>
      </c>
      <c r="E818" s="14" t="s">
        <v>28</v>
      </c>
      <c r="F818" s="14" t="s">
        <v>27</v>
      </c>
      <c r="G818" s="305">
        <f>'DIC-18'!I818</f>
        <v>1.1500000000002046</v>
      </c>
      <c r="H818" s="51"/>
      <c r="I818" s="18">
        <f t="shared" si="15"/>
        <v>1.1500000000002046</v>
      </c>
      <c r="J818" s="266"/>
      <c r="K818" s="409"/>
    </row>
    <row r="819" spans="1:11" ht="29.25">
      <c r="A819" s="11">
        <v>54313</v>
      </c>
      <c r="B819" s="53" t="s">
        <v>1019</v>
      </c>
      <c r="C819" s="13"/>
      <c r="D819" s="14" t="s">
        <v>18</v>
      </c>
      <c r="E819" s="14" t="s">
        <v>28</v>
      </c>
      <c r="F819" s="14" t="s">
        <v>27</v>
      </c>
      <c r="G819" s="305">
        <f>'DIC-18'!I819</f>
        <v>0</v>
      </c>
      <c r="H819" s="51"/>
      <c r="I819" s="18">
        <f t="shared" si="15"/>
        <v>0</v>
      </c>
      <c r="J819" s="127"/>
      <c r="K819" s="56"/>
    </row>
    <row r="820" spans="1:11" ht="57">
      <c r="A820" s="11">
        <v>54316</v>
      </c>
      <c r="B820" s="53" t="s">
        <v>1189</v>
      </c>
      <c r="C820" s="13"/>
      <c r="D820" s="14" t="s">
        <v>18</v>
      </c>
      <c r="E820" s="14" t="s">
        <v>28</v>
      </c>
      <c r="F820" s="14" t="s">
        <v>27</v>
      </c>
      <c r="G820" s="305">
        <f>'DIC-18'!I820</f>
        <v>0</v>
      </c>
      <c r="H820" s="51"/>
      <c r="I820" s="134">
        <f t="shared" si="15"/>
        <v>0</v>
      </c>
      <c r="J820" s="127"/>
      <c r="K820" s="409"/>
    </row>
    <row r="821" spans="1:11" ht="34.5" customHeight="1">
      <c r="A821" s="11">
        <v>54399</v>
      </c>
      <c r="B821" s="53" t="s">
        <v>1022</v>
      </c>
      <c r="C821" s="13"/>
      <c r="D821" s="14" t="s">
        <v>18</v>
      </c>
      <c r="E821" s="14" t="s">
        <v>28</v>
      </c>
      <c r="F821" s="14" t="s">
        <v>27</v>
      </c>
      <c r="G821" s="305">
        <f>'DIC-18'!I821</f>
        <v>109.89999999999991</v>
      </c>
      <c r="H821" s="51"/>
      <c r="I821" s="17">
        <f t="shared" si="15"/>
        <v>109.89999999999991</v>
      </c>
      <c r="J821" s="137"/>
      <c r="K821" s="137"/>
    </row>
    <row r="822" spans="1:11" ht="29.25">
      <c r="A822" s="11">
        <v>55603</v>
      </c>
      <c r="B822" s="53" t="s">
        <v>898</v>
      </c>
      <c r="C822" s="13"/>
      <c r="D822" s="14" t="s">
        <v>18</v>
      </c>
      <c r="E822" s="14" t="s">
        <v>28</v>
      </c>
      <c r="F822" s="14" t="s">
        <v>27</v>
      </c>
      <c r="G822" s="305">
        <f>'DIC-18'!I822</f>
        <v>6.8199999999999994</v>
      </c>
      <c r="H822" s="51"/>
      <c r="I822" s="17">
        <f t="shared" si="15"/>
        <v>6.8199999999999994</v>
      </c>
      <c r="J822" s="142"/>
      <c r="K822" s="56"/>
    </row>
    <row r="823" spans="1:11" ht="60">
      <c r="A823" s="141">
        <v>41</v>
      </c>
      <c r="B823" s="53" t="s">
        <v>902</v>
      </c>
      <c r="C823" s="13"/>
      <c r="D823" s="14"/>
      <c r="E823" s="14"/>
      <c r="F823" s="14"/>
      <c r="G823" s="305">
        <f>'DIC-18'!I823</f>
        <v>0</v>
      </c>
      <c r="H823" s="51"/>
      <c r="I823" s="17"/>
      <c r="J823" s="56"/>
      <c r="K823" s="56"/>
    </row>
    <row r="824" spans="1:11" ht="29.25">
      <c r="A824" s="11">
        <v>51999</v>
      </c>
      <c r="B824" s="53" t="s">
        <v>903</v>
      </c>
      <c r="C824" s="13"/>
      <c r="D824" s="14" t="s">
        <v>18</v>
      </c>
      <c r="E824" s="14" t="s">
        <v>28</v>
      </c>
      <c r="F824" s="14" t="s">
        <v>27</v>
      </c>
      <c r="G824" s="305">
        <f>'DIC-18'!I824</f>
        <v>1000</v>
      </c>
      <c r="H824" s="51"/>
      <c r="I824" s="17">
        <f t="shared" si="15"/>
        <v>1000</v>
      </c>
      <c r="J824" s="56"/>
      <c r="K824" s="56"/>
    </row>
    <row r="825" spans="1:11" ht="44.25">
      <c r="A825" s="11">
        <v>54111</v>
      </c>
      <c r="B825" s="53" t="s">
        <v>904</v>
      </c>
      <c r="C825" s="13"/>
      <c r="D825" s="14" t="s">
        <v>18</v>
      </c>
      <c r="E825" s="14" t="s">
        <v>28</v>
      </c>
      <c r="F825" s="14" t="s">
        <v>27</v>
      </c>
      <c r="G825" s="305">
        <f>'DIC-18'!I825</f>
        <v>1000</v>
      </c>
      <c r="H825" s="51"/>
      <c r="I825" s="17">
        <f t="shared" si="15"/>
        <v>1000</v>
      </c>
      <c r="J825" s="56"/>
      <c r="K825" s="56"/>
    </row>
    <row r="826" spans="1:11" ht="43.5">
      <c r="A826" s="11">
        <v>54118</v>
      </c>
      <c r="B826" s="53" t="s">
        <v>905</v>
      </c>
      <c r="C826" s="13"/>
      <c r="D826" s="14" t="s">
        <v>18</v>
      </c>
      <c r="E826" s="14" t="s">
        <v>28</v>
      </c>
      <c r="F826" s="14" t="s">
        <v>27</v>
      </c>
      <c r="G826" s="305">
        <f>'DIC-18'!I826</f>
        <v>1000</v>
      </c>
      <c r="H826" s="51"/>
      <c r="I826" s="17">
        <f t="shared" si="15"/>
        <v>1000</v>
      </c>
      <c r="J826" s="56"/>
      <c r="K826" s="56"/>
    </row>
    <row r="827" spans="1:11" ht="44.25">
      <c r="A827" s="11">
        <v>54313</v>
      </c>
      <c r="B827" s="53" t="s">
        <v>906</v>
      </c>
      <c r="C827" s="13"/>
      <c r="D827" s="14" t="s">
        <v>18</v>
      </c>
      <c r="E827" s="14" t="s">
        <v>28</v>
      </c>
      <c r="F827" s="14" t="s">
        <v>27</v>
      </c>
      <c r="G827" s="305">
        <f>'DIC-18'!I827</f>
        <v>100</v>
      </c>
      <c r="H827" s="51"/>
      <c r="I827" s="17">
        <f t="shared" si="15"/>
        <v>100</v>
      </c>
      <c r="J827" s="56"/>
      <c r="K827" s="56"/>
    </row>
    <row r="828" spans="1:11" ht="44.25">
      <c r="A828" s="11">
        <v>54399</v>
      </c>
      <c r="B828" s="53" t="s">
        <v>907</v>
      </c>
      <c r="C828" s="13"/>
      <c r="D828" s="14" t="s">
        <v>18</v>
      </c>
      <c r="E828" s="14" t="s">
        <v>28</v>
      </c>
      <c r="F828" s="14" t="s">
        <v>27</v>
      </c>
      <c r="G828" s="305">
        <f>'DIC-18'!I828</f>
        <v>590</v>
      </c>
      <c r="H828" s="51"/>
      <c r="I828" s="17">
        <f t="shared" si="15"/>
        <v>590</v>
      </c>
      <c r="J828" s="56"/>
      <c r="K828" s="461"/>
    </row>
    <row r="829" spans="1:11" ht="29.25">
      <c r="A829" s="11">
        <v>55603</v>
      </c>
      <c r="B829" s="53" t="s">
        <v>908</v>
      </c>
      <c r="C829" s="13"/>
      <c r="D829" s="14" t="s">
        <v>18</v>
      </c>
      <c r="E829" s="14" t="s">
        <v>28</v>
      </c>
      <c r="F829" s="14" t="s">
        <v>27</v>
      </c>
      <c r="G829" s="305">
        <f>'DIC-18'!I829</f>
        <v>10</v>
      </c>
      <c r="H829" s="51"/>
      <c r="I829" s="17">
        <f t="shared" si="15"/>
        <v>10</v>
      </c>
      <c r="J829" s="56"/>
      <c r="K829" s="56"/>
    </row>
    <row r="830" spans="1:11" ht="45">
      <c r="A830" s="141" t="s">
        <v>909</v>
      </c>
      <c r="B830" s="53" t="s">
        <v>910</v>
      </c>
      <c r="C830" s="13"/>
      <c r="D830" s="14"/>
      <c r="E830" s="14"/>
      <c r="F830" s="14"/>
      <c r="G830" s="305">
        <f>'DIC-18'!I830</f>
        <v>0</v>
      </c>
      <c r="H830" s="51"/>
      <c r="I830" s="17"/>
      <c r="J830" s="56"/>
      <c r="K830" s="56"/>
    </row>
    <row r="831" spans="1:11" ht="29.25">
      <c r="A831" s="11">
        <v>51999</v>
      </c>
      <c r="B831" s="54" t="s">
        <v>911</v>
      </c>
      <c r="C831" s="13"/>
      <c r="D831" s="14" t="s">
        <v>18</v>
      </c>
      <c r="E831" s="14" t="s">
        <v>28</v>
      </c>
      <c r="F831" s="14" t="s">
        <v>27</v>
      </c>
      <c r="G831" s="305">
        <f>'DIC-18'!I831</f>
        <v>500</v>
      </c>
      <c r="H831" s="51"/>
      <c r="I831" s="17">
        <f t="shared" si="15"/>
        <v>500</v>
      </c>
      <c r="J831" s="56"/>
      <c r="K831" s="56"/>
    </row>
    <row r="832" spans="1:11" ht="29.25">
      <c r="A832" s="11">
        <v>54110</v>
      </c>
      <c r="B832" s="54" t="s">
        <v>912</v>
      </c>
      <c r="C832" s="13"/>
      <c r="D832" s="14" t="s">
        <v>18</v>
      </c>
      <c r="E832" s="14" t="s">
        <v>28</v>
      </c>
      <c r="F832" s="14" t="s">
        <v>27</v>
      </c>
      <c r="G832" s="305">
        <f>'DIC-18'!I832</f>
        <v>500</v>
      </c>
      <c r="H832" s="51"/>
      <c r="I832" s="17">
        <f t="shared" si="15"/>
        <v>500</v>
      </c>
      <c r="J832" s="56"/>
      <c r="K832" s="56"/>
    </row>
    <row r="833" spans="1:11" ht="30">
      <c r="A833" s="11">
        <v>54111</v>
      </c>
      <c r="B833" s="53" t="s">
        <v>913</v>
      </c>
      <c r="C833" s="13"/>
      <c r="D833" s="14" t="s">
        <v>18</v>
      </c>
      <c r="E833" s="14" t="s">
        <v>28</v>
      </c>
      <c r="F833" s="14" t="s">
        <v>27</v>
      </c>
      <c r="G833" s="305">
        <f>'DIC-18'!I833</f>
        <v>1000</v>
      </c>
      <c r="H833" s="51"/>
      <c r="I833" s="17">
        <f t="shared" si="15"/>
        <v>1000</v>
      </c>
      <c r="J833" s="56"/>
      <c r="K833" s="56"/>
    </row>
    <row r="834" spans="1:11" ht="29.25">
      <c r="A834" s="11">
        <v>54118</v>
      </c>
      <c r="B834" s="53" t="s">
        <v>914</v>
      </c>
      <c r="C834" s="13"/>
      <c r="D834" s="14" t="s">
        <v>18</v>
      </c>
      <c r="E834" s="14" t="s">
        <v>28</v>
      </c>
      <c r="F834" s="14" t="s">
        <v>27</v>
      </c>
      <c r="G834" s="305">
        <f>'DIC-18'!I834</f>
        <v>1000</v>
      </c>
      <c r="H834" s="51"/>
      <c r="I834" s="17">
        <f t="shared" si="15"/>
        <v>1000</v>
      </c>
      <c r="J834" s="56"/>
      <c r="K834" s="56"/>
    </row>
    <row r="835" spans="1:11" ht="29.25">
      <c r="A835" s="11">
        <v>54199</v>
      </c>
      <c r="B835" s="53" t="s">
        <v>915</v>
      </c>
      <c r="C835" s="13"/>
      <c r="D835" s="14" t="s">
        <v>18</v>
      </c>
      <c r="E835" s="14" t="s">
        <v>28</v>
      </c>
      <c r="F835" s="14" t="s">
        <v>27</v>
      </c>
      <c r="G835" s="305">
        <f>'DIC-18'!I835</f>
        <v>500</v>
      </c>
      <c r="H835" s="51"/>
      <c r="I835" s="17">
        <f t="shared" si="15"/>
        <v>500</v>
      </c>
      <c r="J835" s="56"/>
      <c r="K835" s="56"/>
    </row>
    <row r="836" spans="1:11" ht="44.25">
      <c r="A836" s="11">
        <v>54313</v>
      </c>
      <c r="B836" s="53" t="s">
        <v>916</v>
      </c>
      <c r="C836" s="13"/>
      <c r="D836" s="14" t="s">
        <v>18</v>
      </c>
      <c r="E836" s="14" t="s">
        <v>28</v>
      </c>
      <c r="F836" s="14" t="s">
        <v>27</v>
      </c>
      <c r="G836" s="305">
        <f>'DIC-18'!I836</f>
        <v>600</v>
      </c>
      <c r="H836" s="51"/>
      <c r="I836" s="17">
        <f t="shared" si="15"/>
        <v>600</v>
      </c>
      <c r="J836" s="56"/>
      <c r="K836" s="56"/>
    </row>
    <row r="837" spans="1:11" ht="30">
      <c r="A837" s="11">
        <v>54399</v>
      </c>
      <c r="B837" s="53" t="s">
        <v>917</v>
      </c>
      <c r="C837" s="13"/>
      <c r="D837" s="14" t="s">
        <v>18</v>
      </c>
      <c r="E837" s="14" t="s">
        <v>28</v>
      </c>
      <c r="F837" s="14" t="s">
        <v>27</v>
      </c>
      <c r="G837" s="305">
        <f>'DIC-18'!I837</f>
        <v>890</v>
      </c>
      <c r="H837" s="51"/>
      <c r="I837" s="17">
        <f t="shared" si="15"/>
        <v>890</v>
      </c>
      <c r="J837" s="56"/>
      <c r="K837" s="56"/>
    </row>
    <row r="838" spans="1:11" ht="29.25">
      <c r="A838" s="11">
        <v>55603</v>
      </c>
      <c r="B838" s="53" t="s">
        <v>918</v>
      </c>
      <c r="C838" s="13"/>
      <c r="D838" s="14" t="s">
        <v>18</v>
      </c>
      <c r="E838" s="14" t="s">
        <v>28</v>
      </c>
      <c r="F838" s="14" t="s">
        <v>27</v>
      </c>
      <c r="G838" s="305">
        <f>'DIC-18'!I838</f>
        <v>10</v>
      </c>
      <c r="H838" s="51"/>
      <c r="I838" s="17">
        <f t="shared" si="15"/>
        <v>10</v>
      </c>
      <c r="J838" s="56"/>
      <c r="K838" s="56"/>
    </row>
    <row r="839" spans="1:11" ht="74.25">
      <c r="A839" s="141" t="s">
        <v>1093</v>
      </c>
      <c r="B839" s="53" t="s">
        <v>964</v>
      </c>
      <c r="C839" s="13"/>
      <c r="D839" s="14"/>
      <c r="E839" s="14"/>
      <c r="F839" s="14"/>
      <c r="G839" s="305">
        <f>'DIC-18'!I839</f>
        <v>0</v>
      </c>
      <c r="H839" s="51"/>
      <c r="I839" s="17"/>
      <c r="J839" s="56"/>
      <c r="K839" s="56"/>
    </row>
    <row r="840" spans="1:11" s="178" customFormat="1" ht="45">
      <c r="A840" s="1" t="s">
        <v>19</v>
      </c>
      <c r="B840" s="179" t="s">
        <v>965</v>
      </c>
      <c r="C840" s="180"/>
      <c r="D840" s="14" t="s">
        <v>18</v>
      </c>
      <c r="E840" s="14" t="s">
        <v>28</v>
      </c>
      <c r="F840" s="14" t="s">
        <v>27</v>
      </c>
      <c r="G840" s="305">
        <f>'DIC-18'!I840</f>
        <v>1.8189894035458565E-12</v>
      </c>
      <c r="H840" s="210"/>
      <c r="I840" s="17">
        <f t="shared" si="15"/>
        <v>1.8189894035458565E-12</v>
      </c>
      <c r="J840" s="143"/>
      <c r="K840" s="209"/>
    </row>
    <row r="841" spans="1:11" s="178" customFormat="1" ht="71.25">
      <c r="A841" s="1">
        <v>51202</v>
      </c>
      <c r="B841" s="53" t="s">
        <v>985</v>
      </c>
      <c r="C841" s="180"/>
      <c r="D841" s="14" t="s">
        <v>18</v>
      </c>
      <c r="E841" s="14" t="s">
        <v>28</v>
      </c>
      <c r="F841" s="14" t="s">
        <v>27</v>
      </c>
      <c r="G841" s="305">
        <f>'DIC-18'!I841</f>
        <v>0.15999999999939973</v>
      </c>
      <c r="H841" s="210"/>
      <c r="I841" s="17">
        <f t="shared" si="15"/>
        <v>0.15999999999939973</v>
      </c>
      <c r="J841" s="209"/>
      <c r="K841" s="209"/>
    </row>
    <row r="842" spans="1:11" ht="29.25">
      <c r="A842" s="11">
        <v>54118</v>
      </c>
      <c r="B842" s="53" t="s">
        <v>919</v>
      </c>
      <c r="C842" s="13"/>
      <c r="D842" s="14" t="s">
        <v>18</v>
      </c>
      <c r="E842" s="14" t="s">
        <v>28</v>
      </c>
      <c r="F842" s="14" t="s">
        <v>27</v>
      </c>
      <c r="G842" s="305">
        <f>'DIC-18'!I842</f>
        <v>0</v>
      </c>
      <c r="H842" s="51"/>
      <c r="I842" s="17">
        <f t="shared" si="15"/>
        <v>0</v>
      </c>
      <c r="J842" s="56"/>
      <c r="K842" s="137"/>
    </row>
    <row r="843" spans="1:11" ht="44.25">
      <c r="A843" s="11">
        <v>54313</v>
      </c>
      <c r="B843" s="168" t="s">
        <v>920</v>
      </c>
      <c r="C843" s="13"/>
      <c r="D843" s="14" t="s">
        <v>18</v>
      </c>
      <c r="E843" s="14" t="s">
        <v>28</v>
      </c>
      <c r="F843" s="14" t="s">
        <v>27</v>
      </c>
      <c r="G843" s="305">
        <f>'DIC-18'!I843</f>
        <v>0</v>
      </c>
      <c r="H843" s="51"/>
      <c r="I843" s="17">
        <f t="shared" si="15"/>
        <v>0</v>
      </c>
      <c r="J843" s="56"/>
      <c r="K843" s="137"/>
    </row>
    <row r="844" spans="1:11" ht="29.25">
      <c r="A844" s="11">
        <v>56303</v>
      </c>
      <c r="B844" s="53" t="s">
        <v>921</v>
      </c>
      <c r="C844" s="13"/>
      <c r="D844" s="14" t="s">
        <v>18</v>
      </c>
      <c r="E844" s="14" t="s">
        <v>28</v>
      </c>
      <c r="F844" s="14" t="s">
        <v>27</v>
      </c>
      <c r="G844" s="305">
        <f>'DIC-18'!I844</f>
        <v>0</v>
      </c>
      <c r="H844" s="51"/>
      <c r="I844" s="17">
        <f t="shared" si="15"/>
        <v>0</v>
      </c>
      <c r="J844" s="56"/>
      <c r="K844" s="137"/>
    </row>
    <row r="845" spans="1:11" ht="29.25">
      <c r="A845" s="11">
        <v>55603</v>
      </c>
      <c r="B845" s="53" t="s">
        <v>922</v>
      </c>
      <c r="C845" s="13"/>
      <c r="D845" s="14" t="s">
        <v>18</v>
      </c>
      <c r="E845" s="14" t="s">
        <v>28</v>
      </c>
      <c r="F845" s="14" t="s">
        <v>27</v>
      </c>
      <c r="G845" s="305">
        <f>'DIC-18'!I845</f>
        <v>0</v>
      </c>
      <c r="H845" s="51"/>
      <c r="I845" s="17">
        <f t="shared" si="15"/>
        <v>0</v>
      </c>
      <c r="J845" s="56"/>
      <c r="K845" s="137"/>
    </row>
    <row r="846" spans="1:11">
      <c r="A846" s="141">
        <v>61</v>
      </c>
      <c r="B846" s="53" t="s">
        <v>1228</v>
      </c>
      <c r="C846" s="13"/>
      <c r="D846" s="14"/>
      <c r="E846" s="14"/>
      <c r="F846" s="14"/>
      <c r="G846" s="305">
        <f>'DIC-18'!I846</f>
        <v>0</v>
      </c>
      <c r="H846" s="51"/>
      <c r="I846" s="17"/>
      <c r="J846" s="56"/>
      <c r="K846" s="137"/>
    </row>
    <row r="847" spans="1:11">
      <c r="A847" s="141">
        <v>616</v>
      </c>
      <c r="B847" s="53" t="s">
        <v>1225</v>
      </c>
      <c r="C847" s="13"/>
      <c r="D847" s="14"/>
      <c r="E847" s="14"/>
      <c r="F847" s="14"/>
      <c r="G847" s="305">
        <f>'DIC-18'!I847</f>
        <v>0</v>
      </c>
      <c r="H847" s="51"/>
      <c r="I847" s="17"/>
      <c r="J847" s="56"/>
      <c r="K847" s="137"/>
    </row>
    <row r="848" spans="1:11">
      <c r="A848" s="141">
        <v>61601</v>
      </c>
      <c r="B848" s="53" t="s">
        <v>1226</v>
      </c>
      <c r="C848" s="13"/>
      <c r="D848" s="14"/>
      <c r="E848" s="14"/>
      <c r="F848" s="14"/>
      <c r="G848" s="305">
        <f>'DIC-18'!I848</f>
        <v>0</v>
      </c>
      <c r="H848" s="51"/>
      <c r="I848" s="17"/>
      <c r="J848" s="56"/>
      <c r="K848" s="137"/>
    </row>
    <row r="849" spans="1:190" ht="103.5">
      <c r="A849" s="11" t="s">
        <v>923</v>
      </c>
      <c r="B849" s="53" t="s">
        <v>924</v>
      </c>
      <c r="C849" s="13"/>
      <c r="D849" s="14" t="s">
        <v>18</v>
      </c>
      <c r="E849" s="14" t="s">
        <v>28</v>
      </c>
      <c r="F849" s="14" t="s">
        <v>27</v>
      </c>
      <c r="G849" s="305">
        <f>'DIC-18'!I849</f>
        <v>0</v>
      </c>
      <c r="H849" s="51"/>
      <c r="I849" s="17">
        <f t="shared" ref="I849" si="16">G849-H849+J849-K849</f>
        <v>0</v>
      </c>
      <c r="J849" s="56"/>
      <c r="K849" s="266"/>
    </row>
    <row r="850" spans="1:190">
      <c r="A850" s="439"/>
      <c r="B850" s="53"/>
      <c r="C850" s="13"/>
      <c r="D850" s="14"/>
      <c r="E850" s="14"/>
      <c r="F850" s="14"/>
      <c r="G850" s="305">
        <f>'DIC-18'!I850</f>
        <v>0</v>
      </c>
      <c r="H850" s="51"/>
      <c r="I850" s="17"/>
      <c r="J850" s="56"/>
      <c r="K850" s="137"/>
    </row>
    <row r="851" spans="1:190" ht="36" customHeight="1">
      <c r="A851" s="11"/>
      <c r="B851" s="53"/>
      <c r="C851" s="13"/>
      <c r="D851" s="14"/>
      <c r="E851" s="14"/>
      <c r="F851" s="14"/>
      <c r="G851" s="305">
        <f>'DIC-18'!I851</f>
        <v>0</v>
      </c>
      <c r="H851" s="51"/>
      <c r="I851" s="17"/>
      <c r="J851" s="56"/>
      <c r="K851" s="266"/>
    </row>
    <row r="852" spans="1:190" ht="20.25" customHeight="1">
      <c r="A852" s="38"/>
      <c r="B852" s="161" t="s">
        <v>975</v>
      </c>
      <c r="C852" s="39"/>
      <c r="D852" s="39"/>
      <c r="E852" s="39"/>
      <c r="F852" s="39"/>
      <c r="G852" s="305">
        <f>'DIC-18'!I852</f>
        <v>493783.58000000007</v>
      </c>
      <c r="H852" s="95">
        <f>SUM(H469:H851)</f>
        <v>0</v>
      </c>
      <c r="I852" s="40">
        <f>SUM(I469:I851)</f>
        <v>493783.58000000007</v>
      </c>
      <c r="J852" s="40">
        <f>SUM(J469:J851)</f>
        <v>0</v>
      </c>
      <c r="K852" s="40">
        <f>SUM(K469:K851)</f>
        <v>0</v>
      </c>
    </row>
    <row r="853" spans="1:190" s="198" customFormat="1" ht="54.75" customHeight="1" thickBot="1">
      <c r="A853" s="191" t="s">
        <v>925</v>
      </c>
      <c r="B853" s="192" t="s">
        <v>926</v>
      </c>
      <c r="C853" s="193"/>
      <c r="D853" s="194" t="s">
        <v>20</v>
      </c>
      <c r="E853" s="194" t="s">
        <v>31</v>
      </c>
      <c r="F853" s="194" t="s">
        <v>27</v>
      </c>
      <c r="G853" s="305">
        <f>'NOV-18 '!I851</f>
        <v>0</v>
      </c>
      <c r="H853" s="246"/>
      <c r="I853" s="196">
        <f t="shared" si="15"/>
        <v>0</v>
      </c>
      <c r="J853" s="197"/>
      <c r="K853" s="267"/>
      <c r="L853" s="199"/>
      <c r="M853" s="199"/>
      <c r="N853" s="199"/>
      <c r="O853" s="199"/>
      <c r="P853" s="199"/>
      <c r="Q853" s="199"/>
      <c r="R853" s="199"/>
      <c r="S853" s="199"/>
      <c r="T853" s="199"/>
      <c r="U853" s="199"/>
      <c r="V853" s="199"/>
      <c r="W853" s="199"/>
      <c r="X853" s="199"/>
      <c r="Y853" s="199"/>
      <c r="Z853" s="199"/>
      <c r="AA853" s="199"/>
      <c r="AB853" s="199"/>
      <c r="AC853" s="199"/>
      <c r="AD853" s="199"/>
      <c r="AE853" s="199"/>
      <c r="AF853" s="199"/>
      <c r="AG853" s="199"/>
      <c r="AH853" s="199"/>
      <c r="AI853" s="199"/>
      <c r="AJ853" s="199"/>
      <c r="AK853" s="199"/>
      <c r="AL853" s="199"/>
      <c r="AM853" s="199"/>
      <c r="AN853" s="199"/>
      <c r="AO853" s="199"/>
      <c r="AP853" s="199"/>
      <c r="AQ853" s="199"/>
      <c r="AR853" s="199"/>
      <c r="AS853" s="199"/>
      <c r="AT853" s="199"/>
      <c r="AU853" s="199"/>
      <c r="AV853" s="199"/>
      <c r="AW853" s="199"/>
      <c r="AX853" s="199"/>
      <c r="AY853" s="199"/>
      <c r="AZ853" s="199"/>
      <c r="BA853" s="199"/>
      <c r="BB853" s="199"/>
      <c r="BC853" s="199"/>
      <c r="BD853" s="199"/>
      <c r="BE853" s="199"/>
      <c r="BF853" s="199"/>
      <c r="BG853" s="199"/>
      <c r="BH853" s="199"/>
      <c r="BI853" s="199"/>
      <c r="BJ853" s="199"/>
      <c r="BK853" s="199"/>
      <c r="BL853" s="199"/>
      <c r="BM853" s="199"/>
      <c r="BN853" s="199"/>
      <c r="BO853" s="199"/>
      <c r="BP853" s="199"/>
      <c r="BQ853" s="199"/>
      <c r="BR853" s="199"/>
      <c r="BS853" s="199"/>
      <c r="BT853" s="199"/>
      <c r="BU853" s="199"/>
      <c r="BV853" s="199"/>
      <c r="BW853" s="199"/>
      <c r="BX853" s="199"/>
      <c r="BY853" s="199"/>
      <c r="BZ853" s="199"/>
      <c r="CA853" s="199"/>
      <c r="CB853" s="199"/>
      <c r="CC853" s="199"/>
      <c r="CD853" s="199"/>
      <c r="CE853" s="199"/>
      <c r="CF853" s="199"/>
      <c r="CG853" s="199"/>
      <c r="CH853" s="199"/>
      <c r="CI853" s="199"/>
      <c r="CJ853" s="199"/>
      <c r="CK853" s="199"/>
      <c r="CL853" s="199"/>
      <c r="CM853" s="199"/>
      <c r="CN853" s="199"/>
      <c r="CO853" s="199"/>
      <c r="CP853" s="199"/>
      <c r="CQ853" s="199"/>
      <c r="CR853" s="199"/>
      <c r="CS853" s="199"/>
      <c r="CT853" s="199"/>
      <c r="CU853" s="199"/>
      <c r="CV853" s="199"/>
      <c r="CW853" s="199"/>
      <c r="CX853" s="199"/>
      <c r="CY853" s="199"/>
      <c r="CZ853" s="199"/>
      <c r="DA853" s="199"/>
      <c r="DB853" s="199"/>
      <c r="DC853" s="199"/>
      <c r="DD853" s="199"/>
      <c r="DE853" s="199"/>
      <c r="DF853" s="199"/>
      <c r="DG853" s="199"/>
      <c r="DH853" s="199"/>
      <c r="DI853" s="199"/>
      <c r="DJ853" s="199"/>
      <c r="DK853" s="199"/>
      <c r="DL853" s="199"/>
      <c r="DM853" s="199"/>
      <c r="DN853" s="199"/>
      <c r="DO853" s="199"/>
      <c r="DP853" s="199"/>
      <c r="DQ853" s="199"/>
      <c r="DR853" s="199"/>
      <c r="DS853" s="199"/>
      <c r="DT853" s="199"/>
      <c r="DU853" s="199"/>
      <c r="DV853" s="199"/>
      <c r="DW853" s="199"/>
      <c r="DX853" s="199"/>
      <c r="DY853" s="199"/>
      <c r="DZ853" s="199"/>
      <c r="EA853" s="199"/>
      <c r="EB853" s="199"/>
      <c r="EC853" s="199"/>
      <c r="ED853" s="199"/>
      <c r="EE853" s="199"/>
      <c r="EF853" s="199"/>
      <c r="EG853" s="199"/>
      <c r="EH853" s="199"/>
      <c r="EI853" s="199"/>
      <c r="EJ853" s="199"/>
      <c r="EK853" s="199"/>
      <c r="EL853" s="199"/>
      <c r="EM853" s="199"/>
      <c r="EN853" s="199"/>
      <c r="EO853" s="199"/>
      <c r="EP853" s="199"/>
      <c r="EQ853" s="199"/>
      <c r="ER853" s="199"/>
      <c r="ES853" s="199"/>
      <c r="ET853" s="199"/>
      <c r="EU853" s="199"/>
      <c r="EV853" s="199"/>
      <c r="EW853" s="199"/>
      <c r="EX853" s="199"/>
      <c r="EY853" s="199"/>
      <c r="EZ853" s="199"/>
      <c r="FA853" s="199"/>
      <c r="FB853" s="199"/>
      <c r="FC853" s="199"/>
      <c r="FD853" s="199"/>
      <c r="FE853" s="199"/>
      <c r="FF853" s="199"/>
      <c r="FG853" s="199"/>
      <c r="FH853" s="199"/>
      <c r="FI853" s="199"/>
      <c r="FJ853" s="199"/>
      <c r="FK853" s="199"/>
      <c r="FL853" s="199"/>
      <c r="FM853" s="199"/>
      <c r="FN853" s="199"/>
      <c r="FO853" s="199"/>
      <c r="FP853" s="199"/>
      <c r="FQ853" s="199"/>
      <c r="FR853" s="199"/>
      <c r="FS853" s="199"/>
      <c r="FT853" s="199"/>
      <c r="FU853" s="199"/>
      <c r="FV853" s="199"/>
      <c r="FW853" s="199"/>
      <c r="FX853" s="199"/>
      <c r="FY853" s="199"/>
      <c r="FZ853" s="199"/>
      <c r="GA853" s="199"/>
      <c r="GB853" s="199"/>
      <c r="GC853" s="199"/>
      <c r="GD853" s="199"/>
      <c r="GE853" s="199"/>
      <c r="GF853" s="199"/>
      <c r="GG853" s="199"/>
      <c r="GH853" s="199"/>
    </row>
    <row r="854" spans="1:190" s="199" customFormat="1" ht="23.25" customHeight="1" thickBot="1">
      <c r="A854" s="38"/>
      <c r="B854" s="161" t="s">
        <v>21</v>
      </c>
      <c r="C854" s="39"/>
      <c r="D854" s="39"/>
      <c r="E854" s="39"/>
      <c r="F854" s="39"/>
      <c r="G854" s="305">
        <f>'SEPT-18'!I820</f>
        <v>0</v>
      </c>
      <c r="H854" s="95">
        <f>SUM(H853)</f>
        <v>0</v>
      </c>
      <c r="I854" s="196">
        <f t="shared" si="15"/>
        <v>0</v>
      </c>
      <c r="J854" s="40"/>
      <c r="K854" s="398">
        <f>SUM(K853)</f>
        <v>0</v>
      </c>
    </row>
    <row r="855" spans="1:190" s="171" customFormat="1" ht="45">
      <c r="A855" s="184" t="s">
        <v>929</v>
      </c>
      <c r="B855" s="185" t="s">
        <v>928</v>
      </c>
      <c r="C855" s="186"/>
      <c r="D855" s="187" t="s">
        <v>22</v>
      </c>
      <c r="E855" s="187" t="s">
        <v>31</v>
      </c>
      <c r="F855" s="187" t="s">
        <v>27</v>
      </c>
      <c r="G855" s="305">
        <f>'NOV-18 '!I853</f>
        <v>0</v>
      </c>
      <c r="H855" s="245"/>
      <c r="I855" s="189">
        <f t="shared" si="15"/>
        <v>0</v>
      </c>
      <c r="J855" s="190"/>
      <c r="K855" s="268"/>
    </row>
    <row r="856" spans="1:190" s="171" customFormat="1" ht="63" customHeight="1">
      <c r="A856" s="175" t="s">
        <v>927</v>
      </c>
      <c r="B856" s="174" t="s">
        <v>978</v>
      </c>
      <c r="C856" s="139"/>
      <c r="D856" s="14" t="s">
        <v>22</v>
      </c>
      <c r="E856" s="14" t="s">
        <v>31</v>
      </c>
      <c r="F856" s="14" t="s">
        <v>27</v>
      </c>
      <c r="G856" s="305">
        <f>'NOV-18 '!I854</f>
        <v>0</v>
      </c>
      <c r="H856" s="244"/>
      <c r="I856" s="17">
        <f t="shared" si="15"/>
        <v>0</v>
      </c>
      <c r="J856" s="140"/>
      <c r="K856" s="135"/>
    </row>
    <row r="857" spans="1:190">
      <c r="A857" s="38"/>
      <c r="B857" s="161" t="s">
        <v>23</v>
      </c>
      <c r="C857" s="39"/>
      <c r="D857" s="39"/>
      <c r="E857" s="39"/>
      <c r="F857" s="39"/>
      <c r="G857" s="305">
        <f>SUM(G855:G856)</f>
        <v>0</v>
      </c>
      <c r="H857" s="95">
        <f>SUM(H855:H856)</f>
        <v>0</v>
      </c>
      <c r="I857" s="17">
        <f t="shared" si="15"/>
        <v>0</v>
      </c>
      <c r="J857" s="40"/>
      <c r="K857" s="40">
        <f>SUM(K855:K856)</f>
        <v>0</v>
      </c>
    </row>
    <row r="858" spans="1:190" s="171" customFormat="1" ht="100.5" customHeight="1">
      <c r="A858" s="169" t="s">
        <v>200</v>
      </c>
      <c r="B858" s="174" t="s">
        <v>1081</v>
      </c>
      <c r="C858" s="139"/>
      <c r="D858" s="139"/>
      <c r="E858" s="139"/>
      <c r="F858" s="139"/>
      <c r="G858" s="305">
        <f>'SEPT-18'!I824</f>
        <v>0</v>
      </c>
      <c r="H858" s="170"/>
      <c r="I858" s="140"/>
      <c r="J858" s="140"/>
      <c r="K858" s="140"/>
    </row>
    <row r="859" spans="1:190" s="171" customFormat="1" ht="38.25" customHeight="1">
      <c r="A859" s="255">
        <v>51999</v>
      </c>
      <c r="B859" s="173" t="s">
        <v>933</v>
      </c>
      <c r="C859" s="139"/>
      <c r="D859" s="14" t="s">
        <v>11</v>
      </c>
      <c r="E859" s="14" t="s">
        <v>25</v>
      </c>
      <c r="F859" s="257" t="s">
        <v>1025</v>
      </c>
      <c r="G859" s="305">
        <f>'NOV-18 '!I857</f>
        <v>2100</v>
      </c>
      <c r="H859" s="140"/>
      <c r="I859" s="17">
        <f t="shared" ref="I859:I896" si="17">G859-H859+J859-K859</f>
        <v>2100</v>
      </c>
      <c r="J859" s="135"/>
      <c r="K859" s="135"/>
    </row>
    <row r="860" spans="1:190" s="171" customFormat="1" ht="23.25" customHeight="1">
      <c r="A860" s="255">
        <v>54199</v>
      </c>
      <c r="B860" s="173" t="s">
        <v>931</v>
      </c>
      <c r="C860" s="139"/>
      <c r="D860" s="14" t="s">
        <v>11</v>
      </c>
      <c r="E860" s="14" t="s">
        <v>25</v>
      </c>
      <c r="F860" s="257" t="s">
        <v>1025</v>
      </c>
      <c r="G860" s="305">
        <f>'NOV-18 '!I858</f>
        <v>0</v>
      </c>
      <c r="H860" s="170"/>
      <c r="I860" s="17">
        <f t="shared" si="17"/>
        <v>0</v>
      </c>
      <c r="J860" s="135"/>
      <c r="K860" s="135"/>
    </row>
    <row r="861" spans="1:190" s="171" customFormat="1" ht="19.5" customHeight="1">
      <c r="A861" s="255">
        <v>55799</v>
      </c>
      <c r="B861" s="173" t="s">
        <v>932</v>
      </c>
      <c r="C861" s="139"/>
      <c r="D861" s="14" t="s">
        <v>11</v>
      </c>
      <c r="E861" s="14" t="s">
        <v>25</v>
      </c>
      <c r="F861" s="257" t="s">
        <v>1025</v>
      </c>
      <c r="G861" s="305">
        <f>'NOV-18 '!I859</f>
        <v>1413.6799999999998</v>
      </c>
      <c r="H861" s="170"/>
      <c r="I861" s="17">
        <f t="shared" si="17"/>
        <v>1413.6799999999998</v>
      </c>
      <c r="J861" s="135"/>
      <c r="K861" s="135"/>
    </row>
    <row r="862" spans="1:190" s="171" customFormat="1" ht="68.25" customHeight="1">
      <c r="A862" s="176" t="s">
        <v>201</v>
      </c>
      <c r="B862" s="173" t="s">
        <v>934</v>
      </c>
      <c r="C862" s="139"/>
      <c r="D862" s="139"/>
      <c r="E862" s="139"/>
      <c r="F862" s="257" t="s">
        <v>1024</v>
      </c>
      <c r="G862" s="305">
        <f>'NOV-18 '!I860</f>
        <v>0</v>
      </c>
      <c r="H862" s="170"/>
      <c r="I862" s="17"/>
      <c r="J862" s="140"/>
      <c r="K862" s="140"/>
    </row>
    <row r="863" spans="1:190" s="171" customFormat="1" ht="37.5" customHeight="1">
      <c r="A863" s="254">
        <v>51202</v>
      </c>
      <c r="B863" s="173" t="s">
        <v>954</v>
      </c>
      <c r="C863" s="139"/>
      <c r="D863" s="14" t="s">
        <v>11</v>
      </c>
      <c r="E863" s="14" t="s">
        <v>25</v>
      </c>
      <c r="F863" s="257" t="s">
        <v>1024</v>
      </c>
      <c r="G863" s="305">
        <f>'NOV-18 '!I861</f>
        <v>335.67000000000098</v>
      </c>
      <c r="H863" s="140"/>
      <c r="I863" s="17">
        <f t="shared" si="17"/>
        <v>335.67000000000098</v>
      </c>
      <c r="J863" s="140"/>
      <c r="K863" s="140"/>
    </row>
    <row r="864" spans="1:190" s="171" customFormat="1" ht="33" customHeight="1">
      <c r="A864" s="254">
        <v>51999</v>
      </c>
      <c r="B864" s="177" t="s">
        <v>935</v>
      </c>
      <c r="C864" s="139"/>
      <c r="D864" s="14" t="s">
        <v>11</v>
      </c>
      <c r="E864" s="14" t="s">
        <v>25</v>
      </c>
      <c r="F864" s="257" t="s">
        <v>1024</v>
      </c>
      <c r="G864" s="305">
        <f>'NOV-18 '!I862</f>
        <v>0</v>
      </c>
      <c r="H864" s="140"/>
      <c r="I864" s="17">
        <f t="shared" si="17"/>
        <v>0</v>
      </c>
      <c r="J864" s="140"/>
      <c r="K864" s="135"/>
    </row>
    <row r="865" spans="1:11" s="171" customFormat="1" ht="29.25">
      <c r="A865" s="254">
        <v>54110</v>
      </c>
      <c r="B865" s="177" t="s">
        <v>936</v>
      </c>
      <c r="C865" s="139"/>
      <c r="D865" s="14" t="s">
        <v>11</v>
      </c>
      <c r="E865" s="14" t="s">
        <v>25</v>
      </c>
      <c r="F865" s="257" t="s">
        <v>1024</v>
      </c>
      <c r="G865" s="305">
        <f>'NOV-18 '!I863</f>
        <v>393.8599999999999</v>
      </c>
      <c r="H865" s="140"/>
      <c r="I865" s="17">
        <f t="shared" si="17"/>
        <v>393.8599999999999</v>
      </c>
      <c r="J865" s="140"/>
      <c r="K865" s="135"/>
    </row>
    <row r="866" spans="1:11" s="171" customFormat="1" ht="44.25">
      <c r="A866" s="254">
        <v>54111</v>
      </c>
      <c r="B866" s="173" t="s">
        <v>937</v>
      </c>
      <c r="C866" s="139"/>
      <c r="D866" s="14" t="s">
        <v>11</v>
      </c>
      <c r="E866" s="14" t="s">
        <v>25</v>
      </c>
      <c r="F866" s="257" t="s">
        <v>1024</v>
      </c>
      <c r="G866" s="305">
        <f>'NOV-18 '!I864</f>
        <v>176.97000000000116</v>
      </c>
      <c r="H866" s="140"/>
      <c r="I866" s="17">
        <f t="shared" si="17"/>
        <v>176.97000000000116</v>
      </c>
      <c r="J866" s="140"/>
      <c r="K866" s="135"/>
    </row>
    <row r="867" spans="1:11" s="171" customFormat="1" ht="44.25">
      <c r="A867" s="254">
        <v>54112</v>
      </c>
      <c r="B867" s="173" t="s">
        <v>938</v>
      </c>
      <c r="C867" s="139"/>
      <c r="D867" s="14" t="s">
        <v>11</v>
      </c>
      <c r="E867" s="14" t="s">
        <v>25</v>
      </c>
      <c r="F867" s="257" t="s">
        <v>1024</v>
      </c>
      <c r="G867" s="305">
        <f>'NOV-18 '!I865</f>
        <v>713.29999999999927</v>
      </c>
      <c r="H867" s="140"/>
      <c r="I867" s="17">
        <f t="shared" si="17"/>
        <v>713.29999999999927</v>
      </c>
      <c r="J867" s="135"/>
      <c r="K867" s="135"/>
    </row>
    <row r="868" spans="1:11" s="171" customFormat="1" ht="29.25">
      <c r="A868" s="254">
        <v>54118</v>
      </c>
      <c r="B868" s="173" t="s">
        <v>939</v>
      </c>
      <c r="C868" s="139"/>
      <c r="D868" s="14" t="s">
        <v>11</v>
      </c>
      <c r="E868" s="14" t="s">
        <v>25</v>
      </c>
      <c r="F868" s="257" t="s">
        <v>1024</v>
      </c>
      <c r="G868" s="305">
        <f>'NOV-18 '!I866</f>
        <v>41.749999999999773</v>
      </c>
      <c r="H868" s="244"/>
      <c r="I868" s="17">
        <f t="shared" si="17"/>
        <v>41.749999999999773</v>
      </c>
      <c r="J868" s="140"/>
      <c r="K868" s="135"/>
    </row>
    <row r="869" spans="1:11" s="171" customFormat="1" ht="29.25">
      <c r="A869" s="254">
        <v>54304</v>
      </c>
      <c r="B869" s="173" t="s">
        <v>940</v>
      </c>
      <c r="C869" s="139"/>
      <c r="D869" s="14" t="s">
        <v>11</v>
      </c>
      <c r="E869" s="14" t="s">
        <v>25</v>
      </c>
      <c r="F869" s="257" t="s">
        <v>1024</v>
      </c>
      <c r="G869" s="305">
        <f>'NOV-18 '!I867</f>
        <v>0</v>
      </c>
      <c r="H869" s="170"/>
      <c r="I869" s="17">
        <f t="shared" si="17"/>
        <v>0</v>
      </c>
      <c r="J869" s="140"/>
      <c r="K869" s="135"/>
    </row>
    <row r="870" spans="1:11" s="171" customFormat="1" ht="39" customHeight="1">
      <c r="A870" s="254">
        <v>54313</v>
      </c>
      <c r="B870" s="173" t="s">
        <v>941</v>
      </c>
      <c r="C870" s="139"/>
      <c r="D870" s="14" t="s">
        <v>11</v>
      </c>
      <c r="E870" s="14" t="s">
        <v>25</v>
      </c>
      <c r="F870" s="257" t="s">
        <v>1024</v>
      </c>
      <c r="G870" s="305">
        <f>'NOV-18 '!I868</f>
        <v>0</v>
      </c>
      <c r="H870" s="170"/>
      <c r="I870" s="17">
        <f t="shared" si="17"/>
        <v>0</v>
      </c>
      <c r="J870" s="140"/>
      <c r="K870" s="140"/>
    </row>
    <row r="871" spans="1:11" s="171" customFormat="1" ht="36" customHeight="1">
      <c r="A871" s="254">
        <v>54399</v>
      </c>
      <c r="B871" s="173" t="s">
        <v>942</v>
      </c>
      <c r="C871" s="139"/>
      <c r="D871" s="14" t="s">
        <v>11</v>
      </c>
      <c r="E871" s="14" t="s">
        <v>25</v>
      </c>
      <c r="F871" s="257" t="s">
        <v>1024</v>
      </c>
      <c r="G871" s="305">
        <f>'NOV-18 '!I869</f>
        <v>53.789999999999964</v>
      </c>
      <c r="H871" s="170"/>
      <c r="I871" s="17">
        <f t="shared" si="17"/>
        <v>53.789999999999964</v>
      </c>
      <c r="J871" s="140"/>
      <c r="K871" s="135"/>
    </row>
    <row r="872" spans="1:11" s="171" customFormat="1" ht="34.5" customHeight="1">
      <c r="A872" s="254">
        <v>55603</v>
      </c>
      <c r="B872" s="173" t="s">
        <v>943</v>
      </c>
      <c r="C872" s="139"/>
      <c r="D872" s="14" t="s">
        <v>11</v>
      </c>
      <c r="E872" s="14" t="s">
        <v>25</v>
      </c>
      <c r="F872" s="257" t="s">
        <v>1024</v>
      </c>
      <c r="G872" s="305">
        <f>'NOV-18 '!I870</f>
        <v>6.35</v>
      </c>
      <c r="H872" s="170"/>
      <c r="I872" s="134">
        <f t="shared" si="17"/>
        <v>6.35</v>
      </c>
      <c r="J872" s="135"/>
      <c r="K872" s="140"/>
    </row>
    <row r="873" spans="1:11" s="171" customFormat="1" ht="98.25" customHeight="1">
      <c r="A873" s="169" t="s">
        <v>220</v>
      </c>
      <c r="B873" s="241" t="s">
        <v>973</v>
      </c>
      <c r="C873" s="139"/>
      <c r="D873" s="14"/>
      <c r="E873" s="14"/>
      <c r="F873" s="257" t="s">
        <v>1024</v>
      </c>
      <c r="G873" s="305">
        <f>'NOV-18 '!I871</f>
        <v>0</v>
      </c>
      <c r="H873" s="170"/>
      <c r="I873" s="17"/>
      <c r="J873" s="140"/>
      <c r="K873" s="140"/>
    </row>
    <row r="874" spans="1:11" s="171" customFormat="1" ht="29.25">
      <c r="A874" s="254">
        <v>51202</v>
      </c>
      <c r="B874" s="173" t="s">
        <v>944</v>
      </c>
      <c r="C874" s="139"/>
      <c r="D874" s="14" t="s">
        <v>11</v>
      </c>
      <c r="E874" s="14" t="s">
        <v>25</v>
      </c>
      <c r="F874" s="257" t="s">
        <v>1024</v>
      </c>
      <c r="G874" s="305">
        <f>'NOV-18 '!I872</f>
        <v>0</v>
      </c>
      <c r="H874" s="140"/>
      <c r="I874" s="17">
        <f t="shared" si="17"/>
        <v>0</v>
      </c>
      <c r="J874" s="140"/>
      <c r="K874" s="135"/>
    </row>
    <row r="875" spans="1:11" s="171" customFormat="1" ht="29.25">
      <c r="A875" s="254">
        <v>51999</v>
      </c>
      <c r="B875" s="173" t="s">
        <v>946</v>
      </c>
      <c r="C875" s="139"/>
      <c r="D875" s="14" t="s">
        <v>11</v>
      </c>
      <c r="E875" s="14" t="s">
        <v>25</v>
      </c>
      <c r="F875" s="257" t="s">
        <v>1024</v>
      </c>
      <c r="G875" s="305">
        <f>'NOV-18 '!I873</f>
        <v>0</v>
      </c>
      <c r="H875" s="140"/>
      <c r="I875" s="17">
        <f t="shared" si="17"/>
        <v>0</v>
      </c>
      <c r="J875" s="135"/>
      <c r="K875" s="135"/>
    </row>
    <row r="876" spans="1:11" s="171" customFormat="1" ht="36" customHeight="1">
      <c r="A876" s="254">
        <v>54110</v>
      </c>
      <c r="B876" s="173" t="s">
        <v>945</v>
      </c>
      <c r="C876" s="139"/>
      <c r="D876" s="14" t="s">
        <v>11</v>
      </c>
      <c r="E876" s="14" t="s">
        <v>25</v>
      </c>
      <c r="F876" s="257" t="s">
        <v>1024</v>
      </c>
      <c r="G876" s="305">
        <f>'NOV-18 '!I874</f>
        <v>0</v>
      </c>
      <c r="H876" s="140"/>
      <c r="I876" s="17">
        <f t="shared" si="17"/>
        <v>0</v>
      </c>
      <c r="J876" s="140"/>
      <c r="K876" s="135"/>
    </row>
    <row r="877" spans="1:11" s="171" customFormat="1" ht="41.25" customHeight="1">
      <c r="A877" s="254">
        <v>54111</v>
      </c>
      <c r="B877" s="173" t="s">
        <v>947</v>
      </c>
      <c r="C877" s="139"/>
      <c r="D877" s="14" t="s">
        <v>11</v>
      </c>
      <c r="E877" s="14" t="s">
        <v>25</v>
      </c>
      <c r="F877" s="257" t="s">
        <v>1024</v>
      </c>
      <c r="G877" s="305">
        <f>'NOV-18 '!I875</f>
        <v>0</v>
      </c>
      <c r="H877" s="140"/>
      <c r="I877" s="17">
        <f t="shared" si="17"/>
        <v>0</v>
      </c>
      <c r="J877" s="140"/>
      <c r="K877" s="135"/>
    </row>
    <row r="878" spans="1:11" s="171" customFormat="1" ht="35.25" customHeight="1">
      <c r="A878" s="254">
        <v>54112</v>
      </c>
      <c r="B878" s="173" t="s">
        <v>948</v>
      </c>
      <c r="C878" s="139"/>
      <c r="D878" s="14" t="s">
        <v>11</v>
      </c>
      <c r="E878" s="14" t="s">
        <v>25</v>
      </c>
      <c r="F878" s="257" t="s">
        <v>1024</v>
      </c>
      <c r="G878" s="305">
        <f>'NOV-18 '!I876</f>
        <v>0</v>
      </c>
      <c r="H878" s="140"/>
      <c r="I878" s="17">
        <f t="shared" si="17"/>
        <v>0</v>
      </c>
      <c r="J878" s="140"/>
      <c r="K878" s="135"/>
    </row>
    <row r="879" spans="1:11" s="171" customFormat="1" ht="35.25" customHeight="1">
      <c r="A879" s="254">
        <v>54118</v>
      </c>
      <c r="B879" s="173" t="s">
        <v>1245</v>
      </c>
      <c r="C879" s="139"/>
      <c r="D879" s="14" t="s">
        <v>11</v>
      </c>
      <c r="E879" s="14" t="s">
        <v>25</v>
      </c>
      <c r="F879" s="257" t="s">
        <v>1024</v>
      </c>
      <c r="G879" s="305">
        <f>'NOV-18 '!I877</f>
        <v>0</v>
      </c>
      <c r="H879" s="140"/>
      <c r="I879" s="17">
        <f t="shared" si="17"/>
        <v>0</v>
      </c>
      <c r="J879" s="140"/>
      <c r="K879" s="135"/>
    </row>
    <row r="880" spans="1:11" s="171" customFormat="1" ht="35.25" customHeight="1">
      <c r="A880" s="254">
        <v>54199</v>
      </c>
      <c r="B880" s="173" t="s">
        <v>1244</v>
      </c>
      <c r="C880" s="139"/>
      <c r="D880" s="14"/>
      <c r="E880" s="14"/>
      <c r="F880" s="257" t="s">
        <v>1024</v>
      </c>
      <c r="G880" s="305">
        <f>'NOV-18 '!I878</f>
        <v>0</v>
      </c>
      <c r="H880" s="140"/>
      <c r="I880" s="17">
        <f t="shared" si="17"/>
        <v>0</v>
      </c>
      <c r="J880" s="135"/>
      <c r="K880" s="135"/>
    </row>
    <row r="881" spans="1:11" s="171" customFormat="1" ht="29.25">
      <c r="A881" s="254">
        <v>54304</v>
      </c>
      <c r="B881" s="173" t="s">
        <v>950</v>
      </c>
      <c r="C881" s="139"/>
      <c r="D881" s="14" t="s">
        <v>11</v>
      </c>
      <c r="E881" s="14" t="s">
        <v>25</v>
      </c>
      <c r="F881" s="257" t="s">
        <v>1024</v>
      </c>
      <c r="G881" s="305">
        <f>'NOV-18 '!I879</f>
        <v>0</v>
      </c>
      <c r="H881" s="140"/>
      <c r="I881" s="17">
        <f t="shared" si="17"/>
        <v>0</v>
      </c>
      <c r="J881" s="140"/>
      <c r="K881" s="135"/>
    </row>
    <row r="882" spans="1:11" s="171" customFormat="1" ht="44.25">
      <c r="A882" s="254">
        <v>54313</v>
      </c>
      <c r="B882" s="173" t="s">
        <v>951</v>
      </c>
      <c r="C882" s="139"/>
      <c r="D882" s="14" t="s">
        <v>11</v>
      </c>
      <c r="E882" s="14" t="s">
        <v>25</v>
      </c>
      <c r="F882" s="257" t="s">
        <v>1024</v>
      </c>
      <c r="G882" s="305">
        <f>'NOV-18 '!I880</f>
        <v>0</v>
      </c>
      <c r="H882" s="140"/>
      <c r="I882" s="17">
        <f t="shared" si="17"/>
        <v>0</v>
      </c>
      <c r="J882" s="140"/>
      <c r="K882" s="135"/>
    </row>
    <row r="883" spans="1:11" s="171" customFormat="1" ht="44.25">
      <c r="A883" s="254">
        <v>54399</v>
      </c>
      <c r="B883" s="173" t="s">
        <v>952</v>
      </c>
      <c r="C883" s="139"/>
      <c r="D883" s="14" t="s">
        <v>11</v>
      </c>
      <c r="E883" s="14" t="s">
        <v>25</v>
      </c>
      <c r="F883" s="257" t="s">
        <v>1024</v>
      </c>
      <c r="G883" s="305">
        <f>'NOV-18 '!I881</f>
        <v>0</v>
      </c>
      <c r="H883" s="140"/>
      <c r="I883" s="17">
        <f t="shared" si="17"/>
        <v>0</v>
      </c>
      <c r="J883" s="135"/>
      <c r="K883" s="135"/>
    </row>
    <row r="884" spans="1:11" s="171" customFormat="1" ht="50.25" customHeight="1">
      <c r="A884" s="254">
        <v>55603</v>
      </c>
      <c r="B884" s="173" t="s">
        <v>953</v>
      </c>
      <c r="C884" s="139"/>
      <c r="D884" s="14" t="s">
        <v>11</v>
      </c>
      <c r="E884" s="14" t="s">
        <v>25</v>
      </c>
      <c r="F884" s="257" t="s">
        <v>1024</v>
      </c>
      <c r="G884" s="305">
        <f>'NOV-18 '!I882</f>
        <v>0</v>
      </c>
      <c r="H884" s="140"/>
      <c r="I884" s="134">
        <f t="shared" si="17"/>
        <v>0</v>
      </c>
      <c r="J884" s="135"/>
      <c r="K884" s="135"/>
    </row>
    <row r="885" spans="1:11" s="171" customFormat="1" ht="99.75">
      <c r="A885" s="256" t="s">
        <v>238</v>
      </c>
      <c r="B885" s="241" t="s">
        <v>972</v>
      </c>
      <c r="C885" s="139"/>
      <c r="D885" s="14"/>
      <c r="E885" s="14"/>
      <c r="F885" s="257" t="s">
        <v>1024</v>
      </c>
      <c r="G885" s="305">
        <f>'NOV-18 '!I883</f>
        <v>0</v>
      </c>
      <c r="H885" s="170"/>
      <c r="I885" s="17"/>
      <c r="J885" s="140"/>
      <c r="K885" s="140"/>
    </row>
    <row r="886" spans="1:11" s="171" customFormat="1" ht="29.25">
      <c r="A886" s="254">
        <v>51202</v>
      </c>
      <c r="B886" s="173" t="s">
        <v>955</v>
      </c>
      <c r="C886" s="139"/>
      <c r="D886" s="14" t="s">
        <v>11</v>
      </c>
      <c r="E886" s="14" t="s">
        <v>25</v>
      </c>
      <c r="F886" s="257" t="s">
        <v>1024</v>
      </c>
      <c r="G886" s="305">
        <f>'NOV-18 '!I884</f>
        <v>5476.74</v>
      </c>
      <c r="H886" s="244"/>
      <c r="I886" s="17">
        <f t="shared" si="17"/>
        <v>5476.74</v>
      </c>
      <c r="J886" s="140"/>
      <c r="K886" s="140"/>
    </row>
    <row r="887" spans="1:11" s="171" customFormat="1" ht="43.5">
      <c r="A887" s="254">
        <v>51999</v>
      </c>
      <c r="B887" s="173" t="s">
        <v>956</v>
      </c>
      <c r="C887" s="139"/>
      <c r="D887" s="14" t="s">
        <v>11</v>
      </c>
      <c r="E887" s="14" t="s">
        <v>25</v>
      </c>
      <c r="F887" s="257" t="s">
        <v>1024</v>
      </c>
      <c r="G887" s="305">
        <f>'NOV-18 '!I885</f>
        <v>0</v>
      </c>
      <c r="H887" s="244"/>
      <c r="I887" s="17">
        <f t="shared" si="17"/>
        <v>0</v>
      </c>
      <c r="J887" s="140"/>
      <c r="K887" s="135"/>
    </row>
    <row r="888" spans="1:11" s="171" customFormat="1" ht="43.5">
      <c r="A888" s="254">
        <v>54110</v>
      </c>
      <c r="B888" s="173" t="s">
        <v>957</v>
      </c>
      <c r="C888" s="139"/>
      <c r="D888" s="14" t="s">
        <v>11</v>
      </c>
      <c r="E888" s="14" t="s">
        <v>25</v>
      </c>
      <c r="F888" s="257" t="s">
        <v>1024</v>
      </c>
      <c r="G888" s="305">
        <f>'NOV-18 '!I886</f>
        <v>909.2</v>
      </c>
      <c r="H888" s="244"/>
      <c r="I888" s="17">
        <f t="shared" si="17"/>
        <v>909.2</v>
      </c>
      <c r="J888" s="140"/>
      <c r="K888" s="140"/>
    </row>
    <row r="889" spans="1:11" s="171" customFormat="1" ht="44.25">
      <c r="A889" s="254">
        <v>54111</v>
      </c>
      <c r="B889" s="173" t="s">
        <v>958</v>
      </c>
      <c r="C889" s="139"/>
      <c r="D889" s="14" t="s">
        <v>11</v>
      </c>
      <c r="E889" s="14" t="s">
        <v>25</v>
      </c>
      <c r="F889" s="257" t="s">
        <v>1024</v>
      </c>
      <c r="G889" s="305">
        <f>'NOV-18 '!I887</f>
        <v>1543.5</v>
      </c>
      <c r="H889" s="244"/>
      <c r="I889" s="17">
        <f t="shared" si="17"/>
        <v>1543.5</v>
      </c>
      <c r="J889" s="140"/>
      <c r="K889" s="135"/>
    </row>
    <row r="890" spans="1:11" s="171" customFormat="1" ht="44.25">
      <c r="A890" s="254">
        <v>54112</v>
      </c>
      <c r="B890" s="173" t="s">
        <v>959</v>
      </c>
      <c r="C890" s="139"/>
      <c r="D890" s="14" t="s">
        <v>11</v>
      </c>
      <c r="E890" s="14" t="s">
        <v>25</v>
      </c>
      <c r="F890" s="257" t="s">
        <v>1024</v>
      </c>
      <c r="G890" s="305">
        <f>'NOV-18 '!I888</f>
        <v>391.85000000000036</v>
      </c>
      <c r="H890" s="244"/>
      <c r="I890" s="134">
        <f t="shared" si="17"/>
        <v>391.85000000000036</v>
      </c>
      <c r="J890" s="135"/>
      <c r="K890" s="135"/>
    </row>
    <row r="891" spans="1:11" s="171" customFormat="1" ht="38.25" customHeight="1">
      <c r="A891" s="254">
        <v>54118</v>
      </c>
      <c r="B891" s="173" t="s">
        <v>960</v>
      </c>
      <c r="C891" s="139"/>
      <c r="D891" s="14" t="s">
        <v>11</v>
      </c>
      <c r="E891" s="14" t="s">
        <v>25</v>
      </c>
      <c r="F891" s="257" t="s">
        <v>1024</v>
      </c>
      <c r="G891" s="305">
        <f>'NOV-18 '!I889</f>
        <v>1464.85</v>
      </c>
      <c r="H891" s="244"/>
      <c r="I891" s="17">
        <f t="shared" si="17"/>
        <v>1464.85</v>
      </c>
      <c r="J891" s="135"/>
      <c r="K891" s="135"/>
    </row>
    <row r="892" spans="1:11" s="171" customFormat="1" ht="39" customHeight="1">
      <c r="A892" s="254">
        <v>54304</v>
      </c>
      <c r="B892" s="173" t="s">
        <v>961</v>
      </c>
      <c r="C892" s="139"/>
      <c r="D892" s="14" t="s">
        <v>11</v>
      </c>
      <c r="E892" s="14" t="s">
        <v>25</v>
      </c>
      <c r="F892" s="257" t="s">
        <v>1024</v>
      </c>
      <c r="G892" s="305">
        <f>'NOV-18 '!I890</f>
        <v>993</v>
      </c>
      <c r="H892" s="170"/>
      <c r="I892" s="17">
        <f t="shared" si="17"/>
        <v>993</v>
      </c>
      <c r="J892" s="135"/>
      <c r="K892" s="135"/>
    </row>
    <row r="893" spans="1:11" s="171" customFormat="1" ht="39" customHeight="1">
      <c r="A893" s="254">
        <v>54313</v>
      </c>
      <c r="B893" s="173" t="s">
        <v>962</v>
      </c>
      <c r="C893" s="139"/>
      <c r="D893" s="14" t="s">
        <v>11</v>
      </c>
      <c r="E893" s="14" t="s">
        <v>25</v>
      </c>
      <c r="F893" s="257" t="s">
        <v>1024</v>
      </c>
      <c r="G893" s="305">
        <f>'NOV-18 '!I891</f>
        <v>500</v>
      </c>
      <c r="H893" s="170"/>
      <c r="I893" s="17">
        <f t="shared" si="17"/>
        <v>500</v>
      </c>
      <c r="J893" s="135"/>
      <c r="K893" s="135"/>
    </row>
    <row r="894" spans="1:11" s="171" customFormat="1" ht="45" customHeight="1">
      <c r="A894" s="254">
        <v>54316</v>
      </c>
      <c r="B894" s="173" t="s">
        <v>1023</v>
      </c>
      <c r="C894" s="139"/>
      <c r="D894" s="14" t="s">
        <v>11</v>
      </c>
      <c r="E894" s="14" t="s">
        <v>25</v>
      </c>
      <c r="F894" s="257" t="s">
        <v>1024</v>
      </c>
      <c r="G894" s="305">
        <f>'NOV-18 '!I892</f>
        <v>50</v>
      </c>
      <c r="H894" s="170"/>
      <c r="I894" s="134">
        <f t="shared" si="17"/>
        <v>50</v>
      </c>
      <c r="J894" s="135"/>
      <c r="K894" s="135"/>
    </row>
    <row r="895" spans="1:11" s="171" customFormat="1" ht="40.5" customHeight="1">
      <c r="A895" s="254">
        <v>54399</v>
      </c>
      <c r="B895" s="173" t="s">
        <v>963</v>
      </c>
      <c r="C895" s="139"/>
      <c r="D895" s="14" t="s">
        <v>11</v>
      </c>
      <c r="E895" s="14" t="s">
        <v>25</v>
      </c>
      <c r="F895" s="257" t="s">
        <v>1024</v>
      </c>
      <c r="G895" s="305">
        <f>'NOV-18 '!I893</f>
        <v>495</v>
      </c>
      <c r="H895" s="170"/>
      <c r="I895" s="17">
        <f t="shared" si="17"/>
        <v>495</v>
      </c>
      <c r="J895" s="135"/>
      <c r="K895" s="135"/>
    </row>
    <row r="896" spans="1:11" s="171" customFormat="1" ht="57.75">
      <c r="A896" s="254">
        <v>55603</v>
      </c>
      <c r="B896" s="173" t="s">
        <v>971</v>
      </c>
      <c r="C896" s="139"/>
      <c r="D896" s="14" t="s">
        <v>11</v>
      </c>
      <c r="E896" s="14" t="s">
        <v>25</v>
      </c>
      <c r="F896" s="257" t="s">
        <v>1024</v>
      </c>
      <c r="G896" s="305">
        <f>'NOV-18 '!I894</f>
        <v>6.35</v>
      </c>
      <c r="H896" s="170"/>
      <c r="I896" s="134">
        <f t="shared" si="17"/>
        <v>6.35</v>
      </c>
      <c r="J896" s="135"/>
      <c r="K896" s="140"/>
    </row>
    <row r="897" spans="1:11" ht="21">
      <c r="A897" s="38" t="s">
        <v>8</v>
      </c>
      <c r="B897" s="39" t="s">
        <v>24</v>
      </c>
      <c r="C897" s="39"/>
      <c r="D897" s="39" t="s">
        <v>11</v>
      </c>
      <c r="E897" s="39" t="s">
        <v>25</v>
      </c>
      <c r="F897" s="257" t="s">
        <v>1024</v>
      </c>
      <c r="G897" s="305">
        <f>'NOV-18 '!I895</f>
        <v>17065.859999999993</v>
      </c>
      <c r="H897" s="95">
        <f>SUM(H858:H896)</f>
        <v>0</v>
      </c>
      <c r="I897" s="40">
        <f>G897-H897+J897-K897</f>
        <v>17065.859999999993</v>
      </c>
      <c r="J897" s="40">
        <f>SUM(J858:J896)</f>
        <v>0</v>
      </c>
      <c r="K897" s="40">
        <f>SUM(K858:K896)</f>
        <v>0</v>
      </c>
    </row>
    <row r="898" spans="1:11" ht="28.5">
      <c r="A898" s="169" t="s">
        <v>15</v>
      </c>
      <c r="B898" s="282" t="s">
        <v>990</v>
      </c>
      <c r="C898" s="139" t="s">
        <v>1070</v>
      </c>
      <c r="D898" s="14" t="s">
        <v>18</v>
      </c>
      <c r="E898" s="14" t="s">
        <v>28</v>
      </c>
      <c r="F898" s="287" t="s">
        <v>1073</v>
      </c>
      <c r="G898" s="305">
        <f>'SEPT-18'!I864</f>
        <v>0</v>
      </c>
      <c r="H898" s="170"/>
      <c r="I898" s="135">
        <f>G898-H898+J898-K898</f>
        <v>0</v>
      </c>
      <c r="J898" s="135"/>
      <c r="K898" s="140"/>
    </row>
    <row r="899" spans="1:11" ht="25.5">
      <c r="A899" s="38"/>
      <c r="B899" s="39" t="s">
        <v>989</v>
      </c>
      <c r="C899" s="39"/>
      <c r="D899" s="99" t="s">
        <v>18</v>
      </c>
      <c r="E899" s="99" t="s">
        <v>28</v>
      </c>
      <c r="F899" s="242" t="s">
        <v>996</v>
      </c>
      <c r="G899" s="305">
        <f>SUM(G898)</f>
        <v>0</v>
      </c>
      <c r="H899" s="95">
        <f>SUM(H898)</f>
        <v>0</v>
      </c>
      <c r="I899" s="40">
        <f>SUM(I898)</f>
        <v>0</v>
      </c>
      <c r="J899" s="40"/>
      <c r="K899" s="40"/>
    </row>
    <row r="900" spans="1:11" ht="28.5">
      <c r="A900" s="169" t="s">
        <v>16</v>
      </c>
      <c r="B900" s="282" t="s">
        <v>1068</v>
      </c>
      <c r="C900" s="139" t="s">
        <v>1070</v>
      </c>
      <c r="D900" s="14" t="s">
        <v>18</v>
      </c>
      <c r="E900" s="14" t="s">
        <v>28</v>
      </c>
      <c r="F900" s="139" t="s">
        <v>1074</v>
      </c>
      <c r="G900" s="305">
        <f>'SEPT-18'!I866</f>
        <v>0</v>
      </c>
      <c r="H900" s="170"/>
      <c r="I900" s="244">
        <f>G900-H900+J900-K900</f>
        <v>0</v>
      </c>
      <c r="J900" s="140"/>
      <c r="K900" s="135"/>
    </row>
    <row r="901" spans="1:11">
      <c r="A901" s="38"/>
      <c r="B901" s="39" t="s">
        <v>989</v>
      </c>
      <c r="C901" s="39"/>
      <c r="D901" s="99" t="s">
        <v>18</v>
      </c>
      <c r="E901" s="99" t="s">
        <v>28</v>
      </c>
      <c r="F901" s="139" t="s">
        <v>1069</v>
      </c>
      <c r="G901" s="305">
        <f>SUM(G900)</f>
        <v>0</v>
      </c>
      <c r="H901" s="95">
        <f>SUM(H900)</f>
        <v>0</v>
      </c>
      <c r="I901" s="40">
        <f>SUM(I898:I900)</f>
        <v>0</v>
      </c>
      <c r="J901" s="40">
        <f>SUM(J900)</f>
        <v>0</v>
      </c>
      <c r="K901" s="40">
        <f>SUM(K900)</f>
        <v>0</v>
      </c>
    </row>
    <row r="902" spans="1:11" ht="20.25" customHeight="1">
      <c r="A902" s="469" t="s">
        <v>124</v>
      </c>
      <c r="B902" s="469"/>
      <c r="C902" s="469"/>
      <c r="D902" s="48"/>
      <c r="E902" s="48"/>
      <c r="F902" s="48"/>
      <c r="G902" s="305">
        <f>'DIC-18'!I902</f>
        <v>780799.45000000019</v>
      </c>
      <c r="H902" s="51">
        <f>H901+H899+H897+H857+H854+H852+H468+H159+H151+H138+H126+H101+H74+H61</f>
        <v>0</v>
      </c>
      <c r="I902" s="49">
        <f>I901+I899+I897+I857+I854+I852+I468+I159+I151+I138+I126+I101+I74+I61</f>
        <v>780799.45000000019</v>
      </c>
      <c r="J902" s="231">
        <f>J901+J899+J897+J857+J854+J852+J468+J159+J151+J138+J126+J101+J74+J61</f>
        <v>0</v>
      </c>
      <c r="K902" s="231">
        <f>K897+K857+K852+K468+K159+K151+K138+K126+K101+K74+K61+K854+K901</f>
        <v>0</v>
      </c>
    </row>
    <row r="903" spans="1:11">
      <c r="G903" s="274"/>
      <c r="J903" s="130"/>
    </row>
    <row r="904" spans="1:11">
      <c r="I904" s="274"/>
      <c r="J904" s="262">
        <f>J902-K902</f>
        <v>0</v>
      </c>
    </row>
    <row r="905" spans="1:11">
      <c r="A905" s="232" t="s">
        <v>1031</v>
      </c>
    </row>
    <row r="906" spans="1:11">
      <c r="A906" s="273" t="s">
        <v>1050</v>
      </c>
      <c r="B906" s="273"/>
      <c r="C906" s="273"/>
      <c r="D906" s="273"/>
      <c r="E906" s="273"/>
      <c r="F906" s="273"/>
    </row>
    <row r="907" spans="1:11">
      <c r="H907" s="274"/>
    </row>
  </sheetData>
  <mergeCells count="3">
    <mergeCell ref="B1:K1"/>
    <mergeCell ref="A902:C902"/>
    <mergeCell ref="B2:K2"/>
  </mergeCells>
  <pageMargins left="0.23622047244094491" right="0.23622047244094491" top="0.74803149606299213" bottom="0.74803149606299213" header="0.31496062992125984" footer="0.31496062992125984"/>
  <pageSetup paperSize="5" scale="80" orientation="landscape"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A812"/>
  <sheetViews>
    <sheetView view="pageBreakPreview" topLeftCell="A202" zoomScale="82" zoomScaleNormal="120" zoomScaleSheetLayoutView="82" workbookViewId="0">
      <selection activeCell="H11" sqref="H11"/>
    </sheetView>
  </sheetViews>
  <sheetFormatPr baseColWidth="10" defaultRowHeight="15"/>
  <cols>
    <col min="1" max="1" width="11.42578125" customWidth="1"/>
    <col min="2" max="2" width="62" customWidth="1"/>
    <col min="3" max="3" width="16.28515625" customWidth="1"/>
    <col min="4" max="4" width="11.85546875" customWidth="1"/>
    <col min="6" max="6" width="13.42578125" customWidth="1"/>
    <col min="7" max="7" width="15.28515625" customWidth="1"/>
    <col min="8" max="8" width="13.5703125" customWidth="1"/>
    <col min="9" max="9" width="17" customWidth="1"/>
    <col min="11" max="11" width="14.5703125" customWidth="1"/>
  </cols>
  <sheetData>
    <row r="1" spans="1:11" ht="36.75">
      <c r="A1" s="15"/>
      <c r="B1" s="467" t="s">
        <v>33</v>
      </c>
      <c r="C1" s="467"/>
      <c r="D1" s="467"/>
      <c r="E1" s="467"/>
      <c r="F1" s="467"/>
      <c r="G1" s="467"/>
      <c r="H1" s="467"/>
      <c r="I1" s="467"/>
      <c r="J1" s="467"/>
      <c r="K1" s="467"/>
    </row>
    <row r="2" spans="1:11" ht="36.75">
      <c r="A2" s="16"/>
      <c r="B2" s="468" t="s">
        <v>1000</v>
      </c>
      <c r="C2" s="468"/>
      <c r="D2" s="468"/>
      <c r="E2" s="468"/>
      <c r="F2" s="468"/>
      <c r="G2" s="468"/>
      <c r="H2" s="468"/>
      <c r="I2" s="468"/>
      <c r="J2" s="468"/>
      <c r="K2" s="200"/>
    </row>
    <row r="3" spans="1:11" ht="42" customHeight="1">
      <c r="A3" s="41" t="s">
        <v>8</v>
      </c>
      <c r="B3" s="41" t="s">
        <v>34</v>
      </c>
      <c r="C3" s="41" t="s">
        <v>35</v>
      </c>
      <c r="D3" s="41" t="s">
        <v>36</v>
      </c>
      <c r="E3" s="41" t="s">
        <v>37</v>
      </c>
      <c r="F3" s="41" t="s">
        <v>38</v>
      </c>
      <c r="G3" s="42" t="s">
        <v>39</v>
      </c>
      <c r="H3" s="42" t="s">
        <v>979</v>
      </c>
      <c r="I3" s="42" t="s">
        <v>980</v>
      </c>
      <c r="J3" s="42" t="s">
        <v>40</v>
      </c>
      <c r="K3" s="303" t="s">
        <v>41</v>
      </c>
    </row>
    <row r="4" spans="1:11">
      <c r="A4" s="4">
        <v>51103</v>
      </c>
      <c r="B4" s="7" t="s">
        <v>164</v>
      </c>
      <c r="C4" s="2"/>
      <c r="D4" s="3" t="s">
        <v>42</v>
      </c>
      <c r="E4" s="3" t="s">
        <v>29</v>
      </c>
      <c r="F4" s="3" t="s">
        <v>43</v>
      </c>
      <c r="G4" s="17">
        <f>'Enero-18'!I4</f>
        <v>100</v>
      </c>
      <c r="H4" s="51"/>
      <c r="I4" s="17">
        <f>G4-H4+J4-K4</f>
        <v>100</v>
      </c>
      <c r="J4" s="18"/>
      <c r="K4" s="18"/>
    </row>
    <row r="5" spans="1:11">
      <c r="A5" s="4">
        <v>51105</v>
      </c>
      <c r="B5" s="7" t="s">
        <v>125</v>
      </c>
      <c r="C5" s="2"/>
      <c r="D5" s="3" t="s">
        <v>42</v>
      </c>
      <c r="E5" s="3" t="s">
        <v>29</v>
      </c>
      <c r="F5" s="3" t="s">
        <v>43</v>
      </c>
      <c r="G5" s="17">
        <f>'Enero-18'!I5</f>
        <v>25000</v>
      </c>
      <c r="H5" s="51"/>
      <c r="I5" s="17">
        <f>G5-H5+J5-K5</f>
        <v>25000</v>
      </c>
      <c r="J5" s="18"/>
      <c r="K5" s="18"/>
    </row>
    <row r="6" spans="1:11">
      <c r="A6" s="4">
        <v>51107</v>
      </c>
      <c r="B6" s="7" t="s">
        <v>167</v>
      </c>
      <c r="C6" s="2"/>
      <c r="D6" s="3" t="s">
        <v>42</v>
      </c>
      <c r="E6" s="3" t="s">
        <v>29</v>
      </c>
      <c r="F6" s="3" t="s">
        <v>43</v>
      </c>
      <c r="G6" s="17">
        <f>'Enero-18'!I6</f>
        <v>1500</v>
      </c>
      <c r="H6" s="51"/>
      <c r="I6" s="17">
        <f t="shared" ref="I6:I70" si="0">G6-H6+J6-K6</f>
        <v>1500</v>
      </c>
      <c r="J6" s="18"/>
      <c r="K6" s="18"/>
    </row>
    <row r="7" spans="1:11">
      <c r="A7" s="4">
        <v>51201</v>
      </c>
      <c r="B7" s="7" t="s">
        <v>44</v>
      </c>
      <c r="C7" s="2"/>
      <c r="D7" s="3" t="s">
        <v>42</v>
      </c>
      <c r="E7" s="3" t="s">
        <v>29</v>
      </c>
      <c r="F7" s="3" t="s">
        <v>43</v>
      </c>
      <c r="G7" s="17">
        <f>'Enero-18'!I7</f>
        <v>2000</v>
      </c>
      <c r="H7" s="51"/>
      <c r="I7" s="17">
        <f t="shared" si="0"/>
        <v>2000</v>
      </c>
      <c r="J7" s="19"/>
      <c r="K7" s="18"/>
    </row>
    <row r="8" spans="1:11" ht="30.75" customHeight="1">
      <c r="A8" s="4">
        <v>51401</v>
      </c>
      <c r="B8" s="5" t="s">
        <v>128</v>
      </c>
      <c r="C8" s="2"/>
      <c r="D8" s="3" t="s">
        <v>42</v>
      </c>
      <c r="E8" s="3" t="s">
        <v>29</v>
      </c>
      <c r="F8" s="3" t="s">
        <v>43</v>
      </c>
      <c r="G8" s="17">
        <f>'Enero-18'!I8</f>
        <v>2244.1799999999998</v>
      </c>
      <c r="H8" s="51"/>
      <c r="I8" s="17">
        <f t="shared" si="0"/>
        <v>2244.1799999999998</v>
      </c>
      <c r="J8" s="20"/>
      <c r="K8" s="18"/>
    </row>
    <row r="9" spans="1:11" ht="42" customHeight="1">
      <c r="A9" s="4">
        <v>51501</v>
      </c>
      <c r="B9" s="5" t="s">
        <v>168</v>
      </c>
      <c r="C9" s="47"/>
      <c r="D9" s="3" t="s">
        <v>42</v>
      </c>
      <c r="E9" s="3" t="s">
        <v>29</v>
      </c>
      <c r="F9" s="3" t="s">
        <v>43</v>
      </c>
      <c r="G9" s="17">
        <f>'Enero-18'!I9</f>
        <v>2829.78</v>
      </c>
      <c r="H9" s="51"/>
      <c r="I9" s="17">
        <f t="shared" si="0"/>
        <v>2829.78</v>
      </c>
      <c r="J9" s="21"/>
      <c r="K9" s="18"/>
    </row>
    <row r="10" spans="1:11" ht="25.5">
      <c r="A10" s="4">
        <v>51701</v>
      </c>
      <c r="B10" s="7" t="s">
        <v>126</v>
      </c>
      <c r="C10" s="2"/>
      <c r="D10" s="3" t="s">
        <v>42</v>
      </c>
      <c r="E10" s="3" t="s">
        <v>29</v>
      </c>
      <c r="F10" s="3" t="s">
        <v>43</v>
      </c>
      <c r="G10" s="17">
        <f>'Enero-18'!I10</f>
        <v>30001</v>
      </c>
      <c r="H10" s="51"/>
      <c r="I10" s="17">
        <f t="shared" si="0"/>
        <v>30001</v>
      </c>
      <c r="J10" s="22"/>
      <c r="K10" s="18"/>
    </row>
    <row r="11" spans="1:11" ht="25.5">
      <c r="A11" s="4">
        <v>51601</v>
      </c>
      <c r="B11" s="7" t="s">
        <v>129</v>
      </c>
      <c r="C11" s="2"/>
      <c r="D11" s="3" t="s">
        <v>42</v>
      </c>
      <c r="E11" s="3" t="s">
        <v>29</v>
      </c>
      <c r="F11" s="3" t="s">
        <v>43</v>
      </c>
      <c r="G11" s="17">
        <f>'Enero-18'!I11</f>
        <v>9000</v>
      </c>
      <c r="H11" s="51">
        <f>1500</f>
        <v>1500</v>
      </c>
      <c r="I11" s="17">
        <f t="shared" si="0"/>
        <v>7500</v>
      </c>
      <c r="J11" s="21"/>
      <c r="K11" s="18"/>
    </row>
    <row r="12" spans="1:11">
      <c r="A12" s="4">
        <v>51602</v>
      </c>
      <c r="B12" s="2" t="s">
        <v>46</v>
      </c>
      <c r="C12" s="2"/>
      <c r="D12" s="3" t="s">
        <v>42</v>
      </c>
      <c r="E12" s="3" t="s">
        <v>29</v>
      </c>
      <c r="F12" s="3" t="s">
        <v>43</v>
      </c>
      <c r="G12" s="17">
        <f>'Enero-18'!I12</f>
        <v>1</v>
      </c>
      <c r="H12" s="51"/>
      <c r="I12" s="17">
        <f t="shared" si="0"/>
        <v>1</v>
      </c>
      <c r="J12" s="20"/>
      <c r="K12" s="18"/>
    </row>
    <row r="13" spans="1:11">
      <c r="A13" s="4">
        <v>51999</v>
      </c>
      <c r="B13" s="2" t="s">
        <v>47</v>
      </c>
      <c r="C13" s="2"/>
      <c r="D13" s="3" t="s">
        <v>42</v>
      </c>
      <c r="E13" s="3" t="s">
        <v>29</v>
      </c>
      <c r="F13" s="3" t="s">
        <v>43</v>
      </c>
      <c r="G13" s="17">
        <f>'Enero-18'!I13</f>
        <v>3487.5</v>
      </c>
      <c r="H13" s="51">
        <f>50+45+50+40+50+350+500+50+50+50+65+40+25+25+25</f>
        <v>1415</v>
      </c>
      <c r="I13" s="17">
        <f t="shared" si="0"/>
        <v>2072.5</v>
      </c>
      <c r="J13" s="21"/>
      <c r="K13" s="18"/>
    </row>
    <row r="14" spans="1:11" ht="45" customHeight="1">
      <c r="A14" s="4">
        <v>54101</v>
      </c>
      <c r="B14" s="5" t="s">
        <v>48</v>
      </c>
      <c r="C14" s="2"/>
      <c r="D14" s="3" t="s">
        <v>42</v>
      </c>
      <c r="E14" s="3" t="s">
        <v>29</v>
      </c>
      <c r="F14" s="3" t="s">
        <v>43</v>
      </c>
      <c r="G14" s="17">
        <f>'Enero-18'!I14</f>
        <v>33870.81</v>
      </c>
      <c r="H14" s="51">
        <f>135+48.9+145.81+83.32</f>
        <v>413.03000000000003</v>
      </c>
      <c r="I14" s="17">
        <f t="shared" si="0"/>
        <v>33457.78</v>
      </c>
      <c r="J14" s="23"/>
      <c r="K14" s="18"/>
    </row>
    <row r="15" spans="1:11" ht="26.25">
      <c r="A15" s="4">
        <v>54104</v>
      </c>
      <c r="B15" s="5" t="s">
        <v>130</v>
      </c>
      <c r="C15" s="2"/>
      <c r="D15" s="3" t="s">
        <v>42</v>
      </c>
      <c r="E15" s="3" t="s">
        <v>29</v>
      </c>
      <c r="F15" s="3" t="s">
        <v>43</v>
      </c>
      <c r="G15" s="17">
        <f>'Enero-18'!I15</f>
        <v>2000</v>
      </c>
      <c r="H15" s="51"/>
      <c r="I15" s="17">
        <f t="shared" si="0"/>
        <v>2000</v>
      </c>
      <c r="J15" s="21"/>
      <c r="K15" s="18"/>
    </row>
    <row r="16" spans="1:11">
      <c r="A16" s="4">
        <v>54105</v>
      </c>
      <c r="B16" s="2" t="s">
        <v>49</v>
      </c>
      <c r="C16" s="2"/>
      <c r="D16" s="3" t="s">
        <v>42</v>
      </c>
      <c r="E16" s="3" t="s">
        <v>29</v>
      </c>
      <c r="F16" s="3" t="s">
        <v>43</v>
      </c>
      <c r="G16" s="17">
        <f>'Enero-18'!I16</f>
        <v>2000</v>
      </c>
      <c r="H16" s="51"/>
      <c r="I16" s="17">
        <f t="shared" si="0"/>
        <v>2000</v>
      </c>
      <c r="J16" s="20"/>
      <c r="K16" s="18"/>
    </row>
    <row r="17" spans="1:11">
      <c r="A17" s="4">
        <v>54107</v>
      </c>
      <c r="B17" s="2" t="s">
        <v>50</v>
      </c>
      <c r="C17" s="2"/>
      <c r="D17" s="3" t="s">
        <v>42</v>
      </c>
      <c r="E17" s="3" t="s">
        <v>29</v>
      </c>
      <c r="F17" s="3" t="s">
        <v>43</v>
      </c>
      <c r="G17" s="17">
        <f>'Enero-18'!I17</f>
        <v>2000</v>
      </c>
      <c r="H17" s="51"/>
      <c r="I17" s="17">
        <f t="shared" si="0"/>
        <v>2000</v>
      </c>
      <c r="J17" s="22"/>
      <c r="K17" s="18"/>
    </row>
    <row r="18" spans="1:11">
      <c r="A18" s="4">
        <v>54108</v>
      </c>
      <c r="B18" s="2" t="s">
        <v>51</v>
      </c>
      <c r="C18" s="2"/>
      <c r="D18" s="3" t="s">
        <v>42</v>
      </c>
      <c r="E18" s="3" t="s">
        <v>29</v>
      </c>
      <c r="F18" s="3" t="s">
        <v>43</v>
      </c>
      <c r="G18" s="17">
        <f>'Enero-18'!I18</f>
        <v>100</v>
      </c>
      <c r="H18" s="51"/>
      <c r="I18" s="17">
        <f t="shared" si="0"/>
        <v>100</v>
      </c>
      <c r="J18" s="20"/>
      <c r="K18" s="18"/>
    </row>
    <row r="19" spans="1:11">
      <c r="A19" s="4">
        <v>54109</v>
      </c>
      <c r="B19" s="2" t="s">
        <v>131</v>
      </c>
      <c r="C19" s="2"/>
      <c r="D19" s="3" t="s">
        <v>42</v>
      </c>
      <c r="E19" s="3" t="s">
        <v>29</v>
      </c>
      <c r="F19" s="3" t="s">
        <v>43</v>
      </c>
      <c r="G19" s="17">
        <f>'Enero-18'!I19</f>
        <v>500</v>
      </c>
      <c r="H19" s="51"/>
      <c r="I19" s="17">
        <f t="shared" si="0"/>
        <v>500</v>
      </c>
      <c r="J19" s="20"/>
      <c r="K19" s="18"/>
    </row>
    <row r="20" spans="1:11">
      <c r="A20" s="4">
        <v>54110</v>
      </c>
      <c r="B20" s="2" t="s">
        <v>132</v>
      </c>
      <c r="C20" s="2"/>
      <c r="D20" s="3" t="s">
        <v>42</v>
      </c>
      <c r="E20" s="3" t="s">
        <v>29</v>
      </c>
      <c r="F20" s="3" t="s">
        <v>43</v>
      </c>
      <c r="G20" s="17">
        <f>'Enero-18'!I20</f>
        <v>12000</v>
      </c>
      <c r="H20" s="51"/>
      <c r="I20" s="17">
        <f t="shared" si="0"/>
        <v>12000</v>
      </c>
      <c r="J20" s="24"/>
      <c r="K20" s="18"/>
    </row>
    <row r="21" spans="1:11" ht="30.75" customHeight="1">
      <c r="A21" s="4">
        <v>54111</v>
      </c>
      <c r="B21" s="5" t="s">
        <v>54</v>
      </c>
      <c r="C21" s="2"/>
      <c r="D21" s="3" t="s">
        <v>42</v>
      </c>
      <c r="E21" s="3" t="s">
        <v>29</v>
      </c>
      <c r="F21" s="3" t="s">
        <v>43</v>
      </c>
      <c r="G21" s="17">
        <f>'Enero-18'!I21</f>
        <v>958.75</v>
      </c>
      <c r="H21" s="51"/>
      <c r="I21" s="17">
        <f t="shared" si="0"/>
        <v>958.75</v>
      </c>
      <c r="J21" s="23"/>
      <c r="K21" s="18"/>
    </row>
    <row r="22" spans="1:11" ht="42.75" customHeight="1">
      <c r="A22" s="4">
        <v>54112</v>
      </c>
      <c r="B22" s="5" t="s">
        <v>55</v>
      </c>
      <c r="C22" s="2"/>
      <c r="D22" s="3" t="s">
        <v>42</v>
      </c>
      <c r="E22" s="3" t="s">
        <v>29</v>
      </c>
      <c r="F22" s="3" t="s">
        <v>43</v>
      </c>
      <c r="G22" s="17">
        <f>'Enero-18'!I22</f>
        <v>1000</v>
      </c>
      <c r="H22" s="51"/>
      <c r="I22" s="17">
        <f t="shared" si="0"/>
        <v>1000</v>
      </c>
      <c r="J22" s="21"/>
      <c r="K22" s="18"/>
    </row>
    <row r="23" spans="1:11">
      <c r="A23" s="4">
        <v>54114</v>
      </c>
      <c r="B23" s="2" t="s">
        <v>56</v>
      </c>
      <c r="C23" s="2"/>
      <c r="D23" s="3" t="s">
        <v>42</v>
      </c>
      <c r="E23" s="3" t="s">
        <v>29</v>
      </c>
      <c r="F23" s="3" t="s">
        <v>43</v>
      </c>
      <c r="G23" s="17">
        <f>'Enero-18'!I23</f>
        <v>1000</v>
      </c>
      <c r="H23" s="51"/>
      <c r="I23" s="17">
        <f t="shared" si="0"/>
        <v>1000</v>
      </c>
      <c r="J23" s="20"/>
      <c r="K23" s="18"/>
    </row>
    <row r="24" spans="1:11">
      <c r="A24" s="4">
        <v>54115</v>
      </c>
      <c r="B24" s="2" t="s">
        <v>57</v>
      </c>
      <c r="C24" s="2"/>
      <c r="D24" s="3" t="s">
        <v>42</v>
      </c>
      <c r="E24" s="3" t="s">
        <v>29</v>
      </c>
      <c r="F24" s="3" t="s">
        <v>43</v>
      </c>
      <c r="G24" s="17">
        <f>'Enero-18'!I24</f>
        <v>1000</v>
      </c>
      <c r="H24" s="51"/>
      <c r="I24" s="17">
        <f t="shared" si="0"/>
        <v>1000</v>
      </c>
      <c r="J24" s="20"/>
      <c r="K24" s="18"/>
    </row>
    <row r="25" spans="1:11" ht="30">
      <c r="A25" s="4">
        <v>54116</v>
      </c>
      <c r="B25" s="5" t="s">
        <v>58</v>
      </c>
      <c r="C25" s="2"/>
      <c r="D25" s="3" t="s">
        <v>42</v>
      </c>
      <c r="E25" s="3" t="s">
        <v>29</v>
      </c>
      <c r="F25" s="3" t="s">
        <v>43</v>
      </c>
      <c r="G25" s="17">
        <f>'Enero-18'!I25</f>
        <v>500</v>
      </c>
      <c r="H25" s="51"/>
      <c r="I25" s="17">
        <f t="shared" si="0"/>
        <v>500</v>
      </c>
      <c r="J25" s="20"/>
      <c r="K25" s="18"/>
    </row>
    <row r="26" spans="1:11">
      <c r="A26" s="4">
        <v>54117</v>
      </c>
      <c r="B26" s="25" t="s">
        <v>12</v>
      </c>
      <c r="C26" s="25"/>
      <c r="D26" s="3" t="s">
        <v>42</v>
      </c>
      <c r="E26" s="3" t="s">
        <v>29</v>
      </c>
      <c r="F26" s="3" t="s">
        <v>43</v>
      </c>
      <c r="G26" s="17">
        <f>'Enero-18'!I26</f>
        <v>2000</v>
      </c>
      <c r="H26" s="51"/>
      <c r="I26" s="17">
        <f t="shared" si="0"/>
        <v>2000</v>
      </c>
      <c r="J26" s="20"/>
      <c r="K26" s="18"/>
    </row>
    <row r="27" spans="1:11">
      <c r="A27" s="4">
        <v>54118</v>
      </c>
      <c r="B27" s="2" t="s">
        <v>59</v>
      </c>
      <c r="C27" s="2"/>
      <c r="D27" s="3" t="s">
        <v>42</v>
      </c>
      <c r="E27" s="3" t="s">
        <v>29</v>
      </c>
      <c r="F27" s="3" t="s">
        <v>43</v>
      </c>
      <c r="G27" s="17">
        <f>'Enero-18'!I27</f>
        <v>1000</v>
      </c>
      <c r="H27" s="51"/>
      <c r="I27" s="17">
        <f t="shared" si="0"/>
        <v>1000</v>
      </c>
      <c r="J27" s="23"/>
      <c r="K27" s="18"/>
    </row>
    <row r="28" spans="1:11">
      <c r="A28" s="4">
        <v>54119</v>
      </c>
      <c r="B28" s="2" t="s">
        <v>60</v>
      </c>
      <c r="C28" s="2"/>
      <c r="D28" s="3" t="s">
        <v>42</v>
      </c>
      <c r="E28" s="3" t="s">
        <v>29</v>
      </c>
      <c r="F28" s="3" t="s">
        <v>43</v>
      </c>
      <c r="G28" s="17">
        <f>'Enero-18'!I28</f>
        <v>1000</v>
      </c>
      <c r="H28" s="51"/>
      <c r="I28" s="17">
        <f t="shared" si="0"/>
        <v>1000</v>
      </c>
      <c r="J28" s="21"/>
      <c r="K28" s="18"/>
    </row>
    <row r="29" spans="1:11">
      <c r="A29" s="4">
        <v>54199</v>
      </c>
      <c r="B29" s="2" t="s">
        <v>61</v>
      </c>
      <c r="C29" s="2"/>
      <c r="D29" s="3" t="s">
        <v>42</v>
      </c>
      <c r="E29" s="3" t="s">
        <v>29</v>
      </c>
      <c r="F29" s="3" t="s">
        <v>43</v>
      </c>
      <c r="G29" s="17">
        <f>'Enero-18'!I29</f>
        <v>1500</v>
      </c>
      <c r="H29" s="51"/>
      <c r="I29" s="17">
        <f t="shared" si="0"/>
        <v>1500</v>
      </c>
      <c r="J29" s="21"/>
      <c r="K29" s="18"/>
    </row>
    <row r="30" spans="1:11">
      <c r="A30" s="4">
        <v>54201</v>
      </c>
      <c r="B30" s="2" t="s">
        <v>62</v>
      </c>
      <c r="C30" s="2"/>
      <c r="D30" s="3" t="s">
        <v>42</v>
      </c>
      <c r="E30" s="3" t="s">
        <v>29</v>
      </c>
      <c r="F30" s="3" t="s">
        <v>43</v>
      </c>
      <c r="G30" s="17">
        <f>'Enero-18'!I30</f>
        <v>30000</v>
      </c>
      <c r="H30" s="51"/>
      <c r="I30" s="17">
        <f t="shared" si="0"/>
        <v>30000</v>
      </c>
      <c r="J30" s="20"/>
      <c r="K30" s="18"/>
    </row>
    <row r="31" spans="1:11">
      <c r="A31" s="4">
        <v>54202</v>
      </c>
      <c r="B31" s="2" t="s">
        <v>63</v>
      </c>
      <c r="C31" s="2"/>
      <c r="D31" s="3" t="s">
        <v>42</v>
      </c>
      <c r="E31" s="3" t="s">
        <v>29</v>
      </c>
      <c r="F31" s="3" t="s">
        <v>43</v>
      </c>
      <c r="G31" s="17">
        <f>'Enero-18'!I31</f>
        <v>3000</v>
      </c>
      <c r="H31" s="51"/>
      <c r="I31" s="17">
        <f t="shared" si="0"/>
        <v>3000</v>
      </c>
      <c r="J31" s="20"/>
      <c r="K31" s="18"/>
    </row>
    <row r="32" spans="1:11" ht="26.25">
      <c r="A32" s="4">
        <v>54203</v>
      </c>
      <c r="B32" s="5" t="s">
        <v>133</v>
      </c>
      <c r="C32" s="2"/>
      <c r="D32" s="3" t="s">
        <v>42</v>
      </c>
      <c r="E32" s="3" t="s">
        <v>29</v>
      </c>
      <c r="F32" s="3" t="s">
        <v>43</v>
      </c>
      <c r="G32" s="17">
        <f>'Enero-18'!I32</f>
        <v>20000</v>
      </c>
      <c r="H32" s="51">
        <f>910.35</f>
        <v>910.35</v>
      </c>
      <c r="I32" s="17">
        <f t="shared" si="0"/>
        <v>19089.650000000001</v>
      </c>
      <c r="J32" s="20"/>
      <c r="K32" s="21"/>
    </row>
    <row r="33" spans="1:11">
      <c r="A33" s="4">
        <v>54204</v>
      </c>
      <c r="B33" s="2" t="s">
        <v>65</v>
      </c>
      <c r="C33" s="2"/>
      <c r="D33" s="3" t="s">
        <v>42</v>
      </c>
      <c r="E33" s="3" t="s">
        <v>29</v>
      </c>
      <c r="F33" s="3" t="s">
        <v>43</v>
      </c>
      <c r="G33" s="17">
        <f>'Enero-18'!I33</f>
        <v>100</v>
      </c>
      <c r="H33" s="51"/>
      <c r="I33" s="17">
        <f t="shared" si="0"/>
        <v>100</v>
      </c>
      <c r="J33" s="20"/>
      <c r="K33" s="18"/>
    </row>
    <row r="34" spans="1:11">
      <c r="A34" s="4">
        <v>54301</v>
      </c>
      <c r="B34" s="2" t="s">
        <v>66</v>
      </c>
      <c r="C34" s="2"/>
      <c r="D34" s="3" t="s">
        <v>42</v>
      </c>
      <c r="E34" s="3" t="s">
        <v>29</v>
      </c>
      <c r="F34" s="3" t="s">
        <v>43</v>
      </c>
      <c r="G34" s="17">
        <f>'Enero-18'!I34</f>
        <v>407</v>
      </c>
      <c r="H34" s="51"/>
      <c r="I34" s="17">
        <f t="shared" si="0"/>
        <v>407</v>
      </c>
      <c r="J34" s="21"/>
      <c r="K34" s="18"/>
    </row>
    <row r="35" spans="1:11">
      <c r="A35" s="4">
        <v>54302</v>
      </c>
      <c r="B35" s="2" t="s">
        <v>67</v>
      </c>
      <c r="C35" s="2"/>
      <c r="D35" s="3" t="s">
        <v>42</v>
      </c>
      <c r="E35" s="3" t="s">
        <v>29</v>
      </c>
      <c r="F35" s="3" t="s">
        <v>43</v>
      </c>
      <c r="G35" s="17">
        <f>'Enero-18'!I35</f>
        <v>500</v>
      </c>
      <c r="H35" s="51"/>
      <c r="I35" s="17">
        <f t="shared" si="0"/>
        <v>500</v>
      </c>
      <c r="J35" s="20"/>
      <c r="K35" s="18"/>
    </row>
    <row r="36" spans="1:11">
      <c r="A36" s="4">
        <v>54303</v>
      </c>
      <c r="B36" s="2" t="s">
        <v>68</v>
      </c>
      <c r="C36" s="2"/>
      <c r="D36" s="3" t="s">
        <v>42</v>
      </c>
      <c r="E36" s="3" t="s">
        <v>29</v>
      </c>
      <c r="F36" s="3" t="s">
        <v>43</v>
      </c>
      <c r="G36" s="17">
        <f>'Enero-18'!I36</f>
        <v>2000</v>
      </c>
      <c r="H36" s="51"/>
      <c r="I36" s="17">
        <f t="shared" si="0"/>
        <v>2000</v>
      </c>
      <c r="J36" s="20"/>
      <c r="K36" s="18"/>
    </row>
    <row r="37" spans="1:11">
      <c r="A37" s="4">
        <v>54304</v>
      </c>
      <c r="B37" s="2" t="s">
        <v>69</v>
      </c>
      <c r="C37" s="2"/>
      <c r="D37" s="3" t="s">
        <v>42</v>
      </c>
      <c r="E37" s="3" t="s">
        <v>29</v>
      </c>
      <c r="F37" s="3" t="s">
        <v>43</v>
      </c>
      <c r="G37" s="17">
        <f>'Enero-18'!I37</f>
        <v>2865</v>
      </c>
      <c r="H37" s="51">
        <f>300+90+100</f>
        <v>490</v>
      </c>
      <c r="I37" s="17">
        <f t="shared" si="0"/>
        <v>2375</v>
      </c>
      <c r="J37" s="18"/>
      <c r="K37" s="21"/>
    </row>
    <row r="38" spans="1:11">
      <c r="A38" s="4">
        <v>54305</v>
      </c>
      <c r="B38" s="2" t="s">
        <v>70</v>
      </c>
      <c r="C38" s="2"/>
      <c r="D38" s="3" t="s">
        <v>42</v>
      </c>
      <c r="E38" s="3" t="s">
        <v>29</v>
      </c>
      <c r="F38" s="3" t="s">
        <v>43</v>
      </c>
      <c r="G38" s="17">
        <f>'Enero-18'!I38</f>
        <v>2000</v>
      </c>
      <c r="H38" s="51"/>
      <c r="I38" s="17">
        <f t="shared" si="0"/>
        <v>2000</v>
      </c>
      <c r="J38" s="21"/>
      <c r="K38" s="18"/>
    </row>
    <row r="39" spans="1:11">
      <c r="A39" s="4">
        <v>54313</v>
      </c>
      <c r="B39" s="2" t="s">
        <v>71</v>
      </c>
      <c r="C39" s="2"/>
      <c r="D39" s="3" t="s">
        <v>42</v>
      </c>
      <c r="E39" s="3" t="s">
        <v>29</v>
      </c>
      <c r="F39" s="3" t="s">
        <v>43</v>
      </c>
      <c r="G39" s="17">
        <f>'Enero-18'!I39</f>
        <v>1929.6</v>
      </c>
      <c r="H39" s="51">
        <f>113.05</f>
        <v>113.05</v>
      </c>
      <c r="I39" s="17">
        <f t="shared" si="0"/>
        <v>1816.55</v>
      </c>
      <c r="J39" s="18"/>
      <c r="K39" s="21"/>
    </row>
    <row r="40" spans="1:11">
      <c r="A40" s="4">
        <v>54316</v>
      </c>
      <c r="B40" s="2" t="s">
        <v>72</v>
      </c>
      <c r="C40" s="2"/>
      <c r="D40" s="3" t="s">
        <v>42</v>
      </c>
      <c r="E40" s="3" t="s">
        <v>29</v>
      </c>
      <c r="F40" s="3" t="s">
        <v>43</v>
      </c>
      <c r="G40" s="17">
        <f>'Enero-18'!I40</f>
        <v>2000</v>
      </c>
      <c r="H40" s="51"/>
      <c r="I40" s="17">
        <f t="shared" si="0"/>
        <v>2000</v>
      </c>
      <c r="J40" s="20"/>
      <c r="K40" s="18"/>
    </row>
    <row r="41" spans="1:11">
      <c r="A41" s="4">
        <v>54317</v>
      </c>
      <c r="B41" s="2" t="s">
        <v>73</v>
      </c>
      <c r="C41" s="2"/>
      <c r="D41" s="3" t="s">
        <v>42</v>
      </c>
      <c r="E41" s="3" t="s">
        <v>29</v>
      </c>
      <c r="F41" s="3" t="s">
        <v>43</v>
      </c>
      <c r="G41" s="17">
        <f>'Enero-18'!I41</f>
        <v>5470</v>
      </c>
      <c r="H41" s="51"/>
      <c r="I41" s="17">
        <f t="shared" si="0"/>
        <v>5470</v>
      </c>
      <c r="J41" s="20"/>
      <c r="K41" s="18"/>
    </row>
    <row r="42" spans="1:11">
      <c r="A42" s="4">
        <v>54399</v>
      </c>
      <c r="B42" s="2" t="s">
        <v>74</v>
      </c>
      <c r="C42" s="2"/>
      <c r="D42" s="3" t="s">
        <v>42</v>
      </c>
      <c r="E42" s="3" t="s">
        <v>29</v>
      </c>
      <c r="F42" s="3" t="s">
        <v>43</v>
      </c>
      <c r="G42" s="17">
        <f>'Enero-18'!I42</f>
        <v>385.5</v>
      </c>
      <c r="H42" s="51">
        <f>222.22</f>
        <v>222.22</v>
      </c>
      <c r="I42" s="17">
        <f t="shared" si="0"/>
        <v>163.28</v>
      </c>
      <c r="J42" s="18"/>
      <c r="K42" s="21"/>
    </row>
    <row r="43" spans="1:11">
      <c r="A43" s="4">
        <v>54401</v>
      </c>
      <c r="B43" s="2" t="s">
        <v>75</v>
      </c>
      <c r="C43" s="2"/>
      <c r="D43" s="3" t="s">
        <v>42</v>
      </c>
      <c r="E43" s="3" t="s">
        <v>29</v>
      </c>
      <c r="F43" s="3" t="s">
        <v>43</v>
      </c>
      <c r="G43" s="17">
        <f>'Enero-18'!I43</f>
        <v>200</v>
      </c>
      <c r="H43" s="51"/>
      <c r="I43" s="17">
        <f t="shared" si="0"/>
        <v>200</v>
      </c>
      <c r="J43" s="20"/>
      <c r="K43" s="18"/>
    </row>
    <row r="44" spans="1:11">
      <c r="A44" s="4">
        <v>54403</v>
      </c>
      <c r="B44" s="2" t="s">
        <v>76</v>
      </c>
      <c r="C44" s="2"/>
      <c r="D44" s="3" t="s">
        <v>42</v>
      </c>
      <c r="E44" s="3" t="s">
        <v>29</v>
      </c>
      <c r="F44" s="3" t="s">
        <v>43</v>
      </c>
      <c r="G44" s="17">
        <f>'Enero-18'!I44</f>
        <v>300</v>
      </c>
      <c r="H44" s="51"/>
      <c r="I44" s="17">
        <f t="shared" si="0"/>
        <v>300</v>
      </c>
      <c r="J44" s="20"/>
      <c r="K44" s="18"/>
    </row>
    <row r="45" spans="1:11">
      <c r="A45" s="4">
        <v>54501</v>
      </c>
      <c r="B45" s="2" t="s">
        <v>77</v>
      </c>
      <c r="C45" s="2"/>
      <c r="D45" s="3" t="s">
        <v>42</v>
      </c>
      <c r="E45" s="3" t="s">
        <v>29</v>
      </c>
      <c r="F45" s="3" t="s">
        <v>43</v>
      </c>
      <c r="G45" s="17">
        <f>'Enero-18'!I45</f>
        <v>10000</v>
      </c>
      <c r="H45" s="51">
        <f>500+500</f>
        <v>1000</v>
      </c>
      <c r="I45" s="17">
        <f t="shared" si="0"/>
        <v>9000</v>
      </c>
      <c r="J45" s="18"/>
      <c r="K45" s="22"/>
    </row>
    <row r="46" spans="1:11">
      <c r="A46" s="4">
        <v>54503</v>
      </c>
      <c r="B46" s="2" t="s">
        <v>78</v>
      </c>
      <c r="C46" s="2"/>
      <c r="D46" s="3" t="s">
        <v>42</v>
      </c>
      <c r="E46" s="3" t="s">
        <v>29</v>
      </c>
      <c r="F46" s="3" t="s">
        <v>43</v>
      </c>
      <c r="G46" s="17">
        <f>'Enero-18'!I46</f>
        <v>2000</v>
      </c>
      <c r="H46" s="51"/>
      <c r="I46" s="17">
        <f t="shared" si="0"/>
        <v>2000</v>
      </c>
      <c r="J46" s="18"/>
      <c r="K46" s="18"/>
    </row>
    <row r="47" spans="1:11">
      <c r="A47" s="4">
        <v>54504</v>
      </c>
      <c r="B47" s="2" t="s">
        <v>79</v>
      </c>
      <c r="C47" s="2"/>
      <c r="D47" s="3" t="s">
        <v>80</v>
      </c>
      <c r="E47" s="3" t="s">
        <v>29</v>
      </c>
      <c r="F47" s="3" t="s">
        <v>43</v>
      </c>
      <c r="G47" s="17">
        <f>'Enero-18'!I47</f>
        <v>1000</v>
      </c>
      <c r="H47" s="51"/>
      <c r="I47" s="17">
        <f t="shared" si="0"/>
        <v>1000</v>
      </c>
      <c r="J47" s="18"/>
      <c r="K47" s="18"/>
    </row>
    <row r="48" spans="1:11">
      <c r="A48" s="4">
        <v>54505</v>
      </c>
      <c r="B48" s="5" t="s">
        <v>81</v>
      </c>
      <c r="C48" s="2"/>
      <c r="D48" s="3" t="s">
        <v>42</v>
      </c>
      <c r="E48" s="3" t="s">
        <v>29</v>
      </c>
      <c r="F48" s="3" t="s">
        <v>43</v>
      </c>
      <c r="G48" s="17">
        <f>'Enero-18'!I48</f>
        <v>1000</v>
      </c>
      <c r="H48" s="51"/>
      <c r="I48" s="17">
        <f t="shared" si="0"/>
        <v>1000</v>
      </c>
      <c r="J48" s="18"/>
      <c r="K48" s="22"/>
    </row>
    <row r="49" spans="1:11" ht="20.25" customHeight="1">
      <c r="A49" s="4">
        <v>54599</v>
      </c>
      <c r="B49" s="5" t="s">
        <v>82</v>
      </c>
      <c r="C49" s="5"/>
      <c r="D49" s="3" t="s">
        <v>42</v>
      </c>
      <c r="E49" s="3" t="s">
        <v>29</v>
      </c>
      <c r="F49" s="3" t="s">
        <v>43</v>
      </c>
      <c r="G49" s="17">
        <f>'Enero-18'!I49</f>
        <v>1000</v>
      </c>
      <c r="H49" s="51"/>
      <c r="I49" s="17">
        <f t="shared" si="0"/>
        <v>1000</v>
      </c>
      <c r="J49" s="18"/>
      <c r="K49" s="18"/>
    </row>
    <row r="50" spans="1:11" ht="30" customHeight="1">
      <c r="A50" s="4">
        <v>55302</v>
      </c>
      <c r="B50" s="5" t="s">
        <v>83</v>
      </c>
      <c r="C50" s="2"/>
      <c r="D50" s="3" t="s">
        <v>42</v>
      </c>
      <c r="E50" s="3" t="s">
        <v>29</v>
      </c>
      <c r="F50" s="3" t="s">
        <v>43</v>
      </c>
      <c r="G50" s="17">
        <f>'Enero-18'!I50</f>
        <v>500</v>
      </c>
      <c r="H50" s="51"/>
      <c r="I50" s="17">
        <f t="shared" si="0"/>
        <v>500</v>
      </c>
      <c r="J50" s="18"/>
      <c r="K50" s="21"/>
    </row>
    <row r="51" spans="1:11">
      <c r="A51" s="4">
        <v>55601</v>
      </c>
      <c r="B51" s="2" t="s">
        <v>84</v>
      </c>
      <c r="C51" s="2" t="s">
        <v>85</v>
      </c>
      <c r="D51" s="3" t="s">
        <v>42</v>
      </c>
      <c r="E51" s="3" t="s">
        <v>29</v>
      </c>
      <c r="F51" s="3" t="s">
        <v>43</v>
      </c>
      <c r="G51" s="17">
        <f>'Enero-18'!I51</f>
        <v>5000</v>
      </c>
      <c r="H51" s="51"/>
      <c r="I51" s="17">
        <f t="shared" si="0"/>
        <v>5000</v>
      </c>
      <c r="J51" s="18"/>
      <c r="K51" s="22"/>
    </row>
    <row r="52" spans="1:11">
      <c r="A52" s="4">
        <v>55602</v>
      </c>
      <c r="B52" s="2" t="s">
        <v>86</v>
      </c>
      <c r="C52" s="2" t="s">
        <v>87</v>
      </c>
      <c r="D52" s="3" t="s">
        <v>42</v>
      </c>
      <c r="E52" s="3" t="s">
        <v>29</v>
      </c>
      <c r="F52" s="3" t="s">
        <v>43</v>
      </c>
      <c r="G52" s="17">
        <f>'Enero-18'!I52</f>
        <v>8000</v>
      </c>
      <c r="H52" s="51"/>
      <c r="I52" s="17">
        <f t="shared" si="0"/>
        <v>8000</v>
      </c>
      <c r="J52" s="18"/>
      <c r="K52" s="22"/>
    </row>
    <row r="53" spans="1:11">
      <c r="A53" s="4">
        <v>55603</v>
      </c>
      <c r="B53" s="2" t="s">
        <v>6</v>
      </c>
      <c r="C53" s="2"/>
      <c r="D53" s="3" t="s">
        <v>42</v>
      </c>
      <c r="E53" s="3" t="s">
        <v>29</v>
      </c>
      <c r="F53" s="3" t="s">
        <v>43</v>
      </c>
      <c r="G53" s="17">
        <f>'Enero-18'!I53</f>
        <v>484.18</v>
      </c>
      <c r="H53" s="51"/>
      <c r="I53" s="17">
        <f t="shared" si="0"/>
        <v>484.18</v>
      </c>
      <c r="J53" s="18"/>
      <c r="K53" s="21"/>
    </row>
    <row r="54" spans="1:11" ht="33" customHeight="1">
      <c r="A54" s="4">
        <v>55799</v>
      </c>
      <c r="B54" s="5" t="s">
        <v>169</v>
      </c>
      <c r="C54" s="5"/>
      <c r="D54" s="3" t="s">
        <v>42</v>
      </c>
      <c r="E54" s="3" t="s">
        <v>29</v>
      </c>
      <c r="F54" s="3" t="s">
        <v>43</v>
      </c>
      <c r="G54" s="17">
        <f>'Enero-18'!I54</f>
        <v>616.99</v>
      </c>
      <c r="H54" s="51"/>
      <c r="I54" s="17">
        <f t="shared" si="0"/>
        <v>616.99</v>
      </c>
      <c r="J54" s="18"/>
      <c r="K54" s="21"/>
    </row>
    <row r="55" spans="1:11" ht="33" customHeight="1">
      <c r="A55" s="4" t="s">
        <v>170</v>
      </c>
      <c r="B55" s="5" t="s">
        <v>172</v>
      </c>
      <c r="C55" s="5"/>
      <c r="D55" s="3" t="s">
        <v>42</v>
      </c>
      <c r="E55" s="3" t="s">
        <v>29</v>
      </c>
      <c r="F55" s="3" t="s">
        <v>43</v>
      </c>
      <c r="G55" s="17">
        <f>'Enero-18'!I55</f>
        <v>700</v>
      </c>
      <c r="H55" s="51"/>
      <c r="I55" s="17">
        <f t="shared" si="0"/>
        <v>700</v>
      </c>
      <c r="J55" s="18"/>
      <c r="K55" s="21"/>
    </row>
    <row r="56" spans="1:11" ht="39">
      <c r="A56" s="4" t="s">
        <v>171</v>
      </c>
      <c r="B56" s="5" t="s">
        <v>88</v>
      </c>
      <c r="C56" s="5"/>
      <c r="D56" s="3" t="s">
        <v>42</v>
      </c>
      <c r="E56" s="3" t="s">
        <v>29</v>
      </c>
      <c r="F56" s="3" t="s">
        <v>43</v>
      </c>
      <c r="G56" s="17">
        <f>'Enero-18'!I56</f>
        <v>3500</v>
      </c>
      <c r="H56" s="51">
        <v>381.66</v>
      </c>
      <c r="I56" s="17">
        <f t="shared" si="0"/>
        <v>3118.34</v>
      </c>
      <c r="J56" s="18"/>
      <c r="K56" s="18"/>
    </row>
    <row r="57" spans="1:11" ht="27">
      <c r="A57" s="4" t="s">
        <v>161</v>
      </c>
      <c r="B57" s="5" t="s">
        <v>89</v>
      </c>
      <c r="C57" s="5"/>
      <c r="D57" s="3" t="s">
        <v>42</v>
      </c>
      <c r="E57" s="3" t="s">
        <v>29</v>
      </c>
      <c r="F57" s="3" t="s">
        <v>43</v>
      </c>
      <c r="G57" s="17">
        <f>'Enero-18'!I57</f>
        <v>3000</v>
      </c>
      <c r="H57" s="51"/>
      <c r="I57" s="17">
        <f t="shared" si="0"/>
        <v>3000</v>
      </c>
      <c r="J57" s="18"/>
      <c r="K57" s="18"/>
    </row>
    <row r="58" spans="1:11">
      <c r="A58" s="4">
        <v>56303</v>
      </c>
      <c r="B58" s="2" t="s">
        <v>90</v>
      </c>
      <c r="C58" s="2"/>
      <c r="D58" s="3" t="s">
        <v>42</v>
      </c>
      <c r="E58" s="3" t="s">
        <v>29</v>
      </c>
      <c r="F58" s="3" t="s">
        <v>43</v>
      </c>
      <c r="G58" s="17">
        <f>'Enero-18'!I58</f>
        <v>19925</v>
      </c>
      <c r="H58" s="51">
        <f>150+100+300+300+150+500+200+250+100+150+150+100</f>
        <v>2450</v>
      </c>
      <c r="I58" s="17">
        <f t="shared" si="0"/>
        <v>17475</v>
      </c>
      <c r="J58" s="18"/>
      <c r="K58" s="18"/>
    </row>
    <row r="59" spans="1:11">
      <c r="A59" s="4">
        <v>56304</v>
      </c>
      <c r="B59" s="2" t="s">
        <v>91</v>
      </c>
      <c r="C59" s="2"/>
      <c r="D59" s="3" t="s">
        <v>42</v>
      </c>
      <c r="E59" s="3" t="s">
        <v>29</v>
      </c>
      <c r="F59" s="3" t="s">
        <v>43</v>
      </c>
      <c r="G59" s="17">
        <f>'Enero-18'!I59</f>
        <v>18524.5</v>
      </c>
      <c r="H59" s="51">
        <f>30+20+125+250+100+25+25+25+25+25+25+25+25+25+100+200+150+240+25+300+100+200+100+100+125+100+25+25+25+25+100+25+25+25+25+25+25+100+100+100</f>
        <v>3140</v>
      </c>
      <c r="I59" s="17">
        <f t="shared" si="0"/>
        <v>15384.5</v>
      </c>
      <c r="J59" s="18"/>
      <c r="K59" s="18"/>
    </row>
    <row r="60" spans="1:11" ht="45.75" customHeight="1">
      <c r="A60" s="38" t="s">
        <v>8</v>
      </c>
      <c r="B60" s="39" t="s">
        <v>92</v>
      </c>
      <c r="C60" s="39"/>
      <c r="D60" s="39" t="s">
        <v>42</v>
      </c>
      <c r="E60" s="39" t="s">
        <v>29</v>
      </c>
      <c r="F60" s="39" t="s">
        <v>43</v>
      </c>
      <c r="G60" s="208">
        <f>'Enero-18'!I60</f>
        <v>285000.78999999998</v>
      </c>
      <c r="H60" s="95">
        <f>SUM(H4:H59)</f>
        <v>12035.310000000001</v>
      </c>
      <c r="I60" s="40">
        <f>G60-H60+J60-K60</f>
        <v>272965.48</v>
      </c>
      <c r="J60" s="40"/>
      <c r="K60" s="40"/>
    </row>
    <row r="61" spans="1:11">
      <c r="A61" s="4">
        <v>51103</v>
      </c>
      <c r="B61" s="2" t="s">
        <v>173</v>
      </c>
      <c r="C61" s="2"/>
      <c r="D61" s="3" t="s">
        <v>94</v>
      </c>
      <c r="E61" s="3" t="s">
        <v>29</v>
      </c>
      <c r="F61" s="3" t="s">
        <v>43</v>
      </c>
      <c r="G61" s="26">
        <f>'Enero-18'!I61</f>
        <v>100</v>
      </c>
      <c r="H61" s="51"/>
      <c r="I61" s="17">
        <f t="shared" si="0"/>
        <v>100</v>
      </c>
      <c r="J61" s="27"/>
      <c r="K61" s="28"/>
    </row>
    <row r="62" spans="1:11">
      <c r="A62" s="4">
        <v>51107</v>
      </c>
      <c r="B62" s="2" t="s">
        <v>93</v>
      </c>
      <c r="C62" s="2"/>
      <c r="D62" s="3" t="s">
        <v>94</v>
      </c>
      <c r="E62" s="3" t="s">
        <v>29</v>
      </c>
      <c r="F62" s="3" t="s">
        <v>43</v>
      </c>
      <c r="G62" s="26">
        <f>'Enero-18'!I62</f>
        <v>1500</v>
      </c>
      <c r="H62" s="51"/>
      <c r="I62" s="17">
        <f t="shared" si="0"/>
        <v>1500</v>
      </c>
      <c r="J62" s="27"/>
      <c r="K62" s="28"/>
    </row>
    <row r="63" spans="1:11">
      <c r="A63" s="4">
        <v>51301</v>
      </c>
      <c r="B63" s="2" t="s">
        <v>45</v>
      </c>
      <c r="C63" s="2"/>
      <c r="D63" s="3" t="s">
        <v>94</v>
      </c>
      <c r="E63" s="3" t="s">
        <v>29</v>
      </c>
      <c r="F63" s="3" t="s">
        <v>43</v>
      </c>
      <c r="G63" s="26">
        <f>'Enero-18'!I63</f>
        <v>5000</v>
      </c>
      <c r="H63" s="51"/>
      <c r="I63" s="17">
        <f t="shared" si="0"/>
        <v>5000</v>
      </c>
      <c r="J63" s="27"/>
      <c r="K63" s="29"/>
    </row>
    <row r="64" spans="1:11" ht="25.5">
      <c r="A64" s="4">
        <v>51401</v>
      </c>
      <c r="B64" s="7" t="s">
        <v>128</v>
      </c>
      <c r="C64" s="2"/>
      <c r="D64" s="3" t="s">
        <v>94</v>
      </c>
      <c r="E64" s="3" t="s">
        <v>29</v>
      </c>
      <c r="F64" s="3" t="s">
        <v>43</v>
      </c>
      <c r="G64" s="26">
        <f>'Enero-18'!I64</f>
        <v>2099.1</v>
      </c>
      <c r="H64" s="51"/>
      <c r="I64" s="17">
        <f t="shared" si="0"/>
        <v>2099.1</v>
      </c>
      <c r="J64" s="27"/>
      <c r="K64" s="30"/>
    </row>
    <row r="65" spans="1:11" ht="36">
      <c r="A65" s="4">
        <v>51501</v>
      </c>
      <c r="B65" s="5" t="s">
        <v>141</v>
      </c>
      <c r="C65" s="2"/>
      <c r="D65" s="3" t="s">
        <v>94</v>
      </c>
      <c r="E65" s="3" t="s">
        <v>29</v>
      </c>
      <c r="F65" s="3" t="s">
        <v>43</v>
      </c>
      <c r="G65" s="26">
        <f>'Enero-18'!I65</f>
        <v>1889.16</v>
      </c>
      <c r="H65" s="51"/>
      <c r="I65" s="17">
        <f t="shared" si="0"/>
        <v>1889.16</v>
      </c>
      <c r="J65" s="27"/>
      <c r="K65" s="21"/>
    </row>
    <row r="66" spans="1:11">
      <c r="A66" s="4">
        <v>54104</v>
      </c>
      <c r="B66" s="2" t="s">
        <v>10</v>
      </c>
      <c r="C66" s="2"/>
      <c r="D66" s="3" t="s">
        <v>94</v>
      </c>
      <c r="E66" s="3" t="s">
        <v>29</v>
      </c>
      <c r="F66" s="3" t="s">
        <v>43</v>
      </c>
      <c r="G66" s="26">
        <f>'Enero-18'!I66</f>
        <v>2000</v>
      </c>
      <c r="H66" s="51"/>
      <c r="I66" s="17">
        <f t="shared" si="0"/>
        <v>2000</v>
      </c>
      <c r="J66" s="27"/>
      <c r="K66" s="22"/>
    </row>
    <row r="67" spans="1:11">
      <c r="A67" s="4">
        <v>54105</v>
      </c>
      <c r="B67" s="2" t="s">
        <v>49</v>
      </c>
      <c r="C67" s="2"/>
      <c r="D67" s="3" t="s">
        <v>94</v>
      </c>
      <c r="E67" s="3" t="s">
        <v>29</v>
      </c>
      <c r="F67" s="3" t="s">
        <v>43</v>
      </c>
      <c r="G67" s="26">
        <f>'Enero-18'!I67</f>
        <v>4000</v>
      </c>
      <c r="H67" s="51"/>
      <c r="I67" s="17">
        <f t="shared" si="0"/>
        <v>4000</v>
      </c>
      <c r="J67" s="27"/>
      <c r="K67" s="18"/>
    </row>
    <row r="68" spans="1:11">
      <c r="A68" s="4">
        <v>54114</v>
      </c>
      <c r="B68" s="2" t="s">
        <v>56</v>
      </c>
      <c r="C68" s="2"/>
      <c r="D68" s="3" t="s">
        <v>94</v>
      </c>
      <c r="E68" s="3" t="s">
        <v>29</v>
      </c>
      <c r="F68" s="3" t="s">
        <v>43</v>
      </c>
      <c r="G68" s="26">
        <f>'Enero-18'!I68</f>
        <v>4996.3999999999996</v>
      </c>
      <c r="H68" s="51"/>
      <c r="I68" s="17">
        <f t="shared" si="0"/>
        <v>4996.3999999999996</v>
      </c>
      <c r="J68" s="27"/>
      <c r="K68" s="21"/>
    </row>
    <row r="69" spans="1:11">
      <c r="A69" s="4">
        <v>54115</v>
      </c>
      <c r="B69" s="2" t="s">
        <v>57</v>
      </c>
      <c r="C69" s="2"/>
      <c r="D69" s="3" t="s">
        <v>94</v>
      </c>
      <c r="E69" s="3" t="s">
        <v>29</v>
      </c>
      <c r="F69" s="3" t="s">
        <v>43</v>
      </c>
      <c r="G69" s="26">
        <f>'Enero-18'!I69</f>
        <v>4000</v>
      </c>
      <c r="H69" s="51"/>
      <c r="I69" s="17">
        <f t="shared" si="0"/>
        <v>4000</v>
      </c>
      <c r="J69" s="31"/>
      <c r="K69" s="21"/>
    </row>
    <row r="70" spans="1:11">
      <c r="A70" s="4">
        <v>54401</v>
      </c>
      <c r="B70" s="2" t="s">
        <v>75</v>
      </c>
      <c r="C70" s="2"/>
      <c r="D70" s="3" t="s">
        <v>94</v>
      </c>
      <c r="E70" s="3" t="s">
        <v>29</v>
      </c>
      <c r="F70" s="3" t="s">
        <v>43</v>
      </c>
      <c r="G70" s="26">
        <f>'Enero-18'!I70</f>
        <v>200</v>
      </c>
      <c r="H70" s="51"/>
      <c r="I70" s="17">
        <f t="shared" si="0"/>
        <v>200</v>
      </c>
      <c r="J70" s="27"/>
      <c r="K70" s="21"/>
    </row>
    <row r="71" spans="1:11">
      <c r="A71" s="4">
        <v>54403</v>
      </c>
      <c r="B71" s="2" t="s">
        <v>76</v>
      </c>
      <c r="C71" s="2"/>
      <c r="D71" s="3" t="s">
        <v>94</v>
      </c>
      <c r="E71" s="3" t="s">
        <v>29</v>
      </c>
      <c r="F71" s="3" t="s">
        <v>43</v>
      </c>
      <c r="G71" s="26">
        <f>'Enero-18'!I71</f>
        <v>300</v>
      </c>
      <c r="H71" s="51"/>
      <c r="I71" s="17">
        <f>G71-H71+J71-K71</f>
        <v>300</v>
      </c>
      <c r="J71" s="27"/>
      <c r="K71" s="28"/>
    </row>
    <row r="72" spans="1:11" ht="21" customHeight="1">
      <c r="A72" s="4">
        <v>54507</v>
      </c>
      <c r="B72" s="5" t="s">
        <v>95</v>
      </c>
      <c r="C72" s="2"/>
      <c r="D72" s="3" t="s">
        <v>94</v>
      </c>
      <c r="E72" s="3" t="s">
        <v>29</v>
      </c>
      <c r="F72" s="3" t="s">
        <v>43</v>
      </c>
      <c r="G72" s="26">
        <f>'Enero-18'!I72</f>
        <v>1000</v>
      </c>
      <c r="H72" s="51"/>
      <c r="I72" s="17">
        <f>G72-H72+J72-K72</f>
        <v>1000</v>
      </c>
      <c r="J72" s="32"/>
      <c r="K72" s="28"/>
    </row>
    <row r="73" spans="1:11" ht="21">
      <c r="A73" s="38" t="s">
        <v>8</v>
      </c>
      <c r="B73" s="39" t="s">
        <v>96</v>
      </c>
      <c r="C73" s="39"/>
      <c r="D73" s="39" t="s">
        <v>94</v>
      </c>
      <c r="E73" s="39" t="s">
        <v>29</v>
      </c>
      <c r="F73" s="39" t="s">
        <v>43</v>
      </c>
      <c r="G73" s="40">
        <f>SUM(G61:G72)</f>
        <v>27084.660000000003</v>
      </c>
      <c r="H73" s="95">
        <f>SUM(H61:H72)</f>
        <v>0</v>
      </c>
      <c r="I73" s="40">
        <f>G73-H73+J73-K73</f>
        <v>27084.660000000003</v>
      </c>
      <c r="J73" s="40"/>
      <c r="K73" s="40"/>
    </row>
    <row r="74" spans="1:11">
      <c r="A74" s="4">
        <v>51103</v>
      </c>
      <c r="B74" s="2" t="s">
        <v>174</v>
      </c>
      <c r="C74" s="2"/>
      <c r="D74" s="3" t="s">
        <v>97</v>
      </c>
      <c r="E74" s="3" t="s">
        <v>29</v>
      </c>
      <c r="F74" s="3" t="s">
        <v>43</v>
      </c>
      <c r="G74" s="26">
        <f>'Enero-18'!I74</f>
        <v>100</v>
      </c>
      <c r="H74" s="51"/>
      <c r="I74" s="140">
        <f>G74-H74+J74-K74</f>
        <v>100</v>
      </c>
      <c r="J74" s="28"/>
      <c r="K74" s="28"/>
    </row>
    <row r="75" spans="1:11">
      <c r="A75" s="4">
        <v>51107</v>
      </c>
      <c r="B75" s="2" t="s">
        <v>93</v>
      </c>
      <c r="C75" s="2"/>
      <c r="D75" s="3" t="s">
        <v>97</v>
      </c>
      <c r="E75" s="3" t="s">
        <v>29</v>
      </c>
      <c r="F75" s="3" t="s">
        <v>43</v>
      </c>
      <c r="G75" s="26">
        <f>'Enero-18'!I75</f>
        <v>5000</v>
      </c>
      <c r="H75" s="51"/>
      <c r="I75" s="140">
        <f t="shared" ref="I75:I99" si="1">G75-H75+J75-K75</f>
        <v>5000</v>
      </c>
      <c r="J75" s="28"/>
      <c r="K75" s="28"/>
    </row>
    <row r="76" spans="1:11">
      <c r="A76" s="4">
        <v>51201</v>
      </c>
      <c r="B76" s="2" t="s">
        <v>44</v>
      </c>
      <c r="C76" s="2"/>
      <c r="D76" s="3" t="s">
        <v>97</v>
      </c>
      <c r="E76" s="3" t="s">
        <v>29</v>
      </c>
      <c r="F76" s="3" t="s">
        <v>43</v>
      </c>
      <c r="G76" s="26">
        <f>'Enero-18'!I76</f>
        <v>2000</v>
      </c>
      <c r="H76" s="51"/>
      <c r="I76" s="140">
        <f t="shared" si="1"/>
        <v>2000</v>
      </c>
      <c r="J76" s="30"/>
      <c r="K76" s="28"/>
    </row>
    <row r="77" spans="1:11">
      <c r="A77" s="4">
        <v>51301</v>
      </c>
      <c r="B77" s="7" t="s">
        <v>98</v>
      </c>
      <c r="C77" s="2"/>
      <c r="D77" s="3" t="s">
        <v>97</v>
      </c>
      <c r="E77" s="3" t="s">
        <v>29</v>
      </c>
      <c r="F77" s="3" t="s">
        <v>43</v>
      </c>
      <c r="G77" s="26">
        <f>'Enero-18'!I77</f>
        <v>3000</v>
      </c>
      <c r="H77" s="51"/>
      <c r="I77" s="140">
        <f t="shared" si="1"/>
        <v>3000</v>
      </c>
      <c r="J77" s="30"/>
      <c r="K77" s="28"/>
    </row>
    <row r="78" spans="1:11" ht="36">
      <c r="A78" s="4">
        <v>51401</v>
      </c>
      <c r="B78" s="7" t="s">
        <v>134</v>
      </c>
      <c r="C78" s="2"/>
      <c r="D78" s="3" t="s">
        <v>97</v>
      </c>
      <c r="E78" s="3" t="s">
        <v>29</v>
      </c>
      <c r="F78" s="3" t="s">
        <v>43</v>
      </c>
      <c r="G78" s="26">
        <f>'Enero-18'!I78</f>
        <v>9778.74</v>
      </c>
      <c r="H78" s="51"/>
      <c r="I78" s="140">
        <f t="shared" si="1"/>
        <v>9778.74</v>
      </c>
      <c r="J78" s="29"/>
      <c r="K78" s="28"/>
    </row>
    <row r="79" spans="1:11" ht="36">
      <c r="A79" s="4">
        <v>51501</v>
      </c>
      <c r="B79" s="5" t="s">
        <v>127</v>
      </c>
      <c r="C79" s="2"/>
      <c r="D79" s="3" t="s">
        <v>97</v>
      </c>
      <c r="E79" s="3" t="s">
        <v>29</v>
      </c>
      <c r="F79" s="3" t="s">
        <v>43</v>
      </c>
      <c r="G79" s="26">
        <f>'Enero-18'!I79</f>
        <v>7853.28</v>
      </c>
      <c r="H79" s="51"/>
      <c r="I79" s="140">
        <f t="shared" si="1"/>
        <v>7853.28</v>
      </c>
      <c r="J79" s="27"/>
      <c r="K79" s="28"/>
    </row>
    <row r="80" spans="1:11">
      <c r="A80" s="4">
        <v>54104</v>
      </c>
      <c r="B80" s="2" t="s">
        <v>10</v>
      </c>
      <c r="C80" s="2"/>
      <c r="D80" s="3" t="s">
        <v>97</v>
      </c>
      <c r="E80" s="3" t="s">
        <v>29</v>
      </c>
      <c r="F80" s="3" t="s">
        <v>43</v>
      </c>
      <c r="G80" s="26">
        <f>'Enero-18'!I80</f>
        <v>4000</v>
      </c>
      <c r="H80" s="51"/>
      <c r="I80" s="140">
        <f t="shared" si="1"/>
        <v>4000</v>
      </c>
      <c r="J80" s="28"/>
      <c r="K80" s="28"/>
    </row>
    <row r="81" spans="1:11">
      <c r="A81" s="4">
        <v>54105</v>
      </c>
      <c r="B81" s="2" t="s">
        <v>49</v>
      </c>
      <c r="C81" s="2"/>
      <c r="D81" s="3" t="s">
        <v>97</v>
      </c>
      <c r="E81" s="3" t="s">
        <v>29</v>
      </c>
      <c r="F81" s="3" t="s">
        <v>43</v>
      </c>
      <c r="G81" s="26">
        <f>'Enero-18'!I81</f>
        <v>2000</v>
      </c>
      <c r="H81" s="51"/>
      <c r="I81" s="140">
        <f t="shared" si="1"/>
        <v>2000</v>
      </c>
      <c r="J81" s="27"/>
      <c r="K81" s="28"/>
    </row>
    <row r="82" spans="1:11" ht="27" customHeight="1">
      <c r="A82" s="4">
        <v>54106</v>
      </c>
      <c r="B82" s="5" t="s">
        <v>99</v>
      </c>
      <c r="C82" s="5"/>
      <c r="D82" s="3" t="s">
        <v>97</v>
      </c>
      <c r="E82" s="3" t="s">
        <v>29</v>
      </c>
      <c r="F82" s="3" t="s">
        <v>43</v>
      </c>
      <c r="G82" s="26">
        <f>'Enero-18'!I82</f>
        <v>1000</v>
      </c>
      <c r="H82" s="51"/>
      <c r="I82" s="140">
        <f t="shared" si="1"/>
        <v>1000</v>
      </c>
      <c r="J82" s="27"/>
      <c r="K82" s="28"/>
    </row>
    <row r="83" spans="1:11">
      <c r="A83" s="4">
        <v>54109</v>
      </c>
      <c r="B83" s="2" t="s">
        <v>52</v>
      </c>
      <c r="C83" s="2"/>
      <c r="D83" s="3" t="s">
        <v>97</v>
      </c>
      <c r="E83" s="3" t="s">
        <v>29</v>
      </c>
      <c r="F83" s="3" t="s">
        <v>43</v>
      </c>
      <c r="G83" s="26">
        <f>'Enero-18'!I83</f>
        <v>500</v>
      </c>
      <c r="H83" s="51"/>
      <c r="I83" s="140">
        <f t="shared" si="1"/>
        <v>500</v>
      </c>
      <c r="J83" s="33"/>
      <c r="K83" s="28"/>
    </row>
    <row r="84" spans="1:11">
      <c r="A84" s="4">
        <v>54110</v>
      </c>
      <c r="B84" s="2" t="s">
        <v>53</v>
      </c>
      <c r="C84" s="2"/>
      <c r="D84" s="3" t="s">
        <v>97</v>
      </c>
      <c r="E84" s="3" t="s">
        <v>29</v>
      </c>
      <c r="F84" s="3" t="s">
        <v>43</v>
      </c>
      <c r="G84" s="26">
        <f>'Enero-18'!I84</f>
        <v>12000</v>
      </c>
      <c r="H84" s="51"/>
      <c r="I84" s="140">
        <f t="shared" si="1"/>
        <v>12000</v>
      </c>
      <c r="J84" s="33"/>
      <c r="K84" s="30"/>
    </row>
    <row r="85" spans="1:11" ht="30.75" customHeight="1">
      <c r="A85" s="4">
        <v>54111</v>
      </c>
      <c r="B85" s="5" t="s">
        <v>54</v>
      </c>
      <c r="C85" s="2"/>
      <c r="D85" s="3" t="s">
        <v>97</v>
      </c>
      <c r="E85" s="3" t="s">
        <v>29</v>
      </c>
      <c r="F85" s="3" t="s">
        <v>43</v>
      </c>
      <c r="G85" s="26">
        <f>'Enero-18'!I85</f>
        <v>1000</v>
      </c>
      <c r="H85" s="51"/>
      <c r="I85" s="140">
        <f t="shared" si="1"/>
        <v>1000</v>
      </c>
      <c r="J85" s="33"/>
      <c r="K85" s="27"/>
    </row>
    <row r="86" spans="1:11" ht="39">
      <c r="A86" s="4">
        <v>54112</v>
      </c>
      <c r="B86" s="5" t="s">
        <v>55</v>
      </c>
      <c r="C86" s="2"/>
      <c r="D86" s="3" t="s">
        <v>97</v>
      </c>
      <c r="E86" s="3" t="s">
        <v>29</v>
      </c>
      <c r="F86" s="3" t="s">
        <v>43</v>
      </c>
      <c r="G86" s="26">
        <f>'Enero-18'!I86</f>
        <v>1000</v>
      </c>
      <c r="H86" s="51"/>
      <c r="I86" s="140">
        <f t="shared" si="1"/>
        <v>1000</v>
      </c>
      <c r="J86" s="33"/>
      <c r="K86" s="28"/>
    </row>
    <row r="87" spans="1:11">
      <c r="A87" s="4">
        <v>54114</v>
      </c>
      <c r="B87" s="2" t="s">
        <v>56</v>
      </c>
      <c r="C87" s="2"/>
      <c r="D87" s="3" t="s">
        <v>97</v>
      </c>
      <c r="E87" s="3" t="s">
        <v>29</v>
      </c>
      <c r="F87" s="3" t="s">
        <v>43</v>
      </c>
      <c r="G87" s="26">
        <f>'Enero-18'!I87</f>
        <v>1000</v>
      </c>
      <c r="H87" s="51"/>
      <c r="I87" s="140">
        <f t="shared" si="1"/>
        <v>1000</v>
      </c>
      <c r="J87" s="27"/>
      <c r="K87" s="28"/>
    </row>
    <row r="88" spans="1:11">
      <c r="A88" s="4">
        <v>54115</v>
      </c>
      <c r="B88" s="2" t="s">
        <v>57</v>
      </c>
      <c r="C88" s="2"/>
      <c r="D88" s="3" t="s">
        <v>97</v>
      </c>
      <c r="E88" s="3" t="s">
        <v>29</v>
      </c>
      <c r="F88" s="3" t="s">
        <v>43</v>
      </c>
      <c r="G88" s="26">
        <f>'Enero-18'!I88</f>
        <v>1000</v>
      </c>
      <c r="H88" s="51"/>
      <c r="I88" s="140">
        <f t="shared" si="1"/>
        <v>1000</v>
      </c>
      <c r="J88" s="33"/>
      <c r="K88" s="28"/>
    </row>
    <row r="89" spans="1:11" ht="27" customHeight="1">
      <c r="A89" s="4">
        <v>54118</v>
      </c>
      <c r="B89" s="5" t="s">
        <v>100</v>
      </c>
      <c r="C89" s="2"/>
      <c r="D89" s="3" t="s">
        <v>97</v>
      </c>
      <c r="E89" s="3" t="s">
        <v>29</v>
      </c>
      <c r="F89" s="3" t="s">
        <v>43</v>
      </c>
      <c r="G89" s="26">
        <f>'Enero-18'!I89</f>
        <v>975</v>
      </c>
      <c r="H89" s="51">
        <f>79.1</f>
        <v>79.099999999999994</v>
      </c>
      <c r="I89" s="140">
        <f t="shared" si="1"/>
        <v>895.9</v>
      </c>
      <c r="J89" s="30"/>
      <c r="K89" s="28"/>
    </row>
    <row r="90" spans="1:11">
      <c r="A90" s="4">
        <v>54119</v>
      </c>
      <c r="B90" s="2" t="s">
        <v>60</v>
      </c>
      <c r="C90" s="2"/>
      <c r="D90" s="3" t="s">
        <v>97</v>
      </c>
      <c r="E90" s="3" t="s">
        <v>29</v>
      </c>
      <c r="F90" s="3" t="s">
        <v>43</v>
      </c>
      <c r="G90" s="26">
        <f>'Enero-18'!I90</f>
        <v>1000</v>
      </c>
      <c r="H90" s="51"/>
      <c r="I90" s="140">
        <f t="shared" si="1"/>
        <v>1000</v>
      </c>
      <c r="J90" s="30"/>
      <c r="K90" s="28"/>
    </row>
    <row r="91" spans="1:11">
      <c r="A91" s="4">
        <v>54199</v>
      </c>
      <c r="B91" s="2" t="s">
        <v>61</v>
      </c>
      <c r="C91" s="2"/>
      <c r="D91" s="3" t="s">
        <v>97</v>
      </c>
      <c r="E91" s="3" t="s">
        <v>29</v>
      </c>
      <c r="F91" s="3" t="s">
        <v>43</v>
      </c>
      <c r="G91" s="26">
        <f>'Enero-18'!I91</f>
        <v>1470.1</v>
      </c>
      <c r="H91" s="51"/>
      <c r="I91" s="140">
        <f t="shared" si="1"/>
        <v>1470.1</v>
      </c>
      <c r="J91" s="33"/>
      <c r="K91" s="28"/>
    </row>
    <row r="92" spans="1:11">
      <c r="A92" s="4">
        <v>54301</v>
      </c>
      <c r="B92" s="2" t="s">
        <v>66</v>
      </c>
      <c r="C92" s="2"/>
      <c r="D92" s="3" t="s">
        <v>97</v>
      </c>
      <c r="E92" s="3" t="s">
        <v>29</v>
      </c>
      <c r="F92" s="3" t="s">
        <v>43</v>
      </c>
      <c r="G92" s="26">
        <f>'Enero-18'!I92</f>
        <v>200</v>
      </c>
      <c r="H92" s="51"/>
      <c r="I92" s="140">
        <f t="shared" si="1"/>
        <v>200</v>
      </c>
      <c r="J92" s="29"/>
      <c r="K92" s="28"/>
    </row>
    <row r="93" spans="1:11">
      <c r="A93" s="4">
        <v>54302</v>
      </c>
      <c r="B93" s="2" t="s">
        <v>67</v>
      </c>
      <c r="C93" s="2"/>
      <c r="D93" s="3" t="s">
        <v>97</v>
      </c>
      <c r="E93" s="3" t="s">
        <v>29</v>
      </c>
      <c r="F93" s="3" t="s">
        <v>43</v>
      </c>
      <c r="G93" s="26">
        <f>'Enero-18'!I93</f>
        <v>380</v>
      </c>
      <c r="H93" s="51"/>
      <c r="I93" s="140">
        <f t="shared" si="1"/>
        <v>380</v>
      </c>
      <c r="J93" s="27"/>
      <c r="K93" s="28"/>
    </row>
    <row r="94" spans="1:11" ht="33" customHeight="1">
      <c r="A94" s="4">
        <v>54314</v>
      </c>
      <c r="B94" s="5" t="s">
        <v>101</v>
      </c>
      <c r="C94" s="2"/>
      <c r="D94" s="3" t="s">
        <v>97</v>
      </c>
      <c r="E94" s="3" t="s">
        <v>29</v>
      </c>
      <c r="F94" s="3" t="s">
        <v>43</v>
      </c>
      <c r="G94" s="26">
        <f>'Enero-18'!I94</f>
        <v>29292.91</v>
      </c>
      <c r="H94" s="51">
        <f>400+300</f>
        <v>700</v>
      </c>
      <c r="I94" s="140">
        <f t="shared" si="1"/>
        <v>28592.91</v>
      </c>
      <c r="J94" s="33"/>
      <c r="K94" s="34"/>
    </row>
    <row r="95" spans="1:11">
      <c r="A95" s="4">
        <v>54399</v>
      </c>
      <c r="B95" s="2" t="s">
        <v>74</v>
      </c>
      <c r="C95" s="2"/>
      <c r="D95" s="3" t="s">
        <v>97</v>
      </c>
      <c r="E95" s="3" t="s">
        <v>29</v>
      </c>
      <c r="F95" s="3" t="s">
        <v>43</v>
      </c>
      <c r="G95" s="26">
        <f>'Enero-18'!I95</f>
        <v>127.15999999999985</v>
      </c>
      <c r="H95" s="51">
        <f>30</f>
        <v>30</v>
      </c>
      <c r="I95" s="140">
        <f t="shared" si="1"/>
        <v>97.159999999999854</v>
      </c>
      <c r="J95" s="33"/>
      <c r="K95" s="33"/>
    </row>
    <row r="96" spans="1:11">
      <c r="A96" s="4">
        <v>54401</v>
      </c>
      <c r="B96" s="2" t="s">
        <v>75</v>
      </c>
      <c r="C96" s="2"/>
      <c r="D96" s="3" t="s">
        <v>97</v>
      </c>
      <c r="E96" s="3" t="s">
        <v>29</v>
      </c>
      <c r="F96" s="3" t="s">
        <v>43</v>
      </c>
      <c r="G96" s="26">
        <f>'Enero-18'!I96</f>
        <v>400</v>
      </c>
      <c r="H96" s="51"/>
      <c r="I96" s="140">
        <f t="shared" si="1"/>
        <v>400</v>
      </c>
      <c r="J96" s="34"/>
      <c r="K96" s="28"/>
    </row>
    <row r="97" spans="1:11">
      <c r="A97" s="4">
        <v>54403</v>
      </c>
      <c r="B97" s="2" t="s">
        <v>102</v>
      </c>
      <c r="C97" s="2"/>
      <c r="D97" s="3" t="s">
        <v>97</v>
      </c>
      <c r="E97" s="3" t="s">
        <v>29</v>
      </c>
      <c r="F97" s="3" t="s">
        <v>43</v>
      </c>
      <c r="G97" s="26">
        <f>'Enero-18'!I97</f>
        <v>632.98</v>
      </c>
      <c r="H97" s="51"/>
      <c r="I97" s="140">
        <f t="shared" si="1"/>
        <v>632.98</v>
      </c>
      <c r="J97" s="34"/>
      <c r="K97" s="28"/>
    </row>
    <row r="98" spans="1:11" ht="21.75" customHeight="1">
      <c r="A98" s="4">
        <v>54507</v>
      </c>
      <c r="B98" s="5" t="s">
        <v>103</v>
      </c>
      <c r="C98" s="5"/>
      <c r="D98" s="3" t="s">
        <v>97</v>
      </c>
      <c r="E98" s="3" t="s">
        <v>29</v>
      </c>
      <c r="F98" s="3" t="s">
        <v>43</v>
      </c>
      <c r="G98" s="26">
        <f>'Enero-18'!I98</f>
        <v>500</v>
      </c>
      <c r="H98" s="51"/>
      <c r="I98" s="140">
        <f t="shared" si="1"/>
        <v>500</v>
      </c>
      <c r="J98" s="35"/>
      <c r="K98" s="28"/>
    </row>
    <row r="99" spans="1:11">
      <c r="A99" s="4">
        <v>54699</v>
      </c>
      <c r="B99" s="5" t="s">
        <v>104</v>
      </c>
      <c r="C99" s="2"/>
      <c r="D99" s="3" t="s">
        <v>97</v>
      </c>
      <c r="E99" s="3" t="s">
        <v>29</v>
      </c>
      <c r="F99" s="3" t="s">
        <v>43</v>
      </c>
      <c r="G99" s="26">
        <f>'Enero-18'!I99</f>
        <v>1</v>
      </c>
      <c r="H99" s="51"/>
      <c r="I99" s="140">
        <f t="shared" si="1"/>
        <v>1</v>
      </c>
      <c r="J99" s="27"/>
      <c r="K99" s="28"/>
    </row>
    <row r="100" spans="1:11" ht="21">
      <c r="A100" s="38" t="s">
        <v>8</v>
      </c>
      <c r="B100" s="39" t="s">
        <v>105</v>
      </c>
      <c r="C100" s="39"/>
      <c r="D100" s="39" t="s">
        <v>97</v>
      </c>
      <c r="E100" s="39" t="s">
        <v>29</v>
      </c>
      <c r="F100" s="39" t="s">
        <v>43</v>
      </c>
      <c r="G100" s="40">
        <f>SUM(G74:G99)</f>
        <v>86211.17</v>
      </c>
      <c r="H100" s="95">
        <f>SUM(H74:H99)</f>
        <v>809.1</v>
      </c>
      <c r="I100" s="40">
        <f>G100-H100+J100-K100</f>
        <v>85402.069999999992</v>
      </c>
      <c r="J100" s="40"/>
      <c r="K100" s="40"/>
    </row>
    <row r="101" spans="1:11">
      <c r="A101" s="4">
        <v>51101</v>
      </c>
      <c r="B101" s="2" t="s">
        <v>175</v>
      </c>
      <c r="C101" s="2"/>
      <c r="D101" s="3" t="s">
        <v>42</v>
      </c>
      <c r="E101" s="3" t="s">
        <v>29</v>
      </c>
      <c r="F101" s="3" t="s">
        <v>106</v>
      </c>
      <c r="G101" s="26">
        <f>'Enero-18'!I101</f>
        <v>52007.549999999996</v>
      </c>
      <c r="H101" s="51">
        <f>4237.05</f>
        <v>4237.05</v>
      </c>
      <c r="I101" s="17">
        <f t="shared" ref="I101:I140" si="2">G101-H101+J101-K101</f>
        <v>47770.499999999993</v>
      </c>
      <c r="J101" s="28"/>
      <c r="K101" s="30"/>
    </row>
    <row r="102" spans="1:11">
      <c r="A102" s="4">
        <v>51103</v>
      </c>
      <c r="B102" s="2" t="s">
        <v>107</v>
      </c>
      <c r="C102" s="2"/>
      <c r="D102" s="3" t="s">
        <v>42</v>
      </c>
      <c r="E102" s="3" t="s">
        <v>29</v>
      </c>
      <c r="F102" s="3" t="s">
        <v>106</v>
      </c>
      <c r="G102" s="26">
        <f>'Enero-18'!I102</f>
        <v>4687.05</v>
      </c>
      <c r="H102" s="51"/>
      <c r="I102" s="17">
        <f t="shared" si="2"/>
        <v>4687.05</v>
      </c>
      <c r="J102" s="30"/>
      <c r="K102" s="29"/>
    </row>
    <row r="103" spans="1:11">
      <c r="A103" s="4">
        <v>51105</v>
      </c>
      <c r="B103" s="2" t="s">
        <v>176</v>
      </c>
      <c r="C103" s="2"/>
      <c r="D103" s="3" t="s">
        <v>42</v>
      </c>
      <c r="E103" s="3" t="s">
        <v>29</v>
      </c>
      <c r="F103" s="3" t="s">
        <v>106</v>
      </c>
      <c r="G103" s="26">
        <f>'Enero-18'!I103</f>
        <v>41889.42</v>
      </c>
      <c r="H103" s="51">
        <f>587.31+195.77+6518.6</f>
        <v>7301.68</v>
      </c>
      <c r="I103" s="17">
        <f t="shared" si="2"/>
        <v>34587.74</v>
      </c>
      <c r="J103" s="30"/>
      <c r="K103" s="29"/>
    </row>
    <row r="104" spans="1:11">
      <c r="A104" s="4">
        <v>51201</v>
      </c>
      <c r="B104" s="2" t="s">
        <v>135</v>
      </c>
      <c r="C104" s="2"/>
      <c r="D104" s="3" t="s">
        <v>42</v>
      </c>
      <c r="E104" s="3" t="s">
        <v>29</v>
      </c>
      <c r="F104" s="3" t="s">
        <v>30</v>
      </c>
      <c r="G104" s="26">
        <f>'Enero-18'!I104</f>
        <v>8004</v>
      </c>
      <c r="H104" s="51">
        <f>1334</f>
        <v>1334</v>
      </c>
      <c r="I104" s="17">
        <f t="shared" si="2"/>
        <v>6670</v>
      </c>
      <c r="J104" s="30"/>
      <c r="K104" s="29"/>
    </row>
    <row r="105" spans="1:11">
      <c r="A105" s="4">
        <v>51301</v>
      </c>
      <c r="B105" s="2" t="s">
        <v>177</v>
      </c>
      <c r="C105" s="2"/>
      <c r="D105" s="3" t="s">
        <v>42</v>
      </c>
      <c r="E105" s="3" t="s">
        <v>29</v>
      </c>
      <c r="F105" s="3" t="s">
        <v>30</v>
      </c>
      <c r="G105" s="26">
        <f>'Enero-18'!I105</f>
        <v>719.02</v>
      </c>
      <c r="H105" s="51"/>
      <c r="I105" s="17">
        <f t="shared" si="2"/>
        <v>719.02</v>
      </c>
      <c r="J105" s="30"/>
      <c r="K105" s="29"/>
    </row>
    <row r="106" spans="1:11" ht="33.75" customHeight="1">
      <c r="A106" s="4">
        <v>51401</v>
      </c>
      <c r="B106" s="5" t="s">
        <v>128</v>
      </c>
      <c r="C106" s="5"/>
      <c r="D106" s="3" t="s">
        <v>42</v>
      </c>
      <c r="E106" s="3" t="s">
        <v>29</v>
      </c>
      <c r="F106" s="3" t="s">
        <v>106</v>
      </c>
      <c r="G106" s="26">
        <f>'Enero-18'!I106</f>
        <v>2244.1799999999998</v>
      </c>
      <c r="H106" s="51">
        <f>199.98+205.28</f>
        <v>405.26</v>
      </c>
      <c r="I106" s="17">
        <f t="shared" si="2"/>
        <v>1838.9199999999998</v>
      </c>
      <c r="J106" s="33"/>
      <c r="K106" s="29"/>
    </row>
    <row r="107" spans="1:11" ht="36">
      <c r="A107" s="4">
        <v>51501</v>
      </c>
      <c r="B107" s="5" t="s">
        <v>168</v>
      </c>
      <c r="C107" s="5"/>
      <c r="D107" s="3" t="s">
        <v>42</v>
      </c>
      <c r="E107" s="3" t="s">
        <v>29</v>
      </c>
      <c r="F107" s="3" t="s">
        <v>106</v>
      </c>
      <c r="G107" s="26">
        <f>'Enero-18'!I107</f>
        <v>2829.78</v>
      </c>
      <c r="H107" s="51">
        <f>181.25+134.62</f>
        <v>315.87</v>
      </c>
      <c r="I107" s="17">
        <f t="shared" si="2"/>
        <v>2513.9100000000003</v>
      </c>
      <c r="J107" s="33"/>
      <c r="K107" s="29"/>
    </row>
    <row r="108" spans="1:11" ht="27.75" customHeight="1">
      <c r="A108" s="4">
        <v>51999</v>
      </c>
      <c r="B108" s="5" t="s">
        <v>178</v>
      </c>
      <c r="C108" s="5"/>
      <c r="D108" s="3" t="s">
        <v>42</v>
      </c>
      <c r="E108" s="3" t="s">
        <v>29</v>
      </c>
      <c r="F108" s="3" t="s">
        <v>30</v>
      </c>
      <c r="G108" s="26">
        <f>'Enero-18'!I108</f>
        <v>1000</v>
      </c>
      <c r="H108" s="51"/>
      <c r="I108" s="17">
        <f t="shared" si="2"/>
        <v>1000</v>
      </c>
      <c r="J108" s="33"/>
      <c r="K108" s="29"/>
    </row>
    <row r="109" spans="1:11">
      <c r="A109" s="4">
        <v>54110</v>
      </c>
      <c r="B109" s="2" t="s">
        <v>108</v>
      </c>
      <c r="C109" s="2"/>
      <c r="D109" s="3" t="s">
        <v>42</v>
      </c>
      <c r="E109" s="3" t="s">
        <v>29</v>
      </c>
      <c r="F109" s="3" t="s">
        <v>30</v>
      </c>
      <c r="G109" s="26">
        <f>'Enero-18'!I109</f>
        <v>1000</v>
      </c>
      <c r="H109" s="51"/>
      <c r="I109" s="17">
        <f t="shared" si="2"/>
        <v>1000</v>
      </c>
      <c r="J109" s="33"/>
      <c r="K109" s="29"/>
    </row>
    <row r="110" spans="1:11">
      <c r="A110" s="4">
        <v>54199</v>
      </c>
      <c r="B110" s="2" t="s">
        <v>61</v>
      </c>
      <c r="C110" s="2"/>
      <c r="D110" s="3" t="s">
        <v>42</v>
      </c>
      <c r="E110" s="3" t="s">
        <v>29</v>
      </c>
      <c r="F110" s="3" t="s">
        <v>106</v>
      </c>
      <c r="G110" s="26">
        <f>'Enero-18'!I110</f>
        <v>1000</v>
      </c>
      <c r="H110" s="51"/>
      <c r="I110" s="17">
        <f t="shared" si="2"/>
        <v>1000</v>
      </c>
      <c r="J110" s="35"/>
      <c r="K110" s="29"/>
    </row>
    <row r="111" spans="1:11">
      <c r="A111" s="4">
        <v>54201</v>
      </c>
      <c r="B111" s="2" t="s">
        <v>62</v>
      </c>
      <c r="C111" s="2"/>
      <c r="D111" s="3" t="s">
        <v>42</v>
      </c>
      <c r="E111" s="3" t="s">
        <v>29</v>
      </c>
      <c r="F111" s="3" t="s">
        <v>106</v>
      </c>
      <c r="G111" s="26">
        <f>'Enero-18'!I111</f>
        <v>16669.96</v>
      </c>
      <c r="H111" s="51">
        <f>3189.73</f>
        <v>3189.73</v>
      </c>
      <c r="I111" s="17">
        <f t="shared" si="2"/>
        <v>13480.23</v>
      </c>
      <c r="J111" s="18"/>
      <c r="K111" s="29"/>
    </row>
    <row r="112" spans="1:11">
      <c r="A112" s="4">
        <v>54202</v>
      </c>
      <c r="B112" s="2" t="s">
        <v>109</v>
      </c>
      <c r="C112" s="2"/>
      <c r="D112" s="3" t="s">
        <v>42</v>
      </c>
      <c r="E112" s="3" t="s">
        <v>29</v>
      </c>
      <c r="F112" s="3" t="s">
        <v>106</v>
      </c>
      <c r="G112" s="26">
        <f>'Enero-18'!I112</f>
        <v>1783.16</v>
      </c>
      <c r="H112" s="51"/>
      <c r="I112" s="17">
        <f t="shared" si="2"/>
        <v>1783.16</v>
      </c>
      <c r="J112" s="18"/>
      <c r="K112" s="29"/>
    </row>
    <row r="113" spans="1:11">
      <c r="A113" s="4">
        <v>54203</v>
      </c>
      <c r="B113" s="2" t="s">
        <v>64</v>
      </c>
      <c r="C113" s="2"/>
      <c r="D113" s="3" t="s">
        <v>42</v>
      </c>
      <c r="E113" s="3" t="s">
        <v>29</v>
      </c>
      <c r="F113" s="3" t="s">
        <v>106</v>
      </c>
      <c r="G113" s="26">
        <f>'Enero-18'!I113</f>
        <v>2000</v>
      </c>
      <c r="H113" s="51">
        <f>401.62</f>
        <v>401.62</v>
      </c>
      <c r="I113" s="17">
        <f t="shared" si="2"/>
        <v>1598.38</v>
      </c>
      <c r="J113" s="18"/>
      <c r="K113" s="29"/>
    </row>
    <row r="114" spans="1:11">
      <c r="A114" s="4">
        <v>54302</v>
      </c>
      <c r="B114" s="5" t="s">
        <v>136</v>
      </c>
      <c r="C114" s="2"/>
      <c r="D114" s="3" t="s">
        <v>42</v>
      </c>
      <c r="E114" s="3" t="s">
        <v>29</v>
      </c>
      <c r="F114" s="3" t="s">
        <v>106</v>
      </c>
      <c r="G114" s="26">
        <f>'Enero-18'!I114</f>
        <v>1</v>
      </c>
      <c r="H114" s="51"/>
      <c r="I114" s="17">
        <f t="shared" si="2"/>
        <v>1</v>
      </c>
      <c r="J114" s="35"/>
      <c r="K114" s="29"/>
    </row>
    <row r="115" spans="1:11">
      <c r="A115" s="4">
        <v>55603</v>
      </c>
      <c r="B115" s="2" t="s">
        <v>6</v>
      </c>
      <c r="C115" s="2"/>
      <c r="D115" s="3" t="s">
        <v>42</v>
      </c>
      <c r="E115" s="3" t="s">
        <v>29</v>
      </c>
      <c r="F115" s="3" t="s">
        <v>106</v>
      </c>
      <c r="G115" s="26">
        <f>'Enero-18'!I115</f>
        <v>500</v>
      </c>
      <c r="H115" s="51"/>
      <c r="I115" s="17">
        <f t="shared" si="2"/>
        <v>500</v>
      </c>
      <c r="J115" s="35"/>
      <c r="K115" s="29"/>
    </row>
    <row r="116" spans="1:11" ht="24.75" customHeight="1">
      <c r="A116" s="4">
        <v>55799</v>
      </c>
      <c r="B116" s="5" t="s">
        <v>137</v>
      </c>
      <c r="C116" s="2"/>
      <c r="D116" s="3" t="s">
        <v>42</v>
      </c>
      <c r="E116" s="3" t="s">
        <v>29</v>
      </c>
      <c r="F116" s="3" t="s">
        <v>106</v>
      </c>
      <c r="G116" s="26">
        <f>'Enero-18'!I116</f>
        <v>1600</v>
      </c>
      <c r="H116" s="51">
        <v>244.75</v>
      </c>
      <c r="I116" s="17">
        <f t="shared" si="2"/>
        <v>1355.25</v>
      </c>
      <c r="J116" s="35"/>
      <c r="K116" s="29"/>
    </row>
    <row r="117" spans="1:11" ht="27" customHeight="1">
      <c r="A117" s="4" t="s">
        <v>110</v>
      </c>
      <c r="B117" s="5" t="s">
        <v>111</v>
      </c>
      <c r="C117" s="2"/>
      <c r="D117" s="3" t="s">
        <v>42</v>
      </c>
      <c r="E117" s="3" t="s">
        <v>29</v>
      </c>
      <c r="F117" s="3" t="s">
        <v>106</v>
      </c>
      <c r="G117" s="26">
        <f>'Enero-18'!I117</f>
        <v>7200</v>
      </c>
      <c r="H117" s="51"/>
      <c r="I117" s="17">
        <f t="shared" si="2"/>
        <v>7200</v>
      </c>
      <c r="J117" s="35"/>
      <c r="K117" s="35"/>
    </row>
    <row r="118" spans="1:11" ht="24" customHeight="1">
      <c r="A118" s="4" t="s">
        <v>112</v>
      </c>
      <c r="B118" s="5" t="s">
        <v>113</v>
      </c>
      <c r="C118" s="2"/>
      <c r="D118" s="3" t="s">
        <v>42</v>
      </c>
      <c r="E118" s="3" t="s">
        <v>29</v>
      </c>
      <c r="F118" s="3" t="s">
        <v>106</v>
      </c>
      <c r="G118" s="26">
        <f>'Enero-18'!I118</f>
        <v>1000</v>
      </c>
      <c r="H118" s="51"/>
      <c r="I118" s="17">
        <f t="shared" si="2"/>
        <v>1000</v>
      </c>
      <c r="J118" s="35"/>
      <c r="K118" s="35"/>
    </row>
    <row r="119" spans="1:11" ht="27">
      <c r="A119" s="4">
        <v>56301</v>
      </c>
      <c r="B119" s="5" t="s">
        <v>114</v>
      </c>
      <c r="C119" s="2"/>
      <c r="D119" s="3" t="s">
        <v>42</v>
      </c>
      <c r="E119" s="3" t="s">
        <v>29</v>
      </c>
      <c r="F119" s="3" t="s">
        <v>106</v>
      </c>
      <c r="G119" s="26">
        <f>'Enero-18'!I119</f>
        <v>2000</v>
      </c>
      <c r="H119" s="51"/>
      <c r="I119" s="17">
        <f t="shared" si="2"/>
        <v>2000</v>
      </c>
      <c r="J119" s="35"/>
      <c r="K119" s="35"/>
    </row>
    <row r="120" spans="1:11" ht="39.75" customHeight="1">
      <c r="A120" s="4"/>
      <c r="B120" s="5" t="s">
        <v>179</v>
      </c>
      <c r="C120" s="2"/>
      <c r="D120" s="3" t="s">
        <v>42</v>
      </c>
      <c r="E120" s="3" t="s">
        <v>29</v>
      </c>
      <c r="F120" s="3" t="s">
        <v>30</v>
      </c>
      <c r="G120" s="26">
        <f>'Enero-18'!I120</f>
        <v>46027.37</v>
      </c>
      <c r="H120" s="51"/>
      <c r="I120" s="17">
        <f t="shared" si="2"/>
        <v>46027.37</v>
      </c>
      <c r="J120" s="29"/>
      <c r="K120" s="30"/>
    </row>
    <row r="121" spans="1:11" ht="21">
      <c r="A121" s="38" t="s">
        <v>8</v>
      </c>
      <c r="B121" s="39" t="s">
        <v>115</v>
      </c>
      <c r="C121" s="39"/>
      <c r="D121" s="39" t="s">
        <v>42</v>
      </c>
      <c r="E121" s="39" t="s">
        <v>29</v>
      </c>
      <c r="F121" s="39" t="s">
        <v>30</v>
      </c>
      <c r="G121" s="40">
        <f>SUM(G101:G120)</f>
        <v>194162.49</v>
      </c>
      <c r="H121" s="95">
        <f>SUM(H101:H120)</f>
        <v>17429.96</v>
      </c>
      <c r="I121" s="40">
        <f>G121-H121+J121-K121</f>
        <v>176732.53</v>
      </c>
      <c r="J121" s="40"/>
      <c r="K121" s="40"/>
    </row>
    <row r="122" spans="1:11">
      <c r="A122" s="4">
        <v>51101</v>
      </c>
      <c r="B122" s="2" t="s">
        <v>180</v>
      </c>
      <c r="C122" s="2"/>
      <c r="D122" s="3" t="s">
        <v>94</v>
      </c>
      <c r="E122" s="3" t="s">
        <v>29</v>
      </c>
      <c r="F122" s="3" t="s">
        <v>106</v>
      </c>
      <c r="G122" s="26">
        <f>'Enero-18'!I122</f>
        <v>77746.540000000008</v>
      </c>
      <c r="H122" s="51">
        <f>5372.98</f>
        <v>5372.98</v>
      </c>
      <c r="I122" s="17">
        <f t="shared" si="2"/>
        <v>72373.560000000012</v>
      </c>
      <c r="J122" s="30"/>
      <c r="K122" s="35"/>
    </row>
    <row r="123" spans="1:11">
      <c r="A123" s="4">
        <v>51103</v>
      </c>
      <c r="B123" s="2" t="s">
        <v>181</v>
      </c>
      <c r="C123" s="2"/>
      <c r="D123" s="3" t="s">
        <v>94</v>
      </c>
      <c r="E123" s="3" t="s">
        <v>29</v>
      </c>
      <c r="F123" s="3" t="s">
        <v>106</v>
      </c>
      <c r="G123" s="26">
        <f>'Enero-18'!I123</f>
        <v>5128.9799999999996</v>
      </c>
      <c r="H123" s="51"/>
      <c r="I123" s="17">
        <f t="shared" si="2"/>
        <v>5128.9799999999996</v>
      </c>
      <c r="J123" s="30"/>
      <c r="K123" s="29"/>
    </row>
    <row r="124" spans="1:11">
      <c r="A124" s="4">
        <v>51201</v>
      </c>
      <c r="B124" s="2" t="s">
        <v>44</v>
      </c>
      <c r="C124" s="2"/>
      <c r="D124" s="3" t="s">
        <v>94</v>
      </c>
      <c r="E124" s="3" t="s">
        <v>29</v>
      </c>
      <c r="F124" s="3" t="s">
        <v>30</v>
      </c>
      <c r="G124" s="26">
        <f>'Enero-18'!I124</f>
        <v>1000</v>
      </c>
      <c r="H124" s="51"/>
      <c r="I124" s="17">
        <f t="shared" si="2"/>
        <v>1000</v>
      </c>
      <c r="J124" s="30"/>
      <c r="K124" s="29"/>
    </row>
    <row r="125" spans="1:11">
      <c r="A125" s="4">
        <v>51301</v>
      </c>
      <c r="B125" s="2" t="s">
        <v>45</v>
      </c>
      <c r="C125" s="2"/>
      <c r="D125" s="3" t="s">
        <v>94</v>
      </c>
      <c r="E125" s="3" t="s">
        <v>29</v>
      </c>
      <c r="F125" s="3" t="s">
        <v>30</v>
      </c>
      <c r="G125" s="26">
        <f>'Enero-18'!I125</f>
        <v>5834.38</v>
      </c>
      <c r="H125" s="51">
        <f>641.67+555.99</f>
        <v>1197.6599999999999</v>
      </c>
      <c r="I125" s="17">
        <f t="shared" si="2"/>
        <v>4636.72</v>
      </c>
      <c r="J125" s="30"/>
      <c r="K125" s="29"/>
    </row>
    <row r="126" spans="1:11">
      <c r="A126" s="4">
        <v>51999</v>
      </c>
      <c r="B126" s="2" t="s">
        <v>47</v>
      </c>
      <c r="C126" s="2"/>
      <c r="D126" s="3" t="s">
        <v>94</v>
      </c>
      <c r="E126" s="3" t="s">
        <v>29</v>
      </c>
      <c r="F126" s="3" t="s">
        <v>30</v>
      </c>
      <c r="G126" s="26">
        <f>'Enero-18'!I126</f>
        <v>1500</v>
      </c>
      <c r="H126" s="51"/>
      <c r="I126" s="17">
        <f t="shared" si="2"/>
        <v>1500</v>
      </c>
      <c r="J126" s="30"/>
      <c r="K126" s="29"/>
    </row>
    <row r="127" spans="1:11" ht="25.5">
      <c r="A127" s="4">
        <v>51401</v>
      </c>
      <c r="B127" s="5" t="s">
        <v>138</v>
      </c>
      <c r="C127" s="2"/>
      <c r="D127" s="3" t="s">
        <v>94</v>
      </c>
      <c r="E127" s="3" t="s">
        <v>29</v>
      </c>
      <c r="F127" s="3" t="s">
        <v>106</v>
      </c>
      <c r="G127" s="26">
        <f>'Enero-18'!I127</f>
        <v>2598.1</v>
      </c>
      <c r="H127" s="51">
        <f>374.63</f>
        <v>374.63</v>
      </c>
      <c r="I127" s="17">
        <f t="shared" si="2"/>
        <v>2223.4699999999998</v>
      </c>
      <c r="J127" s="35"/>
      <c r="K127" s="34"/>
    </row>
    <row r="128" spans="1:11" ht="36" customHeight="1">
      <c r="A128" s="4">
        <v>51501</v>
      </c>
      <c r="B128" s="5" t="s">
        <v>182</v>
      </c>
      <c r="C128" s="2"/>
      <c r="D128" s="3" t="s">
        <v>94</v>
      </c>
      <c r="E128" s="3" t="s">
        <v>29</v>
      </c>
      <c r="F128" s="3" t="s">
        <v>30</v>
      </c>
      <c r="G128" s="26">
        <f>'Enero-18'!I128</f>
        <v>3477.77</v>
      </c>
      <c r="H128" s="51">
        <f>281.4+133.29</f>
        <v>414.68999999999994</v>
      </c>
      <c r="I128" s="17">
        <f t="shared" si="2"/>
        <v>3063.08</v>
      </c>
      <c r="J128" s="35"/>
      <c r="K128" s="27"/>
    </row>
    <row r="129" spans="1:11">
      <c r="A129" s="4">
        <v>54105</v>
      </c>
      <c r="B129" s="2" t="s">
        <v>116</v>
      </c>
      <c r="C129" s="2"/>
      <c r="D129" s="3" t="s">
        <v>94</v>
      </c>
      <c r="E129" s="3" t="s">
        <v>29</v>
      </c>
      <c r="F129" s="3" t="s">
        <v>30</v>
      </c>
      <c r="G129" s="26">
        <f>'Enero-18'!I129</f>
        <v>5000</v>
      </c>
      <c r="H129" s="51"/>
      <c r="I129" s="17">
        <f t="shared" si="2"/>
        <v>5000</v>
      </c>
      <c r="J129" s="30"/>
      <c r="K129" s="29"/>
    </row>
    <row r="130" spans="1:11">
      <c r="A130" s="4">
        <v>54114</v>
      </c>
      <c r="B130" s="2" t="s">
        <v>56</v>
      </c>
      <c r="C130" s="2"/>
      <c r="D130" s="3" t="s">
        <v>94</v>
      </c>
      <c r="E130" s="3" t="s">
        <v>29</v>
      </c>
      <c r="F130" s="3" t="s">
        <v>30</v>
      </c>
      <c r="G130" s="26">
        <f>'Enero-18'!I130</f>
        <v>4648.5</v>
      </c>
      <c r="H130" s="51"/>
      <c r="I130" s="17">
        <f t="shared" si="2"/>
        <v>4648.5</v>
      </c>
      <c r="J130" s="35"/>
      <c r="K130" s="35"/>
    </row>
    <row r="131" spans="1:11">
      <c r="A131" s="4">
        <v>54115</v>
      </c>
      <c r="B131" s="2" t="s">
        <v>57</v>
      </c>
      <c r="C131" s="2"/>
      <c r="D131" s="3" t="s">
        <v>94</v>
      </c>
      <c r="E131" s="3" t="s">
        <v>29</v>
      </c>
      <c r="F131" s="3" t="s">
        <v>30</v>
      </c>
      <c r="G131" s="26">
        <f>'Enero-18'!I131</f>
        <v>8000</v>
      </c>
      <c r="H131" s="51">
        <f>574.5</f>
        <v>574.5</v>
      </c>
      <c r="I131" s="17">
        <f t="shared" si="2"/>
        <v>7425.5</v>
      </c>
      <c r="J131" s="29"/>
      <c r="K131" s="28"/>
    </row>
    <row r="132" spans="1:11" ht="21">
      <c r="A132" s="38" t="s">
        <v>8</v>
      </c>
      <c r="B132" s="39" t="s">
        <v>117</v>
      </c>
      <c r="C132" s="39"/>
      <c r="D132" s="39" t="s">
        <v>94</v>
      </c>
      <c r="E132" s="39" t="s">
        <v>29</v>
      </c>
      <c r="F132" s="39" t="s">
        <v>30</v>
      </c>
      <c r="G132" s="40">
        <f>SUM(G122:G131)</f>
        <v>114934.27000000002</v>
      </c>
      <c r="H132" s="95">
        <f>SUM(H122:H131)</f>
        <v>7934.4599999999991</v>
      </c>
      <c r="I132" s="40">
        <f>G132-H132+J132-K132</f>
        <v>106999.81000000003</v>
      </c>
      <c r="J132" s="40"/>
      <c r="K132" s="40"/>
    </row>
    <row r="133" spans="1:11">
      <c r="A133" s="4">
        <v>51101</v>
      </c>
      <c r="B133" s="2" t="s">
        <v>183</v>
      </c>
      <c r="C133" s="2"/>
      <c r="D133" s="3" t="s">
        <v>97</v>
      </c>
      <c r="E133" s="3" t="s">
        <v>29</v>
      </c>
      <c r="F133" s="3" t="s">
        <v>106</v>
      </c>
      <c r="G133" s="17">
        <f>'Enero-18'!I133</f>
        <v>214813.07</v>
      </c>
      <c r="H133" s="51">
        <f>17815.92</f>
        <v>17815.919999999998</v>
      </c>
      <c r="I133" s="17">
        <f t="shared" si="2"/>
        <v>196997.15000000002</v>
      </c>
      <c r="J133" s="30"/>
      <c r="K133" s="35"/>
    </row>
    <row r="134" spans="1:11">
      <c r="A134" s="4">
        <v>51103</v>
      </c>
      <c r="B134" s="2" t="s">
        <v>118</v>
      </c>
      <c r="C134" s="2"/>
      <c r="D134" s="3" t="s">
        <v>97</v>
      </c>
      <c r="E134" s="3" t="s">
        <v>29</v>
      </c>
      <c r="F134" s="3" t="s">
        <v>106</v>
      </c>
      <c r="G134" s="17">
        <f>'Enero-18'!I134</f>
        <v>19385.310000000001</v>
      </c>
      <c r="H134" s="51"/>
      <c r="I134" s="248">
        <f>G134-H134+J134-K134</f>
        <v>19385.310000000001</v>
      </c>
      <c r="J134" s="30"/>
      <c r="K134" s="30"/>
    </row>
    <row r="135" spans="1:11">
      <c r="A135" s="4">
        <v>51107</v>
      </c>
      <c r="B135" s="2" t="s">
        <v>184</v>
      </c>
      <c r="C135" s="2"/>
      <c r="D135" s="3" t="s">
        <v>97</v>
      </c>
      <c r="E135" s="3" t="s">
        <v>29</v>
      </c>
      <c r="F135" s="3" t="s">
        <v>30</v>
      </c>
      <c r="G135" s="17">
        <f>'Enero-18'!I135</f>
        <v>2000</v>
      </c>
      <c r="H135" s="51"/>
      <c r="I135" s="17">
        <f t="shared" si="2"/>
        <v>2000</v>
      </c>
      <c r="J135" s="30"/>
      <c r="K135" s="27"/>
    </row>
    <row r="136" spans="1:11">
      <c r="A136" s="4">
        <v>51201</v>
      </c>
      <c r="B136" s="2" t="s">
        <v>119</v>
      </c>
      <c r="C136" s="2"/>
      <c r="D136" s="3" t="s">
        <v>97</v>
      </c>
      <c r="E136" s="3" t="s">
        <v>29</v>
      </c>
      <c r="F136" s="3" t="s">
        <v>30</v>
      </c>
      <c r="G136" s="17">
        <f>'Enero-18'!I136</f>
        <v>2000</v>
      </c>
      <c r="H136" s="51"/>
      <c r="I136" s="17">
        <f t="shared" si="2"/>
        <v>2000</v>
      </c>
      <c r="J136" s="30"/>
      <c r="K136" s="27"/>
    </row>
    <row r="137" spans="1:11">
      <c r="A137" s="4">
        <v>51301</v>
      </c>
      <c r="B137" s="2" t="s">
        <v>45</v>
      </c>
      <c r="C137" s="2"/>
      <c r="D137" s="3" t="s">
        <v>97</v>
      </c>
      <c r="E137" s="3" t="s">
        <v>29</v>
      </c>
      <c r="F137" s="3" t="s">
        <v>106</v>
      </c>
      <c r="G137" s="17">
        <f>'Enero-18'!I137</f>
        <v>5918.86</v>
      </c>
      <c r="H137" s="51">
        <f>350.63+397.8+177.27+131.75+190.97+86.63</f>
        <v>1335.0500000000002</v>
      </c>
      <c r="I137" s="17">
        <f t="shared" si="2"/>
        <v>4583.8099999999995</v>
      </c>
      <c r="J137" s="20"/>
      <c r="K137" s="35"/>
    </row>
    <row r="138" spans="1:11" ht="43.5" customHeight="1">
      <c r="A138" s="4">
        <v>51401</v>
      </c>
      <c r="B138" s="5" t="s">
        <v>139</v>
      </c>
      <c r="C138" s="2"/>
      <c r="D138" s="3" t="s">
        <v>97</v>
      </c>
      <c r="E138" s="3" t="s">
        <v>29</v>
      </c>
      <c r="F138" s="3" t="s">
        <v>106</v>
      </c>
      <c r="G138" s="17">
        <f>'Enero-18'!I138</f>
        <v>9235.84</v>
      </c>
      <c r="H138" s="51">
        <f>1255.76+42.9</f>
        <v>1298.6600000000001</v>
      </c>
      <c r="I138" s="17">
        <f t="shared" si="2"/>
        <v>7937.18</v>
      </c>
      <c r="J138" s="35"/>
      <c r="K138" s="35"/>
    </row>
    <row r="139" spans="1:11" ht="41.25" customHeight="1">
      <c r="A139" s="4">
        <v>51501</v>
      </c>
      <c r="B139" s="5" t="s">
        <v>185</v>
      </c>
      <c r="C139" s="2"/>
      <c r="D139" s="3" t="s">
        <v>97</v>
      </c>
      <c r="E139" s="3" t="s">
        <v>29</v>
      </c>
      <c r="F139" s="3" t="s">
        <v>106</v>
      </c>
      <c r="G139" s="17">
        <f>'Enero-18'!I139</f>
        <v>9909.44</v>
      </c>
      <c r="H139" s="51">
        <f>727.2+406.6</f>
        <v>1133.8000000000002</v>
      </c>
      <c r="I139" s="17">
        <f t="shared" si="2"/>
        <v>8775.64</v>
      </c>
      <c r="J139" s="35"/>
      <c r="K139" s="35"/>
    </row>
    <row r="140" spans="1:11" ht="20.25" customHeight="1">
      <c r="A140" s="4">
        <v>54110</v>
      </c>
      <c r="B140" s="5" t="s">
        <v>108</v>
      </c>
      <c r="C140" s="2"/>
      <c r="D140" s="3" t="s">
        <v>97</v>
      </c>
      <c r="E140" s="3" t="s">
        <v>29</v>
      </c>
      <c r="F140" s="3" t="s">
        <v>106</v>
      </c>
      <c r="G140" s="17">
        <f>'Enero-18'!I140</f>
        <v>1</v>
      </c>
      <c r="H140" s="51"/>
      <c r="I140" s="17">
        <f t="shared" si="2"/>
        <v>1</v>
      </c>
      <c r="J140" s="35"/>
      <c r="K140" s="35"/>
    </row>
    <row r="141" spans="1:11">
      <c r="A141" s="4">
        <v>54121</v>
      </c>
      <c r="B141" s="2" t="s">
        <v>120</v>
      </c>
      <c r="C141" s="2"/>
      <c r="D141" s="3" t="s">
        <v>97</v>
      </c>
      <c r="E141" s="3" t="s">
        <v>29</v>
      </c>
      <c r="F141" s="3" t="s">
        <v>106</v>
      </c>
      <c r="G141" s="17">
        <f>'Enero-18'!I141</f>
        <v>2000</v>
      </c>
      <c r="H141" s="51">
        <v>1143</v>
      </c>
      <c r="I141" s="17">
        <f>G141-H141+J141-K141</f>
        <v>857</v>
      </c>
      <c r="J141" s="35"/>
      <c r="K141" s="29"/>
    </row>
    <row r="142" spans="1:11">
      <c r="A142" s="4">
        <v>54301</v>
      </c>
      <c r="B142" s="2" t="s">
        <v>140</v>
      </c>
      <c r="C142" s="2"/>
      <c r="D142" s="3" t="s">
        <v>97</v>
      </c>
      <c r="E142" s="3" t="s">
        <v>29</v>
      </c>
      <c r="F142" s="3" t="s">
        <v>106</v>
      </c>
      <c r="G142" s="17">
        <f>'Enero-18'!I142</f>
        <v>1</v>
      </c>
      <c r="H142" s="51"/>
      <c r="I142" s="17">
        <f>G142-H142+J142-K142</f>
        <v>1</v>
      </c>
      <c r="J142" s="35"/>
      <c r="K142" s="29"/>
    </row>
    <row r="143" spans="1:11">
      <c r="A143" s="4">
        <v>54302</v>
      </c>
      <c r="B143" s="2" t="s">
        <v>121</v>
      </c>
      <c r="C143" s="2"/>
      <c r="D143" s="3" t="s">
        <v>122</v>
      </c>
      <c r="E143" s="3" t="s">
        <v>29</v>
      </c>
      <c r="F143" s="3" t="s">
        <v>30</v>
      </c>
      <c r="G143" s="17">
        <f>'Enero-18'!I143</f>
        <v>1</v>
      </c>
      <c r="H143" s="51"/>
      <c r="I143" s="17">
        <f>G143-H143+J143-K143</f>
        <v>1</v>
      </c>
      <c r="J143" s="22"/>
      <c r="K143" s="29"/>
    </row>
    <row r="144" spans="1:11" ht="21">
      <c r="A144" s="38" t="s">
        <v>8</v>
      </c>
      <c r="B144" s="39" t="s">
        <v>123</v>
      </c>
      <c r="C144" s="39"/>
      <c r="D144" s="39" t="s">
        <v>97</v>
      </c>
      <c r="E144" s="39" t="s">
        <v>29</v>
      </c>
      <c r="F144" s="39" t="s">
        <v>30</v>
      </c>
      <c r="G144" s="40">
        <f>SUM(G133:G143)</f>
        <v>265265.51999999996</v>
      </c>
      <c r="H144" s="95">
        <f>SUM(H133:H143)</f>
        <v>22726.429999999997</v>
      </c>
      <c r="I144" s="40">
        <f>G144-H144+J144-K144</f>
        <v>242539.08999999997</v>
      </c>
      <c r="J144" s="40"/>
      <c r="K144" s="40"/>
    </row>
    <row r="145" spans="1:11">
      <c r="A145" s="1">
        <v>54305</v>
      </c>
      <c r="B145" s="2" t="s">
        <v>0</v>
      </c>
      <c r="C145" s="2"/>
      <c r="D145" s="3" t="s">
        <v>1</v>
      </c>
      <c r="E145" s="3" t="s">
        <v>25</v>
      </c>
      <c r="F145" s="3" t="s">
        <v>26</v>
      </c>
      <c r="G145" s="17">
        <f>'Enero-18'!I145</f>
        <v>1500</v>
      </c>
      <c r="H145" s="51"/>
      <c r="I145" s="17">
        <f t="shared" ref="I145:I262" si="3">G145-H145+J145-K145</f>
        <v>1500</v>
      </c>
      <c r="J145" s="37"/>
      <c r="K145" s="36"/>
    </row>
    <row r="146" spans="1:11" ht="30.75" customHeight="1">
      <c r="A146" s="4">
        <v>54313</v>
      </c>
      <c r="B146" s="5" t="s">
        <v>2</v>
      </c>
      <c r="C146" s="5"/>
      <c r="D146" s="3" t="s">
        <v>1</v>
      </c>
      <c r="E146" s="3" t="s">
        <v>25</v>
      </c>
      <c r="F146" s="3" t="s">
        <v>26</v>
      </c>
      <c r="G146" s="17">
        <f>'Enero-18'!I146</f>
        <v>1246.32</v>
      </c>
      <c r="H146" s="51"/>
      <c r="I146" s="17">
        <f t="shared" si="3"/>
        <v>1246.32</v>
      </c>
      <c r="J146" s="37"/>
      <c r="K146" s="36"/>
    </row>
    <row r="147" spans="1:11">
      <c r="A147" s="4">
        <v>54503</v>
      </c>
      <c r="B147" s="5" t="s">
        <v>3</v>
      </c>
      <c r="C147" s="2"/>
      <c r="D147" s="3" t="s">
        <v>1</v>
      </c>
      <c r="E147" s="3" t="s">
        <v>25</v>
      </c>
      <c r="F147" s="3" t="s">
        <v>26</v>
      </c>
      <c r="G147" s="17">
        <f>'Enero-18'!I147</f>
        <v>2000</v>
      </c>
      <c r="H147" s="51"/>
      <c r="I147" s="17">
        <f t="shared" si="3"/>
        <v>2000</v>
      </c>
      <c r="J147" s="37"/>
      <c r="K147" s="36"/>
    </row>
    <row r="148" spans="1:11">
      <c r="A148" s="4">
        <v>54505</v>
      </c>
      <c r="B148" s="2" t="s">
        <v>4</v>
      </c>
      <c r="C148" s="2"/>
      <c r="D148" s="3" t="s">
        <v>1</v>
      </c>
      <c r="E148" s="3" t="s">
        <v>25</v>
      </c>
      <c r="F148" s="3" t="s">
        <v>27</v>
      </c>
      <c r="G148" s="17">
        <f>'Enero-18'!I148</f>
        <v>2000</v>
      </c>
      <c r="H148" s="51"/>
      <c r="I148" s="17">
        <f t="shared" si="3"/>
        <v>2000</v>
      </c>
      <c r="J148" s="37"/>
      <c r="K148" s="36"/>
    </row>
    <row r="149" spans="1:11" ht="30">
      <c r="A149" s="11">
        <v>54599</v>
      </c>
      <c r="B149" s="54" t="s">
        <v>5</v>
      </c>
      <c r="C149" s="68"/>
      <c r="D149" s="14" t="s">
        <v>1</v>
      </c>
      <c r="E149" s="14" t="s">
        <v>25</v>
      </c>
      <c r="F149" s="14" t="s">
        <v>27</v>
      </c>
      <c r="G149" s="17">
        <f>'Enero-18'!I149</f>
        <v>6723.16</v>
      </c>
      <c r="H149" s="51">
        <v>555.54999999999995</v>
      </c>
      <c r="I149" s="17">
        <f t="shared" si="3"/>
        <v>6167.61</v>
      </c>
      <c r="J149" s="62"/>
      <c r="K149" s="63"/>
    </row>
    <row r="150" spans="1:11">
      <c r="A150" s="11">
        <v>55603</v>
      </c>
      <c r="B150" s="54" t="s">
        <v>6</v>
      </c>
      <c r="C150" s="55"/>
      <c r="D150" s="14" t="s">
        <v>1</v>
      </c>
      <c r="E150" s="14" t="s">
        <v>25</v>
      </c>
      <c r="F150" s="14" t="s">
        <v>26</v>
      </c>
      <c r="G150" s="17">
        <f>'Enero-18'!I150</f>
        <v>100</v>
      </c>
      <c r="H150" s="51">
        <v>1.3</v>
      </c>
      <c r="I150" s="17">
        <f t="shared" si="3"/>
        <v>98.7</v>
      </c>
      <c r="J150" s="64"/>
      <c r="K150" s="65"/>
    </row>
    <row r="151" spans="1:11" ht="26.25">
      <c r="A151" s="4">
        <v>61599</v>
      </c>
      <c r="B151" s="5" t="s">
        <v>7</v>
      </c>
      <c r="C151" s="5"/>
      <c r="D151" s="3" t="s">
        <v>1</v>
      </c>
      <c r="E151" s="3" t="s">
        <v>25</v>
      </c>
      <c r="F151" s="3" t="s">
        <v>26</v>
      </c>
      <c r="G151" s="17">
        <f>'Enero-18'!I151</f>
        <v>3000</v>
      </c>
      <c r="H151" s="51"/>
      <c r="I151" s="17">
        <f t="shared" si="3"/>
        <v>3000</v>
      </c>
      <c r="J151" s="37"/>
      <c r="K151" s="36"/>
    </row>
    <row r="152" spans="1:11" ht="21">
      <c r="A152" s="38" t="s">
        <v>8</v>
      </c>
      <c r="B152" s="39" t="s">
        <v>9</v>
      </c>
      <c r="C152" s="39"/>
      <c r="D152" s="39" t="s">
        <v>1</v>
      </c>
      <c r="E152" s="39" t="s">
        <v>25</v>
      </c>
      <c r="F152" s="39" t="s">
        <v>27</v>
      </c>
      <c r="G152" s="40">
        <f>SUM(G145:G151)</f>
        <v>16569.48</v>
      </c>
      <c r="H152" s="95">
        <f>SUM(H145:H151)</f>
        <v>556.84999999999991</v>
      </c>
      <c r="I152" s="40">
        <f>G152-H152+J152-K152</f>
        <v>16012.63</v>
      </c>
      <c r="J152" s="40"/>
      <c r="K152" s="40"/>
    </row>
    <row r="153" spans="1:11" ht="28.5" customHeight="1">
      <c r="A153" s="4">
        <v>54104</v>
      </c>
      <c r="B153" s="7" t="s">
        <v>186</v>
      </c>
      <c r="C153" s="6"/>
      <c r="D153" s="3" t="s">
        <v>11</v>
      </c>
      <c r="E153" s="3" t="s">
        <v>25</v>
      </c>
      <c r="F153" s="3" t="s">
        <v>26</v>
      </c>
      <c r="G153" s="17">
        <f>'Enero-18'!I153</f>
        <v>3000</v>
      </c>
      <c r="H153" s="51"/>
      <c r="I153" s="17">
        <f t="shared" si="3"/>
        <v>3000</v>
      </c>
      <c r="J153" s="37"/>
      <c r="K153" s="36"/>
    </row>
    <row r="154" spans="1:11" ht="44.25" customHeight="1">
      <c r="A154" s="4">
        <v>54117</v>
      </c>
      <c r="B154" s="7" t="s">
        <v>187</v>
      </c>
      <c r="C154" s="6"/>
      <c r="D154" s="3" t="s">
        <v>11</v>
      </c>
      <c r="E154" s="3" t="s">
        <v>25</v>
      </c>
      <c r="F154" s="3" t="s">
        <v>26</v>
      </c>
      <c r="G154" s="17">
        <f>'Enero-18'!I154</f>
        <v>1500</v>
      </c>
      <c r="H154" s="51"/>
      <c r="I154" s="17">
        <f t="shared" si="3"/>
        <v>1500</v>
      </c>
      <c r="J154" s="37"/>
      <c r="K154" s="36"/>
    </row>
    <row r="155" spans="1:11" ht="25.5">
      <c r="A155" s="4">
        <v>55603</v>
      </c>
      <c r="B155" s="5" t="s">
        <v>13</v>
      </c>
      <c r="C155" s="6"/>
      <c r="D155" s="3" t="s">
        <v>11</v>
      </c>
      <c r="E155" s="3" t="s">
        <v>25</v>
      </c>
      <c r="F155" s="3" t="s">
        <v>26</v>
      </c>
      <c r="G155" s="17">
        <f>'Enero-18'!I155</f>
        <v>998.7</v>
      </c>
      <c r="H155" s="51">
        <f>1.3+1.3</f>
        <v>2.6</v>
      </c>
      <c r="I155" s="17">
        <f t="shared" si="3"/>
        <v>996.1</v>
      </c>
      <c r="J155" s="37"/>
      <c r="K155" s="36"/>
    </row>
    <row r="156" spans="1:11" ht="24" customHeight="1">
      <c r="A156" s="66" t="s">
        <v>14</v>
      </c>
      <c r="B156" s="67" t="s">
        <v>188</v>
      </c>
      <c r="C156" s="55"/>
      <c r="D156" s="14" t="s">
        <v>11</v>
      </c>
      <c r="E156" s="14" t="s">
        <v>25</v>
      </c>
      <c r="F156" s="50" t="s">
        <v>26</v>
      </c>
      <c r="G156" s="17">
        <f>'Enero-18'!I156</f>
        <v>10000</v>
      </c>
      <c r="H156" s="51">
        <f>325+175</f>
        <v>500</v>
      </c>
      <c r="I156" s="50">
        <f t="shared" si="3"/>
        <v>9500</v>
      </c>
      <c r="J156" s="65"/>
      <c r="K156" s="54"/>
    </row>
    <row r="157" spans="1:11" ht="28.5" customHeight="1">
      <c r="A157" s="11">
        <v>61104</v>
      </c>
      <c r="B157" s="54" t="s">
        <v>189</v>
      </c>
      <c r="C157" s="55"/>
      <c r="D157" s="14" t="s">
        <v>11</v>
      </c>
      <c r="E157" s="14" t="s">
        <v>25</v>
      </c>
      <c r="F157" s="14" t="s">
        <v>27</v>
      </c>
      <c r="G157" s="17">
        <f>'Enero-18'!I157</f>
        <v>15000</v>
      </c>
      <c r="H157" s="51">
        <v>115.75</v>
      </c>
      <c r="I157" s="17">
        <f t="shared" si="3"/>
        <v>14884.25</v>
      </c>
      <c r="J157" s="62"/>
      <c r="K157" s="63"/>
    </row>
    <row r="158" spans="1:11" ht="31.5" customHeight="1">
      <c r="A158" s="11">
        <v>61109</v>
      </c>
      <c r="B158" s="54" t="s">
        <v>190</v>
      </c>
      <c r="C158" s="55"/>
      <c r="D158" s="14" t="s">
        <v>11</v>
      </c>
      <c r="E158" s="14" t="s">
        <v>25</v>
      </c>
      <c r="F158" s="14" t="s">
        <v>26</v>
      </c>
      <c r="G158" s="17">
        <f>'Enero-18'!I158</f>
        <v>10000</v>
      </c>
      <c r="H158" s="51"/>
      <c r="I158" s="17">
        <f t="shared" si="3"/>
        <v>10000</v>
      </c>
      <c r="J158" s="62"/>
      <c r="K158" s="63"/>
    </row>
    <row r="159" spans="1:11" ht="29.25" customHeight="1">
      <c r="A159" s="11" t="s">
        <v>160</v>
      </c>
      <c r="B159" s="54" t="s">
        <v>194</v>
      </c>
      <c r="C159" s="55"/>
      <c r="D159" s="14" t="s">
        <v>11</v>
      </c>
      <c r="E159" s="14" t="s">
        <v>25</v>
      </c>
      <c r="F159" s="14" t="s">
        <v>26</v>
      </c>
      <c r="G159" s="17">
        <f>'Enero-18'!I159</f>
        <v>1500</v>
      </c>
      <c r="H159" s="51"/>
      <c r="I159" s="17">
        <f t="shared" si="3"/>
        <v>1500</v>
      </c>
      <c r="J159" s="62"/>
      <c r="K159" s="63"/>
    </row>
    <row r="160" spans="1:11" ht="27.75" customHeight="1">
      <c r="A160" s="11" t="s">
        <v>191</v>
      </c>
      <c r="B160" s="54" t="s">
        <v>195</v>
      </c>
      <c r="C160" s="55"/>
      <c r="D160" s="14" t="s">
        <v>11</v>
      </c>
      <c r="E160" s="14" t="s">
        <v>25</v>
      </c>
      <c r="F160" s="14" t="s">
        <v>26</v>
      </c>
      <c r="G160" s="17">
        <f>'Enero-18'!I160</f>
        <v>15000</v>
      </c>
      <c r="H160" s="51"/>
      <c r="I160" s="17">
        <f t="shared" si="3"/>
        <v>15000</v>
      </c>
      <c r="J160" s="64"/>
      <c r="K160" s="65"/>
    </row>
    <row r="161" spans="1:11" ht="26.25" customHeight="1">
      <c r="A161" s="11" t="s">
        <v>192</v>
      </c>
      <c r="B161" s="53" t="s">
        <v>196</v>
      </c>
      <c r="C161" s="8"/>
      <c r="D161" s="3" t="s">
        <v>11</v>
      </c>
      <c r="E161" s="3" t="s">
        <v>25</v>
      </c>
      <c r="F161" s="3" t="s">
        <v>26</v>
      </c>
      <c r="G161" s="17">
        <f>'Enero-18'!I161</f>
        <v>10000</v>
      </c>
      <c r="H161" s="51"/>
      <c r="I161" s="17">
        <f t="shared" si="3"/>
        <v>10000</v>
      </c>
      <c r="J161" s="45"/>
      <c r="K161" s="46"/>
    </row>
    <row r="162" spans="1:11" ht="40.5">
      <c r="A162" s="11" t="s">
        <v>193</v>
      </c>
      <c r="B162" s="53" t="s">
        <v>197</v>
      </c>
      <c r="C162" s="8"/>
      <c r="D162" s="3" t="s">
        <v>11</v>
      </c>
      <c r="E162" s="3" t="s">
        <v>25</v>
      </c>
      <c r="F162" s="3" t="s">
        <v>26</v>
      </c>
      <c r="G162" s="17">
        <f>'Enero-18'!I162</f>
        <v>10000</v>
      </c>
      <c r="H162" s="51"/>
      <c r="I162" s="17">
        <f t="shared" si="3"/>
        <v>10000</v>
      </c>
      <c r="J162" s="45"/>
      <c r="K162" s="46"/>
    </row>
    <row r="163" spans="1:11" ht="34.5" customHeight="1">
      <c r="A163" s="11" t="s">
        <v>198</v>
      </c>
      <c r="B163" s="53" t="s">
        <v>199</v>
      </c>
      <c r="C163" s="6"/>
      <c r="D163" s="3" t="s">
        <v>11</v>
      </c>
      <c r="E163" s="3" t="s">
        <v>25</v>
      </c>
      <c r="F163" s="3" t="s">
        <v>26</v>
      </c>
      <c r="G163" s="17">
        <f>'Enero-18'!I163</f>
        <v>14000</v>
      </c>
      <c r="H163" s="51"/>
      <c r="I163" s="17">
        <f t="shared" si="3"/>
        <v>14000</v>
      </c>
      <c r="J163" s="45"/>
      <c r="K163" s="46"/>
    </row>
    <row r="164" spans="1:11" ht="85.5">
      <c r="A164" s="144" t="s">
        <v>200</v>
      </c>
      <c r="B164" s="54" t="s">
        <v>202</v>
      </c>
      <c r="C164" s="55"/>
      <c r="D164" s="14" t="s">
        <v>11</v>
      </c>
      <c r="E164" s="14" t="s">
        <v>25</v>
      </c>
      <c r="F164" s="14" t="s">
        <v>26</v>
      </c>
      <c r="G164" s="17">
        <f>'Enero-18'!I164</f>
        <v>98.7</v>
      </c>
      <c r="H164" s="51"/>
      <c r="I164" s="17">
        <f t="shared" si="3"/>
        <v>98.7</v>
      </c>
      <c r="J164" s="64"/>
      <c r="K164" s="65"/>
    </row>
    <row r="165" spans="1:11" ht="106.5">
      <c r="A165" s="144" t="s">
        <v>201</v>
      </c>
      <c r="B165" s="54" t="s">
        <v>204</v>
      </c>
      <c r="C165" s="55"/>
      <c r="D165" s="14" t="s">
        <v>11</v>
      </c>
      <c r="E165" s="14" t="s">
        <v>25</v>
      </c>
      <c r="F165" s="14" t="s">
        <v>26</v>
      </c>
      <c r="G165" s="17">
        <f>'Enero-18'!I165</f>
        <v>0</v>
      </c>
      <c r="H165" s="51"/>
      <c r="I165" s="17">
        <f t="shared" si="3"/>
        <v>0</v>
      </c>
      <c r="J165" s="62"/>
      <c r="K165" s="63"/>
    </row>
    <row r="166" spans="1:11">
      <c r="A166" s="11" t="s">
        <v>203</v>
      </c>
      <c r="B166" s="145" t="s">
        <v>206</v>
      </c>
      <c r="C166" s="55"/>
      <c r="D166" s="14" t="s">
        <v>11</v>
      </c>
      <c r="E166" s="14" t="s">
        <v>25</v>
      </c>
      <c r="F166" s="14" t="s">
        <v>26</v>
      </c>
      <c r="G166" s="17">
        <f>'Enero-18'!I166</f>
        <v>14000</v>
      </c>
      <c r="H166" s="51"/>
      <c r="I166" s="17">
        <f t="shared" si="3"/>
        <v>14000</v>
      </c>
      <c r="J166" s="64"/>
      <c r="K166" s="65"/>
    </row>
    <row r="167" spans="1:11">
      <c r="A167" s="11" t="s">
        <v>205</v>
      </c>
      <c r="B167" s="145" t="s">
        <v>207</v>
      </c>
      <c r="C167" s="55"/>
      <c r="D167" s="14" t="s">
        <v>11</v>
      </c>
      <c r="E167" s="14" t="s">
        <v>25</v>
      </c>
      <c r="F167" s="14" t="s">
        <v>26</v>
      </c>
      <c r="G167" s="17">
        <f>'Enero-18'!I167</f>
        <v>200</v>
      </c>
      <c r="H167" s="51"/>
      <c r="I167" s="17">
        <f t="shared" si="3"/>
        <v>200</v>
      </c>
      <c r="J167" s="64"/>
      <c r="K167" s="65"/>
    </row>
    <row r="168" spans="1:11" ht="36">
      <c r="A168" s="11" t="s">
        <v>208</v>
      </c>
      <c r="B168" s="145" t="s">
        <v>209</v>
      </c>
      <c r="C168" s="55"/>
      <c r="D168" s="14" t="s">
        <v>11</v>
      </c>
      <c r="E168" s="14" t="s">
        <v>25</v>
      </c>
      <c r="F168" s="14" t="s">
        <v>26</v>
      </c>
      <c r="G168" s="17">
        <f>'Enero-18'!I168</f>
        <v>34200</v>
      </c>
      <c r="H168" s="51"/>
      <c r="I168" s="17">
        <f t="shared" si="3"/>
        <v>34200</v>
      </c>
      <c r="J168" s="64"/>
      <c r="K168" s="65"/>
    </row>
    <row r="169" spans="1:11" ht="24">
      <c r="A169" s="11" t="s">
        <v>210</v>
      </c>
      <c r="B169" s="145" t="s">
        <v>211</v>
      </c>
      <c r="C169" s="55"/>
      <c r="D169" s="14" t="s">
        <v>11</v>
      </c>
      <c r="E169" s="14" t="s">
        <v>25</v>
      </c>
      <c r="F169" s="14" t="s">
        <v>26</v>
      </c>
      <c r="G169" s="17">
        <f>'Enero-18'!I169</f>
        <v>600</v>
      </c>
      <c r="H169" s="51"/>
      <c r="I169" s="17">
        <f t="shared" si="3"/>
        <v>600</v>
      </c>
      <c r="J169" s="64"/>
      <c r="K169" s="65"/>
    </row>
    <row r="170" spans="1:11" ht="34.5" customHeight="1">
      <c r="A170" s="11" t="s">
        <v>212</v>
      </c>
      <c r="B170" s="145" t="s">
        <v>213</v>
      </c>
      <c r="C170" s="55"/>
      <c r="D170" s="3" t="s">
        <v>11</v>
      </c>
      <c r="E170" s="3" t="s">
        <v>25</v>
      </c>
      <c r="F170" s="3" t="s">
        <v>26</v>
      </c>
      <c r="G170" s="17">
        <f>'Enero-18'!I170</f>
        <v>548.70000000000005</v>
      </c>
      <c r="H170" s="51"/>
      <c r="I170" s="17">
        <f t="shared" si="3"/>
        <v>548.70000000000005</v>
      </c>
      <c r="J170" s="45"/>
      <c r="K170" s="46"/>
    </row>
    <row r="171" spans="1:11" ht="28.5" customHeight="1">
      <c r="A171" s="11" t="s">
        <v>215</v>
      </c>
      <c r="B171" s="145" t="s">
        <v>214</v>
      </c>
      <c r="C171" s="55"/>
      <c r="D171" s="3" t="s">
        <v>11</v>
      </c>
      <c r="E171" s="3" t="s">
        <v>25</v>
      </c>
      <c r="F171" s="3" t="s">
        <v>26</v>
      </c>
      <c r="G171" s="17">
        <f>'Enero-18'!I171</f>
        <v>5000</v>
      </c>
      <c r="H171" s="51"/>
      <c r="I171" s="17">
        <f t="shared" si="3"/>
        <v>5000</v>
      </c>
      <c r="J171" s="45"/>
      <c r="K171" s="46"/>
    </row>
    <row r="172" spans="1:11" ht="27.75" customHeight="1">
      <c r="A172" s="11" t="s">
        <v>216</v>
      </c>
      <c r="B172" s="145" t="s">
        <v>217</v>
      </c>
      <c r="C172" s="55"/>
      <c r="D172" s="3" t="s">
        <v>11</v>
      </c>
      <c r="E172" s="3" t="s">
        <v>25</v>
      </c>
      <c r="F172" s="3" t="s">
        <v>26</v>
      </c>
      <c r="G172" s="17">
        <f>'Enero-18'!I172</f>
        <v>500</v>
      </c>
      <c r="H172" s="51"/>
      <c r="I172" s="17">
        <f t="shared" si="3"/>
        <v>500</v>
      </c>
      <c r="J172" s="45"/>
      <c r="K172" s="46"/>
    </row>
    <row r="173" spans="1:11" ht="36" customHeight="1">
      <c r="A173" s="11" t="s">
        <v>218</v>
      </c>
      <c r="B173" s="145" t="s">
        <v>219</v>
      </c>
      <c r="C173" s="55"/>
      <c r="D173" s="3" t="s">
        <v>11</v>
      </c>
      <c r="E173" s="3" t="s">
        <v>25</v>
      </c>
      <c r="F173" s="3" t="s">
        <v>26</v>
      </c>
      <c r="G173" s="17">
        <f>'Enero-18'!I173</f>
        <v>50</v>
      </c>
      <c r="H173" s="51"/>
      <c r="I173" s="17">
        <f t="shared" si="3"/>
        <v>50</v>
      </c>
      <c r="J173" s="45"/>
      <c r="K173" s="46"/>
    </row>
    <row r="174" spans="1:11" ht="110.25" customHeight="1">
      <c r="A174" s="144" t="s">
        <v>220</v>
      </c>
      <c r="B174" s="54" t="s">
        <v>221</v>
      </c>
      <c r="C174" s="55"/>
      <c r="D174" s="3"/>
      <c r="E174" s="3"/>
      <c r="F174" s="3"/>
      <c r="G174" s="17">
        <f>'Enero-18'!I174</f>
        <v>0</v>
      </c>
      <c r="H174" s="51"/>
      <c r="I174" s="17"/>
      <c r="J174" s="45"/>
      <c r="K174" s="46"/>
    </row>
    <row r="175" spans="1:11" ht="18" customHeight="1">
      <c r="A175" s="11" t="s">
        <v>222</v>
      </c>
      <c r="B175" s="145" t="s">
        <v>223</v>
      </c>
      <c r="C175" s="55"/>
      <c r="D175" s="3" t="s">
        <v>11</v>
      </c>
      <c r="E175" s="3" t="s">
        <v>25</v>
      </c>
      <c r="F175" s="3" t="s">
        <v>26</v>
      </c>
      <c r="G175" s="17">
        <f>'Enero-18'!I175</f>
        <v>3000</v>
      </c>
      <c r="H175" s="51"/>
      <c r="I175" s="17">
        <f t="shared" si="3"/>
        <v>3000</v>
      </c>
      <c r="J175" s="45"/>
      <c r="K175" s="46"/>
    </row>
    <row r="176" spans="1:11" ht="15.75" customHeight="1">
      <c r="A176" s="11" t="s">
        <v>225</v>
      </c>
      <c r="B176" s="145" t="s">
        <v>224</v>
      </c>
      <c r="C176" s="55"/>
      <c r="D176" s="3" t="s">
        <v>11</v>
      </c>
      <c r="E176" s="3" t="s">
        <v>25</v>
      </c>
      <c r="F176" s="3" t="s">
        <v>26</v>
      </c>
      <c r="G176" s="17">
        <f>'Enero-18'!I176</f>
        <v>100</v>
      </c>
      <c r="H176" s="51"/>
      <c r="I176" s="17">
        <f t="shared" si="3"/>
        <v>100</v>
      </c>
      <c r="J176" s="45"/>
      <c r="K176" s="46"/>
    </row>
    <row r="177" spans="1:11" ht="33.75" customHeight="1">
      <c r="A177" s="11" t="s">
        <v>226</v>
      </c>
      <c r="B177" s="145" t="s">
        <v>227</v>
      </c>
      <c r="C177" s="55"/>
      <c r="D177" s="3" t="s">
        <v>11</v>
      </c>
      <c r="E177" s="3" t="s">
        <v>25</v>
      </c>
      <c r="F177" s="3" t="s">
        <v>26</v>
      </c>
      <c r="G177" s="17">
        <f>'Enero-18'!I177</f>
        <v>6000</v>
      </c>
      <c r="H177" s="51"/>
      <c r="I177" s="17">
        <f t="shared" si="3"/>
        <v>6000</v>
      </c>
      <c r="J177" s="45"/>
      <c r="K177" s="46"/>
    </row>
    <row r="178" spans="1:11" ht="28.5" customHeight="1">
      <c r="A178" s="11" t="s">
        <v>228</v>
      </c>
      <c r="B178" s="145" t="s">
        <v>229</v>
      </c>
      <c r="C178" s="55"/>
      <c r="D178" s="3" t="s">
        <v>11</v>
      </c>
      <c r="E178" s="3" t="s">
        <v>25</v>
      </c>
      <c r="F178" s="3" t="s">
        <v>26</v>
      </c>
      <c r="G178" s="17">
        <f>'Enero-18'!I178</f>
        <v>150</v>
      </c>
      <c r="H178" s="51"/>
      <c r="I178" s="17">
        <f t="shared" si="3"/>
        <v>150</v>
      </c>
      <c r="J178" s="45"/>
      <c r="K178" s="46"/>
    </row>
    <row r="179" spans="1:11" ht="26.25" customHeight="1">
      <c r="A179" s="11" t="s">
        <v>230</v>
      </c>
      <c r="B179" s="145" t="s">
        <v>231</v>
      </c>
      <c r="C179" s="55"/>
      <c r="D179" s="3" t="s">
        <v>11</v>
      </c>
      <c r="E179" s="3" t="s">
        <v>25</v>
      </c>
      <c r="F179" s="3" t="s">
        <v>26</v>
      </c>
      <c r="G179" s="17">
        <f>'Enero-18'!I179</f>
        <v>100</v>
      </c>
      <c r="H179" s="51"/>
      <c r="I179" s="17">
        <f t="shared" si="3"/>
        <v>100</v>
      </c>
      <c r="J179" s="45"/>
      <c r="K179" s="46"/>
    </row>
    <row r="180" spans="1:11" ht="23.25" customHeight="1">
      <c r="A180" s="11" t="s">
        <v>232</v>
      </c>
      <c r="B180" s="145" t="s">
        <v>233</v>
      </c>
      <c r="C180" s="55"/>
      <c r="D180" s="3" t="s">
        <v>11</v>
      </c>
      <c r="E180" s="3" t="s">
        <v>25</v>
      </c>
      <c r="F180" s="3" t="s">
        <v>26</v>
      </c>
      <c r="G180" s="17">
        <f>'Enero-18'!I180</f>
        <v>200</v>
      </c>
      <c r="H180" s="51"/>
      <c r="I180" s="17">
        <f t="shared" si="3"/>
        <v>200</v>
      </c>
      <c r="J180" s="45"/>
      <c r="K180" s="46"/>
    </row>
    <row r="181" spans="1:11" ht="28.5" customHeight="1">
      <c r="A181" s="11" t="s">
        <v>234</v>
      </c>
      <c r="B181" s="145" t="s">
        <v>237</v>
      </c>
      <c r="C181" s="55"/>
      <c r="D181" s="3" t="s">
        <v>11</v>
      </c>
      <c r="E181" s="3" t="s">
        <v>25</v>
      </c>
      <c r="F181" s="3" t="s">
        <v>26</v>
      </c>
      <c r="G181" s="17">
        <f>'Enero-18'!I181</f>
        <v>500</v>
      </c>
      <c r="H181" s="51"/>
      <c r="I181" s="17">
        <f t="shared" si="3"/>
        <v>500</v>
      </c>
      <c r="J181" s="45"/>
      <c r="K181" s="46"/>
    </row>
    <row r="182" spans="1:11" ht="24" customHeight="1">
      <c r="A182" s="11" t="s">
        <v>235</v>
      </c>
      <c r="B182" s="145" t="s">
        <v>236</v>
      </c>
      <c r="C182" s="55"/>
      <c r="D182" s="3" t="s">
        <v>11</v>
      </c>
      <c r="E182" s="3" t="s">
        <v>25</v>
      </c>
      <c r="F182" s="3" t="s">
        <v>26</v>
      </c>
      <c r="G182" s="17">
        <f>'Enero-18'!I182</f>
        <v>48.7</v>
      </c>
      <c r="H182" s="51"/>
      <c r="I182" s="17">
        <f t="shared" si="3"/>
        <v>48.7</v>
      </c>
      <c r="J182" s="45"/>
      <c r="K182" s="46"/>
    </row>
    <row r="183" spans="1:11" ht="73.5" customHeight="1">
      <c r="A183" s="144" t="s">
        <v>238</v>
      </c>
      <c r="B183" s="54" t="s">
        <v>239</v>
      </c>
      <c r="C183" s="55"/>
      <c r="D183" s="3"/>
      <c r="E183" s="3"/>
      <c r="F183" s="3"/>
      <c r="G183" s="17">
        <f>'Enero-18'!I183</f>
        <v>0</v>
      </c>
      <c r="H183" s="51"/>
      <c r="I183" s="17"/>
      <c r="J183" s="45"/>
      <c r="K183" s="46"/>
    </row>
    <row r="184" spans="1:11" ht="24" customHeight="1">
      <c r="A184" s="11" t="s">
        <v>240</v>
      </c>
      <c r="B184" s="145" t="s">
        <v>243</v>
      </c>
      <c r="C184" s="55"/>
      <c r="D184" s="3" t="s">
        <v>11</v>
      </c>
      <c r="E184" s="3" t="s">
        <v>25</v>
      </c>
      <c r="F184" s="3" t="s">
        <v>26</v>
      </c>
      <c r="G184" s="17">
        <f>'Enero-18'!I184</f>
        <v>2098.34</v>
      </c>
      <c r="H184" s="51"/>
      <c r="I184" s="17">
        <f t="shared" si="3"/>
        <v>2098.34</v>
      </c>
      <c r="J184" s="45"/>
      <c r="K184" s="46"/>
    </row>
    <row r="185" spans="1:11" ht="24" customHeight="1">
      <c r="A185" s="11" t="s">
        <v>241</v>
      </c>
      <c r="B185" s="145" t="s">
        <v>242</v>
      </c>
      <c r="C185" s="55"/>
      <c r="D185" s="3" t="s">
        <v>11</v>
      </c>
      <c r="E185" s="3" t="s">
        <v>25</v>
      </c>
      <c r="F185" s="3" t="s">
        <v>26</v>
      </c>
      <c r="G185" s="17">
        <f>'Enero-18'!I185</f>
        <v>100</v>
      </c>
      <c r="H185" s="51"/>
      <c r="I185" s="17">
        <f t="shared" si="3"/>
        <v>100</v>
      </c>
      <c r="J185" s="45"/>
      <c r="K185" s="46"/>
    </row>
    <row r="186" spans="1:11" ht="40.5" customHeight="1">
      <c r="A186" s="11" t="s">
        <v>245</v>
      </c>
      <c r="B186" s="145" t="s">
        <v>244</v>
      </c>
      <c r="C186" s="55"/>
      <c r="D186" s="3" t="s">
        <v>11</v>
      </c>
      <c r="E186" s="3" t="s">
        <v>25</v>
      </c>
      <c r="F186" s="3" t="s">
        <v>26</v>
      </c>
      <c r="G186" s="17">
        <f>'Enero-18'!I186</f>
        <v>3000.45</v>
      </c>
      <c r="H186" s="51">
        <f>138+262.95</f>
        <v>400.95</v>
      </c>
      <c r="I186" s="17">
        <f t="shared" si="3"/>
        <v>2599.5</v>
      </c>
      <c r="J186" s="45"/>
      <c r="K186" s="46"/>
    </row>
    <row r="187" spans="1:11" ht="24" customHeight="1">
      <c r="A187" s="11" t="s">
        <v>246</v>
      </c>
      <c r="B187" s="145" t="s">
        <v>247</v>
      </c>
      <c r="C187" s="55"/>
      <c r="D187" s="3" t="s">
        <v>11</v>
      </c>
      <c r="E187" s="3" t="s">
        <v>25</v>
      </c>
      <c r="F187" s="3" t="s">
        <v>26</v>
      </c>
      <c r="G187" s="17">
        <f>'Enero-18'!I187</f>
        <v>671.77</v>
      </c>
      <c r="H187" s="51"/>
      <c r="I187" s="17">
        <f t="shared" si="3"/>
        <v>671.77</v>
      </c>
      <c r="J187" s="45"/>
      <c r="K187" s="46"/>
    </row>
    <row r="188" spans="1:11" ht="24" customHeight="1">
      <c r="A188" s="11" t="s">
        <v>249</v>
      </c>
      <c r="B188" s="145" t="s">
        <v>248</v>
      </c>
      <c r="C188" s="55"/>
      <c r="D188" s="3" t="s">
        <v>11</v>
      </c>
      <c r="E188" s="3" t="s">
        <v>25</v>
      </c>
      <c r="F188" s="3" t="s">
        <v>26</v>
      </c>
      <c r="G188" s="17">
        <f>'Enero-18'!I188</f>
        <v>700</v>
      </c>
      <c r="H188" s="51"/>
      <c r="I188" s="17">
        <f t="shared" si="3"/>
        <v>700</v>
      </c>
      <c r="J188" s="45"/>
      <c r="K188" s="46"/>
    </row>
    <row r="189" spans="1:11" ht="24" customHeight="1">
      <c r="A189" s="11" t="s">
        <v>251</v>
      </c>
      <c r="B189" s="145" t="s">
        <v>252</v>
      </c>
      <c r="C189" s="55"/>
      <c r="D189" s="3" t="s">
        <v>11</v>
      </c>
      <c r="E189" s="3" t="s">
        <v>25</v>
      </c>
      <c r="F189" s="3" t="s">
        <v>26</v>
      </c>
      <c r="G189" s="17">
        <f>'Enero-18'!I189</f>
        <v>200</v>
      </c>
      <c r="H189" s="51"/>
      <c r="I189" s="17">
        <f t="shared" si="3"/>
        <v>200</v>
      </c>
      <c r="J189" s="45"/>
      <c r="K189" s="46"/>
    </row>
    <row r="190" spans="1:11" ht="24" customHeight="1">
      <c r="A190" s="11" t="s">
        <v>250</v>
      </c>
      <c r="B190" s="145" t="s">
        <v>253</v>
      </c>
      <c r="C190" s="55"/>
      <c r="D190" s="3" t="s">
        <v>11</v>
      </c>
      <c r="E190" s="3" t="s">
        <v>25</v>
      </c>
      <c r="F190" s="3" t="s">
        <v>26</v>
      </c>
      <c r="G190" s="17">
        <f>'Enero-18'!I190</f>
        <v>58</v>
      </c>
      <c r="H190" s="51"/>
      <c r="I190" s="17">
        <f t="shared" si="3"/>
        <v>58</v>
      </c>
      <c r="J190" s="45"/>
      <c r="K190" s="46"/>
    </row>
    <row r="191" spans="1:11" ht="24" customHeight="1">
      <c r="A191" s="11" t="s">
        <v>255</v>
      </c>
      <c r="B191" s="145" t="s">
        <v>254</v>
      </c>
      <c r="C191" s="55"/>
      <c r="D191" s="3" t="s">
        <v>11</v>
      </c>
      <c r="E191" s="3" t="s">
        <v>25</v>
      </c>
      <c r="F191" s="3" t="s">
        <v>26</v>
      </c>
      <c r="G191" s="17">
        <f>'Enero-18'!I191</f>
        <v>3.3</v>
      </c>
      <c r="H191" s="51"/>
      <c r="I191" s="17">
        <f t="shared" si="3"/>
        <v>3.3</v>
      </c>
      <c r="J191" s="45"/>
      <c r="K191" s="46"/>
    </row>
    <row r="192" spans="1:11" ht="87" customHeight="1">
      <c r="A192" s="144" t="s">
        <v>256</v>
      </c>
      <c r="B192" s="54" t="s">
        <v>257</v>
      </c>
      <c r="C192" s="55"/>
      <c r="D192" s="3"/>
      <c r="E192" s="3"/>
      <c r="F192" s="3"/>
      <c r="G192" s="17">
        <f>'Enero-18'!I192</f>
        <v>0</v>
      </c>
      <c r="H192" s="51"/>
      <c r="I192" s="17"/>
      <c r="J192" s="45"/>
      <c r="K192" s="46"/>
    </row>
    <row r="193" spans="1:11" ht="24" customHeight="1">
      <c r="A193" s="11" t="s">
        <v>258</v>
      </c>
      <c r="B193" s="145" t="s">
        <v>263</v>
      </c>
      <c r="C193" s="55"/>
      <c r="D193" s="3" t="s">
        <v>11</v>
      </c>
      <c r="E193" s="3" t="s">
        <v>25</v>
      </c>
      <c r="F193" s="3" t="s">
        <v>26</v>
      </c>
      <c r="G193" s="17">
        <f>'Enero-18'!I193</f>
        <v>100</v>
      </c>
      <c r="H193" s="51"/>
      <c r="I193" s="17">
        <f t="shared" si="3"/>
        <v>100</v>
      </c>
      <c r="J193" s="45"/>
      <c r="K193" s="46"/>
    </row>
    <row r="194" spans="1:11" ht="24" customHeight="1">
      <c r="A194" s="11" t="s">
        <v>259</v>
      </c>
      <c r="B194" s="145" t="s">
        <v>262</v>
      </c>
      <c r="C194" s="55"/>
      <c r="D194" s="3" t="s">
        <v>11</v>
      </c>
      <c r="E194" s="3" t="s">
        <v>25</v>
      </c>
      <c r="F194" s="3" t="s">
        <v>26</v>
      </c>
      <c r="G194" s="17">
        <f>'Enero-18'!I194</f>
        <v>800</v>
      </c>
      <c r="H194" s="51"/>
      <c r="I194" s="17">
        <f t="shared" si="3"/>
        <v>800</v>
      </c>
      <c r="J194" s="45"/>
      <c r="K194" s="46"/>
    </row>
    <row r="195" spans="1:11" ht="24" customHeight="1">
      <c r="A195" s="11" t="s">
        <v>260</v>
      </c>
      <c r="B195" s="145" t="s">
        <v>261</v>
      </c>
      <c r="C195" s="55"/>
      <c r="D195" s="3" t="s">
        <v>11</v>
      </c>
      <c r="E195" s="3" t="s">
        <v>25</v>
      </c>
      <c r="F195" s="3" t="s">
        <v>26</v>
      </c>
      <c r="G195" s="17">
        <f>'Enero-18'!I195</f>
        <v>624.22</v>
      </c>
      <c r="H195" s="51"/>
      <c r="I195" s="17">
        <f t="shared" si="3"/>
        <v>624.22</v>
      </c>
      <c r="J195" s="45"/>
      <c r="K195" s="46"/>
    </row>
    <row r="196" spans="1:11" ht="60" customHeight="1">
      <c r="A196" s="144" t="s">
        <v>264</v>
      </c>
      <c r="B196" s="54" t="s">
        <v>287</v>
      </c>
      <c r="C196" s="55"/>
      <c r="D196" s="3"/>
      <c r="E196" s="3"/>
      <c r="F196" s="3"/>
      <c r="G196" s="17">
        <f>'Enero-18'!I196</f>
        <v>0</v>
      </c>
      <c r="H196" s="51"/>
      <c r="I196" s="17"/>
      <c r="J196" s="45"/>
      <c r="K196" s="46"/>
    </row>
    <row r="197" spans="1:11" ht="24" customHeight="1">
      <c r="A197" s="11" t="s">
        <v>265</v>
      </c>
      <c r="B197" s="145" t="s">
        <v>267</v>
      </c>
      <c r="C197" s="55"/>
      <c r="D197" s="3" t="s">
        <v>11</v>
      </c>
      <c r="E197" s="3" t="s">
        <v>25</v>
      </c>
      <c r="F197" s="3" t="s">
        <v>26</v>
      </c>
      <c r="G197" s="17">
        <f>'Enero-18'!I197</f>
        <v>2000</v>
      </c>
      <c r="H197" s="51"/>
      <c r="I197" s="17">
        <f t="shared" si="3"/>
        <v>2000</v>
      </c>
      <c r="J197" s="45"/>
      <c r="K197" s="46"/>
    </row>
    <row r="198" spans="1:11" ht="24" customHeight="1">
      <c r="A198" s="11" t="s">
        <v>266</v>
      </c>
      <c r="B198" s="145" t="s">
        <v>268</v>
      </c>
      <c r="C198" s="55"/>
      <c r="D198" s="3" t="s">
        <v>11</v>
      </c>
      <c r="E198" s="3" t="s">
        <v>25</v>
      </c>
      <c r="F198" s="3" t="s">
        <v>26</v>
      </c>
      <c r="G198" s="17">
        <f>'Enero-18'!I198</f>
        <v>3000</v>
      </c>
      <c r="H198" s="51"/>
      <c r="I198" s="17">
        <f t="shared" si="3"/>
        <v>3000</v>
      </c>
      <c r="J198" s="45"/>
      <c r="K198" s="46"/>
    </row>
    <row r="199" spans="1:11" ht="71.25" customHeight="1">
      <c r="A199" s="144" t="s">
        <v>269</v>
      </c>
      <c r="B199" s="54" t="s">
        <v>286</v>
      </c>
      <c r="C199" s="55"/>
      <c r="D199" s="3"/>
      <c r="E199" s="3"/>
      <c r="F199" s="3"/>
      <c r="G199" s="17"/>
      <c r="H199" s="51"/>
      <c r="I199" s="17"/>
      <c r="J199" s="45"/>
      <c r="K199" s="46"/>
    </row>
    <row r="200" spans="1:11" ht="24" customHeight="1">
      <c r="A200" s="11" t="s">
        <v>273</v>
      </c>
      <c r="B200" s="145" t="s">
        <v>270</v>
      </c>
      <c r="C200" s="55"/>
      <c r="D200" s="3" t="s">
        <v>11</v>
      </c>
      <c r="E200" s="3" t="s">
        <v>25</v>
      </c>
      <c r="F200" s="3" t="s">
        <v>26</v>
      </c>
      <c r="G200" s="17">
        <f>'Enero-18'!I200</f>
        <v>3000</v>
      </c>
      <c r="H200" s="51"/>
      <c r="I200" s="17">
        <f t="shared" si="3"/>
        <v>3000</v>
      </c>
      <c r="J200" s="45"/>
      <c r="K200" s="46"/>
    </row>
    <row r="201" spans="1:11" ht="24" customHeight="1">
      <c r="A201" s="11" t="s">
        <v>272</v>
      </c>
      <c r="B201" s="145" t="s">
        <v>271</v>
      </c>
      <c r="C201" s="55"/>
      <c r="D201" s="3" t="s">
        <v>11</v>
      </c>
      <c r="E201" s="3" t="s">
        <v>25</v>
      </c>
      <c r="F201" s="3" t="s">
        <v>26</v>
      </c>
      <c r="G201" s="17">
        <f>'Enero-18'!I201</f>
        <v>30000</v>
      </c>
      <c r="H201" s="51"/>
      <c r="I201" s="17">
        <f t="shared" si="3"/>
        <v>28000</v>
      </c>
      <c r="J201" s="45"/>
      <c r="K201" s="126">
        <v>2000</v>
      </c>
    </row>
    <row r="202" spans="1:11" ht="24" customHeight="1">
      <c r="A202" s="11" t="s">
        <v>274</v>
      </c>
      <c r="B202" s="145" t="s">
        <v>275</v>
      </c>
      <c r="C202" s="55"/>
      <c r="D202" s="3" t="s">
        <v>11</v>
      </c>
      <c r="E202" s="3" t="s">
        <v>25</v>
      </c>
      <c r="F202" s="3" t="s">
        <v>26</v>
      </c>
      <c r="G202" s="17">
        <f>'Enero-18'!I202</f>
        <v>3000</v>
      </c>
      <c r="H202" s="51"/>
      <c r="I202" s="17">
        <f t="shared" si="3"/>
        <v>3000</v>
      </c>
      <c r="J202" s="45"/>
      <c r="K202" s="46"/>
    </row>
    <row r="203" spans="1:11" ht="24" customHeight="1">
      <c r="A203" s="11" t="s">
        <v>276</v>
      </c>
      <c r="B203" s="145" t="s">
        <v>277</v>
      </c>
      <c r="C203" s="55"/>
      <c r="D203" s="3" t="s">
        <v>11</v>
      </c>
      <c r="E203" s="3" t="s">
        <v>25</v>
      </c>
      <c r="F203" s="3" t="s">
        <v>26</v>
      </c>
      <c r="G203" s="17">
        <f>'Enero-18'!I203</f>
        <v>21000</v>
      </c>
      <c r="H203" s="51">
        <f>37</f>
        <v>37</v>
      </c>
      <c r="I203" s="17">
        <f t="shared" si="3"/>
        <v>20963</v>
      </c>
      <c r="J203" s="45"/>
      <c r="K203" s="46"/>
    </row>
    <row r="204" spans="1:11" ht="24" customHeight="1">
      <c r="A204" s="11" t="s">
        <v>278</v>
      </c>
      <c r="B204" s="145" t="s">
        <v>279</v>
      </c>
      <c r="C204" s="55"/>
      <c r="D204" s="3" t="s">
        <v>11</v>
      </c>
      <c r="E204" s="3" t="s">
        <v>25</v>
      </c>
      <c r="F204" s="3" t="s">
        <v>26</v>
      </c>
      <c r="G204" s="17">
        <f>'Enero-18'!I204</f>
        <v>980</v>
      </c>
      <c r="H204" s="51"/>
      <c r="I204" s="17">
        <f t="shared" si="3"/>
        <v>980</v>
      </c>
      <c r="J204" s="45"/>
      <c r="K204" s="46"/>
    </row>
    <row r="205" spans="1:11" ht="24" customHeight="1">
      <c r="A205" s="11" t="s">
        <v>280</v>
      </c>
      <c r="B205" s="145" t="s">
        <v>281</v>
      </c>
      <c r="C205" s="55"/>
      <c r="D205" s="3" t="s">
        <v>11</v>
      </c>
      <c r="E205" s="3" t="s">
        <v>25</v>
      </c>
      <c r="F205" s="3" t="s">
        <v>26</v>
      </c>
      <c r="G205" s="17">
        <f>'Enero-18'!I205</f>
        <v>1000</v>
      </c>
      <c r="H205" s="51"/>
      <c r="I205" s="17">
        <f t="shared" si="3"/>
        <v>1000</v>
      </c>
      <c r="J205" s="45"/>
      <c r="K205" s="46"/>
    </row>
    <row r="206" spans="1:11" ht="24" customHeight="1">
      <c r="A206" s="11" t="s">
        <v>282</v>
      </c>
      <c r="B206" s="145" t="s">
        <v>283</v>
      </c>
      <c r="C206" s="55"/>
      <c r="D206" s="3" t="s">
        <v>11</v>
      </c>
      <c r="E206" s="3" t="s">
        <v>25</v>
      </c>
      <c r="F206" s="3" t="s">
        <v>26</v>
      </c>
      <c r="G206" s="17">
        <f>'Enero-18'!I206</f>
        <v>1000</v>
      </c>
      <c r="H206" s="51">
        <f>466.62+55+600</f>
        <v>1121.6199999999999</v>
      </c>
      <c r="I206" s="17">
        <f t="shared" si="3"/>
        <v>1878.38</v>
      </c>
      <c r="J206" s="126">
        <v>2000</v>
      </c>
      <c r="K206" s="46"/>
    </row>
    <row r="207" spans="1:11" ht="24" customHeight="1">
      <c r="A207" s="11" t="s">
        <v>284</v>
      </c>
      <c r="B207" s="145" t="s">
        <v>285</v>
      </c>
      <c r="C207" s="55"/>
      <c r="D207" s="3" t="s">
        <v>11</v>
      </c>
      <c r="E207" s="3" t="s">
        <v>25</v>
      </c>
      <c r="F207" s="3" t="s">
        <v>26</v>
      </c>
      <c r="G207" s="17">
        <f>'Enero-18'!I207</f>
        <v>18.7</v>
      </c>
      <c r="H207" s="51">
        <f>1.7</f>
        <v>1.7</v>
      </c>
      <c r="I207" s="17">
        <f t="shared" si="3"/>
        <v>17</v>
      </c>
      <c r="J207" s="45"/>
      <c r="K207" s="46"/>
    </row>
    <row r="208" spans="1:11" ht="108" customHeight="1">
      <c r="A208" s="144" t="s">
        <v>289</v>
      </c>
      <c r="B208" s="54" t="s">
        <v>288</v>
      </c>
      <c r="C208" s="55"/>
      <c r="D208" s="3"/>
      <c r="E208" s="3"/>
      <c r="F208" s="3"/>
      <c r="G208" s="17"/>
      <c r="H208" s="51"/>
      <c r="I208" s="17"/>
      <c r="J208" s="45"/>
      <c r="K208" s="46"/>
    </row>
    <row r="209" spans="1:11" ht="24" customHeight="1">
      <c r="A209" s="11" t="s">
        <v>290</v>
      </c>
      <c r="B209" s="145" t="s">
        <v>291</v>
      </c>
      <c r="C209" s="55"/>
      <c r="D209" s="3" t="s">
        <v>11</v>
      </c>
      <c r="E209" s="3" t="s">
        <v>25</v>
      </c>
      <c r="F209" s="3" t="s">
        <v>26</v>
      </c>
      <c r="G209" s="17">
        <f>'Enero-18'!I209</f>
        <v>5500</v>
      </c>
      <c r="H209" s="51"/>
      <c r="I209" s="17">
        <f t="shared" si="3"/>
        <v>5500</v>
      </c>
      <c r="J209" s="45"/>
      <c r="K209" s="46"/>
    </row>
    <row r="210" spans="1:11" ht="24" customHeight="1">
      <c r="A210" s="11" t="s">
        <v>292</v>
      </c>
      <c r="B210" s="145" t="s">
        <v>293</v>
      </c>
      <c r="C210" s="55"/>
      <c r="D210" s="3" t="s">
        <v>11</v>
      </c>
      <c r="E210" s="3" t="s">
        <v>25</v>
      </c>
      <c r="F210" s="3" t="s">
        <v>26</v>
      </c>
      <c r="G210" s="17">
        <f>'Enero-18'!I210</f>
        <v>3000</v>
      </c>
      <c r="H210" s="51"/>
      <c r="I210" s="17">
        <f t="shared" si="3"/>
        <v>3000</v>
      </c>
      <c r="J210" s="45"/>
      <c r="K210" s="46"/>
    </row>
    <row r="211" spans="1:11" ht="18" customHeight="1">
      <c r="A211" s="11" t="s">
        <v>294</v>
      </c>
      <c r="B211" s="145" t="s">
        <v>295</v>
      </c>
      <c r="C211" s="55"/>
      <c r="D211" s="3" t="s">
        <v>11</v>
      </c>
      <c r="E211" s="3" t="s">
        <v>25</v>
      </c>
      <c r="F211" s="3" t="s">
        <v>26</v>
      </c>
      <c r="G211" s="17">
        <f>'Enero-18'!I211</f>
        <v>100</v>
      </c>
      <c r="H211" s="51">
        <f>1.3</f>
        <v>1.3</v>
      </c>
      <c r="I211" s="17">
        <f t="shared" si="3"/>
        <v>98.7</v>
      </c>
      <c r="J211" s="45"/>
      <c r="K211" s="46"/>
    </row>
    <row r="212" spans="1:11" ht="19.5" customHeight="1">
      <c r="A212" s="11" t="s">
        <v>296</v>
      </c>
      <c r="B212" s="145" t="s">
        <v>297</v>
      </c>
      <c r="C212" s="55"/>
      <c r="D212" s="3" t="s">
        <v>11</v>
      </c>
      <c r="E212" s="3" t="s">
        <v>25</v>
      </c>
      <c r="F212" s="3" t="s">
        <v>26</v>
      </c>
      <c r="G212" s="17">
        <f>'Enero-18'!I212</f>
        <v>50000</v>
      </c>
      <c r="H212" s="51"/>
      <c r="I212" s="17">
        <f t="shared" si="3"/>
        <v>50000</v>
      </c>
      <c r="J212" s="45"/>
      <c r="K212" s="46"/>
    </row>
    <row r="213" spans="1:11" ht="21" customHeight="1">
      <c r="A213" s="11" t="s">
        <v>298</v>
      </c>
      <c r="B213" s="145" t="s">
        <v>299</v>
      </c>
      <c r="C213" s="55"/>
      <c r="D213" s="3" t="s">
        <v>11</v>
      </c>
      <c r="E213" s="3" t="s">
        <v>25</v>
      </c>
      <c r="F213" s="3" t="s">
        <v>26</v>
      </c>
      <c r="G213" s="17">
        <f>'Enero-18'!I213</f>
        <v>2000</v>
      </c>
      <c r="H213" s="51"/>
      <c r="I213" s="17">
        <f t="shared" si="3"/>
        <v>2000</v>
      </c>
      <c r="J213" s="45"/>
      <c r="K213" s="46"/>
    </row>
    <row r="214" spans="1:11" ht="67.5" customHeight="1">
      <c r="A214" s="144" t="s">
        <v>300</v>
      </c>
      <c r="B214" s="54" t="s">
        <v>301</v>
      </c>
      <c r="C214" s="55"/>
      <c r="D214" s="3"/>
      <c r="E214" s="3"/>
      <c r="F214" s="3"/>
      <c r="G214" s="17"/>
      <c r="H214" s="51"/>
      <c r="I214" s="17"/>
      <c r="J214" s="45"/>
      <c r="K214" s="46"/>
    </row>
    <row r="215" spans="1:11" ht="18.75" customHeight="1">
      <c r="A215" s="11" t="s">
        <v>302</v>
      </c>
      <c r="B215" s="145" t="s">
        <v>309</v>
      </c>
      <c r="C215" s="55"/>
      <c r="D215" s="3" t="s">
        <v>11</v>
      </c>
      <c r="E215" s="3" t="s">
        <v>25</v>
      </c>
      <c r="F215" s="3" t="s">
        <v>26</v>
      </c>
      <c r="G215" s="17">
        <f>'Enero-18'!I215</f>
        <v>5000</v>
      </c>
      <c r="H215" s="51">
        <f>333.32+333.32</f>
        <v>666.64</v>
      </c>
      <c r="I215" s="17">
        <f t="shared" si="3"/>
        <v>4333.3599999999997</v>
      </c>
      <c r="J215" s="45"/>
      <c r="K215" s="46"/>
    </row>
    <row r="216" spans="1:11" ht="18.75" customHeight="1">
      <c r="A216" s="11" t="s">
        <v>303</v>
      </c>
      <c r="B216" s="145" t="s">
        <v>310</v>
      </c>
      <c r="C216" s="55"/>
      <c r="D216" s="3" t="s">
        <v>11</v>
      </c>
      <c r="E216" s="3" t="s">
        <v>25</v>
      </c>
      <c r="F216" s="3" t="s">
        <v>26</v>
      </c>
      <c r="G216" s="17">
        <f>'Enero-18'!I216</f>
        <v>5000</v>
      </c>
      <c r="H216" s="51"/>
      <c r="I216" s="17">
        <f t="shared" si="3"/>
        <v>5000</v>
      </c>
      <c r="J216" s="45"/>
      <c r="K216" s="46"/>
    </row>
    <row r="217" spans="1:11" ht="21" customHeight="1">
      <c r="A217" s="11" t="s">
        <v>304</v>
      </c>
      <c r="B217" s="145" t="s">
        <v>311</v>
      </c>
      <c r="C217" s="55"/>
      <c r="D217" s="3" t="s">
        <v>11</v>
      </c>
      <c r="E217" s="3" t="s">
        <v>25</v>
      </c>
      <c r="F217" s="3" t="s">
        <v>26</v>
      </c>
      <c r="G217" s="17">
        <f>'Enero-18'!I217</f>
        <v>5000</v>
      </c>
      <c r="H217" s="51"/>
      <c r="I217" s="17">
        <f t="shared" si="3"/>
        <v>5000</v>
      </c>
      <c r="J217" s="45"/>
      <c r="K217" s="46"/>
    </row>
    <row r="218" spans="1:11" ht="21" customHeight="1">
      <c r="A218" s="11" t="s">
        <v>305</v>
      </c>
      <c r="B218" s="145" t="s">
        <v>312</v>
      </c>
      <c r="C218" s="55"/>
      <c r="D218" s="3" t="s">
        <v>11</v>
      </c>
      <c r="E218" s="3" t="s">
        <v>25</v>
      </c>
      <c r="F218" s="3" t="s">
        <v>26</v>
      </c>
      <c r="G218" s="17">
        <f>'Enero-18'!I218</f>
        <v>2000</v>
      </c>
      <c r="H218" s="51">
        <f>100</f>
        <v>100</v>
      </c>
      <c r="I218" s="17">
        <f t="shared" si="3"/>
        <v>1900</v>
      </c>
      <c r="J218" s="45"/>
      <c r="K218" s="46"/>
    </row>
    <row r="219" spans="1:11" ht="27" customHeight="1">
      <c r="A219" s="11" t="s">
        <v>306</v>
      </c>
      <c r="B219" s="145" t="s">
        <v>313</v>
      </c>
      <c r="C219" s="55"/>
      <c r="D219" s="3" t="s">
        <v>11</v>
      </c>
      <c r="E219" s="3" t="s">
        <v>25</v>
      </c>
      <c r="F219" s="3" t="s">
        <v>26</v>
      </c>
      <c r="G219" s="17">
        <f>'Enero-18'!I219</f>
        <v>6985</v>
      </c>
      <c r="H219" s="51"/>
      <c r="I219" s="17">
        <f t="shared" si="3"/>
        <v>6985</v>
      </c>
      <c r="J219" s="45"/>
      <c r="K219" s="46"/>
    </row>
    <row r="220" spans="1:11" ht="22.5" customHeight="1">
      <c r="A220" s="11" t="s">
        <v>307</v>
      </c>
      <c r="B220" s="145" t="s">
        <v>314</v>
      </c>
      <c r="C220" s="55"/>
      <c r="D220" s="3" t="s">
        <v>11</v>
      </c>
      <c r="E220" s="3" t="s">
        <v>25</v>
      </c>
      <c r="F220" s="3" t="s">
        <v>26</v>
      </c>
      <c r="G220" s="17">
        <f>'Enero-18'!I220</f>
        <v>13.7</v>
      </c>
      <c r="H220" s="51">
        <f>1.7</f>
        <v>1.7</v>
      </c>
      <c r="I220" s="17">
        <f t="shared" si="3"/>
        <v>12</v>
      </c>
      <c r="J220" s="45"/>
      <c r="K220" s="46"/>
    </row>
    <row r="221" spans="1:11" ht="25.5" customHeight="1">
      <c r="A221" s="11" t="s">
        <v>308</v>
      </c>
      <c r="B221" s="145" t="s">
        <v>315</v>
      </c>
      <c r="C221" s="55"/>
      <c r="D221" s="3" t="s">
        <v>11</v>
      </c>
      <c r="E221" s="3" t="s">
        <v>25</v>
      </c>
      <c r="F221" s="3" t="s">
        <v>26</v>
      </c>
      <c r="G221" s="17">
        <f>'Enero-18'!I221</f>
        <v>1000</v>
      </c>
      <c r="H221" s="51"/>
      <c r="I221" s="17">
        <f t="shared" si="3"/>
        <v>1000</v>
      </c>
      <c r="J221" s="45"/>
      <c r="K221" s="46"/>
    </row>
    <row r="222" spans="1:11" ht="63" customHeight="1">
      <c r="A222" s="144" t="s">
        <v>316</v>
      </c>
      <c r="B222" s="54" t="s">
        <v>317</v>
      </c>
      <c r="C222" s="55"/>
      <c r="D222" s="3"/>
      <c r="E222" s="3"/>
      <c r="F222" s="3"/>
      <c r="G222" s="17">
        <f>'Enero-18'!I222</f>
        <v>0</v>
      </c>
      <c r="H222" s="51"/>
      <c r="I222" s="17"/>
      <c r="J222" s="45"/>
      <c r="K222" s="46"/>
    </row>
    <row r="223" spans="1:11" ht="20.25" customHeight="1">
      <c r="A223" s="11" t="s">
        <v>318</v>
      </c>
      <c r="B223" s="145" t="s">
        <v>322</v>
      </c>
      <c r="C223" s="55"/>
      <c r="D223" s="3" t="s">
        <v>11</v>
      </c>
      <c r="E223" s="3" t="s">
        <v>25</v>
      </c>
      <c r="F223" s="3" t="s">
        <v>26</v>
      </c>
      <c r="G223" s="17">
        <f>'Enero-18'!I223</f>
        <v>3000</v>
      </c>
      <c r="H223" s="51"/>
      <c r="I223" s="17">
        <f t="shared" ref="I223:I256" si="4">G223-H223+J223-K223</f>
        <v>3000</v>
      </c>
      <c r="J223" s="45"/>
      <c r="K223" s="46"/>
    </row>
    <row r="224" spans="1:11" ht="27" customHeight="1">
      <c r="A224" s="11" t="s">
        <v>319</v>
      </c>
      <c r="B224" s="145" t="s">
        <v>323</v>
      </c>
      <c r="C224" s="55"/>
      <c r="D224" s="3" t="s">
        <v>11</v>
      </c>
      <c r="E224" s="3" t="s">
        <v>25</v>
      </c>
      <c r="F224" s="3" t="s">
        <v>26</v>
      </c>
      <c r="G224" s="17">
        <f>'Enero-18'!I224</f>
        <v>3000</v>
      </c>
      <c r="H224" s="51"/>
      <c r="I224" s="17">
        <f t="shared" si="4"/>
        <v>3000</v>
      </c>
      <c r="J224" s="45"/>
      <c r="K224" s="46"/>
    </row>
    <row r="225" spans="1:11" ht="20.25" customHeight="1">
      <c r="A225" s="11" t="s">
        <v>320</v>
      </c>
      <c r="B225" s="145" t="s">
        <v>324</v>
      </c>
      <c r="C225" s="55"/>
      <c r="D225" s="3" t="s">
        <v>11</v>
      </c>
      <c r="E225" s="3" t="s">
        <v>25</v>
      </c>
      <c r="F225" s="3" t="s">
        <v>26</v>
      </c>
      <c r="G225" s="17">
        <f>'Enero-18'!I225</f>
        <v>20</v>
      </c>
      <c r="H225" s="51">
        <f>1.3</f>
        <v>1.3</v>
      </c>
      <c r="I225" s="17">
        <f t="shared" si="4"/>
        <v>18.7</v>
      </c>
      <c r="J225" s="45"/>
      <c r="K225" s="46"/>
    </row>
    <row r="226" spans="1:11" ht="24" customHeight="1">
      <c r="A226" s="11" t="s">
        <v>321</v>
      </c>
      <c r="B226" s="145" t="s">
        <v>325</v>
      </c>
      <c r="C226" s="55"/>
      <c r="D226" s="3" t="s">
        <v>11</v>
      </c>
      <c r="E226" s="3" t="s">
        <v>25</v>
      </c>
      <c r="F226" s="3" t="s">
        <v>26</v>
      </c>
      <c r="G226" s="17">
        <f>'Enero-18'!I226</f>
        <v>1980</v>
      </c>
      <c r="H226" s="51"/>
      <c r="I226" s="17">
        <f t="shared" si="4"/>
        <v>1980</v>
      </c>
      <c r="J226" s="45"/>
      <c r="K226" s="46"/>
    </row>
    <row r="227" spans="1:11" ht="64.5" customHeight="1">
      <c r="A227" s="144" t="s">
        <v>326</v>
      </c>
      <c r="B227" s="54" t="s">
        <v>327</v>
      </c>
      <c r="C227" s="55"/>
      <c r="D227" s="3"/>
      <c r="E227" s="3"/>
      <c r="F227" s="3"/>
      <c r="G227" s="17">
        <f>'Enero-18'!I227</f>
        <v>0</v>
      </c>
      <c r="H227" s="51"/>
      <c r="I227" s="17"/>
      <c r="J227" s="45"/>
      <c r="K227" s="46"/>
    </row>
    <row r="228" spans="1:11" ht="16.5" customHeight="1">
      <c r="A228" s="11" t="s">
        <v>328</v>
      </c>
      <c r="B228" s="145" t="s">
        <v>329</v>
      </c>
      <c r="C228" s="55"/>
      <c r="D228" s="3" t="s">
        <v>11</v>
      </c>
      <c r="E228" s="3" t="s">
        <v>25</v>
      </c>
      <c r="F228" s="3" t="s">
        <v>26</v>
      </c>
      <c r="G228" s="17">
        <f>'Enero-18'!I228</f>
        <v>3259.4</v>
      </c>
      <c r="H228" s="51"/>
      <c r="I228" s="17">
        <f t="shared" si="4"/>
        <v>3259.4</v>
      </c>
      <c r="J228" s="45"/>
      <c r="K228" s="46"/>
    </row>
    <row r="229" spans="1:11" ht="23.25" customHeight="1">
      <c r="A229" s="11" t="s">
        <v>330</v>
      </c>
      <c r="B229" s="145" t="s">
        <v>331</v>
      </c>
      <c r="C229" s="55"/>
      <c r="D229" s="3" t="s">
        <v>11</v>
      </c>
      <c r="E229" s="3" t="s">
        <v>25</v>
      </c>
      <c r="F229" s="3" t="s">
        <v>26</v>
      </c>
      <c r="G229" s="17">
        <f>'Enero-18'!I229</f>
        <v>2000</v>
      </c>
      <c r="H229" s="51"/>
      <c r="I229" s="17">
        <f t="shared" si="4"/>
        <v>2000</v>
      </c>
      <c r="J229" s="45"/>
      <c r="K229" s="46"/>
    </row>
    <row r="230" spans="1:11" ht="15" customHeight="1">
      <c r="A230" s="11" t="s">
        <v>332</v>
      </c>
      <c r="B230" s="145" t="s">
        <v>333</v>
      </c>
      <c r="C230" s="55"/>
      <c r="D230" s="3" t="s">
        <v>11</v>
      </c>
      <c r="E230" s="3" t="s">
        <v>25</v>
      </c>
      <c r="F230" s="3" t="s">
        <v>26</v>
      </c>
      <c r="G230" s="17">
        <f>'Enero-18'!I230</f>
        <v>20</v>
      </c>
      <c r="H230" s="51"/>
      <c r="I230" s="17">
        <f t="shared" si="4"/>
        <v>20</v>
      </c>
      <c r="J230" s="45"/>
      <c r="K230" s="46"/>
    </row>
    <row r="231" spans="1:11" ht="18" customHeight="1">
      <c r="A231" s="11" t="s">
        <v>334</v>
      </c>
      <c r="B231" s="145" t="s">
        <v>335</v>
      </c>
      <c r="C231" s="55"/>
      <c r="D231" s="3" t="s">
        <v>11</v>
      </c>
      <c r="E231" s="3" t="s">
        <v>25</v>
      </c>
      <c r="F231" s="3" t="s">
        <v>26</v>
      </c>
      <c r="G231" s="17">
        <f>'Enero-18'!I231</f>
        <v>1720.6</v>
      </c>
      <c r="H231" s="51"/>
      <c r="I231" s="17">
        <f t="shared" si="4"/>
        <v>1720.6</v>
      </c>
      <c r="J231" s="45"/>
      <c r="K231" s="46"/>
    </row>
    <row r="232" spans="1:11" ht="24" customHeight="1">
      <c r="A232" s="11" t="s">
        <v>336</v>
      </c>
      <c r="B232" s="145" t="s">
        <v>337</v>
      </c>
      <c r="C232" s="55"/>
      <c r="D232" s="3" t="s">
        <v>11</v>
      </c>
      <c r="E232" s="3" t="s">
        <v>25</v>
      </c>
      <c r="F232" s="3" t="s">
        <v>26</v>
      </c>
      <c r="G232" s="17">
        <f>'Enero-18'!I232</f>
        <v>3000</v>
      </c>
      <c r="H232" s="51"/>
      <c r="I232" s="17">
        <f t="shared" si="4"/>
        <v>3000</v>
      </c>
      <c r="J232" s="45"/>
      <c r="K232" s="46"/>
    </row>
    <row r="233" spans="1:11" ht="60.75" customHeight="1">
      <c r="A233" s="144" t="s">
        <v>338</v>
      </c>
      <c r="B233" s="54" t="s">
        <v>339</v>
      </c>
      <c r="C233" s="55"/>
      <c r="D233" s="3"/>
      <c r="E233" s="3"/>
      <c r="F233" s="3"/>
      <c r="G233" s="17">
        <f>'Enero-18'!I233</f>
        <v>0</v>
      </c>
      <c r="H233" s="51"/>
      <c r="I233" s="17"/>
      <c r="J233" s="45"/>
      <c r="K233" s="46"/>
    </row>
    <row r="234" spans="1:11" ht="18.75" customHeight="1">
      <c r="A234" s="11" t="s">
        <v>340</v>
      </c>
      <c r="B234" s="145" t="s">
        <v>344</v>
      </c>
      <c r="C234" s="55"/>
      <c r="D234" s="3" t="s">
        <v>11</v>
      </c>
      <c r="E234" s="3" t="s">
        <v>25</v>
      </c>
      <c r="F234" s="3" t="s">
        <v>26</v>
      </c>
      <c r="G234" s="17">
        <f>'Enero-18'!I234</f>
        <v>5000</v>
      </c>
      <c r="H234" s="51">
        <f>300+200+300+300+350+300+300+500</f>
        <v>2550</v>
      </c>
      <c r="I234" s="17">
        <f t="shared" si="4"/>
        <v>2450</v>
      </c>
      <c r="J234" s="45"/>
      <c r="K234" s="46"/>
    </row>
    <row r="235" spans="1:11" ht="22.5" customHeight="1">
      <c r="A235" s="11" t="s">
        <v>341</v>
      </c>
      <c r="B235" s="145" t="s">
        <v>345</v>
      </c>
      <c r="C235" s="55"/>
      <c r="D235" s="3" t="s">
        <v>11</v>
      </c>
      <c r="E235" s="3" t="s">
        <v>25</v>
      </c>
      <c r="F235" s="3" t="s">
        <v>26</v>
      </c>
      <c r="G235" s="17">
        <f>'Enero-18'!I235</f>
        <v>900</v>
      </c>
      <c r="H235" s="51"/>
      <c r="I235" s="17">
        <f t="shared" si="4"/>
        <v>900</v>
      </c>
      <c r="J235" s="45"/>
      <c r="K235" s="46"/>
    </row>
    <row r="236" spans="1:11" ht="20.25" customHeight="1">
      <c r="A236" s="11" t="s">
        <v>342</v>
      </c>
      <c r="B236" s="145" t="s">
        <v>346</v>
      </c>
      <c r="C236" s="55"/>
      <c r="D236" s="3" t="s">
        <v>11</v>
      </c>
      <c r="E236" s="3" t="s">
        <v>25</v>
      </c>
      <c r="F236" s="3" t="s">
        <v>26</v>
      </c>
      <c r="G236" s="17">
        <f>'Enero-18'!I236</f>
        <v>20</v>
      </c>
      <c r="H236" s="51">
        <f>1.3+1.7</f>
        <v>3</v>
      </c>
      <c r="I236" s="17">
        <f t="shared" si="4"/>
        <v>17</v>
      </c>
      <c r="J236" s="45"/>
      <c r="K236" s="46"/>
    </row>
    <row r="237" spans="1:11" ht="24" customHeight="1">
      <c r="A237" s="11" t="s">
        <v>343</v>
      </c>
      <c r="B237" s="145" t="s">
        <v>347</v>
      </c>
      <c r="C237" s="55"/>
      <c r="D237" s="3" t="s">
        <v>11</v>
      </c>
      <c r="E237" s="3" t="s">
        <v>25</v>
      </c>
      <c r="F237" s="3" t="s">
        <v>26</v>
      </c>
      <c r="G237" s="17">
        <f>'Enero-18'!I237</f>
        <v>80</v>
      </c>
      <c r="H237" s="51"/>
      <c r="I237" s="17">
        <f t="shared" si="4"/>
        <v>80</v>
      </c>
      <c r="J237" s="45"/>
      <c r="K237" s="46"/>
    </row>
    <row r="238" spans="1:11" ht="70.5" customHeight="1">
      <c r="A238" s="144" t="s">
        <v>348</v>
      </c>
      <c r="B238" s="54" t="s">
        <v>349</v>
      </c>
      <c r="C238" s="55"/>
      <c r="D238" s="3"/>
      <c r="E238" s="3"/>
      <c r="F238" s="3"/>
      <c r="G238" s="17">
        <f>'Enero-18'!I238</f>
        <v>0</v>
      </c>
      <c r="H238" s="51"/>
      <c r="I238" s="17"/>
      <c r="J238" s="45"/>
      <c r="K238" s="46"/>
    </row>
    <row r="239" spans="1:11" ht="18" customHeight="1">
      <c r="A239" s="11" t="s">
        <v>350</v>
      </c>
      <c r="B239" s="145" t="s">
        <v>355</v>
      </c>
      <c r="C239" s="55"/>
      <c r="D239" s="3" t="s">
        <v>11</v>
      </c>
      <c r="E239" s="3" t="s">
        <v>25</v>
      </c>
      <c r="F239" s="3" t="s">
        <v>26</v>
      </c>
      <c r="G239" s="17">
        <f>'Enero-18'!I239</f>
        <v>7000</v>
      </c>
      <c r="H239" s="51"/>
      <c r="I239" s="17">
        <f t="shared" si="4"/>
        <v>7000</v>
      </c>
      <c r="J239" s="45"/>
      <c r="K239" s="46"/>
    </row>
    <row r="240" spans="1:11" ht="22.5" customHeight="1">
      <c r="A240" s="11" t="s">
        <v>351</v>
      </c>
      <c r="B240" s="145" t="s">
        <v>354</v>
      </c>
      <c r="C240" s="55"/>
      <c r="D240" s="3" t="s">
        <v>11</v>
      </c>
      <c r="E240" s="3" t="s">
        <v>25</v>
      </c>
      <c r="F240" s="3" t="s">
        <v>26</v>
      </c>
      <c r="G240" s="17">
        <f>'Enero-18'!I240</f>
        <v>2000</v>
      </c>
      <c r="H240" s="51"/>
      <c r="I240" s="17">
        <f t="shared" si="4"/>
        <v>2000</v>
      </c>
      <c r="J240" s="45"/>
      <c r="K240" s="46"/>
    </row>
    <row r="241" spans="1:11" ht="27.75" customHeight="1">
      <c r="A241" s="11" t="s">
        <v>352</v>
      </c>
      <c r="B241" s="145" t="s">
        <v>356</v>
      </c>
      <c r="C241" s="55"/>
      <c r="D241" s="3" t="s">
        <v>11</v>
      </c>
      <c r="E241" s="3" t="s">
        <v>25</v>
      </c>
      <c r="F241" s="3" t="s">
        <v>26</v>
      </c>
      <c r="G241" s="17">
        <f>'Enero-18'!I241</f>
        <v>20</v>
      </c>
      <c r="H241" s="51">
        <f>1.3</f>
        <v>1.3</v>
      </c>
      <c r="I241" s="17">
        <f t="shared" si="4"/>
        <v>18.7</v>
      </c>
      <c r="J241" s="45"/>
      <c r="K241" s="46"/>
    </row>
    <row r="242" spans="1:11" ht="25.5" customHeight="1">
      <c r="A242" s="11" t="s">
        <v>353</v>
      </c>
      <c r="B242" s="145" t="s">
        <v>357</v>
      </c>
      <c r="C242" s="55"/>
      <c r="D242" s="3" t="s">
        <v>11</v>
      </c>
      <c r="E242" s="3" t="s">
        <v>25</v>
      </c>
      <c r="F242" s="3" t="s">
        <v>26</v>
      </c>
      <c r="G242" s="17">
        <f>'Enero-18'!I242</f>
        <v>980</v>
      </c>
      <c r="H242" s="51"/>
      <c r="I242" s="17">
        <f t="shared" si="4"/>
        <v>980</v>
      </c>
      <c r="J242" s="45"/>
      <c r="K242" s="46"/>
    </row>
    <row r="243" spans="1:11" ht="59.25" customHeight="1">
      <c r="A243" s="144" t="s">
        <v>358</v>
      </c>
      <c r="B243" s="54" t="s">
        <v>359</v>
      </c>
      <c r="C243" s="55"/>
      <c r="D243" s="3"/>
      <c r="E243" s="3"/>
      <c r="F243" s="3"/>
      <c r="G243" s="17">
        <f>'Enero-18'!I243</f>
        <v>0</v>
      </c>
      <c r="H243" s="51"/>
      <c r="I243" s="17"/>
      <c r="J243" s="45"/>
      <c r="K243" s="46"/>
    </row>
    <row r="244" spans="1:11" ht="18.75" customHeight="1">
      <c r="A244" s="11" t="s">
        <v>361</v>
      </c>
      <c r="B244" s="146" t="s">
        <v>360</v>
      </c>
      <c r="C244" s="55"/>
      <c r="D244" s="3" t="s">
        <v>11</v>
      </c>
      <c r="E244" s="3" t="s">
        <v>25</v>
      </c>
      <c r="F244" s="3" t="s">
        <v>26</v>
      </c>
      <c r="G244" s="17">
        <f>'Enero-18'!I244</f>
        <v>3000</v>
      </c>
      <c r="H244" s="51"/>
      <c r="I244" s="17">
        <f t="shared" si="4"/>
        <v>3000</v>
      </c>
      <c r="J244" s="45"/>
      <c r="K244" s="46"/>
    </row>
    <row r="245" spans="1:11" ht="18.75" customHeight="1">
      <c r="A245" s="11" t="s">
        <v>362</v>
      </c>
      <c r="B245" s="145" t="s">
        <v>365</v>
      </c>
      <c r="C245" s="55"/>
      <c r="D245" s="3" t="s">
        <v>11</v>
      </c>
      <c r="E245" s="3" t="s">
        <v>25</v>
      </c>
      <c r="F245" s="3" t="s">
        <v>26</v>
      </c>
      <c r="G245" s="17">
        <f>'Enero-18'!I245</f>
        <v>500</v>
      </c>
      <c r="H245" s="51"/>
      <c r="I245" s="17">
        <f t="shared" si="4"/>
        <v>500</v>
      </c>
      <c r="J245" s="45"/>
      <c r="K245" s="46"/>
    </row>
    <row r="246" spans="1:11" ht="24.75" customHeight="1">
      <c r="A246" s="11" t="s">
        <v>363</v>
      </c>
      <c r="B246" s="145" t="s">
        <v>366</v>
      </c>
      <c r="C246" s="55"/>
      <c r="D246" s="3" t="s">
        <v>11</v>
      </c>
      <c r="E246" s="3" t="s">
        <v>25</v>
      </c>
      <c r="F246" s="3" t="s">
        <v>26</v>
      </c>
      <c r="G246" s="17">
        <f>'Enero-18'!I246</f>
        <v>200</v>
      </c>
      <c r="H246" s="51"/>
      <c r="I246" s="17">
        <f t="shared" si="4"/>
        <v>200</v>
      </c>
      <c r="J246" s="45"/>
      <c r="K246" s="46"/>
    </row>
    <row r="247" spans="1:11" ht="28.5" customHeight="1">
      <c r="A247" s="11" t="s">
        <v>364</v>
      </c>
      <c r="B247" s="146" t="s">
        <v>367</v>
      </c>
      <c r="C247" s="55"/>
      <c r="D247" s="3" t="s">
        <v>11</v>
      </c>
      <c r="E247" s="3" t="s">
        <v>25</v>
      </c>
      <c r="F247" s="3" t="s">
        <v>26</v>
      </c>
      <c r="G247" s="17">
        <f>'Enero-18'!I247</f>
        <v>7280</v>
      </c>
      <c r="H247" s="51"/>
      <c r="I247" s="17">
        <f t="shared" si="4"/>
        <v>7280</v>
      </c>
      <c r="J247" s="45"/>
      <c r="K247" s="46"/>
    </row>
    <row r="248" spans="1:11" ht="27.75" customHeight="1">
      <c r="A248" s="11" t="s">
        <v>368</v>
      </c>
      <c r="B248" s="145" t="s">
        <v>369</v>
      </c>
      <c r="C248" s="55"/>
      <c r="D248" s="3" t="s">
        <v>11</v>
      </c>
      <c r="E248" s="3" t="s">
        <v>25</v>
      </c>
      <c r="F248" s="3" t="s">
        <v>26</v>
      </c>
      <c r="G248" s="17">
        <f>'Enero-18'!I248</f>
        <v>3000</v>
      </c>
      <c r="H248" s="51"/>
      <c r="I248" s="17">
        <f t="shared" si="4"/>
        <v>3000</v>
      </c>
      <c r="J248" s="45"/>
      <c r="K248" s="46"/>
    </row>
    <row r="249" spans="1:11" ht="23.25" customHeight="1">
      <c r="A249" s="11" t="s">
        <v>370</v>
      </c>
      <c r="B249" s="145" t="s">
        <v>371</v>
      </c>
      <c r="C249" s="55"/>
      <c r="D249" s="3" t="s">
        <v>11</v>
      </c>
      <c r="E249" s="3" t="s">
        <v>25</v>
      </c>
      <c r="F249" s="3" t="s">
        <v>26</v>
      </c>
      <c r="G249" s="17">
        <f>'Enero-18'!I249</f>
        <v>1000</v>
      </c>
      <c r="H249" s="51"/>
      <c r="I249" s="17">
        <f t="shared" si="4"/>
        <v>1000</v>
      </c>
      <c r="J249" s="45"/>
      <c r="K249" s="46"/>
    </row>
    <row r="250" spans="1:11" ht="24" customHeight="1">
      <c r="A250" s="11" t="s">
        <v>372</v>
      </c>
      <c r="B250" s="145" t="s">
        <v>373</v>
      </c>
      <c r="C250" s="55"/>
      <c r="D250" s="3" t="s">
        <v>11</v>
      </c>
      <c r="E250" s="3" t="s">
        <v>25</v>
      </c>
      <c r="F250" s="3" t="s">
        <v>26</v>
      </c>
      <c r="G250" s="17">
        <f>'Enero-18'!I250</f>
        <v>20</v>
      </c>
      <c r="H250" s="51"/>
      <c r="I250" s="17">
        <f t="shared" si="4"/>
        <v>20</v>
      </c>
      <c r="J250" s="45"/>
      <c r="K250" s="46"/>
    </row>
    <row r="251" spans="1:11" ht="59.25" customHeight="1">
      <c r="A251" s="144" t="s">
        <v>374</v>
      </c>
      <c r="B251" s="54" t="s">
        <v>375</v>
      </c>
      <c r="C251" s="55"/>
      <c r="D251" s="3"/>
      <c r="E251" s="3"/>
      <c r="F251" s="3"/>
      <c r="G251" s="17">
        <f>'Enero-18'!I251</f>
        <v>0</v>
      </c>
      <c r="H251" s="51"/>
      <c r="I251" s="17"/>
      <c r="J251" s="45"/>
      <c r="K251" s="46"/>
    </row>
    <row r="252" spans="1:11" ht="24" customHeight="1">
      <c r="A252" s="11" t="s">
        <v>376</v>
      </c>
      <c r="B252" s="146" t="s">
        <v>377</v>
      </c>
      <c r="C252" s="55"/>
      <c r="D252" s="3" t="s">
        <v>11</v>
      </c>
      <c r="E252" s="3" t="s">
        <v>25</v>
      </c>
      <c r="F252" s="3" t="s">
        <v>26</v>
      </c>
      <c r="G252" s="17">
        <f>'Enero-18'!I252</f>
        <v>5000</v>
      </c>
      <c r="H252" s="51"/>
      <c r="I252" s="17">
        <f t="shared" si="4"/>
        <v>5000</v>
      </c>
      <c r="J252" s="45"/>
      <c r="K252" s="46"/>
    </row>
    <row r="253" spans="1:11" ht="24" customHeight="1">
      <c r="A253" s="11" t="s">
        <v>383</v>
      </c>
      <c r="B253" s="145" t="s">
        <v>378</v>
      </c>
      <c r="C253" s="55"/>
      <c r="D253" s="3" t="s">
        <v>11</v>
      </c>
      <c r="E253" s="3" t="s">
        <v>25</v>
      </c>
      <c r="F253" s="3" t="s">
        <v>26</v>
      </c>
      <c r="G253" s="17">
        <f>'Enero-18'!I253</f>
        <v>200</v>
      </c>
      <c r="H253" s="51"/>
      <c r="I253" s="17">
        <f t="shared" si="4"/>
        <v>200</v>
      </c>
      <c r="J253" s="45"/>
      <c r="K253" s="46"/>
    </row>
    <row r="254" spans="1:11" ht="24" customHeight="1">
      <c r="A254" s="11" t="s">
        <v>384</v>
      </c>
      <c r="B254" s="146" t="s">
        <v>379</v>
      </c>
      <c r="C254" s="55"/>
      <c r="D254" s="3" t="s">
        <v>11</v>
      </c>
      <c r="E254" s="3" t="s">
        <v>25</v>
      </c>
      <c r="F254" s="3" t="s">
        <v>26</v>
      </c>
      <c r="G254" s="17">
        <f>'Enero-18'!I254</f>
        <v>6000</v>
      </c>
      <c r="H254" s="51"/>
      <c r="I254" s="17">
        <f t="shared" si="4"/>
        <v>6000</v>
      </c>
      <c r="J254" s="45"/>
      <c r="K254" s="46"/>
    </row>
    <row r="255" spans="1:11" ht="24" customHeight="1">
      <c r="A255" s="11" t="s">
        <v>385</v>
      </c>
      <c r="B255" s="145" t="s">
        <v>380</v>
      </c>
      <c r="C255" s="55"/>
      <c r="D255" s="3" t="s">
        <v>11</v>
      </c>
      <c r="E255" s="3" t="s">
        <v>25</v>
      </c>
      <c r="F255" s="3" t="s">
        <v>26</v>
      </c>
      <c r="G255" s="17">
        <f>'Enero-18'!I255</f>
        <v>2000</v>
      </c>
      <c r="H255" s="51"/>
      <c r="I255" s="17">
        <f t="shared" si="4"/>
        <v>2000</v>
      </c>
      <c r="J255" s="45"/>
      <c r="K255" s="46"/>
    </row>
    <row r="256" spans="1:11" ht="30" customHeight="1">
      <c r="A256" s="11" t="s">
        <v>386</v>
      </c>
      <c r="B256" s="145" t="s">
        <v>381</v>
      </c>
      <c r="C256" s="55"/>
      <c r="D256" s="3" t="s">
        <v>11</v>
      </c>
      <c r="E256" s="3" t="s">
        <v>25</v>
      </c>
      <c r="F256" s="3" t="s">
        <v>26</v>
      </c>
      <c r="G256" s="17">
        <f>'Enero-18'!I256</f>
        <v>1780</v>
      </c>
      <c r="H256" s="51"/>
      <c r="I256" s="17">
        <f t="shared" si="4"/>
        <v>1780</v>
      </c>
      <c r="J256" s="45"/>
      <c r="K256" s="46"/>
    </row>
    <row r="257" spans="1:11" ht="27" customHeight="1">
      <c r="A257" s="11" t="s">
        <v>387</v>
      </c>
      <c r="B257" s="145" t="s">
        <v>382</v>
      </c>
      <c r="C257" s="6"/>
      <c r="D257" s="3" t="s">
        <v>11</v>
      </c>
      <c r="E257" s="3" t="s">
        <v>25</v>
      </c>
      <c r="F257" s="3" t="s">
        <v>26</v>
      </c>
      <c r="G257" s="17">
        <f>'Enero-18'!I257</f>
        <v>20</v>
      </c>
      <c r="H257" s="51"/>
      <c r="I257" s="17">
        <f t="shared" si="3"/>
        <v>20</v>
      </c>
      <c r="J257" s="45"/>
      <c r="K257" s="46"/>
    </row>
    <row r="258" spans="1:11" ht="143.25" customHeight="1">
      <c r="A258" s="144" t="s">
        <v>388</v>
      </c>
      <c r="B258" s="54" t="s">
        <v>391</v>
      </c>
      <c r="C258" s="55"/>
      <c r="D258" s="14"/>
      <c r="E258" s="14"/>
      <c r="F258" s="14"/>
      <c r="G258" s="17"/>
      <c r="H258" s="51"/>
      <c r="I258" s="17"/>
      <c r="J258" s="62"/>
      <c r="K258" s="63"/>
    </row>
    <row r="259" spans="1:11" ht="29.25">
      <c r="A259" s="11" t="s">
        <v>389</v>
      </c>
      <c r="B259" s="54" t="s">
        <v>390</v>
      </c>
      <c r="C259" s="55"/>
      <c r="D259" s="14" t="s">
        <v>11</v>
      </c>
      <c r="E259" s="14" t="s">
        <v>25</v>
      </c>
      <c r="F259" s="14" t="s">
        <v>26</v>
      </c>
      <c r="G259" s="17">
        <f>'Enero-18'!I259</f>
        <v>10000</v>
      </c>
      <c r="H259" s="51"/>
      <c r="I259" s="17">
        <f t="shared" si="3"/>
        <v>10000</v>
      </c>
      <c r="J259" s="62"/>
      <c r="K259" s="63"/>
    </row>
    <row r="260" spans="1:11" ht="68.25" customHeight="1">
      <c r="A260" s="144" t="s">
        <v>392</v>
      </c>
      <c r="B260" s="54" t="s">
        <v>393</v>
      </c>
      <c r="C260" s="55"/>
      <c r="D260" s="14"/>
      <c r="E260" s="14"/>
      <c r="F260" s="14"/>
      <c r="G260" s="17"/>
      <c r="H260" s="51"/>
      <c r="I260" s="17"/>
      <c r="J260" s="62"/>
      <c r="K260" s="63"/>
    </row>
    <row r="261" spans="1:11">
      <c r="A261" s="11">
        <v>51999</v>
      </c>
      <c r="B261" s="54" t="s">
        <v>394</v>
      </c>
      <c r="C261" s="55"/>
      <c r="D261" s="14" t="s">
        <v>11</v>
      </c>
      <c r="E261" s="14" t="s">
        <v>25</v>
      </c>
      <c r="F261" s="14" t="s">
        <v>26</v>
      </c>
      <c r="G261" s="17">
        <f>'Enero-18'!I261</f>
        <v>1000</v>
      </c>
      <c r="H261" s="51">
        <f>225+60+1615</f>
        <v>1900</v>
      </c>
      <c r="I261" s="17">
        <f t="shared" si="3"/>
        <v>1100</v>
      </c>
      <c r="J261" s="108">
        <v>2000</v>
      </c>
      <c r="K261" s="63"/>
    </row>
    <row r="262" spans="1:11" ht="29.25">
      <c r="A262" s="11">
        <v>54112</v>
      </c>
      <c r="B262" s="54" t="s">
        <v>395</v>
      </c>
      <c r="C262" s="55"/>
      <c r="D262" s="14" t="s">
        <v>11</v>
      </c>
      <c r="E262" s="14" t="s">
        <v>25</v>
      </c>
      <c r="F262" s="14" t="s">
        <v>26</v>
      </c>
      <c r="G262" s="17">
        <f>'Enero-18'!I262</f>
        <v>2000</v>
      </c>
      <c r="H262" s="51"/>
      <c r="I262" s="17">
        <f t="shared" si="3"/>
        <v>2000</v>
      </c>
      <c r="J262" s="62"/>
      <c r="K262" s="63"/>
    </row>
    <row r="263" spans="1:11" ht="29.25">
      <c r="A263" s="11">
        <v>54199</v>
      </c>
      <c r="B263" s="54" t="s">
        <v>396</v>
      </c>
      <c r="C263" s="55"/>
      <c r="D263" s="14" t="s">
        <v>11</v>
      </c>
      <c r="E263" s="14" t="s">
        <v>25</v>
      </c>
      <c r="F263" s="14" t="s">
        <v>26</v>
      </c>
      <c r="G263" s="17">
        <f>'Enero-18'!I263</f>
        <v>1000</v>
      </c>
      <c r="H263" s="51"/>
      <c r="I263" s="17">
        <f t="shared" ref="I263:I317" si="5">G263-H263+J263-K263</f>
        <v>1000</v>
      </c>
      <c r="J263" s="62"/>
      <c r="K263" s="63"/>
    </row>
    <row r="264" spans="1:11">
      <c r="A264" s="11">
        <v>54305</v>
      </c>
      <c r="B264" s="54" t="s">
        <v>397</v>
      </c>
      <c r="C264" s="55"/>
      <c r="D264" s="14" t="s">
        <v>11</v>
      </c>
      <c r="E264" s="14" t="s">
        <v>25</v>
      </c>
      <c r="F264" s="14" t="s">
        <v>26</v>
      </c>
      <c r="G264" s="17">
        <f>'Enero-18'!I264</f>
        <v>8980</v>
      </c>
      <c r="H264" s="51"/>
      <c r="I264" s="17">
        <f t="shared" si="5"/>
        <v>6980</v>
      </c>
      <c r="J264" s="62"/>
      <c r="K264" s="108">
        <v>2000</v>
      </c>
    </row>
    <row r="265" spans="1:11" ht="30">
      <c r="A265" s="11">
        <v>54313</v>
      </c>
      <c r="B265" s="54" t="s">
        <v>398</v>
      </c>
      <c r="C265" s="55"/>
      <c r="D265" s="14" t="s">
        <v>11</v>
      </c>
      <c r="E265" s="14" t="s">
        <v>25</v>
      </c>
      <c r="F265" s="14" t="s">
        <v>26</v>
      </c>
      <c r="G265" s="17">
        <f>'Enero-18'!I265</f>
        <v>5000</v>
      </c>
      <c r="H265" s="51"/>
      <c r="I265" s="17">
        <f t="shared" si="5"/>
        <v>5000</v>
      </c>
      <c r="J265" s="62"/>
      <c r="K265" s="63"/>
    </row>
    <row r="266" spans="1:11" ht="30">
      <c r="A266" s="11">
        <v>54399</v>
      </c>
      <c r="B266" s="54" t="s">
        <v>399</v>
      </c>
      <c r="C266" s="55"/>
      <c r="D266" s="14" t="s">
        <v>11</v>
      </c>
      <c r="E266" s="14" t="s">
        <v>25</v>
      </c>
      <c r="F266" s="14" t="s">
        <v>26</v>
      </c>
      <c r="G266" s="17">
        <f>'Enero-18'!I266</f>
        <v>2000</v>
      </c>
      <c r="H266" s="51"/>
      <c r="I266" s="17">
        <f t="shared" si="5"/>
        <v>2000</v>
      </c>
      <c r="J266" s="62"/>
      <c r="K266" s="63"/>
    </row>
    <row r="267" spans="1:11" ht="30">
      <c r="A267" s="11">
        <v>55603</v>
      </c>
      <c r="B267" s="54" t="s">
        <v>400</v>
      </c>
      <c r="C267" s="55"/>
      <c r="D267" s="14" t="s">
        <v>11</v>
      </c>
      <c r="E267" s="14" t="s">
        <v>25</v>
      </c>
      <c r="F267" s="14" t="s">
        <v>26</v>
      </c>
      <c r="G267" s="17">
        <f>'Enero-18'!I267</f>
        <v>18.7</v>
      </c>
      <c r="H267" s="51">
        <f>1.7</f>
        <v>1.7</v>
      </c>
      <c r="I267" s="17">
        <f t="shared" si="5"/>
        <v>17</v>
      </c>
      <c r="J267" s="62"/>
      <c r="K267" s="63"/>
    </row>
    <row r="268" spans="1:11" ht="66">
      <c r="A268" s="144" t="s">
        <v>401</v>
      </c>
      <c r="B268" s="54" t="s">
        <v>402</v>
      </c>
      <c r="C268" s="55"/>
      <c r="D268" s="14"/>
      <c r="E268" s="14"/>
      <c r="F268" s="14"/>
      <c r="G268" s="17">
        <f>'Enero-18'!I268</f>
        <v>0</v>
      </c>
      <c r="H268" s="51"/>
      <c r="I268" s="17"/>
      <c r="J268" s="62"/>
      <c r="K268" s="63"/>
    </row>
    <row r="269" spans="1:11" ht="20.25" customHeight="1">
      <c r="A269" s="147">
        <v>54119</v>
      </c>
      <c r="B269" s="145" t="s">
        <v>403</v>
      </c>
      <c r="C269" s="55"/>
      <c r="D269" s="14" t="s">
        <v>11</v>
      </c>
      <c r="E269" s="14" t="s">
        <v>25</v>
      </c>
      <c r="F269" s="14" t="s">
        <v>26</v>
      </c>
      <c r="G269" s="17">
        <f>'Enero-18'!I269</f>
        <v>17990</v>
      </c>
      <c r="H269" s="51"/>
      <c r="I269" s="17">
        <f t="shared" si="5"/>
        <v>17990</v>
      </c>
      <c r="J269" s="62"/>
      <c r="K269" s="63"/>
    </row>
    <row r="270" spans="1:11" ht="24">
      <c r="A270" s="147">
        <v>54112</v>
      </c>
      <c r="B270" s="145" t="s">
        <v>404</v>
      </c>
      <c r="C270" s="55"/>
      <c r="D270" s="14" t="s">
        <v>11</v>
      </c>
      <c r="E270" s="14" t="s">
        <v>25</v>
      </c>
      <c r="F270" s="14" t="s">
        <v>26</v>
      </c>
      <c r="G270" s="17">
        <f>'Enero-18'!I270</f>
        <v>1000</v>
      </c>
      <c r="H270" s="51"/>
      <c r="I270" s="17">
        <f t="shared" si="5"/>
        <v>1000</v>
      </c>
      <c r="J270" s="62"/>
      <c r="K270" s="63"/>
    </row>
    <row r="271" spans="1:11" ht="22.5" customHeight="1">
      <c r="A271" s="147">
        <v>54199</v>
      </c>
      <c r="B271" s="145" t="s">
        <v>405</v>
      </c>
      <c r="C271" s="55"/>
      <c r="D271" s="14" t="s">
        <v>11</v>
      </c>
      <c r="E271" s="14" t="s">
        <v>25</v>
      </c>
      <c r="F271" s="14" t="s">
        <v>26</v>
      </c>
      <c r="G271" s="17">
        <f>'Enero-18'!I271</f>
        <v>1000</v>
      </c>
      <c r="H271" s="51">
        <f>155</f>
        <v>155</v>
      </c>
      <c r="I271" s="17">
        <f t="shared" si="5"/>
        <v>845</v>
      </c>
      <c r="J271" s="62"/>
      <c r="K271" s="63"/>
    </row>
    <row r="272" spans="1:11" ht="24">
      <c r="A272" s="147">
        <v>54399</v>
      </c>
      <c r="B272" s="145" t="s">
        <v>406</v>
      </c>
      <c r="C272" s="55"/>
      <c r="D272" s="14" t="s">
        <v>11</v>
      </c>
      <c r="E272" s="14" t="s">
        <v>25</v>
      </c>
      <c r="F272" s="14" t="s">
        <v>26</v>
      </c>
      <c r="G272" s="17">
        <f>'Enero-18'!I272</f>
        <v>5000</v>
      </c>
      <c r="H272" s="51"/>
      <c r="I272" s="17">
        <f t="shared" si="5"/>
        <v>5000</v>
      </c>
      <c r="J272" s="62"/>
      <c r="K272" s="63"/>
    </row>
    <row r="273" spans="1:11">
      <c r="A273" s="147">
        <v>55603</v>
      </c>
      <c r="B273" s="145" t="s">
        <v>407</v>
      </c>
      <c r="C273" s="55"/>
      <c r="D273" s="14" t="s">
        <v>11</v>
      </c>
      <c r="E273" s="14" t="s">
        <v>25</v>
      </c>
      <c r="F273" s="14" t="s">
        <v>26</v>
      </c>
      <c r="G273" s="17">
        <f>'Enero-18'!I273</f>
        <v>8.6999999999999993</v>
      </c>
      <c r="H273" s="51"/>
      <c r="I273" s="17">
        <f t="shared" si="5"/>
        <v>8.6999999999999993</v>
      </c>
      <c r="J273" s="62"/>
      <c r="K273" s="63"/>
    </row>
    <row r="274" spans="1:11" s="213" customFormat="1" ht="55.5">
      <c r="A274" s="144" t="s">
        <v>408</v>
      </c>
      <c r="B274" s="54" t="s">
        <v>409</v>
      </c>
      <c r="C274" s="55"/>
      <c r="D274" s="14"/>
      <c r="E274" s="14"/>
      <c r="F274" s="14"/>
      <c r="G274" s="17">
        <f>'Enero-18'!I274</f>
        <v>0</v>
      </c>
      <c r="H274" s="51"/>
      <c r="I274" s="17"/>
      <c r="J274" s="62"/>
      <c r="K274" s="63"/>
    </row>
    <row r="275" spans="1:11" ht="29.25">
      <c r="A275" s="11">
        <v>51999</v>
      </c>
      <c r="B275" s="54" t="s">
        <v>410</v>
      </c>
      <c r="C275" s="55"/>
      <c r="D275" s="14" t="s">
        <v>11</v>
      </c>
      <c r="E275" s="14" t="s">
        <v>25</v>
      </c>
      <c r="F275" s="14" t="s">
        <v>26</v>
      </c>
      <c r="G275" s="17">
        <f>'Enero-18'!I275</f>
        <v>5000</v>
      </c>
      <c r="H275" s="51"/>
      <c r="I275" s="17">
        <f t="shared" si="5"/>
        <v>5000</v>
      </c>
      <c r="J275" s="62"/>
      <c r="K275" s="63"/>
    </row>
    <row r="276" spans="1:11" ht="29.25">
      <c r="A276" s="11">
        <v>54111</v>
      </c>
      <c r="B276" s="54" t="s">
        <v>411</v>
      </c>
      <c r="C276" s="55"/>
      <c r="D276" s="14" t="s">
        <v>11</v>
      </c>
      <c r="E276" s="14" t="s">
        <v>25</v>
      </c>
      <c r="F276" s="14" t="s">
        <v>26</v>
      </c>
      <c r="G276" s="17">
        <f>'Enero-18'!I276</f>
        <v>3000</v>
      </c>
      <c r="H276" s="51">
        <f>66.92</f>
        <v>66.92</v>
      </c>
      <c r="I276" s="17">
        <f t="shared" si="5"/>
        <v>2933.08</v>
      </c>
      <c r="J276" s="62"/>
      <c r="K276" s="63"/>
    </row>
    <row r="277" spans="1:11" ht="29.25">
      <c r="A277" s="11">
        <v>54112</v>
      </c>
      <c r="B277" s="54" t="s">
        <v>412</v>
      </c>
      <c r="C277" s="55"/>
      <c r="D277" s="14" t="s">
        <v>11</v>
      </c>
      <c r="E277" s="14" t="s">
        <v>25</v>
      </c>
      <c r="F277" s="14" t="s">
        <v>26</v>
      </c>
      <c r="G277" s="17">
        <f>'Enero-18'!I277</f>
        <v>2000</v>
      </c>
      <c r="H277" s="51">
        <f>7.25+23.2</f>
        <v>30.45</v>
      </c>
      <c r="I277" s="17">
        <f t="shared" si="5"/>
        <v>1969.55</v>
      </c>
      <c r="J277" s="62"/>
      <c r="K277" s="63"/>
    </row>
    <row r="278" spans="1:11" ht="30">
      <c r="A278" s="11">
        <v>54118</v>
      </c>
      <c r="B278" s="54" t="s">
        <v>413</v>
      </c>
      <c r="C278" s="55"/>
      <c r="D278" s="14" t="s">
        <v>11</v>
      </c>
      <c r="E278" s="14" t="s">
        <v>25</v>
      </c>
      <c r="F278" s="14" t="s">
        <v>26</v>
      </c>
      <c r="G278" s="17">
        <f>'Enero-18'!I278</f>
        <v>3990</v>
      </c>
      <c r="H278" s="51"/>
      <c r="I278" s="17">
        <f t="shared" si="5"/>
        <v>3990</v>
      </c>
      <c r="J278" s="62"/>
      <c r="K278" s="63"/>
    </row>
    <row r="279" spans="1:11" ht="29.25">
      <c r="A279" s="11">
        <v>54199</v>
      </c>
      <c r="B279" s="54" t="s">
        <v>414</v>
      </c>
      <c r="C279" s="55"/>
      <c r="D279" s="14" t="s">
        <v>11</v>
      </c>
      <c r="E279" s="14" t="s">
        <v>25</v>
      </c>
      <c r="F279" s="14" t="s">
        <v>26</v>
      </c>
      <c r="G279" s="17">
        <f>'Enero-18'!I279</f>
        <v>1000</v>
      </c>
      <c r="H279" s="51"/>
      <c r="I279" s="17">
        <f t="shared" si="5"/>
        <v>1000</v>
      </c>
      <c r="J279" s="62"/>
      <c r="K279" s="63"/>
    </row>
    <row r="280" spans="1:11" ht="30">
      <c r="A280" s="11">
        <v>54301</v>
      </c>
      <c r="B280" s="54" t="s">
        <v>415</v>
      </c>
      <c r="C280" s="55"/>
      <c r="D280" s="14" t="s">
        <v>11</v>
      </c>
      <c r="E280" s="14" t="s">
        <v>25</v>
      </c>
      <c r="F280" s="14" t="s">
        <v>26</v>
      </c>
      <c r="G280" s="17">
        <f>'Enero-18'!I280</f>
        <v>3000</v>
      </c>
      <c r="H280" s="51"/>
      <c r="I280" s="17">
        <f t="shared" si="5"/>
        <v>3000</v>
      </c>
      <c r="J280" s="62"/>
      <c r="K280" s="63"/>
    </row>
    <row r="281" spans="1:11" ht="30">
      <c r="A281" s="11">
        <v>54399</v>
      </c>
      <c r="B281" s="54" t="s">
        <v>416</v>
      </c>
      <c r="C281" s="55"/>
      <c r="D281" s="14" t="s">
        <v>11</v>
      </c>
      <c r="E281" s="14" t="s">
        <v>25</v>
      </c>
      <c r="F281" s="14" t="s">
        <v>26</v>
      </c>
      <c r="G281" s="17">
        <f>'Enero-18'!I281</f>
        <v>2000</v>
      </c>
      <c r="H281" s="51"/>
      <c r="I281" s="17">
        <f t="shared" si="5"/>
        <v>2000</v>
      </c>
      <c r="J281" s="62"/>
      <c r="K281" s="63"/>
    </row>
    <row r="282" spans="1:11" ht="29.25">
      <c r="A282" s="11">
        <v>55603</v>
      </c>
      <c r="B282" s="54" t="s">
        <v>417</v>
      </c>
      <c r="C282" s="55"/>
      <c r="D282" s="14" t="s">
        <v>11</v>
      </c>
      <c r="E282" s="14" t="s">
        <v>25</v>
      </c>
      <c r="F282" s="14" t="s">
        <v>26</v>
      </c>
      <c r="G282" s="17">
        <f>'Enero-18'!I282</f>
        <v>8.6999999999999993</v>
      </c>
      <c r="H282" s="51"/>
      <c r="I282" s="17">
        <f t="shared" si="5"/>
        <v>8.6999999999999993</v>
      </c>
      <c r="J282" s="62"/>
      <c r="K282" s="63"/>
    </row>
    <row r="283" spans="1:11" ht="64.5" customHeight="1">
      <c r="A283" s="144" t="s">
        <v>418</v>
      </c>
      <c r="B283" s="54" t="s">
        <v>419</v>
      </c>
      <c r="C283" s="55"/>
      <c r="D283" s="14"/>
      <c r="E283" s="14"/>
      <c r="F283" s="14"/>
      <c r="G283" s="17"/>
      <c r="H283" s="51"/>
      <c r="I283" s="17"/>
      <c r="J283" s="62"/>
      <c r="K283" s="63"/>
    </row>
    <row r="284" spans="1:11">
      <c r="A284" s="11">
        <v>51202</v>
      </c>
      <c r="B284" s="54" t="s">
        <v>420</v>
      </c>
      <c r="C284" s="55"/>
      <c r="D284" s="14" t="s">
        <v>11</v>
      </c>
      <c r="E284" s="14" t="s">
        <v>25</v>
      </c>
      <c r="F284" s="14" t="s">
        <v>26</v>
      </c>
      <c r="G284" s="17">
        <f>'Enero-18'!I284</f>
        <v>10000</v>
      </c>
      <c r="H284" s="51"/>
      <c r="I284" s="17">
        <f t="shared" si="5"/>
        <v>10000</v>
      </c>
      <c r="J284" s="62"/>
      <c r="K284" s="63"/>
    </row>
    <row r="285" spans="1:11">
      <c r="A285" s="11">
        <v>54110</v>
      </c>
      <c r="B285" s="54" t="s">
        <v>421</v>
      </c>
      <c r="C285" s="55"/>
      <c r="D285" s="14" t="s">
        <v>11</v>
      </c>
      <c r="E285" s="14" t="s">
        <v>25</v>
      </c>
      <c r="F285" s="14" t="s">
        <v>26</v>
      </c>
      <c r="G285" s="17">
        <f>'Enero-18'!I285</f>
        <v>5000</v>
      </c>
      <c r="H285" s="51"/>
      <c r="I285" s="17">
        <f t="shared" si="5"/>
        <v>5000</v>
      </c>
      <c r="J285" s="62"/>
      <c r="K285" s="63"/>
    </row>
    <row r="286" spans="1:11" ht="29.25">
      <c r="A286" s="11">
        <v>54111</v>
      </c>
      <c r="B286" s="54" t="s">
        <v>422</v>
      </c>
      <c r="C286" s="55"/>
      <c r="D286" s="14" t="s">
        <v>11</v>
      </c>
      <c r="E286" s="14" t="s">
        <v>25</v>
      </c>
      <c r="F286" s="14" t="s">
        <v>26</v>
      </c>
      <c r="G286" s="17">
        <f>'Enero-18'!I286</f>
        <v>10500</v>
      </c>
      <c r="H286" s="51"/>
      <c r="I286" s="17">
        <f t="shared" si="5"/>
        <v>10500</v>
      </c>
      <c r="J286" s="62"/>
      <c r="K286" s="63"/>
    </row>
    <row r="287" spans="1:11" ht="29.25">
      <c r="A287" s="11">
        <v>54112</v>
      </c>
      <c r="B287" s="54" t="s">
        <v>423</v>
      </c>
      <c r="C287" s="55"/>
      <c r="D287" s="14" t="s">
        <v>11</v>
      </c>
      <c r="E287" s="14" t="s">
        <v>25</v>
      </c>
      <c r="F287" s="14" t="s">
        <v>26</v>
      </c>
      <c r="G287" s="17">
        <f>'Enero-18'!I287</f>
        <v>10000</v>
      </c>
      <c r="H287" s="51"/>
      <c r="I287" s="17">
        <f t="shared" si="5"/>
        <v>10000</v>
      </c>
      <c r="J287" s="62"/>
      <c r="K287" s="63"/>
    </row>
    <row r="288" spans="1:11" ht="29.25">
      <c r="A288" s="11">
        <v>54313</v>
      </c>
      <c r="B288" s="54" t="s">
        <v>424</v>
      </c>
      <c r="C288" s="55"/>
      <c r="D288" s="14" t="s">
        <v>11</v>
      </c>
      <c r="E288" s="14" t="s">
        <v>25</v>
      </c>
      <c r="F288" s="14" t="s">
        <v>26</v>
      </c>
      <c r="G288" s="17">
        <f>'Enero-18'!I288</f>
        <v>490</v>
      </c>
      <c r="H288" s="51"/>
      <c r="I288" s="17">
        <f t="shared" si="5"/>
        <v>490</v>
      </c>
      <c r="J288" s="62"/>
      <c r="K288" s="63"/>
    </row>
    <row r="289" spans="1:11" ht="29.25">
      <c r="A289" s="11">
        <v>54316</v>
      </c>
      <c r="B289" s="54" t="s">
        <v>425</v>
      </c>
      <c r="C289" s="55"/>
      <c r="D289" s="14" t="s">
        <v>11</v>
      </c>
      <c r="E289" s="14" t="s">
        <v>25</v>
      </c>
      <c r="F289" s="14" t="s">
        <v>26</v>
      </c>
      <c r="G289" s="17">
        <f>'Enero-18'!I289</f>
        <v>15000</v>
      </c>
      <c r="H289" s="51"/>
      <c r="I289" s="17">
        <f t="shared" si="5"/>
        <v>15000</v>
      </c>
      <c r="J289" s="62"/>
      <c r="K289" s="63"/>
    </row>
    <row r="290" spans="1:11" ht="30">
      <c r="A290" s="11">
        <v>54399</v>
      </c>
      <c r="B290" s="54" t="s">
        <v>426</v>
      </c>
      <c r="C290" s="55"/>
      <c r="D290" s="14" t="s">
        <v>11</v>
      </c>
      <c r="E290" s="14" t="s">
        <v>25</v>
      </c>
      <c r="F290" s="14" t="s">
        <v>26</v>
      </c>
      <c r="G290" s="17">
        <f>'Enero-18'!I290</f>
        <v>5000</v>
      </c>
      <c r="H290" s="51"/>
      <c r="I290" s="17">
        <f t="shared" si="5"/>
        <v>5000</v>
      </c>
      <c r="J290" s="62"/>
      <c r="K290" s="63"/>
    </row>
    <row r="291" spans="1:11">
      <c r="A291" s="11">
        <v>55603</v>
      </c>
      <c r="B291" s="54" t="s">
        <v>427</v>
      </c>
      <c r="C291" s="55"/>
      <c r="D291" s="14" t="s">
        <v>11</v>
      </c>
      <c r="E291" s="14" t="s">
        <v>25</v>
      </c>
      <c r="F291" s="14" t="s">
        <v>26</v>
      </c>
      <c r="G291" s="17">
        <f>'Enero-18'!I291</f>
        <v>10</v>
      </c>
      <c r="H291" s="51">
        <v>1.3</v>
      </c>
      <c r="I291" s="17">
        <f t="shared" si="5"/>
        <v>8.6999999999999993</v>
      </c>
      <c r="J291" s="62"/>
      <c r="K291" s="63"/>
    </row>
    <row r="292" spans="1:11">
      <c r="A292" s="11">
        <v>55799</v>
      </c>
      <c r="B292" s="54" t="s">
        <v>428</v>
      </c>
      <c r="C292" s="55"/>
      <c r="D292" s="14" t="s">
        <v>11</v>
      </c>
      <c r="E292" s="14" t="s">
        <v>25</v>
      </c>
      <c r="F292" s="14" t="s">
        <v>26</v>
      </c>
      <c r="G292" s="17">
        <f>'Enero-18'!I292</f>
        <v>10000</v>
      </c>
      <c r="H292" s="51"/>
      <c r="I292" s="17">
        <f t="shared" si="5"/>
        <v>10000</v>
      </c>
      <c r="J292" s="62"/>
      <c r="K292" s="63"/>
    </row>
    <row r="293" spans="1:11" ht="77.25" customHeight="1">
      <c r="A293" s="144" t="s">
        <v>429</v>
      </c>
      <c r="B293" s="54" t="s">
        <v>430</v>
      </c>
      <c r="C293" s="55"/>
      <c r="D293" s="14"/>
      <c r="E293" s="14"/>
      <c r="F293" s="14"/>
      <c r="G293" s="17"/>
      <c r="H293" s="51"/>
      <c r="I293" s="17"/>
      <c r="J293" s="62"/>
      <c r="K293" s="63"/>
    </row>
    <row r="294" spans="1:11" ht="33.75" customHeight="1">
      <c r="A294" s="148">
        <v>54199</v>
      </c>
      <c r="B294" s="54" t="s">
        <v>431</v>
      </c>
      <c r="C294" s="55"/>
      <c r="D294" s="14" t="s">
        <v>11</v>
      </c>
      <c r="E294" s="14" t="s">
        <v>25</v>
      </c>
      <c r="F294" s="14" t="s">
        <v>26</v>
      </c>
      <c r="G294" s="17">
        <f>'Enero-18'!I294</f>
        <v>10000</v>
      </c>
      <c r="H294" s="51"/>
      <c r="I294" s="17">
        <f t="shared" si="5"/>
        <v>10000</v>
      </c>
      <c r="J294" s="62"/>
      <c r="K294" s="63"/>
    </row>
    <row r="295" spans="1:11" ht="30" customHeight="1">
      <c r="A295" s="148">
        <v>54314</v>
      </c>
      <c r="B295" s="54" t="s">
        <v>432</v>
      </c>
      <c r="C295" s="55"/>
      <c r="D295" s="14" t="s">
        <v>11</v>
      </c>
      <c r="E295" s="14" t="s">
        <v>25</v>
      </c>
      <c r="F295" s="14" t="s">
        <v>26</v>
      </c>
      <c r="G295" s="17">
        <f>'Enero-18'!I295</f>
        <v>20000</v>
      </c>
      <c r="H295" s="51">
        <f>200+200+300+200+300+200</f>
        <v>1400</v>
      </c>
      <c r="I295" s="17">
        <f t="shared" si="5"/>
        <v>18600</v>
      </c>
      <c r="J295" s="62"/>
      <c r="K295" s="63"/>
    </row>
    <row r="296" spans="1:11" ht="30.75" customHeight="1">
      <c r="A296" s="148">
        <v>54399</v>
      </c>
      <c r="B296" s="54" t="s">
        <v>433</v>
      </c>
      <c r="C296" s="55"/>
      <c r="D296" s="14" t="s">
        <v>11</v>
      </c>
      <c r="E296" s="14" t="s">
        <v>25</v>
      </c>
      <c r="F296" s="14" t="s">
        <v>26</v>
      </c>
      <c r="G296" s="17">
        <f>'Enero-18'!I296</f>
        <v>5000</v>
      </c>
      <c r="H296" s="51"/>
      <c r="I296" s="17">
        <f t="shared" si="5"/>
        <v>5000</v>
      </c>
      <c r="J296" s="62"/>
      <c r="K296" s="63"/>
    </row>
    <row r="297" spans="1:11" ht="33" customHeight="1">
      <c r="A297" s="148">
        <v>55603</v>
      </c>
      <c r="B297" s="54" t="s">
        <v>434</v>
      </c>
      <c r="C297" s="55"/>
      <c r="D297" s="14" t="s">
        <v>11</v>
      </c>
      <c r="E297" s="14" t="s">
        <v>25</v>
      </c>
      <c r="F297" s="14" t="s">
        <v>26</v>
      </c>
      <c r="G297" s="17">
        <f>'Enero-18'!I297</f>
        <v>8.6999999999999993</v>
      </c>
      <c r="H297" s="51">
        <f>1.7</f>
        <v>1.7</v>
      </c>
      <c r="I297" s="17">
        <f t="shared" si="5"/>
        <v>6.9999999999999991</v>
      </c>
      <c r="J297" s="62"/>
      <c r="K297" s="63"/>
    </row>
    <row r="298" spans="1:11" ht="31.5" customHeight="1">
      <c r="A298" s="148">
        <v>56303</v>
      </c>
      <c r="B298" s="54" t="s">
        <v>986</v>
      </c>
      <c r="C298" s="55"/>
      <c r="D298" s="14" t="s">
        <v>11</v>
      </c>
      <c r="E298" s="14" t="s">
        <v>25</v>
      </c>
      <c r="F298" s="14" t="s">
        <v>26</v>
      </c>
      <c r="G298" s="17">
        <f>'Enero-18'!I298</f>
        <v>9990</v>
      </c>
      <c r="H298" s="51"/>
      <c r="I298" s="17">
        <f t="shared" si="5"/>
        <v>9990</v>
      </c>
      <c r="J298" s="62"/>
      <c r="K298" s="63"/>
    </row>
    <row r="299" spans="1:11" ht="77.25" customHeight="1">
      <c r="A299" s="144" t="s">
        <v>437</v>
      </c>
      <c r="B299" s="54" t="s">
        <v>436</v>
      </c>
      <c r="C299" s="55"/>
      <c r="D299" s="14" t="s">
        <v>11</v>
      </c>
      <c r="E299" s="14" t="s">
        <v>25</v>
      </c>
      <c r="F299" s="14" t="s">
        <v>26</v>
      </c>
      <c r="G299" s="17">
        <f>'Enero-18'!I299</f>
        <v>0</v>
      </c>
      <c r="H299" s="51"/>
      <c r="I299" s="17"/>
      <c r="J299" s="62"/>
      <c r="K299" s="63"/>
    </row>
    <row r="300" spans="1:11" ht="28.5" customHeight="1">
      <c r="A300" s="148">
        <v>54199</v>
      </c>
      <c r="B300" s="54" t="s">
        <v>438</v>
      </c>
      <c r="C300" s="55"/>
      <c r="D300" s="14" t="s">
        <v>11</v>
      </c>
      <c r="E300" s="14" t="s">
        <v>25</v>
      </c>
      <c r="F300" s="14" t="s">
        <v>26</v>
      </c>
      <c r="G300" s="17">
        <f>'Enero-18'!I300</f>
        <v>1790</v>
      </c>
      <c r="H300" s="51"/>
      <c r="I300" s="17">
        <f t="shared" si="5"/>
        <v>1790</v>
      </c>
      <c r="J300" s="62"/>
      <c r="K300" s="63"/>
    </row>
    <row r="301" spans="1:11" ht="15" customHeight="1">
      <c r="A301" s="148">
        <v>54314</v>
      </c>
      <c r="B301" s="54" t="s">
        <v>439</v>
      </c>
      <c r="C301" s="55"/>
      <c r="D301" s="14" t="s">
        <v>11</v>
      </c>
      <c r="E301" s="14" t="s">
        <v>25</v>
      </c>
      <c r="F301" s="14" t="s">
        <v>26</v>
      </c>
      <c r="G301" s="17">
        <f>'Enero-18'!I301</f>
        <v>3000</v>
      </c>
      <c r="H301" s="51"/>
      <c r="I301" s="17">
        <f t="shared" si="5"/>
        <v>3000</v>
      </c>
      <c r="J301" s="62"/>
      <c r="K301" s="63"/>
    </row>
    <row r="302" spans="1:11" ht="27.75" customHeight="1">
      <c r="A302" s="148">
        <v>54399</v>
      </c>
      <c r="B302" s="54" t="s">
        <v>440</v>
      </c>
      <c r="C302" s="55"/>
      <c r="D302" s="14" t="s">
        <v>11</v>
      </c>
      <c r="E302" s="14" t="s">
        <v>25</v>
      </c>
      <c r="F302" s="14" t="s">
        <v>26</v>
      </c>
      <c r="G302" s="17">
        <f>'Enero-18'!I302</f>
        <v>100</v>
      </c>
      <c r="H302" s="51"/>
      <c r="I302" s="17">
        <f t="shared" si="5"/>
        <v>100</v>
      </c>
      <c r="J302" s="62"/>
      <c r="K302" s="63"/>
    </row>
    <row r="303" spans="1:11" ht="29.25" customHeight="1">
      <c r="A303" s="148">
        <v>55603</v>
      </c>
      <c r="B303" s="54" t="s">
        <v>441</v>
      </c>
      <c r="C303" s="55"/>
      <c r="D303" s="14" t="s">
        <v>11</v>
      </c>
      <c r="E303" s="14" t="s">
        <v>25</v>
      </c>
      <c r="F303" s="14" t="s">
        <v>26</v>
      </c>
      <c r="G303" s="17">
        <f>'Enero-18'!I303</f>
        <v>10</v>
      </c>
      <c r="H303" s="51"/>
      <c r="I303" s="17">
        <f t="shared" si="5"/>
        <v>10</v>
      </c>
      <c r="J303" s="62"/>
      <c r="K303" s="63"/>
    </row>
    <row r="304" spans="1:11" ht="15" customHeight="1">
      <c r="A304" s="148">
        <v>55799</v>
      </c>
      <c r="B304" s="54" t="s">
        <v>442</v>
      </c>
      <c r="C304" s="55"/>
      <c r="D304" s="14" t="s">
        <v>11</v>
      </c>
      <c r="E304" s="14" t="s">
        <v>25</v>
      </c>
      <c r="F304" s="14" t="s">
        <v>26</v>
      </c>
      <c r="G304" s="17">
        <f>'Enero-18'!I304</f>
        <v>100</v>
      </c>
      <c r="H304" s="51"/>
      <c r="I304" s="17">
        <f t="shared" si="5"/>
        <v>100</v>
      </c>
      <c r="J304" s="62"/>
      <c r="K304" s="63"/>
    </row>
    <row r="305" spans="1:11" ht="61.5" customHeight="1">
      <c r="A305" s="144" t="s">
        <v>443</v>
      </c>
      <c r="B305" s="54" t="s">
        <v>444</v>
      </c>
      <c r="C305" s="55"/>
      <c r="D305" s="14"/>
      <c r="E305" s="14"/>
      <c r="F305" s="14"/>
      <c r="G305" s="17">
        <f>'Enero-18'!I305</f>
        <v>0</v>
      </c>
      <c r="H305" s="51"/>
      <c r="I305" s="17"/>
      <c r="J305" s="62"/>
      <c r="K305" s="63"/>
    </row>
    <row r="306" spans="1:11" ht="27.75" customHeight="1">
      <c r="A306" s="148">
        <v>54199</v>
      </c>
      <c r="B306" s="54" t="s">
        <v>445</v>
      </c>
      <c r="C306" s="55"/>
      <c r="D306" s="14" t="s">
        <v>11</v>
      </c>
      <c r="E306" s="14" t="s">
        <v>25</v>
      </c>
      <c r="F306" s="14" t="s">
        <v>26</v>
      </c>
      <c r="G306" s="17">
        <f>'Enero-18'!I306</f>
        <v>6000</v>
      </c>
      <c r="H306" s="51"/>
      <c r="I306" s="17">
        <f t="shared" si="5"/>
        <v>6000</v>
      </c>
      <c r="J306" s="62"/>
      <c r="K306" s="63"/>
    </row>
    <row r="307" spans="1:11" ht="24.75" customHeight="1">
      <c r="A307" s="148">
        <v>54314</v>
      </c>
      <c r="B307" s="54" t="s">
        <v>446</v>
      </c>
      <c r="C307" s="55"/>
      <c r="D307" s="14" t="s">
        <v>11</v>
      </c>
      <c r="E307" s="14" t="s">
        <v>25</v>
      </c>
      <c r="F307" s="14" t="s">
        <v>26</v>
      </c>
      <c r="G307" s="17">
        <f>'Enero-18'!I307</f>
        <v>30000</v>
      </c>
      <c r="H307" s="51"/>
      <c r="I307" s="17">
        <f t="shared" si="5"/>
        <v>30000</v>
      </c>
      <c r="J307" s="62"/>
      <c r="K307" s="63"/>
    </row>
    <row r="308" spans="1:11" ht="33.75" customHeight="1">
      <c r="A308" s="148">
        <v>54313</v>
      </c>
      <c r="B308" s="54" t="s">
        <v>447</v>
      </c>
      <c r="C308" s="55"/>
      <c r="D308" s="14" t="s">
        <v>11</v>
      </c>
      <c r="E308" s="14" t="s">
        <v>25</v>
      </c>
      <c r="F308" s="14" t="s">
        <v>26</v>
      </c>
      <c r="G308" s="17">
        <f>'Enero-18'!I308</f>
        <v>2990</v>
      </c>
      <c r="H308" s="51"/>
      <c r="I308" s="17">
        <f t="shared" si="5"/>
        <v>2990</v>
      </c>
      <c r="J308" s="62"/>
      <c r="K308" s="63"/>
    </row>
    <row r="309" spans="1:11" ht="28.5" customHeight="1">
      <c r="A309" s="148">
        <v>55399</v>
      </c>
      <c r="B309" s="149" t="s">
        <v>450</v>
      </c>
      <c r="C309" s="55"/>
      <c r="D309" s="14" t="s">
        <v>11</v>
      </c>
      <c r="E309" s="14" t="s">
        <v>25</v>
      </c>
      <c r="F309" s="14" t="s">
        <v>26</v>
      </c>
      <c r="G309" s="17">
        <f>'Enero-18'!I309</f>
        <v>1000</v>
      </c>
      <c r="H309" s="51"/>
      <c r="I309" s="17">
        <f t="shared" si="5"/>
        <v>1000</v>
      </c>
      <c r="J309" s="62"/>
      <c r="K309" s="63"/>
    </row>
    <row r="310" spans="1:11" ht="30.75" customHeight="1">
      <c r="A310" s="148">
        <v>55603</v>
      </c>
      <c r="B310" s="54" t="s">
        <v>448</v>
      </c>
      <c r="C310" s="55"/>
      <c r="D310" s="14" t="s">
        <v>11</v>
      </c>
      <c r="E310" s="14" t="s">
        <v>25</v>
      </c>
      <c r="F310" s="14" t="s">
        <v>26</v>
      </c>
      <c r="G310" s="17">
        <f>'Enero-18'!I310</f>
        <v>10</v>
      </c>
      <c r="H310" s="51"/>
      <c r="I310" s="17">
        <f t="shared" si="5"/>
        <v>10</v>
      </c>
      <c r="J310" s="62"/>
      <c r="K310" s="63"/>
    </row>
    <row r="311" spans="1:11" ht="31.5" customHeight="1">
      <c r="A311" s="148">
        <v>56603</v>
      </c>
      <c r="B311" s="54" t="s">
        <v>449</v>
      </c>
      <c r="C311" s="55"/>
      <c r="D311" s="14" t="s">
        <v>11</v>
      </c>
      <c r="E311" s="14" t="s">
        <v>25</v>
      </c>
      <c r="F311" s="14" t="s">
        <v>26</v>
      </c>
      <c r="G311" s="17">
        <f>'Enero-18'!I311</f>
        <v>5000</v>
      </c>
      <c r="H311" s="51"/>
      <c r="I311" s="17">
        <f t="shared" si="5"/>
        <v>5000</v>
      </c>
      <c r="J311" s="62"/>
      <c r="K311" s="63"/>
    </row>
    <row r="312" spans="1:11" ht="74.25" customHeight="1">
      <c r="A312" s="144" t="s">
        <v>451</v>
      </c>
      <c r="B312" s="54" t="s">
        <v>452</v>
      </c>
      <c r="C312" s="55"/>
      <c r="D312" s="14"/>
      <c r="E312" s="14"/>
      <c r="F312" s="14"/>
      <c r="G312" s="17">
        <f>'Enero-18'!I312</f>
        <v>0</v>
      </c>
      <c r="H312" s="51"/>
      <c r="I312" s="17"/>
      <c r="J312" s="52"/>
      <c r="K312" s="52"/>
    </row>
    <row r="313" spans="1:11" ht="30.75" customHeight="1">
      <c r="A313" s="4">
        <v>54199</v>
      </c>
      <c r="B313" s="5" t="s">
        <v>453</v>
      </c>
      <c r="C313" s="10"/>
      <c r="D313" s="14" t="s">
        <v>11</v>
      </c>
      <c r="E313" s="14" t="s">
        <v>25</v>
      </c>
      <c r="F313" s="14" t="s">
        <v>26</v>
      </c>
      <c r="G313" s="17">
        <f>'Enero-18'!I313</f>
        <v>3000</v>
      </c>
      <c r="H313" s="51"/>
      <c r="I313" s="17">
        <f t="shared" si="5"/>
        <v>3000</v>
      </c>
      <c r="J313" s="44"/>
      <c r="K313" s="44"/>
    </row>
    <row r="314" spans="1:11" ht="40.5" customHeight="1">
      <c r="A314" s="11">
        <v>54314</v>
      </c>
      <c r="B314" s="150" t="s">
        <v>454</v>
      </c>
      <c r="C314" s="55"/>
      <c r="D314" s="14" t="s">
        <v>11</v>
      </c>
      <c r="E314" s="14" t="s">
        <v>25</v>
      </c>
      <c r="F314" s="14" t="s">
        <v>26</v>
      </c>
      <c r="G314" s="17">
        <f>'Enero-18'!I314</f>
        <v>6000</v>
      </c>
      <c r="H314" s="51"/>
      <c r="I314" s="17">
        <f t="shared" si="5"/>
        <v>6000</v>
      </c>
      <c r="J314" s="62"/>
      <c r="K314" s="63"/>
    </row>
    <row r="315" spans="1:11" ht="43.5" customHeight="1">
      <c r="A315" s="11">
        <v>54399</v>
      </c>
      <c r="B315" s="150" t="s">
        <v>455</v>
      </c>
      <c r="C315" s="13"/>
      <c r="D315" s="14" t="s">
        <v>11</v>
      </c>
      <c r="E315" s="14" t="s">
        <v>25</v>
      </c>
      <c r="F315" s="14" t="s">
        <v>26</v>
      </c>
      <c r="G315" s="17">
        <f>'Enero-18'!I315</f>
        <v>0</v>
      </c>
      <c r="H315" s="51"/>
      <c r="I315" s="17">
        <f t="shared" si="5"/>
        <v>0</v>
      </c>
      <c r="J315" s="52"/>
      <c r="K315" s="52"/>
    </row>
    <row r="316" spans="1:11" ht="29.25">
      <c r="A316" s="4">
        <v>55603</v>
      </c>
      <c r="B316" s="150" t="s">
        <v>456</v>
      </c>
      <c r="C316" s="9"/>
      <c r="D316" s="14" t="s">
        <v>11</v>
      </c>
      <c r="E316" s="14" t="s">
        <v>25</v>
      </c>
      <c r="F316" s="14" t="s">
        <v>26</v>
      </c>
      <c r="G316" s="17">
        <f>'Enero-18'!I316</f>
        <v>10</v>
      </c>
      <c r="H316" s="51"/>
      <c r="I316" s="17">
        <f t="shared" si="5"/>
        <v>10</v>
      </c>
      <c r="J316" s="44"/>
      <c r="K316" s="44"/>
    </row>
    <row r="317" spans="1:11" ht="29.25">
      <c r="A317" s="4">
        <v>55799</v>
      </c>
      <c r="B317" s="150" t="s">
        <v>457</v>
      </c>
      <c r="C317" s="9"/>
      <c r="D317" s="14" t="s">
        <v>11</v>
      </c>
      <c r="E317" s="14" t="s">
        <v>25</v>
      </c>
      <c r="F317" s="14" t="s">
        <v>26</v>
      </c>
      <c r="G317" s="17">
        <f>'Enero-18'!I317</f>
        <v>1269.74</v>
      </c>
      <c r="H317" s="51"/>
      <c r="I317" s="17">
        <f t="shared" si="5"/>
        <v>1269.74</v>
      </c>
      <c r="J317" s="44"/>
      <c r="K317" s="44"/>
    </row>
    <row r="318" spans="1:11" ht="58.5" customHeight="1">
      <c r="A318" s="144" t="s">
        <v>459</v>
      </c>
      <c r="B318" s="54" t="s">
        <v>458</v>
      </c>
      <c r="C318" s="9"/>
      <c r="D318" s="3"/>
      <c r="E318" s="3"/>
      <c r="F318" s="3"/>
      <c r="G318" s="17">
        <f>'Enero-18'!I318</f>
        <v>0</v>
      </c>
      <c r="H318" s="51"/>
      <c r="I318" s="17"/>
      <c r="J318" s="44"/>
      <c r="K318" s="44"/>
    </row>
    <row r="319" spans="1:11">
      <c r="A319" s="4">
        <v>54314</v>
      </c>
      <c r="B319" s="70" t="s">
        <v>460</v>
      </c>
      <c r="C319" s="5"/>
      <c r="D319" s="14" t="s">
        <v>11</v>
      </c>
      <c r="E319" s="14" t="s">
        <v>25</v>
      </c>
      <c r="F319" s="14" t="s">
        <v>26</v>
      </c>
      <c r="G319" s="17">
        <f>'Enero-18'!I319</f>
        <v>1949.81</v>
      </c>
      <c r="H319" s="51"/>
      <c r="I319" s="17">
        <f>G319-H319+J319-K319</f>
        <v>1949.81</v>
      </c>
      <c r="J319" s="44"/>
      <c r="K319" s="44"/>
    </row>
    <row r="320" spans="1:11" ht="54.75">
      <c r="A320" s="144" t="s">
        <v>461</v>
      </c>
      <c r="B320" s="54" t="s">
        <v>470</v>
      </c>
      <c r="C320" s="55"/>
      <c r="D320" s="14"/>
      <c r="E320" s="14"/>
      <c r="F320" s="14"/>
      <c r="G320" s="17">
        <f>'Enero-18'!I320</f>
        <v>0</v>
      </c>
      <c r="H320" s="51"/>
      <c r="I320" s="17"/>
      <c r="J320" s="62"/>
      <c r="K320" s="63"/>
    </row>
    <row r="321" spans="1:11" ht="29.25">
      <c r="A321" s="11">
        <v>54199</v>
      </c>
      <c r="B321" s="70" t="s">
        <v>462</v>
      </c>
      <c r="C321" s="55"/>
      <c r="D321" s="14" t="s">
        <v>11</v>
      </c>
      <c r="E321" s="14" t="s">
        <v>25</v>
      </c>
      <c r="F321" s="14" t="s">
        <v>26</v>
      </c>
      <c r="G321" s="17">
        <f>'Enero-18'!I321</f>
        <v>2000</v>
      </c>
      <c r="H321" s="51"/>
      <c r="I321" s="17">
        <f>G321-H321+J321-K321</f>
        <v>2000</v>
      </c>
      <c r="J321" s="62"/>
      <c r="K321" s="63"/>
    </row>
    <row r="322" spans="1:11" ht="36.75" customHeight="1">
      <c r="A322" s="11">
        <v>54314</v>
      </c>
      <c r="B322" s="151" t="s">
        <v>463</v>
      </c>
      <c r="C322" s="55"/>
      <c r="D322" s="14" t="s">
        <v>11</v>
      </c>
      <c r="E322" s="14" t="s">
        <v>25</v>
      </c>
      <c r="F322" s="14" t="s">
        <v>26</v>
      </c>
      <c r="G322" s="17">
        <f>'Enero-18'!I322</f>
        <v>22000</v>
      </c>
      <c r="H322" s="51"/>
      <c r="I322" s="17">
        <f t="shared" ref="I322:I388" si="6">G322-H322+J322-K322</f>
        <v>22000</v>
      </c>
      <c r="J322" s="62"/>
      <c r="K322" s="63"/>
    </row>
    <row r="323" spans="1:11" ht="39" customHeight="1">
      <c r="A323" s="11">
        <v>54313</v>
      </c>
      <c r="B323" s="151" t="s">
        <v>464</v>
      </c>
      <c r="C323" s="55"/>
      <c r="D323" s="14" t="s">
        <v>11</v>
      </c>
      <c r="E323" s="14" t="s">
        <v>25</v>
      </c>
      <c r="F323" s="14" t="s">
        <v>26</v>
      </c>
      <c r="G323" s="17">
        <f>'Enero-18'!I323</f>
        <v>5000</v>
      </c>
      <c r="H323" s="51"/>
      <c r="I323" s="17">
        <f t="shared" si="6"/>
        <v>5000</v>
      </c>
      <c r="J323" s="62"/>
      <c r="K323" s="63"/>
    </row>
    <row r="324" spans="1:11" ht="33.75" customHeight="1">
      <c r="A324" s="11">
        <v>54399</v>
      </c>
      <c r="B324" s="151" t="s">
        <v>465</v>
      </c>
      <c r="C324" s="13"/>
      <c r="D324" s="14" t="s">
        <v>11</v>
      </c>
      <c r="E324" s="14" t="s">
        <v>25</v>
      </c>
      <c r="F324" s="14" t="s">
        <v>26</v>
      </c>
      <c r="G324" s="17">
        <f>'Enero-18'!I324</f>
        <v>990</v>
      </c>
      <c r="H324" s="51"/>
      <c r="I324" s="17">
        <f t="shared" si="6"/>
        <v>990</v>
      </c>
      <c r="J324" s="52"/>
      <c r="K324" s="52"/>
    </row>
    <row r="325" spans="1:11" ht="35.25" customHeight="1">
      <c r="A325" s="11">
        <v>55603</v>
      </c>
      <c r="B325" s="151" t="s">
        <v>466</v>
      </c>
      <c r="C325" s="13"/>
      <c r="D325" s="14" t="s">
        <v>11</v>
      </c>
      <c r="E325" s="14" t="s">
        <v>25</v>
      </c>
      <c r="F325" s="14" t="s">
        <v>26</v>
      </c>
      <c r="G325" s="17">
        <f>'Enero-18'!I325</f>
        <v>10</v>
      </c>
      <c r="H325" s="51"/>
      <c r="I325" s="17">
        <f t="shared" si="6"/>
        <v>10</v>
      </c>
      <c r="J325" s="52"/>
      <c r="K325" s="52"/>
    </row>
    <row r="326" spans="1:11" ht="34.5" customHeight="1">
      <c r="A326" s="11">
        <v>56603</v>
      </c>
      <c r="B326" s="151" t="s">
        <v>467</v>
      </c>
      <c r="C326" s="61"/>
      <c r="D326" s="14" t="s">
        <v>11</v>
      </c>
      <c r="E326" s="14" t="s">
        <v>25</v>
      </c>
      <c r="F326" s="14" t="s">
        <v>26</v>
      </c>
      <c r="G326" s="17">
        <f>'Enero-18'!I326</f>
        <v>5000</v>
      </c>
      <c r="H326" s="51"/>
      <c r="I326" s="17">
        <f t="shared" si="6"/>
        <v>5000</v>
      </c>
      <c r="J326" s="11"/>
      <c r="K326" s="54"/>
    </row>
    <row r="327" spans="1:11" ht="68.25" customHeight="1">
      <c r="A327" s="144" t="s">
        <v>468</v>
      </c>
      <c r="B327" s="54" t="s">
        <v>987</v>
      </c>
      <c r="C327" s="61"/>
      <c r="D327" s="14"/>
      <c r="E327" s="14"/>
      <c r="F327" s="14"/>
      <c r="G327" s="17">
        <f>'Enero-18'!I327</f>
        <v>0</v>
      </c>
      <c r="H327" s="51"/>
      <c r="I327" s="17"/>
      <c r="J327" s="52"/>
      <c r="K327" s="52"/>
    </row>
    <row r="328" spans="1:11" ht="33" customHeight="1">
      <c r="A328" s="11">
        <v>51202</v>
      </c>
      <c r="B328" s="70" t="s">
        <v>471</v>
      </c>
      <c r="C328" s="61"/>
      <c r="D328" s="14" t="s">
        <v>11</v>
      </c>
      <c r="E328" s="14" t="s">
        <v>25</v>
      </c>
      <c r="F328" s="14" t="s">
        <v>26</v>
      </c>
      <c r="G328" s="17">
        <f>'Enero-18'!I328</f>
        <v>3000</v>
      </c>
      <c r="H328" s="51">
        <f>183.33+133.33+71.11</f>
        <v>387.77000000000004</v>
      </c>
      <c r="I328" s="17">
        <f t="shared" si="6"/>
        <v>2612.23</v>
      </c>
      <c r="J328" s="52"/>
      <c r="K328" s="52"/>
    </row>
    <row r="329" spans="1:11" ht="34.5" customHeight="1">
      <c r="A329" s="11">
        <v>54111</v>
      </c>
      <c r="B329" s="70" t="s">
        <v>472</v>
      </c>
      <c r="C329" s="12"/>
      <c r="D329" s="14" t="s">
        <v>11</v>
      </c>
      <c r="E329" s="14" t="s">
        <v>25</v>
      </c>
      <c r="F329" s="14" t="s">
        <v>26</v>
      </c>
      <c r="G329" s="17">
        <f>'Enero-18'!I329</f>
        <v>3000</v>
      </c>
      <c r="H329" s="51"/>
      <c r="I329" s="17">
        <f t="shared" si="6"/>
        <v>3000</v>
      </c>
      <c r="J329" s="44"/>
      <c r="K329" s="44"/>
    </row>
    <row r="330" spans="1:11" ht="41.25" customHeight="1">
      <c r="A330" s="11">
        <v>54112</v>
      </c>
      <c r="B330" s="70" t="s">
        <v>473</v>
      </c>
      <c r="C330" s="12"/>
      <c r="D330" s="14" t="s">
        <v>11</v>
      </c>
      <c r="E330" s="14" t="s">
        <v>25</v>
      </c>
      <c r="F330" s="14" t="s">
        <v>26</v>
      </c>
      <c r="G330" s="17">
        <f>'Enero-18'!I330</f>
        <v>800</v>
      </c>
      <c r="H330" s="51"/>
      <c r="I330" s="17">
        <f t="shared" si="6"/>
        <v>800</v>
      </c>
      <c r="J330" s="44"/>
      <c r="K330" s="44"/>
    </row>
    <row r="331" spans="1:11" ht="29.25">
      <c r="A331" s="11">
        <v>54118</v>
      </c>
      <c r="B331" s="151" t="s">
        <v>474</v>
      </c>
      <c r="C331" s="12"/>
      <c r="D331" s="14" t="s">
        <v>11</v>
      </c>
      <c r="E331" s="14" t="s">
        <v>25</v>
      </c>
      <c r="F331" s="14" t="s">
        <v>26</v>
      </c>
      <c r="G331" s="17">
        <f>'Enero-18'!I331</f>
        <v>1760</v>
      </c>
      <c r="H331" s="51"/>
      <c r="I331" s="17">
        <f t="shared" si="6"/>
        <v>1760</v>
      </c>
      <c r="J331" s="44"/>
      <c r="K331" s="44"/>
    </row>
    <row r="332" spans="1:11" ht="29.25">
      <c r="A332" s="11">
        <v>54313</v>
      </c>
      <c r="B332" s="151" t="s">
        <v>475</v>
      </c>
      <c r="C332" s="12"/>
      <c r="D332" s="14" t="s">
        <v>11</v>
      </c>
      <c r="E332" s="14" t="s">
        <v>25</v>
      </c>
      <c r="F332" s="14" t="s">
        <v>26</v>
      </c>
      <c r="G332" s="17">
        <f>'Enero-18'!I332</f>
        <v>250</v>
      </c>
      <c r="H332" s="51"/>
      <c r="I332" s="17">
        <f t="shared" si="6"/>
        <v>250</v>
      </c>
      <c r="J332" s="44"/>
      <c r="K332" s="44"/>
    </row>
    <row r="333" spans="1:11" ht="29.25">
      <c r="A333" s="152">
        <v>55603</v>
      </c>
      <c r="B333" s="151" t="s">
        <v>476</v>
      </c>
      <c r="C333" s="154"/>
      <c r="D333" s="14" t="s">
        <v>11</v>
      </c>
      <c r="E333" s="14" t="s">
        <v>25</v>
      </c>
      <c r="F333" s="14" t="s">
        <v>26</v>
      </c>
      <c r="G333" s="17">
        <f>'Enero-18'!I333</f>
        <v>10</v>
      </c>
      <c r="H333" s="157">
        <f>1.3+1.7</f>
        <v>3</v>
      </c>
      <c r="I333" s="17">
        <f t="shared" si="6"/>
        <v>7</v>
      </c>
      <c r="J333" s="159"/>
      <c r="K333" s="159"/>
    </row>
    <row r="334" spans="1:11" ht="85.5">
      <c r="A334" s="144" t="s">
        <v>477</v>
      </c>
      <c r="B334" s="54" t="s">
        <v>478</v>
      </c>
      <c r="C334" s="154"/>
      <c r="D334" s="155"/>
      <c r="E334" s="155"/>
      <c r="F334" s="155"/>
      <c r="G334" s="17">
        <f>'Enero-18'!I334</f>
        <v>0</v>
      </c>
      <c r="H334" s="157"/>
      <c r="I334" s="158"/>
      <c r="J334" s="159"/>
      <c r="K334" s="159"/>
    </row>
    <row r="335" spans="1:11" ht="29.25">
      <c r="A335" s="152">
        <v>51202</v>
      </c>
      <c r="B335" s="164" t="s">
        <v>479</v>
      </c>
      <c r="C335" s="154"/>
      <c r="D335" s="14" t="s">
        <v>11</v>
      </c>
      <c r="E335" s="14" t="s">
        <v>25</v>
      </c>
      <c r="F335" s="14" t="s">
        <v>26</v>
      </c>
      <c r="G335" s="17">
        <f>'Enero-18'!I335</f>
        <v>4000</v>
      </c>
      <c r="H335" s="157"/>
      <c r="I335" s="17">
        <f t="shared" si="6"/>
        <v>4000</v>
      </c>
      <c r="J335" s="159"/>
      <c r="K335" s="159"/>
    </row>
    <row r="336" spans="1:11" ht="44.25">
      <c r="A336" s="152">
        <v>54111</v>
      </c>
      <c r="B336" s="164" t="s">
        <v>480</v>
      </c>
      <c r="C336" s="154"/>
      <c r="D336" s="14" t="s">
        <v>11</v>
      </c>
      <c r="E336" s="14" t="s">
        <v>25</v>
      </c>
      <c r="F336" s="14" t="s">
        <v>26</v>
      </c>
      <c r="G336" s="17">
        <f>'Enero-18'!I336</f>
        <v>4000</v>
      </c>
      <c r="H336" s="157"/>
      <c r="I336" s="17">
        <f t="shared" si="6"/>
        <v>4000</v>
      </c>
      <c r="J336" s="159"/>
      <c r="K336" s="159"/>
    </row>
    <row r="337" spans="1:11" ht="30">
      <c r="A337" s="152">
        <v>54112</v>
      </c>
      <c r="B337" s="164" t="s">
        <v>481</v>
      </c>
      <c r="C337" s="154"/>
      <c r="D337" s="14" t="s">
        <v>11</v>
      </c>
      <c r="E337" s="14" t="s">
        <v>25</v>
      </c>
      <c r="F337" s="14" t="s">
        <v>26</v>
      </c>
      <c r="G337" s="17">
        <f>'Enero-18'!I337</f>
        <v>2000</v>
      </c>
      <c r="H337" s="157"/>
      <c r="I337" s="17">
        <f t="shared" si="6"/>
        <v>2000</v>
      </c>
      <c r="J337" s="159"/>
      <c r="K337" s="159"/>
    </row>
    <row r="338" spans="1:11" ht="29.25">
      <c r="A338" s="152">
        <v>54118</v>
      </c>
      <c r="B338" s="164" t="s">
        <v>482</v>
      </c>
      <c r="C338" s="154"/>
      <c r="D338" s="14" t="s">
        <v>11</v>
      </c>
      <c r="E338" s="14" t="s">
        <v>25</v>
      </c>
      <c r="F338" s="14" t="s">
        <v>26</v>
      </c>
      <c r="G338" s="17">
        <f>'Enero-18'!I338</f>
        <v>700</v>
      </c>
      <c r="H338" s="157"/>
      <c r="I338" s="17">
        <f t="shared" si="6"/>
        <v>700</v>
      </c>
      <c r="J338" s="159"/>
      <c r="K338" s="159"/>
    </row>
    <row r="339" spans="1:11" ht="30">
      <c r="A339" s="152">
        <v>54313</v>
      </c>
      <c r="B339" s="164" t="s">
        <v>483</v>
      </c>
      <c r="C339" s="154"/>
      <c r="D339" s="14" t="s">
        <v>11</v>
      </c>
      <c r="E339" s="14" t="s">
        <v>25</v>
      </c>
      <c r="F339" s="14" t="s">
        <v>26</v>
      </c>
      <c r="G339" s="17">
        <f>'Enero-18'!I339</f>
        <v>300</v>
      </c>
      <c r="H339" s="157"/>
      <c r="I339" s="17">
        <f t="shared" si="6"/>
        <v>300</v>
      </c>
      <c r="J339" s="159"/>
      <c r="K339" s="159"/>
    </row>
    <row r="340" spans="1:11" ht="30">
      <c r="A340" s="152">
        <v>54399</v>
      </c>
      <c r="B340" s="164" t="s">
        <v>484</v>
      </c>
      <c r="C340" s="154"/>
      <c r="D340" s="14" t="s">
        <v>11</v>
      </c>
      <c r="E340" s="14" t="s">
        <v>25</v>
      </c>
      <c r="F340" s="14" t="s">
        <v>26</v>
      </c>
      <c r="G340" s="17">
        <f>'Enero-18'!I340</f>
        <v>990</v>
      </c>
      <c r="H340" s="157"/>
      <c r="I340" s="17">
        <f t="shared" si="6"/>
        <v>990</v>
      </c>
      <c r="J340" s="159"/>
      <c r="K340" s="159"/>
    </row>
    <row r="341" spans="1:11" ht="29.25">
      <c r="A341" s="152">
        <v>55603</v>
      </c>
      <c r="B341" s="164" t="s">
        <v>485</v>
      </c>
      <c r="C341" s="154"/>
      <c r="D341" s="14" t="s">
        <v>11</v>
      </c>
      <c r="E341" s="14" t="s">
        <v>25</v>
      </c>
      <c r="F341" s="14" t="s">
        <v>26</v>
      </c>
      <c r="G341" s="17">
        <f>'Enero-18'!I341</f>
        <v>10</v>
      </c>
      <c r="H341" s="157"/>
      <c r="I341" s="17">
        <f t="shared" si="6"/>
        <v>10</v>
      </c>
      <c r="J341" s="159"/>
      <c r="K341" s="159"/>
    </row>
    <row r="342" spans="1:11" ht="70.5">
      <c r="A342" s="144" t="s">
        <v>486</v>
      </c>
      <c r="B342" s="54" t="s">
        <v>487</v>
      </c>
      <c r="C342" s="154"/>
      <c r="D342" s="155"/>
      <c r="E342" s="155"/>
      <c r="F342" s="155"/>
      <c r="G342" s="17">
        <f>'Enero-18'!I342</f>
        <v>0</v>
      </c>
      <c r="H342" s="157"/>
      <c r="I342" s="158"/>
      <c r="J342" s="159"/>
      <c r="K342" s="159"/>
    </row>
    <row r="343" spans="1:11" ht="29.25">
      <c r="A343" s="152">
        <v>51202</v>
      </c>
      <c r="B343" s="164" t="s">
        <v>488</v>
      </c>
      <c r="C343" s="154"/>
      <c r="D343" s="14" t="s">
        <v>11</v>
      </c>
      <c r="E343" s="14" t="s">
        <v>25</v>
      </c>
      <c r="F343" s="14" t="s">
        <v>26</v>
      </c>
      <c r="G343" s="17">
        <f>'Enero-18'!I343</f>
        <v>10000</v>
      </c>
      <c r="H343" s="157"/>
      <c r="I343" s="17">
        <f t="shared" si="6"/>
        <v>10000</v>
      </c>
      <c r="J343" s="159"/>
      <c r="K343" s="159"/>
    </row>
    <row r="344" spans="1:11" ht="29.25">
      <c r="A344" s="152">
        <v>51999</v>
      </c>
      <c r="B344" s="164" t="s">
        <v>489</v>
      </c>
      <c r="C344" s="154"/>
      <c r="D344" s="14" t="s">
        <v>11</v>
      </c>
      <c r="E344" s="14" t="s">
        <v>25</v>
      </c>
      <c r="F344" s="14" t="s">
        <v>26</v>
      </c>
      <c r="G344" s="17">
        <f>'Enero-18'!I344</f>
        <v>5000</v>
      </c>
      <c r="H344" s="157"/>
      <c r="I344" s="17">
        <f t="shared" si="6"/>
        <v>5000</v>
      </c>
      <c r="J344" s="159"/>
      <c r="K344" s="159"/>
    </row>
    <row r="345" spans="1:11" ht="29.25">
      <c r="A345" s="152">
        <v>54111</v>
      </c>
      <c r="B345" s="164" t="s">
        <v>490</v>
      </c>
      <c r="C345" s="154"/>
      <c r="D345" s="14" t="s">
        <v>11</v>
      </c>
      <c r="E345" s="14" t="s">
        <v>25</v>
      </c>
      <c r="F345" s="14" t="s">
        <v>26</v>
      </c>
      <c r="G345" s="17">
        <f>'Enero-18'!I345</f>
        <v>11000</v>
      </c>
      <c r="H345" s="157"/>
      <c r="I345" s="17">
        <f t="shared" si="6"/>
        <v>11000</v>
      </c>
      <c r="J345" s="159"/>
      <c r="K345" s="159"/>
    </row>
    <row r="346" spans="1:11" ht="29.25">
      <c r="A346" s="152">
        <v>54112</v>
      </c>
      <c r="B346" s="164" t="s">
        <v>491</v>
      </c>
      <c r="C346" s="154"/>
      <c r="D346" s="14" t="s">
        <v>11</v>
      </c>
      <c r="E346" s="14" t="s">
        <v>25</v>
      </c>
      <c r="F346" s="14" t="s">
        <v>26</v>
      </c>
      <c r="G346" s="17">
        <f>'Enero-18'!I346</f>
        <v>5000</v>
      </c>
      <c r="H346" s="157"/>
      <c r="I346" s="17">
        <f t="shared" si="6"/>
        <v>5000</v>
      </c>
      <c r="J346" s="159"/>
      <c r="K346" s="159"/>
    </row>
    <row r="347" spans="1:11" ht="29.25">
      <c r="A347" s="152">
        <v>54118</v>
      </c>
      <c r="B347" s="164" t="s">
        <v>492</v>
      </c>
      <c r="C347" s="154"/>
      <c r="D347" s="14" t="s">
        <v>11</v>
      </c>
      <c r="E347" s="14" t="s">
        <v>25</v>
      </c>
      <c r="F347" s="14" t="s">
        <v>26</v>
      </c>
      <c r="G347" s="17">
        <f>'Enero-18'!I347</f>
        <v>5000</v>
      </c>
      <c r="H347" s="157"/>
      <c r="I347" s="17">
        <f t="shared" si="6"/>
        <v>5000</v>
      </c>
      <c r="J347" s="159"/>
      <c r="K347" s="159"/>
    </row>
    <row r="348" spans="1:11" ht="29.25">
      <c r="A348" s="152">
        <v>54199</v>
      </c>
      <c r="B348" s="164" t="s">
        <v>493</v>
      </c>
      <c r="C348" s="154"/>
      <c r="D348" s="14" t="s">
        <v>11</v>
      </c>
      <c r="E348" s="14" t="s">
        <v>25</v>
      </c>
      <c r="F348" s="14" t="s">
        <v>26</v>
      </c>
      <c r="G348" s="17">
        <f>'Enero-18'!I348</f>
        <v>990</v>
      </c>
      <c r="H348" s="157"/>
      <c r="I348" s="17">
        <f t="shared" si="6"/>
        <v>990</v>
      </c>
      <c r="J348" s="159"/>
      <c r="K348" s="159"/>
    </row>
    <row r="349" spans="1:11" ht="29.25">
      <c r="A349" s="152">
        <v>54399</v>
      </c>
      <c r="B349" s="164" t="s">
        <v>494</v>
      </c>
      <c r="C349" s="154"/>
      <c r="D349" s="14" t="s">
        <v>11</v>
      </c>
      <c r="E349" s="14" t="s">
        <v>25</v>
      </c>
      <c r="F349" s="14" t="s">
        <v>26</v>
      </c>
      <c r="G349" s="17">
        <f>'Enero-18'!I349</f>
        <v>3000</v>
      </c>
      <c r="H349" s="157"/>
      <c r="I349" s="17">
        <f t="shared" si="6"/>
        <v>3000</v>
      </c>
      <c r="J349" s="159"/>
      <c r="K349" s="159"/>
    </row>
    <row r="350" spans="1:11" ht="29.25">
      <c r="A350" s="152">
        <v>55603</v>
      </c>
      <c r="B350" s="164" t="s">
        <v>495</v>
      </c>
      <c r="C350" s="154"/>
      <c r="D350" s="14" t="s">
        <v>11</v>
      </c>
      <c r="E350" s="14" t="s">
        <v>25</v>
      </c>
      <c r="F350" s="14" t="s">
        <v>26</v>
      </c>
      <c r="G350" s="17">
        <f>'Enero-18'!I350</f>
        <v>10</v>
      </c>
      <c r="H350" s="157"/>
      <c r="I350" s="17">
        <f t="shared" si="6"/>
        <v>10</v>
      </c>
      <c r="J350" s="159"/>
      <c r="K350" s="159"/>
    </row>
    <row r="351" spans="1:11" ht="55.5">
      <c r="A351" s="144" t="s">
        <v>504</v>
      </c>
      <c r="B351" s="54" t="s">
        <v>496</v>
      </c>
      <c r="C351" s="154"/>
      <c r="D351" s="155"/>
      <c r="E351" s="155"/>
      <c r="F351" s="155"/>
      <c r="G351" s="17"/>
      <c r="H351" s="157"/>
      <c r="I351" s="158"/>
      <c r="J351" s="159"/>
      <c r="K351" s="159"/>
    </row>
    <row r="352" spans="1:11" ht="29.25">
      <c r="A352" s="152">
        <v>51202</v>
      </c>
      <c r="B352" s="164" t="s">
        <v>500</v>
      </c>
      <c r="C352" s="154"/>
      <c r="D352" s="14" t="s">
        <v>11</v>
      </c>
      <c r="E352" s="14" t="s">
        <v>25</v>
      </c>
      <c r="F352" s="14" t="s">
        <v>26</v>
      </c>
      <c r="G352" s="17">
        <f>'Enero-18'!I352</f>
        <v>5000</v>
      </c>
      <c r="H352" s="157"/>
      <c r="I352" s="17">
        <f t="shared" si="6"/>
        <v>5000</v>
      </c>
      <c r="J352" s="159"/>
      <c r="K352" s="159"/>
    </row>
    <row r="353" spans="1:11" ht="29.25">
      <c r="A353" s="152">
        <v>54111</v>
      </c>
      <c r="B353" s="164" t="s">
        <v>499</v>
      </c>
      <c r="C353" s="154"/>
      <c r="D353" s="14" t="s">
        <v>11</v>
      </c>
      <c r="E353" s="14" t="s">
        <v>25</v>
      </c>
      <c r="F353" s="14" t="s">
        <v>26</v>
      </c>
      <c r="G353" s="17">
        <f>'Enero-18'!I353</f>
        <v>6000</v>
      </c>
      <c r="H353" s="157"/>
      <c r="I353" s="17">
        <f t="shared" si="6"/>
        <v>6000</v>
      </c>
      <c r="J353" s="159"/>
      <c r="K353" s="159"/>
    </row>
    <row r="354" spans="1:11" ht="29.25">
      <c r="A354" s="152">
        <v>54112</v>
      </c>
      <c r="B354" s="164" t="s">
        <v>497</v>
      </c>
      <c r="C354" s="154"/>
      <c r="D354" s="14" t="s">
        <v>11</v>
      </c>
      <c r="E354" s="14" t="s">
        <v>25</v>
      </c>
      <c r="F354" s="14" t="s">
        <v>26</v>
      </c>
      <c r="G354" s="17">
        <f>'Enero-18'!I354</f>
        <v>6000</v>
      </c>
      <c r="H354" s="157"/>
      <c r="I354" s="17">
        <f t="shared" si="6"/>
        <v>6000</v>
      </c>
      <c r="J354" s="159"/>
      <c r="K354" s="159"/>
    </row>
    <row r="355" spans="1:11" ht="29.25">
      <c r="A355" s="152">
        <v>54118</v>
      </c>
      <c r="B355" s="164" t="s">
        <v>498</v>
      </c>
      <c r="C355" s="154"/>
      <c r="D355" s="14" t="s">
        <v>11</v>
      </c>
      <c r="E355" s="14" t="s">
        <v>25</v>
      </c>
      <c r="F355" s="14" t="s">
        <v>26</v>
      </c>
      <c r="G355" s="17">
        <f>'Enero-18'!I355</f>
        <v>1700</v>
      </c>
      <c r="H355" s="157"/>
      <c r="I355" s="17">
        <f t="shared" si="6"/>
        <v>1700</v>
      </c>
      <c r="J355" s="159"/>
      <c r="K355" s="159"/>
    </row>
    <row r="356" spans="1:11" ht="29.25">
      <c r="A356" s="152">
        <v>54313</v>
      </c>
      <c r="B356" s="164" t="s">
        <v>501</v>
      </c>
      <c r="C356" s="154"/>
      <c r="D356" s="14" t="s">
        <v>11</v>
      </c>
      <c r="E356" s="14" t="s">
        <v>25</v>
      </c>
      <c r="F356" s="14" t="s">
        <v>26</v>
      </c>
      <c r="G356" s="17">
        <f>'Enero-18'!I356</f>
        <v>300</v>
      </c>
      <c r="H356" s="157"/>
      <c r="I356" s="17">
        <f t="shared" si="6"/>
        <v>300</v>
      </c>
      <c r="J356" s="159"/>
      <c r="K356" s="159"/>
    </row>
    <row r="357" spans="1:11" ht="29.25">
      <c r="A357" s="152">
        <v>54399</v>
      </c>
      <c r="B357" s="164" t="s">
        <v>502</v>
      </c>
      <c r="C357" s="154"/>
      <c r="D357" s="14" t="s">
        <v>11</v>
      </c>
      <c r="E357" s="14" t="s">
        <v>25</v>
      </c>
      <c r="F357" s="14" t="s">
        <v>26</v>
      </c>
      <c r="G357" s="17">
        <f>'Enero-18'!I357</f>
        <v>990</v>
      </c>
      <c r="H357" s="157"/>
      <c r="I357" s="17">
        <f t="shared" si="6"/>
        <v>990</v>
      </c>
      <c r="J357" s="159"/>
      <c r="K357" s="159"/>
    </row>
    <row r="358" spans="1:11" ht="29.25">
      <c r="A358" s="152">
        <v>55603</v>
      </c>
      <c r="B358" s="164" t="s">
        <v>503</v>
      </c>
      <c r="C358" s="154"/>
      <c r="D358" s="14" t="s">
        <v>11</v>
      </c>
      <c r="E358" s="14" t="s">
        <v>25</v>
      </c>
      <c r="F358" s="14" t="s">
        <v>26</v>
      </c>
      <c r="G358" s="17">
        <f>'Enero-18'!I358</f>
        <v>8.6999999999999993</v>
      </c>
      <c r="H358" s="157">
        <f>1.7</f>
        <v>1.7</v>
      </c>
      <c r="I358" s="17">
        <f t="shared" si="6"/>
        <v>6.9999999999999991</v>
      </c>
      <c r="J358" s="159"/>
      <c r="K358" s="159"/>
    </row>
    <row r="359" spans="1:11" ht="84.75">
      <c r="A359" s="144" t="s">
        <v>505</v>
      </c>
      <c r="B359" s="53" t="s">
        <v>510</v>
      </c>
      <c r="C359" s="154"/>
      <c r="D359" s="155"/>
      <c r="E359" s="155"/>
      <c r="F359" s="155"/>
      <c r="G359" s="17"/>
      <c r="H359" s="157"/>
      <c r="I359" s="158"/>
      <c r="J359" s="159"/>
      <c r="K359" s="159"/>
    </row>
    <row r="360" spans="1:11" ht="29.25">
      <c r="A360" s="152">
        <v>51999</v>
      </c>
      <c r="B360" s="153" t="s">
        <v>506</v>
      </c>
      <c r="C360" s="154"/>
      <c r="D360" s="14" t="s">
        <v>11</v>
      </c>
      <c r="E360" s="14" t="s">
        <v>25</v>
      </c>
      <c r="F360" s="14" t="s">
        <v>26</v>
      </c>
      <c r="G360" s="17">
        <f>'Enero-18'!I360</f>
        <v>1500</v>
      </c>
      <c r="H360" s="157"/>
      <c r="I360" s="17">
        <f t="shared" si="6"/>
        <v>1500</v>
      </c>
      <c r="J360" s="159"/>
      <c r="K360" s="159"/>
    </row>
    <row r="361" spans="1:11" ht="29.25">
      <c r="A361" s="152">
        <v>54199</v>
      </c>
      <c r="B361" s="153" t="s">
        <v>507</v>
      </c>
      <c r="C361" s="154"/>
      <c r="D361" s="14" t="s">
        <v>11</v>
      </c>
      <c r="E361" s="14" t="s">
        <v>25</v>
      </c>
      <c r="F361" s="14" t="s">
        <v>26</v>
      </c>
      <c r="G361" s="17">
        <f>'Enero-18'!I361</f>
        <v>990</v>
      </c>
      <c r="H361" s="157"/>
      <c r="I361" s="17">
        <f t="shared" si="6"/>
        <v>990</v>
      </c>
      <c r="J361" s="159"/>
      <c r="K361" s="159"/>
    </row>
    <row r="362" spans="1:11" ht="43.5">
      <c r="A362" s="152">
        <v>54399</v>
      </c>
      <c r="B362" s="153" t="s">
        <v>508</v>
      </c>
      <c r="C362" s="154"/>
      <c r="D362" s="14" t="s">
        <v>11</v>
      </c>
      <c r="E362" s="14" t="s">
        <v>25</v>
      </c>
      <c r="F362" s="14" t="s">
        <v>26</v>
      </c>
      <c r="G362" s="17">
        <f>'Enero-18'!I362</f>
        <v>500</v>
      </c>
      <c r="H362" s="157"/>
      <c r="I362" s="17">
        <f t="shared" si="6"/>
        <v>500</v>
      </c>
      <c r="J362" s="159"/>
      <c r="K362" s="159"/>
    </row>
    <row r="363" spans="1:11" ht="29.25">
      <c r="A363" s="152">
        <v>55603</v>
      </c>
      <c r="B363" s="153" t="s">
        <v>509</v>
      </c>
      <c r="C363" s="154"/>
      <c r="D363" s="14" t="s">
        <v>11</v>
      </c>
      <c r="E363" s="14" t="s">
        <v>25</v>
      </c>
      <c r="F363" s="14" t="s">
        <v>26</v>
      </c>
      <c r="G363" s="17">
        <f>'Enero-18'!I363</f>
        <v>10</v>
      </c>
      <c r="H363" s="157"/>
      <c r="I363" s="17">
        <f t="shared" si="6"/>
        <v>10</v>
      </c>
      <c r="J363" s="159"/>
      <c r="K363" s="159"/>
    </row>
    <row r="364" spans="1:11" ht="84.75">
      <c r="A364" s="144" t="s">
        <v>511</v>
      </c>
      <c r="B364" s="53" t="s">
        <v>512</v>
      </c>
      <c r="C364" s="154"/>
      <c r="D364" s="155"/>
      <c r="E364" s="155"/>
      <c r="F364" s="155"/>
      <c r="G364" s="17">
        <f>'Enero-18'!I364</f>
        <v>0</v>
      </c>
      <c r="H364" s="157"/>
      <c r="I364" s="158"/>
      <c r="J364" s="159"/>
      <c r="K364" s="159"/>
    </row>
    <row r="365" spans="1:11" ht="29.25">
      <c r="A365" s="152">
        <v>51999</v>
      </c>
      <c r="B365" s="164" t="s">
        <v>513</v>
      </c>
      <c r="C365" s="154"/>
      <c r="D365" s="14" t="s">
        <v>11</v>
      </c>
      <c r="E365" s="14" t="s">
        <v>25</v>
      </c>
      <c r="F365" s="14" t="s">
        <v>26</v>
      </c>
      <c r="G365" s="17">
        <f>'Enero-18'!I365</f>
        <v>1000</v>
      </c>
      <c r="H365" s="157"/>
      <c r="I365" s="17">
        <f t="shared" si="6"/>
        <v>1000</v>
      </c>
      <c r="J365" s="159"/>
      <c r="K365" s="159"/>
    </row>
    <row r="366" spans="1:11" ht="29.25">
      <c r="A366" s="152">
        <v>54115</v>
      </c>
      <c r="B366" s="164" t="s">
        <v>514</v>
      </c>
      <c r="C366" s="154"/>
      <c r="D366" s="14" t="s">
        <v>11</v>
      </c>
      <c r="E366" s="14" t="s">
        <v>25</v>
      </c>
      <c r="F366" s="14" t="s">
        <v>26</v>
      </c>
      <c r="G366" s="17">
        <f>'Enero-18'!I366</f>
        <v>1990</v>
      </c>
      <c r="H366" s="157"/>
      <c r="I366" s="17">
        <f t="shared" si="6"/>
        <v>1990</v>
      </c>
      <c r="J366" s="159"/>
      <c r="K366" s="159"/>
    </row>
    <row r="367" spans="1:11" ht="29.25">
      <c r="A367" s="152">
        <v>61104</v>
      </c>
      <c r="B367" s="164" t="s">
        <v>515</v>
      </c>
      <c r="C367" s="154"/>
      <c r="D367" s="14" t="s">
        <v>11</v>
      </c>
      <c r="E367" s="14" t="s">
        <v>25</v>
      </c>
      <c r="F367" s="14" t="s">
        <v>26</v>
      </c>
      <c r="G367" s="17">
        <f>'Enero-18'!I367</f>
        <v>2000</v>
      </c>
      <c r="H367" s="157"/>
      <c r="I367" s="17">
        <f t="shared" si="6"/>
        <v>2000</v>
      </c>
      <c r="J367" s="159"/>
      <c r="K367" s="159"/>
    </row>
    <row r="368" spans="1:11" ht="29.25">
      <c r="A368" s="152">
        <v>55603</v>
      </c>
      <c r="B368" s="164" t="s">
        <v>516</v>
      </c>
      <c r="C368" s="154"/>
      <c r="D368" s="14" t="s">
        <v>11</v>
      </c>
      <c r="E368" s="14" t="s">
        <v>25</v>
      </c>
      <c r="F368" s="14" t="s">
        <v>26</v>
      </c>
      <c r="G368" s="17">
        <f>'Enero-18'!I368</f>
        <v>10</v>
      </c>
      <c r="H368" s="157"/>
      <c r="I368" s="17">
        <f t="shared" si="6"/>
        <v>10</v>
      </c>
      <c r="J368" s="159"/>
      <c r="K368" s="159"/>
    </row>
    <row r="369" spans="1:11" ht="54.75">
      <c r="A369" s="144" t="s">
        <v>517</v>
      </c>
      <c r="B369" s="53" t="s">
        <v>518</v>
      </c>
      <c r="C369" s="154"/>
      <c r="D369" s="155"/>
      <c r="E369" s="155"/>
      <c r="F369" s="155"/>
      <c r="G369" s="17"/>
      <c r="H369" s="157"/>
      <c r="I369" s="158"/>
      <c r="J369" s="159"/>
      <c r="K369" s="159"/>
    </row>
    <row r="370" spans="1:11" ht="29.25">
      <c r="A370" s="152">
        <v>51999</v>
      </c>
      <c r="B370" s="164" t="s">
        <v>519</v>
      </c>
      <c r="C370" s="154"/>
      <c r="D370" s="14" t="s">
        <v>11</v>
      </c>
      <c r="E370" s="14" t="s">
        <v>25</v>
      </c>
      <c r="F370" s="14" t="s">
        <v>26</v>
      </c>
      <c r="G370" s="17">
        <f>'Enero-18'!I370</f>
        <v>10000</v>
      </c>
      <c r="H370" s="157"/>
      <c r="I370" s="17">
        <f t="shared" si="6"/>
        <v>10000</v>
      </c>
      <c r="J370" s="159"/>
      <c r="K370" s="159"/>
    </row>
    <row r="371" spans="1:11" ht="30">
      <c r="A371" s="152">
        <v>54313</v>
      </c>
      <c r="B371" s="164" t="s">
        <v>520</v>
      </c>
      <c r="C371" s="154"/>
      <c r="D371" s="14" t="s">
        <v>11</v>
      </c>
      <c r="E371" s="14" t="s">
        <v>25</v>
      </c>
      <c r="F371" s="14" t="s">
        <v>26</v>
      </c>
      <c r="G371" s="17">
        <f>'Enero-18'!I371</f>
        <v>500</v>
      </c>
      <c r="H371" s="157"/>
      <c r="I371" s="17">
        <f t="shared" si="6"/>
        <v>500</v>
      </c>
      <c r="J371" s="159"/>
      <c r="K371" s="159"/>
    </row>
    <row r="372" spans="1:11" ht="30">
      <c r="A372" s="152">
        <v>54399</v>
      </c>
      <c r="B372" s="164" t="s">
        <v>521</v>
      </c>
      <c r="C372" s="154"/>
      <c r="D372" s="14" t="s">
        <v>11</v>
      </c>
      <c r="E372" s="14" t="s">
        <v>25</v>
      </c>
      <c r="F372" s="14" t="s">
        <v>26</v>
      </c>
      <c r="G372" s="17">
        <f>'Enero-18'!I372</f>
        <v>990</v>
      </c>
      <c r="H372" s="157"/>
      <c r="I372" s="17">
        <f t="shared" si="6"/>
        <v>990</v>
      </c>
      <c r="J372" s="159"/>
      <c r="K372" s="159"/>
    </row>
    <row r="373" spans="1:11" ht="29.25">
      <c r="A373" s="152">
        <v>54599</v>
      </c>
      <c r="B373" s="164" t="s">
        <v>522</v>
      </c>
      <c r="C373" s="154"/>
      <c r="D373" s="14" t="s">
        <v>11</v>
      </c>
      <c r="E373" s="14" t="s">
        <v>25</v>
      </c>
      <c r="F373" s="14" t="s">
        <v>26</v>
      </c>
      <c r="G373" s="17">
        <f>'Enero-18'!I373</f>
        <v>13500</v>
      </c>
      <c r="H373" s="157"/>
      <c r="I373" s="17">
        <f t="shared" si="6"/>
        <v>13500</v>
      </c>
      <c r="J373" s="159"/>
      <c r="K373" s="159"/>
    </row>
    <row r="374" spans="1:11" ht="29.25">
      <c r="A374" s="152">
        <v>55603</v>
      </c>
      <c r="B374" s="164" t="s">
        <v>523</v>
      </c>
      <c r="C374" s="154"/>
      <c r="D374" s="14" t="s">
        <v>11</v>
      </c>
      <c r="E374" s="14" t="s">
        <v>25</v>
      </c>
      <c r="F374" s="14" t="s">
        <v>26</v>
      </c>
      <c r="G374" s="17">
        <f>'Enero-18'!I374</f>
        <v>10</v>
      </c>
      <c r="H374" s="157"/>
      <c r="I374" s="17">
        <f t="shared" si="6"/>
        <v>10</v>
      </c>
      <c r="J374" s="159"/>
      <c r="K374" s="159"/>
    </row>
    <row r="375" spans="1:11" ht="69.75">
      <c r="A375" s="144" t="s">
        <v>524</v>
      </c>
      <c r="B375" s="53" t="s">
        <v>525</v>
      </c>
      <c r="C375" s="154"/>
      <c r="D375" s="14" t="s">
        <v>11</v>
      </c>
      <c r="E375" s="14" t="s">
        <v>25</v>
      </c>
      <c r="F375" s="14" t="s">
        <v>26</v>
      </c>
      <c r="G375" s="17">
        <f>'Enero-18'!I375</f>
        <v>5504.86</v>
      </c>
      <c r="H375" s="157"/>
      <c r="I375" s="158">
        <f t="shared" si="6"/>
        <v>5504.86</v>
      </c>
      <c r="J375" s="159"/>
      <c r="K375" s="159"/>
    </row>
    <row r="376" spans="1:11" ht="44.25">
      <c r="A376" s="144" t="s">
        <v>526</v>
      </c>
      <c r="B376" s="53" t="s">
        <v>527</v>
      </c>
      <c r="C376" s="154"/>
      <c r="D376" s="14" t="s">
        <v>11</v>
      </c>
      <c r="E376" s="14" t="s">
        <v>25</v>
      </c>
      <c r="F376" s="14" t="s">
        <v>26</v>
      </c>
      <c r="G376" s="17">
        <f>'Enero-18'!I376</f>
        <v>15000</v>
      </c>
      <c r="H376" s="157"/>
      <c r="I376" s="158">
        <f t="shared" si="6"/>
        <v>15000</v>
      </c>
      <c r="J376" s="159"/>
      <c r="K376" s="159"/>
    </row>
    <row r="377" spans="1:11" ht="39.75">
      <c r="A377" s="144" t="s">
        <v>528</v>
      </c>
      <c r="B377" s="53" t="s">
        <v>529</v>
      </c>
      <c r="C377" s="154"/>
      <c r="D377" s="14" t="s">
        <v>11</v>
      </c>
      <c r="E377" s="14" t="s">
        <v>25</v>
      </c>
      <c r="F377" s="14" t="s">
        <v>26</v>
      </c>
      <c r="G377" s="17">
        <f>'Enero-18'!I377</f>
        <v>8000</v>
      </c>
      <c r="H377" s="157"/>
      <c r="I377" s="158">
        <f t="shared" si="6"/>
        <v>8000</v>
      </c>
      <c r="J377" s="159"/>
      <c r="K377" s="159"/>
    </row>
    <row r="378" spans="1:11" ht="39.75">
      <c r="A378" s="144" t="s">
        <v>530</v>
      </c>
      <c r="B378" s="53" t="s">
        <v>531</v>
      </c>
      <c r="C378" s="154"/>
      <c r="D378" s="14" t="s">
        <v>11</v>
      </c>
      <c r="E378" s="14" t="s">
        <v>25</v>
      </c>
      <c r="F378" s="14" t="s">
        <v>26</v>
      </c>
      <c r="G378" s="17">
        <f>'Enero-18'!I378</f>
        <v>15000</v>
      </c>
      <c r="H378" s="157"/>
      <c r="I378" s="158">
        <f t="shared" si="6"/>
        <v>15000</v>
      </c>
      <c r="J378" s="159"/>
      <c r="K378" s="159"/>
    </row>
    <row r="379" spans="1:11" ht="55.5">
      <c r="A379" s="144" t="s">
        <v>532</v>
      </c>
      <c r="B379" s="53" t="s">
        <v>533</v>
      </c>
      <c r="C379" s="154"/>
      <c r="D379" s="155"/>
      <c r="E379" s="155"/>
      <c r="F379" s="155"/>
      <c r="G379" s="17">
        <f>'Enero-18'!I379</f>
        <v>0</v>
      </c>
      <c r="H379" s="157"/>
      <c r="I379" s="158"/>
      <c r="J379" s="159"/>
      <c r="K379" s="159"/>
    </row>
    <row r="380" spans="1:11">
      <c r="A380" s="152">
        <v>51202</v>
      </c>
      <c r="B380" s="153" t="s">
        <v>534</v>
      </c>
      <c r="C380" s="154"/>
      <c r="D380" s="14" t="s">
        <v>11</v>
      </c>
      <c r="E380" s="14" t="s">
        <v>25</v>
      </c>
      <c r="F380" s="14" t="s">
        <v>26</v>
      </c>
      <c r="G380" s="17">
        <f>'Enero-18'!I380</f>
        <v>8000</v>
      </c>
      <c r="H380" s="157"/>
      <c r="I380" s="158">
        <f t="shared" si="6"/>
        <v>8000</v>
      </c>
      <c r="J380" s="159"/>
      <c r="K380" s="159"/>
    </row>
    <row r="381" spans="1:11" ht="29.25">
      <c r="A381" s="152">
        <v>54111</v>
      </c>
      <c r="B381" s="153" t="s">
        <v>535</v>
      </c>
      <c r="C381" s="154"/>
      <c r="D381" s="14" t="s">
        <v>11</v>
      </c>
      <c r="E381" s="14" t="s">
        <v>25</v>
      </c>
      <c r="F381" s="14" t="s">
        <v>26</v>
      </c>
      <c r="G381" s="17">
        <f>'Enero-18'!I381</f>
        <v>5500</v>
      </c>
      <c r="H381" s="157"/>
      <c r="I381" s="158">
        <f t="shared" si="6"/>
        <v>5500</v>
      </c>
      <c r="J381" s="159"/>
      <c r="K381" s="159"/>
    </row>
    <row r="382" spans="1:11" ht="29.25">
      <c r="A382" s="152">
        <v>54112</v>
      </c>
      <c r="B382" s="153" t="s">
        <v>536</v>
      </c>
      <c r="C382" s="154"/>
      <c r="D382" s="14" t="s">
        <v>11</v>
      </c>
      <c r="E382" s="14" t="s">
        <v>25</v>
      </c>
      <c r="F382" s="14" t="s">
        <v>26</v>
      </c>
      <c r="G382" s="17">
        <f>'Enero-18'!I382</f>
        <v>5000</v>
      </c>
      <c r="H382" s="157"/>
      <c r="I382" s="158">
        <f t="shared" si="6"/>
        <v>5000</v>
      </c>
      <c r="J382" s="159"/>
      <c r="K382" s="159"/>
    </row>
    <row r="383" spans="1:11" ht="30">
      <c r="A383" s="152">
        <v>54313</v>
      </c>
      <c r="B383" s="153" t="s">
        <v>537</v>
      </c>
      <c r="C383" s="154"/>
      <c r="D383" s="14" t="s">
        <v>11</v>
      </c>
      <c r="E383" s="14" t="s">
        <v>25</v>
      </c>
      <c r="F383" s="14" t="s">
        <v>26</v>
      </c>
      <c r="G383" s="17">
        <f>'Enero-18'!I383</f>
        <v>500</v>
      </c>
      <c r="H383" s="157"/>
      <c r="I383" s="158">
        <f t="shared" si="6"/>
        <v>500</v>
      </c>
      <c r="J383" s="159"/>
      <c r="K383" s="159"/>
    </row>
    <row r="384" spans="1:11" ht="30">
      <c r="A384" s="152">
        <v>54399</v>
      </c>
      <c r="B384" s="153" t="s">
        <v>538</v>
      </c>
      <c r="C384" s="154"/>
      <c r="D384" s="14" t="s">
        <v>11</v>
      </c>
      <c r="E384" s="14" t="s">
        <v>25</v>
      </c>
      <c r="F384" s="14" t="s">
        <v>26</v>
      </c>
      <c r="G384" s="17">
        <f>'Enero-18'!I384</f>
        <v>990</v>
      </c>
      <c r="H384" s="157"/>
      <c r="I384" s="158">
        <f t="shared" si="6"/>
        <v>990</v>
      </c>
      <c r="J384" s="159"/>
      <c r="K384" s="159"/>
    </row>
    <row r="385" spans="1:27" ht="29.25">
      <c r="A385" s="152">
        <v>55603</v>
      </c>
      <c r="B385" s="153" t="s">
        <v>539</v>
      </c>
      <c r="C385" s="154"/>
      <c r="D385" s="14" t="s">
        <v>11</v>
      </c>
      <c r="E385" s="14" t="s">
        <v>25</v>
      </c>
      <c r="F385" s="14" t="s">
        <v>26</v>
      </c>
      <c r="G385" s="17">
        <f>'Enero-18'!I385</f>
        <v>10</v>
      </c>
      <c r="H385" s="157"/>
      <c r="I385" s="158">
        <f t="shared" si="6"/>
        <v>10</v>
      </c>
      <c r="J385" s="159"/>
      <c r="K385" s="159"/>
    </row>
    <row r="386" spans="1:27" ht="55.5">
      <c r="A386" s="144" t="s">
        <v>540</v>
      </c>
      <c r="B386" s="53" t="s">
        <v>541</v>
      </c>
      <c r="C386" s="154"/>
      <c r="D386" s="155"/>
      <c r="E386" s="155"/>
      <c r="F386" s="155"/>
      <c r="G386" s="17">
        <f>'Enero-18'!I386</f>
        <v>0</v>
      </c>
      <c r="H386" s="157"/>
      <c r="I386" s="158"/>
      <c r="J386" s="159"/>
      <c r="K386" s="159"/>
    </row>
    <row r="387" spans="1:27" ht="29.25">
      <c r="A387" s="152">
        <v>51202</v>
      </c>
      <c r="B387" s="153" t="s">
        <v>542</v>
      </c>
      <c r="C387" s="154"/>
      <c r="D387" s="14" t="s">
        <v>11</v>
      </c>
      <c r="E387" s="14" t="s">
        <v>25</v>
      </c>
      <c r="F387" s="14" t="s">
        <v>26</v>
      </c>
      <c r="G387" s="17">
        <f>'Enero-18'!I387</f>
        <v>5000</v>
      </c>
      <c r="H387" s="157"/>
      <c r="I387" s="158">
        <f t="shared" si="6"/>
        <v>5000</v>
      </c>
      <c r="J387" s="159"/>
      <c r="K387" s="159"/>
    </row>
    <row r="388" spans="1:27" ht="39.75" customHeight="1">
      <c r="A388" s="152">
        <v>54111</v>
      </c>
      <c r="B388" s="153" t="s">
        <v>543</v>
      </c>
      <c r="C388" s="154"/>
      <c r="D388" s="14" t="s">
        <v>11</v>
      </c>
      <c r="E388" s="14" t="s">
        <v>25</v>
      </c>
      <c r="F388" s="14" t="s">
        <v>26</v>
      </c>
      <c r="G388" s="17">
        <f>'Enero-18'!I388</f>
        <v>5500</v>
      </c>
      <c r="H388" s="157"/>
      <c r="I388" s="158">
        <f t="shared" si="6"/>
        <v>5500</v>
      </c>
      <c r="J388" s="159"/>
      <c r="K388" s="159"/>
    </row>
    <row r="389" spans="1:27" ht="35.25" customHeight="1">
      <c r="A389" s="152">
        <v>54112</v>
      </c>
      <c r="B389" s="153" t="s">
        <v>544</v>
      </c>
      <c r="C389" s="154"/>
      <c r="D389" s="14" t="s">
        <v>11</v>
      </c>
      <c r="E389" s="14" t="s">
        <v>25</v>
      </c>
      <c r="F389" s="14" t="s">
        <v>26</v>
      </c>
      <c r="G389" s="17">
        <f>'Enero-18'!I389</f>
        <v>3000</v>
      </c>
      <c r="H389" s="157"/>
      <c r="I389" s="158">
        <f t="shared" ref="I389:I397" si="7">G389-H389+J389-K389</f>
        <v>3000</v>
      </c>
      <c r="J389" s="159"/>
      <c r="K389" s="159"/>
    </row>
    <row r="390" spans="1:27" ht="36.75" customHeight="1">
      <c r="A390" s="152">
        <v>54313</v>
      </c>
      <c r="B390" s="153" t="s">
        <v>545</v>
      </c>
      <c r="C390" s="154"/>
      <c r="D390" s="14" t="s">
        <v>11</v>
      </c>
      <c r="E390" s="14" t="s">
        <v>25</v>
      </c>
      <c r="F390" s="14" t="s">
        <v>26</v>
      </c>
      <c r="G390" s="17">
        <f>'Enero-18'!I390</f>
        <v>500</v>
      </c>
      <c r="H390" s="157"/>
      <c r="I390" s="158">
        <f t="shared" si="7"/>
        <v>500</v>
      </c>
      <c r="J390" s="159"/>
      <c r="K390" s="159"/>
      <c r="M390" s="167"/>
      <c r="N390" s="167"/>
      <c r="O390" s="167"/>
      <c r="P390" s="167"/>
      <c r="Q390" s="167"/>
    </row>
    <row r="391" spans="1:27" ht="34.5" customHeight="1">
      <c r="A391" s="152">
        <v>54399</v>
      </c>
      <c r="B391" s="153" t="s">
        <v>546</v>
      </c>
      <c r="C391" s="154"/>
      <c r="D391" s="14" t="s">
        <v>11</v>
      </c>
      <c r="E391" s="14" t="s">
        <v>25</v>
      </c>
      <c r="F391" s="14" t="s">
        <v>26</v>
      </c>
      <c r="G391" s="17">
        <f>'Enero-18'!I391</f>
        <v>990</v>
      </c>
      <c r="H391" s="157"/>
      <c r="I391" s="158">
        <f t="shared" si="7"/>
        <v>990</v>
      </c>
      <c r="J391" s="159"/>
      <c r="K391" s="159"/>
      <c r="M391" s="167"/>
      <c r="N391" s="167"/>
      <c r="O391" s="167"/>
      <c r="P391" s="167"/>
      <c r="Q391" s="167"/>
    </row>
    <row r="392" spans="1:27" s="47" customFormat="1" ht="29.25">
      <c r="A392" s="11">
        <v>55603</v>
      </c>
      <c r="B392" s="153" t="s">
        <v>547</v>
      </c>
      <c r="C392" s="12"/>
      <c r="D392" s="14" t="s">
        <v>11</v>
      </c>
      <c r="E392" s="14" t="s">
        <v>25</v>
      </c>
      <c r="F392" s="14" t="s">
        <v>26</v>
      </c>
      <c r="G392" s="17">
        <f>'Enero-18'!I392</f>
        <v>10</v>
      </c>
      <c r="H392" s="51"/>
      <c r="I392" s="158">
        <f t="shared" si="7"/>
        <v>10</v>
      </c>
      <c r="J392" s="44"/>
      <c r="K392" s="44"/>
      <c r="L392" s="165"/>
      <c r="M392" s="167"/>
      <c r="N392" s="167"/>
      <c r="O392" s="167"/>
      <c r="P392" s="167"/>
      <c r="Q392" s="167"/>
      <c r="R392" s="167"/>
      <c r="S392" s="167"/>
      <c r="T392" s="167"/>
      <c r="U392" s="167"/>
      <c r="V392" s="167"/>
      <c r="W392" s="167"/>
      <c r="X392" s="167"/>
      <c r="Y392" s="167"/>
      <c r="Z392" s="167"/>
      <c r="AA392" s="166"/>
    </row>
    <row r="393" spans="1:27" s="47" customFormat="1" ht="28.5">
      <c r="A393" s="144" t="s">
        <v>548</v>
      </c>
      <c r="B393" s="53" t="s">
        <v>549</v>
      </c>
      <c r="C393" s="12"/>
      <c r="D393" s="14" t="s">
        <v>11</v>
      </c>
      <c r="E393" s="14" t="s">
        <v>25</v>
      </c>
      <c r="F393" s="14" t="s">
        <v>26</v>
      </c>
      <c r="G393" s="17">
        <f>'Enero-18'!I393</f>
        <v>5000</v>
      </c>
      <c r="H393" s="51"/>
      <c r="I393" s="17">
        <f t="shared" si="7"/>
        <v>5000</v>
      </c>
      <c r="J393" s="44"/>
      <c r="K393" s="44"/>
      <c r="L393" s="165"/>
      <c r="M393" s="167"/>
      <c r="N393" s="167"/>
      <c r="O393" s="167"/>
      <c r="P393" s="167"/>
      <c r="Q393" s="167"/>
      <c r="R393" s="167"/>
      <c r="S393" s="167"/>
      <c r="T393" s="167"/>
      <c r="U393" s="167"/>
      <c r="V393" s="167"/>
      <c r="W393" s="167"/>
      <c r="X393" s="167"/>
      <c r="Y393" s="167"/>
      <c r="Z393" s="167"/>
      <c r="AA393" s="166"/>
    </row>
    <row r="394" spans="1:27" s="47" customFormat="1" ht="40.5">
      <c r="A394" s="144" t="s">
        <v>550</v>
      </c>
      <c r="B394" s="53" t="s">
        <v>551</v>
      </c>
      <c r="C394" s="12"/>
      <c r="D394" s="3"/>
      <c r="E394" s="3"/>
      <c r="F394" s="3"/>
      <c r="G394" s="17">
        <f>'Enero-18'!I394</f>
        <v>0</v>
      </c>
      <c r="H394" s="51"/>
      <c r="I394" s="17"/>
      <c r="J394" s="44"/>
      <c r="K394" s="44"/>
      <c r="L394" s="165"/>
      <c r="M394" s="167"/>
      <c r="N394" s="167"/>
      <c r="O394" s="167"/>
      <c r="P394" s="167"/>
      <c r="Q394" s="167"/>
      <c r="R394" s="167"/>
      <c r="S394" s="167"/>
      <c r="T394" s="167"/>
      <c r="U394" s="167"/>
      <c r="V394" s="167"/>
      <c r="W394" s="167"/>
      <c r="X394" s="167"/>
      <c r="Y394" s="167"/>
      <c r="Z394" s="167"/>
      <c r="AA394" s="166"/>
    </row>
    <row r="395" spans="1:27" s="47" customFormat="1">
      <c r="A395" s="11">
        <v>51999</v>
      </c>
      <c r="B395" s="70" t="s">
        <v>552</v>
      </c>
      <c r="C395" s="12"/>
      <c r="D395" s="14" t="s">
        <v>11</v>
      </c>
      <c r="E395" s="14" t="s">
        <v>25</v>
      </c>
      <c r="F395" s="14" t="s">
        <v>26</v>
      </c>
      <c r="G395" s="17">
        <f>'Enero-18'!I395</f>
        <v>5000</v>
      </c>
      <c r="H395" s="51"/>
      <c r="I395" s="17">
        <f t="shared" si="7"/>
        <v>5000</v>
      </c>
      <c r="J395" s="44"/>
      <c r="K395" s="44"/>
      <c r="L395" s="165"/>
      <c r="M395" s="167"/>
      <c r="N395" s="167"/>
      <c r="O395" s="167"/>
      <c r="P395" s="167"/>
      <c r="Q395" s="167"/>
      <c r="R395" s="167"/>
      <c r="S395" s="167"/>
      <c r="T395" s="167"/>
      <c r="U395" s="167"/>
      <c r="V395" s="167"/>
      <c r="W395" s="167"/>
      <c r="X395" s="167"/>
      <c r="Y395" s="167"/>
      <c r="Z395" s="167"/>
    </row>
    <row r="396" spans="1:27" s="47" customFormat="1">
      <c r="A396" s="11">
        <v>54399</v>
      </c>
      <c r="B396" s="70" t="s">
        <v>553</v>
      </c>
      <c r="C396" s="12"/>
      <c r="D396" s="14" t="s">
        <v>11</v>
      </c>
      <c r="E396" s="14" t="s">
        <v>25</v>
      </c>
      <c r="F396" s="14" t="s">
        <v>26</v>
      </c>
      <c r="G396" s="17">
        <f>'Enero-18'!I396</f>
        <v>5000</v>
      </c>
      <c r="H396" s="51"/>
      <c r="I396" s="17">
        <f t="shared" si="7"/>
        <v>5000</v>
      </c>
      <c r="J396" s="44"/>
      <c r="K396" s="44"/>
      <c r="L396" s="165"/>
      <c r="M396" s="167"/>
      <c r="N396" s="167"/>
      <c r="O396" s="167"/>
      <c r="P396" s="167"/>
      <c r="Q396" s="167"/>
      <c r="R396" s="167"/>
      <c r="S396" s="167"/>
      <c r="T396" s="167"/>
      <c r="U396" s="167"/>
      <c r="V396" s="167"/>
      <c r="W396" s="167"/>
      <c r="X396" s="167"/>
      <c r="Y396" s="167"/>
      <c r="Z396" s="167"/>
    </row>
    <row r="397" spans="1:27" s="47" customFormat="1">
      <c r="A397" s="11">
        <v>54599</v>
      </c>
      <c r="B397" s="70" t="s">
        <v>554</v>
      </c>
      <c r="C397" s="12"/>
      <c r="D397" s="14" t="s">
        <v>11</v>
      </c>
      <c r="E397" s="14" t="s">
        <v>25</v>
      </c>
      <c r="F397" s="14" t="s">
        <v>26</v>
      </c>
      <c r="G397" s="17">
        <f>'Enero-18'!I397</f>
        <v>26180</v>
      </c>
      <c r="H397" s="51"/>
      <c r="I397" s="17">
        <f t="shared" si="7"/>
        <v>26180</v>
      </c>
      <c r="J397" s="44"/>
      <c r="K397" s="44"/>
      <c r="L397" s="165"/>
      <c r="M397" s="167"/>
      <c r="N397" s="167"/>
      <c r="O397" s="167"/>
      <c r="P397" s="167"/>
      <c r="Q397" s="167"/>
      <c r="R397" s="167"/>
      <c r="S397" s="167"/>
      <c r="T397" s="167"/>
      <c r="U397" s="167"/>
      <c r="V397" s="167"/>
      <c r="W397" s="167"/>
      <c r="X397" s="167"/>
      <c r="Y397" s="167"/>
      <c r="Z397" s="167"/>
    </row>
    <row r="398" spans="1:27" s="47" customFormat="1">
      <c r="B398" s="5"/>
      <c r="C398" s="12"/>
      <c r="D398" s="3"/>
      <c r="E398" s="3"/>
      <c r="F398" s="3"/>
      <c r="G398" s="17">
        <f>'Enero-18'!I398</f>
        <v>0</v>
      </c>
      <c r="H398" s="51"/>
      <c r="I398" s="17"/>
      <c r="J398" s="44"/>
      <c r="K398" s="44"/>
      <c r="L398" s="165"/>
      <c r="M398" s="167"/>
      <c r="N398" s="167"/>
      <c r="O398" s="167"/>
      <c r="P398" s="167"/>
      <c r="Q398" s="167"/>
      <c r="R398" s="167"/>
      <c r="S398" s="167"/>
      <c r="T398" s="167"/>
      <c r="U398" s="167"/>
      <c r="V398" s="167"/>
      <c r="W398" s="167"/>
      <c r="X398" s="167"/>
      <c r="Y398" s="167"/>
      <c r="Z398" s="167"/>
    </row>
    <row r="399" spans="1:27" s="47" customFormat="1">
      <c r="A399" s="11"/>
      <c r="B399" s="5"/>
      <c r="C399" s="12"/>
      <c r="D399" s="3"/>
      <c r="E399" s="3"/>
      <c r="F399" s="3"/>
      <c r="G399" s="17">
        <f>'Enero-18'!I399</f>
        <v>0</v>
      </c>
      <c r="H399" s="51"/>
      <c r="I399" s="17"/>
      <c r="J399" s="44"/>
      <c r="K399" s="44"/>
      <c r="L399" s="165"/>
      <c r="M399" s="167"/>
      <c r="N399" s="167"/>
      <c r="O399" s="167"/>
      <c r="P399" s="167"/>
      <c r="Q399" s="167"/>
      <c r="R399" s="167"/>
      <c r="S399" s="167"/>
      <c r="T399" s="167"/>
      <c r="U399" s="167"/>
      <c r="V399" s="167"/>
      <c r="W399" s="167"/>
      <c r="X399" s="167"/>
      <c r="Y399" s="167"/>
      <c r="Z399" s="167"/>
    </row>
    <row r="400" spans="1:27">
      <c r="A400" s="160"/>
      <c r="B400" s="161" t="s">
        <v>17</v>
      </c>
      <c r="C400" s="161"/>
      <c r="D400" s="161"/>
      <c r="E400" s="161"/>
      <c r="F400" s="161"/>
      <c r="G400" s="162">
        <f>SUM(G153:G399)</f>
        <v>895976.19000000006</v>
      </c>
      <c r="H400" s="163">
        <f>SUM(H153:H399)</f>
        <v>9454.4000000000015</v>
      </c>
      <c r="I400" s="162">
        <f>SUM(I153:I399)</f>
        <v>886521.79000000015</v>
      </c>
      <c r="J400" s="162">
        <f>SUM(J201:J399)</f>
        <v>4000</v>
      </c>
      <c r="K400" s="162">
        <f>SUM(K201:K399)</f>
        <v>4000</v>
      </c>
      <c r="M400" s="167"/>
      <c r="N400" s="167"/>
      <c r="O400" s="167"/>
      <c r="P400" s="167"/>
      <c r="Q400" s="167"/>
      <c r="R400" s="167"/>
      <c r="S400" s="167"/>
      <c r="T400" s="167"/>
      <c r="U400" s="167"/>
      <c r="V400" s="167"/>
      <c r="W400" s="167"/>
      <c r="X400" s="167"/>
      <c r="Y400" s="167"/>
      <c r="Z400" s="167"/>
    </row>
    <row r="401" spans="1:26" ht="58.5">
      <c r="A401" s="11" t="s">
        <v>555</v>
      </c>
      <c r="B401" s="57" t="s">
        <v>557</v>
      </c>
      <c r="C401" s="58"/>
      <c r="D401" s="14" t="s">
        <v>18</v>
      </c>
      <c r="E401" s="14" t="s">
        <v>28</v>
      </c>
      <c r="F401" s="14" t="s">
        <v>26</v>
      </c>
      <c r="G401" s="50">
        <f>'Enero-18'!I401</f>
        <v>1000</v>
      </c>
      <c r="H401" s="51"/>
      <c r="I401" s="17">
        <f t="shared" ref="I401:I468" si="8">G401-H401+J401-K401</f>
        <v>1000</v>
      </c>
      <c r="J401" s="52"/>
      <c r="K401" s="52"/>
      <c r="M401" s="167"/>
      <c r="N401" s="167"/>
      <c r="O401" s="167"/>
      <c r="P401" s="167"/>
      <c r="Q401" s="167"/>
      <c r="R401" s="167"/>
      <c r="S401" s="167"/>
      <c r="T401" s="167"/>
      <c r="U401" s="167"/>
      <c r="V401" s="167"/>
      <c r="W401" s="167"/>
      <c r="X401" s="167"/>
      <c r="Y401" s="167"/>
      <c r="Z401" s="167"/>
    </row>
    <row r="402" spans="1:26" ht="58.5">
      <c r="A402" s="11" t="s">
        <v>556</v>
      </c>
      <c r="B402" s="57" t="s">
        <v>558</v>
      </c>
      <c r="C402" s="58"/>
      <c r="D402" s="14" t="s">
        <v>18</v>
      </c>
      <c r="E402" s="14" t="s">
        <v>28</v>
      </c>
      <c r="F402" s="14" t="s">
        <v>26</v>
      </c>
      <c r="G402" s="50">
        <f>'Enero-18'!I402</f>
        <v>7000</v>
      </c>
      <c r="H402" s="51"/>
      <c r="I402" s="17">
        <f t="shared" si="8"/>
        <v>7000</v>
      </c>
      <c r="J402" s="52"/>
      <c r="K402" s="52"/>
      <c r="M402" s="167"/>
      <c r="N402" s="167"/>
      <c r="O402" s="167"/>
      <c r="P402" s="167"/>
      <c r="Q402" s="167"/>
    </row>
    <row r="403" spans="1:26" ht="72.75">
      <c r="A403" s="11" t="s">
        <v>560</v>
      </c>
      <c r="B403" s="57" t="s">
        <v>559</v>
      </c>
      <c r="C403" s="59"/>
      <c r="D403" s="14" t="s">
        <v>18</v>
      </c>
      <c r="E403" s="14" t="s">
        <v>28</v>
      </c>
      <c r="F403" s="14" t="s">
        <v>26</v>
      </c>
      <c r="G403" s="50">
        <f>'Enero-18'!I403</f>
        <v>2000</v>
      </c>
      <c r="H403" s="51"/>
      <c r="I403" s="17">
        <f t="shared" si="8"/>
        <v>2000</v>
      </c>
      <c r="J403" s="52"/>
      <c r="K403" s="52"/>
    </row>
    <row r="404" spans="1:26" ht="72.75">
      <c r="A404" s="11" t="s">
        <v>561</v>
      </c>
      <c r="B404" s="57" t="s">
        <v>562</v>
      </c>
      <c r="C404" s="59"/>
      <c r="D404" s="14" t="s">
        <v>18</v>
      </c>
      <c r="E404" s="14" t="s">
        <v>28</v>
      </c>
      <c r="F404" s="14" t="s">
        <v>26</v>
      </c>
      <c r="G404" s="50">
        <f>'Enero-18'!I404</f>
        <v>1990</v>
      </c>
      <c r="H404" s="51"/>
      <c r="I404" s="17">
        <f t="shared" si="8"/>
        <v>1990</v>
      </c>
      <c r="J404" s="56"/>
      <c r="K404" s="56"/>
    </row>
    <row r="405" spans="1:26" ht="72.75">
      <c r="A405" s="11" t="s">
        <v>564</v>
      </c>
      <c r="B405" s="57" t="s">
        <v>563</v>
      </c>
      <c r="C405" s="59"/>
      <c r="D405" s="14" t="s">
        <v>18</v>
      </c>
      <c r="E405" s="14" t="s">
        <v>28</v>
      </c>
      <c r="F405" s="14" t="s">
        <v>26</v>
      </c>
      <c r="G405" s="50">
        <f>'Enero-18'!I405</f>
        <v>3000</v>
      </c>
      <c r="H405" s="51"/>
      <c r="I405" s="17">
        <f t="shared" si="8"/>
        <v>3000</v>
      </c>
      <c r="J405" s="52"/>
      <c r="K405" s="52"/>
    </row>
    <row r="406" spans="1:26" ht="72.75">
      <c r="A406" s="11" t="s">
        <v>566</v>
      </c>
      <c r="B406" s="57" t="s">
        <v>567</v>
      </c>
      <c r="C406" s="59"/>
      <c r="D406" s="14" t="s">
        <v>18</v>
      </c>
      <c r="E406" s="14" t="s">
        <v>28</v>
      </c>
      <c r="F406" s="14" t="s">
        <v>26</v>
      </c>
      <c r="G406" s="50">
        <f>'Enero-18'!I406</f>
        <v>30000</v>
      </c>
      <c r="H406" s="51"/>
      <c r="I406" s="17">
        <f t="shared" si="8"/>
        <v>30000</v>
      </c>
      <c r="J406" s="52"/>
      <c r="K406" s="52"/>
    </row>
    <row r="407" spans="1:26" ht="72.75">
      <c r="A407" s="11" t="s">
        <v>565</v>
      </c>
      <c r="B407" s="57" t="s">
        <v>568</v>
      </c>
      <c r="C407" s="59"/>
      <c r="D407" s="14" t="s">
        <v>18</v>
      </c>
      <c r="E407" s="14" t="s">
        <v>28</v>
      </c>
      <c r="F407" s="14" t="s">
        <v>26</v>
      </c>
      <c r="G407" s="50">
        <f>'Enero-18'!I407</f>
        <v>5000</v>
      </c>
      <c r="H407" s="51">
        <f>527.97</f>
        <v>527.97</v>
      </c>
      <c r="I407" s="17">
        <f t="shared" si="8"/>
        <v>4472.03</v>
      </c>
      <c r="J407" s="52"/>
      <c r="K407" s="52"/>
    </row>
    <row r="408" spans="1:26" ht="72.75">
      <c r="A408" s="11" t="s">
        <v>569</v>
      </c>
      <c r="B408" s="57" t="s">
        <v>570</v>
      </c>
      <c r="C408" s="59"/>
      <c r="D408" s="14" t="s">
        <v>18</v>
      </c>
      <c r="E408" s="14" t="s">
        <v>28</v>
      </c>
      <c r="F408" s="14" t="s">
        <v>26</v>
      </c>
      <c r="G408" s="50">
        <f>'Enero-18'!I408</f>
        <v>10000</v>
      </c>
      <c r="H408" s="51"/>
      <c r="I408" s="17">
        <f t="shared" si="8"/>
        <v>10000</v>
      </c>
      <c r="J408" s="52"/>
      <c r="K408" s="52"/>
    </row>
    <row r="409" spans="1:26" ht="72.75">
      <c r="A409" s="11" t="s">
        <v>571</v>
      </c>
      <c r="B409" s="57" t="s">
        <v>572</v>
      </c>
      <c r="C409" s="59"/>
      <c r="D409" s="14" t="s">
        <v>18</v>
      </c>
      <c r="E409" s="14" t="s">
        <v>28</v>
      </c>
      <c r="F409" s="14" t="s">
        <v>26</v>
      </c>
      <c r="G409" s="50">
        <f>'Enero-18'!I409</f>
        <v>15000</v>
      </c>
      <c r="H409" s="51"/>
      <c r="I409" s="17">
        <f t="shared" si="8"/>
        <v>15000</v>
      </c>
      <c r="J409" s="52"/>
      <c r="K409" s="52"/>
    </row>
    <row r="410" spans="1:26" ht="72.75">
      <c r="A410" s="11" t="s">
        <v>969</v>
      </c>
      <c r="B410" s="57" t="s">
        <v>970</v>
      </c>
      <c r="C410" s="59"/>
      <c r="D410" s="14" t="s">
        <v>18</v>
      </c>
      <c r="E410" s="14" t="s">
        <v>28</v>
      </c>
      <c r="F410" s="14" t="s">
        <v>26</v>
      </c>
      <c r="G410" s="50">
        <f>'Enero-18'!I410</f>
        <v>8.6999999999999993</v>
      </c>
      <c r="H410" s="51">
        <f>1.7</f>
        <v>1.7</v>
      </c>
      <c r="I410" s="17">
        <f t="shared" si="8"/>
        <v>6.9999999999999991</v>
      </c>
      <c r="J410" s="52"/>
      <c r="K410" s="52"/>
    </row>
    <row r="411" spans="1:26" ht="20.25" customHeight="1">
      <c r="A411" s="11" t="s">
        <v>573</v>
      </c>
      <c r="B411" s="54" t="s">
        <v>52</v>
      </c>
      <c r="C411" s="13"/>
      <c r="D411" s="14" t="s">
        <v>18</v>
      </c>
      <c r="E411" s="14" t="s">
        <v>28</v>
      </c>
      <c r="F411" s="14" t="s">
        <v>26</v>
      </c>
      <c r="G411" s="50">
        <f>'Enero-18'!I411</f>
        <v>7990</v>
      </c>
      <c r="H411" s="51"/>
      <c r="I411" s="17">
        <f t="shared" si="8"/>
        <v>7990</v>
      </c>
      <c r="J411" s="52"/>
      <c r="K411" s="52"/>
    </row>
    <row r="412" spans="1:26" ht="60">
      <c r="A412" s="11" t="s">
        <v>574</v>
      </c>
      <c r="B412" s="54" t="s">
        <v>575</v>
      </c>
      <c r="C412" s="13"/>
      <c r="D412" s="14" t="s">
        <v>18</v>
      </c>
      <c r="E412" s="14" t="s">
        <v>28</v>
      </c>
      <c r="F412" s="14" t="s">
        <v>26</v>
      </c>
      <c r="G412" s="50">
        <f>'Enero-18'!I412</f>
        <v>6000</v>
      </c>
      <c r="H412" s="51">
        <f>406.25+411.65</f>
        <v>817.9</v>
      </c>
      <c r="I412" s="17">
        <f t="shared" si="8"/>
        <v>5182.1000000000004</v>
      </c>
      <c r="J412" s="52"/>
      <c r="K412" s="52"/>
    </row>
    <row r="413" spans="1:26" ht="75">
      <c r="A413" s="11" t="s">
        <v>212</v>
      </c>
      <c r="B413" s="54" t="s">
        <v>576</v>
      </c>
      <c r="C413" s="13"/>
      <c r="D413" s="14" t="s">
        <v>18</v>
      </c>
      <c r="E413" s="14" t="s">
        <v>28</v>
      </c>
      <c r="F413" s="14" t="s">
        <v>26</v>
      </c>
      <c r="G413" s="50">
        <f>'Enero-18'!I413</f>
        <v>16000</v>
      </c>
      <c r="H413" s="51">
        <f>51+110</f>
        <v>161</v>
      </c>
      <c r="I413" s="17">
        <f t="shared" si="8"/>
        <v>15839</v>
      </c>
      <c r="J413" s="52"/>
      <c r="K413" s="52"/>
    </row>
    <row r="414" spans="1:26" ht="74.25">
      <c r="A414" s="11" t="s">
        <v>577</v>
      </c>
      <c r="B414" s="54" t="s">
        <v>578</v>
      </c>
      <c r="C414" s="13"/>
      <c r="D414" s="14" t="s">
        <v>18</v>
      </c>
      <c r="E414" s="14" t="s">
        <v>28</v>
      </c>
      <c r="F414" s="14" t="s">
        <v>26</v>
      </c>
      <c r="G414" s="50">
        <f>'Enero-18'!I414</f>
        <v>15000</v>
      </c>
      <c r="H414" s="51"/>
      <c r="I414" s="17">
        <f t="shared" si="8"/>
        <v>15000</v>
      </c>
      <c r="J414" s="56"/>
      <c r="K414" s="56"/>
    </row>
    <row r="415" spans="1:26" s="220" customFormat="1" ht="30">
      <c r="A415" s="11" t="s">
        <v>218</v>
      </c>
      <c r="B415" s="54" t="s">
        <v>579</v>
      </c>
      <c r="C415" s="13"/>
      <c r="D415" s="14" t="s">
        <v>18</v>
      </c>
      <c r="E415" s="14" t="s">
        <v>28</v>
      </c>
      <c r="F415" s="14" t="s">
        <v>26</v>
      </c>
      <c r="G415" s="50">
        <f>'Enero-18'!I415</f>
        <v>10</v>
      </c>
      <c r="H415" s="51">
        <f>1.3+1.7</f>
        <v>3</v>
      </c>
      <c r="I415" s="17">
        <f t="shared" si="8"/>
        <v>7</v>
      </c>
      <c r="J415" s="56"/>
      <c r="K415" s="56"/>
    </row>
    <row r="416" spans="1:26" s="229" customFormat="1" ht="9.75" customHeight="1">
      <c r="A416" s="221"/>
      <c r="B416" s="222"/>
      <c r="C416" s="223"/>
      <c r="D416" s="224"/>
      <c r="E416" s="224"/>
      <c r="F416" s="224"/>
      <c r="G416" s="225"/>
      <c r="H416" s="226"/>
      <c r="I416" s="227"/>
      <c r="J416" s="228"/>
      <c r="K416" s="228"/>
    </row>
    <row r="417" spans="1:11" ht="44.25">
      <c r="A417" s="214" t="s">
        <v>988</v>
      </c>
      <c r="B417" s="215" t="s">
        <v>581</v>
      </c>
      <c r="C417" s="216"/>
      <c r="D417" s="187" t="s">
        <v>18</v>
      </c>
      <c r="E417" s="187" t="s">
        <v>28</v>
      </c>
      <c r="F417" s="187" t="s">
        <v>27</v>
      </c>
      <c r="G417" s="217">
        <f>'Enero-18'!I416</f>
        <v>21990</v>
      </c>
      <c r="H417" s="218">
        <f>900.77+1027.24</f>
        <v>1928.01</v>
      </c>
      <c r="I417" s="189">
        <f t="shared" si="8"/>
        <v>20061.990000000002</v>
      </c>
      <c r="J417" s="219"/>
      <c r="K417" s="219"/>
    </row>
    <row r="418" spans="1:11" ht="30">
      <c r="A418" s="11" t="s">
        <v>235</v>
      </c>
      <c r="B418" s="54" t="s">
        <v>582</v>
      </c>
      <c r="C418" s="13"/>
      <c r="D418" s="14" t="s">
        <v>18</v>
      </c>
      <c r="E418" s="14" t="s">
        <v>28</v>
      </c>
      <c r="F418" s="14" t="s">
        <v>27</v>
      </c>
      <c r="G418" s="50">
        <f>'Enero-18'!I417</f>
        <v>8.6999999999999993</v>
      </c>
      <c r="H418" s="51">
        <f>1.7</f>
        <v>1.7</v>
      </c>
      <c r="I418" s="17">
        <f t="shared" si="8"/>
        <v>6.9999999999999991</v>
      </c>
      <c r="J418" s="56"/>
      <c r="K418" s="56"/>
    </row>
    <row r="419" spans="1:11" ht="96" customHeight="1">
      <c r="A419" s="11" t="s">
        <v>200</v>
      </c>
      <c r="B419" s="53" t="s">
        <v>584</v>
      </c>
      <c r="C419" s="13" t="s">
        <v>995</v>
      </c>
      <c r="D419" s="14"/>
      <c r="E419" s="14"/>
      <c r="F419" s="14"/>
      <c r="G419" s="50">
        <f>'Enero-18'!I418</f>
        <v>0</v>
      </c>
      <c r="H419" s="51"/>
      <c r="I419" s="17"/>
      <c r="J419" s="56"/>
      <c r="K419" s="56"/>
    </row>
    <row r="420" spans="1:11" ht="30">
      <c r="A420" s="11">
        <v>54111</v>
      </c>
      <c r="B420" s="54" t="s">
        <v>583</v>
      </c>
      <c r="C420" s="13"/>
      <c r="D420" s="14" t="s">
        <v>18</v>
      </c>
      <c r="E420" s="14" t="s">
        <v>28</v>
      </c>
      <c r="F420" s="14" t="s">
        <v>27</v>
      </c>
      <c r="G420" s="50">
        <f>'Enero-18'!I419</f>
        <v>139.35</v>
      </c>
      <c r="H420" s="51"/>
      <c r="I420" s="17">
        <f t="shared" si="8"/>
        <v>139.35</v>
      </c>
      <c r="J420" s="56"/>
      <c r="K420" s="56"/>
    </row>
    <row r="421" spans="1:11" ht="75">
      <c r="A421" s="141" t="s">
        <v>201</v>
      </c>
      <c r="B421" s="53" t="s">
        <v>585</v>
      </c>
      <c r="C421" s="13"/>
      <c r="D421" s="14"/>
      <c r="E421" s="14"/>
      <c r="F421" s="14"/>
      <c r="G421" s="50">
        <f>'Enero-18'!I420</f>
        <v>0</v>
      </c>
      <c r="H421" s="51"/>
      <c r="I421" s="17"/>
      <c r="J421" s="56"/>
      <c r="K421" s="56"/>
    </row>
    <row r="422" spans="1:11" ht="29.25">
      <c r="A422" s="11">
        <v>54110</v>
      </c>
      <c r="B422" s="54" t="s">
        <v>586</v>
      </c>
      <c r="C422" s="13"/>
      <c r="D422" s="14" t="s">
        <v>18</v>
      </c>
      <c r="E422" s="14" t="s">
        <v>28</v>
      </c>
      <c r="F422" s="14" t="s">
        <v>27</v>
      </c>
      <c r="G422" s="50">
        <f>'Enero-18'!I421</f>
        <v>30</v>
      </c>
      <c r="H422" s="51"/>
      <c r="I422" s="17">
        <f t="shared" si="8"/>
        <v>30</v>
      </c>
      <c r="J422" s="56"/>
      <c r="K422" s="56"/>
    </row>
    <row r="423" spans="1:11" ht="30">
      <c r="A423" s="11">
        <v>54111</v>
      </c>
      <c r="B423" s="54" t="s">
        <v>587</v>
      </c>
      <c r="C423" s="13"/>
      <c r="D423" s="14" t="s">
        <v>18</v>
      </c>
      <c r="E423" s="14" t="s">
        <v>28</v>
      </c>
      <c r="F423" s="14" t="s">
        <v>27</v>
      </c>
      <c r="G423" s="50">
        <f>'Enero-18'!I422</f>
        <v>178.55999999999995</v>
      </c>
      <c r="H423" s="51">
        <f>71.4</f>
        <v>71.400000000000006</v>
      </c>
      <c r="I423" s="17">
        <f t="shared" si="8"/>
        <v>107.15999999999994</v>
      </c>
      <c r="J423" s="56"/>
      <c r="K423" s="56"/>
    </row>
    <row r="424" spans="1:11" ht="29.25">
      <c r="A424" s="11">
        <v>54112</v>
      </c>
      <c r="B424" s="54" t="s">
        <v>588</v>
      </c>
      <c r="C424" s="59"/>
      <c r="D424" s="14" t="s">
        <v>18</v>
      </c>
      <c r="E424" s="14" t="s">
        <v>28</v>
      </c>
      <c r="F424" s="14" t="s">
        <v>27</v>
      </c>
      <c r="G424" s="50">
        <f>'Enero-18'!I423</f>
        <v>0</v>
      </c>
      <c r="H424" s="51"/>
      <c r="I424" s="17">
        <f t="shared" si="8"/>
        <v>0</v>
      </c>
      <c r="J424" s="56"/>
      <c r="K424" s="56"/>
    </row>
    <row r="425" spans="1:11" ht="29.25">
      <c r="A425" s="11">
        <v>55603</v>
      </c>
      <c r="B425" s="54" t="s">
        <v>974</v>
      </c>
      <c r="C425" s="55"/>
      <c r="D425" s="14" t="s">
        <v>18</v>
      </c>
      <c r="E425" s="14" t="s">
        <v>28</v>
      </c>
      <c r="F425" s="14" t="s">
        <v>27</v>
      </c>
      <c r="G425" s="50">
        <f>'Enero-18'!I424</f>
        <v>0.30000000000000004</v>
      </c>
      <c r="H425" s="51"/>
      <c r="I425" s="17">
        <f t="shared" si="8"/>
        <v>0.30000000000000004</v>
      </c>
      <c r="J425" s="11"/>
      <c r="K425" s="54"/>
    </row>
    <row r="426" spans="1:11" ht="90">
      <c r="A426" s="11" t="s">
        <v>220</v>
      </c>
      <c r="B426" s="53" t="s">
        <v>966</v>
      </c>
      <c r="C426" s="55"/>
      <c r="D426" s="14"/>
      <c r="E426" s="14"/>
      <c r="F426" s="14"/>
      <c r="G426" s="50">
        <f>'Enero-18'!I425</f>
        <v>0</v>
      </c>
      <c r="H426" s="51"/>
      <c r="I426" s="17"/>
      <c r="J426" s="11"/>
      <c r="K426" s="54"/>
    </row>
    <row r="427" spans="1:11" ht="29.25">
      <c r="A427" s="11">
        <v>51202</v>
      </c>
      <c r="B427" s="54" t="s">
        <v>589</v>
      </c>
      <c r="C427" s="55"/>
      <c r="D427" s="14" t="s">
        <v>18</v>
      </c>
      <c r="E427" s="14" t="s">
        <v>28</v>
      </c>
      <c r="F427" s="14" t="s">
        <v>27</v>
      </c>
      <c r="G427" s="50">
        <f>'Enero-18'!I426</f>
        <v>200</v>
      </c>
      <c r="H427" s="51"/>
      <c r="I427" s="17">
        <f t="shared" si="8"/>
        <v>200</v>
      </c>
      <c r="J427" s="11"/>
      <c r="K427" s="54"/>
    </row>
    <row r="428" spans="1:11" ht="29.25" customHeight="1">
      <c r="A428" s="11">
        <v>54110</v>
      </c>
      <c r="B428" s="54" t="s">
        <v>590</v>
      </c>
      <c r="C428" s="55"/>
      <c r="D428" s="14" t="s">
        <v>18</v>
      </c>
      <c r="E428" s="14" t="s">
        <v>28</v>
      </c>
      <c r="F428" s="14" t="s">
        <v>27</v>
      </c>
      <c r="G428" s="50">
        <f>'Enero-18'!I427</f>
        <v>175</v>
      </c>
      <c r="H428" s="51"/>
      <c r="I428" s="17">
        <f t="shared" si="8"/>
        <v>175</v>
      </c>
      <c r="J428" s="11"/>
      <c r="K428" s="54"/>
    </row>
    <row r="429" spans="1:11" ht="30">
      <c r="A429" s="11">
        <v>54111</v>
      </c>
      <c r="B429" s="54" t="s">
        <v>591</v>
      </c>
      <c r="C429" s="55"/>
      <c r="D429" s="14" t="s">
        <v>18</v>
      </c>
      <c r="E429" s="14" t="s">
        <v>28</v>
      </c>
      <c r="F429" s="14" t="s">
        <v>27</v>
      </c>
      <c r="G429" s="50">
        <f>'Enero-18'!I428</f>
        <v>215.07</v>
      </c>
      <c r="H429" s="51"/>
      <c r="I429" s="17">
        <f t="shared" si="8"/>
        <v>215.07</v>
      </c>
      <c r="J429" s="11"/>
      <c r="K429" s="54"/>
    </row>
    <row r="430" spans="1:11" ht="29.25">
      <c r="A430" s="11">
        <v>54112</v>
      </c>
      <c r="B430" s="54" t="s">
        <v>592</v>
      </c>
      <c r="C430" s="55"/>
      <c r="D430" s="14" t="s">
        <v>18</v>
      </c>
      <c r="E430" s="14" t="s">
        <v>28</v>
      </c>
      <c r="F430" s="14" t="s">
        <v>27</v>
      </c>
      <c r="G430" s="50">
        <f>'Enero-18'!I429</f>
        <v>100</v>
      </c>
      <c r="H430" s="51"/>
      <c r="I430" s="17">
        <f t="shared" si="8"/>
        <v>100</v>
      </c>
      <c r="J430" s="11"/>
      <c r="K430" s="54"/>
    </row>
    <row r="431" spans="1:11" ht="29.25">
      <c r="A431" s="11">
        <v>54313</v>
      </c>
      <c r="B431" s="54" t="s">
        <v>593</v>
      </c>
      <c r="C431" s="55"/>
      <c r="D431" s="14" t="s">
        <v>18</v>
      </c>
      <c r="E431" s="14" t="s">
        <v>28</v>
      </c>
      <c r="F431" s="14" t="s">
        <v>27</v>
      </c>
      <c r="G431" s="50">
        <f>'Enero-18'!I430</f>
        <v>58</v>
      </c>
      <c r="H431" s="51"/>
      <c r="I431" s="17">
        <f t="shared" si="8"/>
        <v>58</v>
      </c>
      <c r="J431" s="11"/>
      <c r="K431" s="54"/>
    </row>
    <row r="432" spans="1:11" ht="100.5" customHeight="1">
      <c r="A432" s="11" t="s">
        <v>238</v>
      </c>
      <c r="B432" s="53" t="s">
        <v>595</v>
      </c>
      <c r="C432" s="55"/>
      <c r="D432" s="14"/>
      <c r="E432" s="14"/>
      <c r="F432" s="14"/>
      <c r="G432" s="50">
        <f>'Enero-18'!I431</f>
        <v>0</v>
      </c>
      <c r="H432" s="51"/>
      <c r="I432" s="17"/>
      <c r="J432" s="11"/>
      <c r="K432" s="54"/>
    </row>
    <row r="433" spans="1:11" ht="29.25">
      <c r="A433" s="11">
        <v>51202</v>
      </c>
      <c r="B433" s="54" t="s">
        <v>594</v>
      </c>
      <c r="C433" s="55"/>
      <c r="D433" s="14" t="s">
        <v>18</v>
      </c>
      <c r="E433" s="14" t="s">
        <v>28</v>
      </c>
      <c r="F433" s="14" t="s">
        <v>27</v>
      </c>
      <c r="G433" s="50">
        <f>'Enero-18'!I432</f>
        <v>7375.55</v>
      </c>
      <c r="H433" s="51">
        <f>233.33+186.67+186.67+124.44+233.33+186.67+186.67+124.44</f>
        <v>1462.22</v>
      </c>
      <c r="I433" s="17">
        <f t="shared" si="8"/>
        <v>5913.33</v>
      </c>
      <c r="J433" s="11"/>
      <c r="K433" s="54"/>
    </row>
    <row r="434" spans="1:11" ht="29.25">
      <c r="A434" s="11">
        <v>54110</v>
      </c>
      <c r="B434" s="54" t="s">
        <v>596</v>
      </c>
      <c r="C434" s="55"/>
      <c r="D434" s="14" t="s">
        <v>18</v>
      </c>
      <c r="E434" s="14" t="s">
        <v>28</v>
      </c>
      <c r="F434" s="14" t="s">
        <v>27</v>
      </c>
      <c r="G434" s="50">
        <f>'Enero-18'!I433</f>
        <v>500</v>
      </c>
      <c r="H434" s="51">
        <f>47.2</f>
        <v>47.2</v>
      </c>
      <c r="I434" s="17">
        <f t="shared" si="8"/>
        <v>452.8</v>
      </c>
      <c r="J434" s="11"/>
      <c r="K434" s="54"/>
    </row>
    <row r="435" spans="1:11" ht="29.25">
      <c r="A435" s="11">
        <v>54111</v>
      </c>
      <c r="B435" s="54" t="s">
        <v>597</v>
      </c>
      <c r="C435" s="55"/>
      <c r="D435" s="14" t="s">
        <v>18</v>
      </c>
      <c r="E435" s="14" t="s">
        <v>28</v>
      </c>
      <c r="F435" s="14" t="s">
        <v>27</v>
      </c>
      <c r="G435" s="50">
        <f>'Enero-18'!I434</f>
        <v>11090</v>
      </c>
      <c r="H435" s="51">
        <f>570+1681.1</f>
        <v>2251.1</v>
      </c>
      <c r="I435" s="17">
        <f t="shared" si="8"/>
        <v>8838.9</v>
      </c>
      <c r="J435" s="11"/>
      <c r="K435" s="54"/>
    </row>
    <row r="436" spans="1:11" ht="29.25">
      <c r="A436" s="11">
        <v>54112</v>
      </c>
      <c r="B436" s="54" t="s">
        <v>598</v>
      </c>
      <c r="C436" s="55"/>
      <c r="D436" s="14" t="s">
        <v>18</v>
      </c>
      <c r="E436" s="14" t="s">
        <v>28</v>
      </c>
      <c r="F436" s="14" t="s">
        <v>27</v>
      </c>
      <c r="G436" s="50">
        <f>'Enero-18'!I435</f>
        <v>5000</v>
      </c>
      <c r="H436" s="51"/>
      <c r="I436" s="17">
        <f t="shared" si="8"/>
        <v>5000</v>
      </c>
      <c r="J436" s="11"/>
      <c r="K436" s="54"/>
    </row>
    <row r="437" spans="1:11" ht="29.25">
      <c r="A437" s="11">
        <v>54118</v>
      </c>
      <c r="B437" s="54" t="s">
        <v>599</v>
      </c>
      <c r="C437" s="55"/>
      <c r="D437" s="14" t="s">
        <v>18</v>
      </c>
      <c r="E437" s="14" t="s">
        <v>28</v>
      </c>
      <c r="F437" s="14" t="s">
        <v>27</v>
      </c>
      <c r="G437" s="50">
        <f>'Enero-18'!I436</f>
        <v>6000</v>
      </c>
      <c r="H437" s="51">
        <f>310.75</f>
        <v>310.75</v>
      </c>
      <c r="I437" s="17">
        <f t="shared" si="8"/>
        <v>5689.25</v>
      </c>
      <c r="J437" s="56"/>
      <c r="K437" s="56"/>
    </row>
    <row r="438" spans="1:11" ht="29.25">
      <c r="A438" s="11">
        <v>54304</v>
      </c>
      <c r="B438" s="54" t="s">
        <v>600</v>
      </c>
      <c r="C438" s="55"/>
      <c r="D438" s="14" t="s">
        <v>18</v>
      </c>
      <c r="E438" s="14" t="s">
        <v>28</v>
      </c>
      <c r="F438" s="14" t="s">
        <v>27</v>
      </c>
      <c r="G438" s="50">
        <f>'Enero-18'!I437</f>
        <v>4500</v>
      </c>
      <c r="H438" s="51"/>
      <c r="I438" s="17">
        <f t="shared" si="8"/>
        <v>4500</v>
      </c>
      <c r="J438" s="56"/>
      <c r="K438" s="56"/>
    </row>
    <row r="439" spans="1:11" ht="29.25">
      <c r="A439" s="11">
        <v>54313</v>
      </c>
      <c r="B439" s="54" t="s">
        <v>601</v>
      </c>
      <c r="C439" s="55"/>
      <c r="D439" s="14" t="s">
        <v>18</v>
      </c>
      <c r="E439" s="14" t="s">
        <v>28</v>
      </c>
      <c r="F439" s="14" t="s">
        <v>27</v>
      </c>
      <c r="G439" s="50">
        <f>'Enero-18'!I438</f>
        <v>300</v>
      </c>
      <c r="H439" s="51"/>
      <c r="I439" s="17">
        <f t="shared" si="8"/>
        <v>300</v>
      </c>
      <c r="J439" s="56"/>
      <c r="K439" s="56"/>
    </row>
    <row r="440" spans="1:11" ht="29.25">
      <c r="A440" s="11">
        <v>54399</v>
      </c>
      <c r="B440" s="54" t="s">
        <v>602</v>
      </c>
      <c r="C440" s="13"/>
      <c r="D440" s="14" t="s">
        <v>18</v>
      </c>
      <c r="E440" s="14" t="s">
        <v>28</v>
      </c>
      <c r="F440" s="14" t="s">
        <v>27</v>
      </c>
      <c r="G440" s="50">
        <f>'Enero-18'!I439</f>
        <v>500</v>
      </c>
      <c r="H440" s="51"/>
      <c r="I440" s="17">
        <f t="shared" si="8"/>
        <v>500</v>
      </c>
      <c r="J440" s="56"/>
      <c r="K440" s="56"/>
    </row>
    <row r="441" spans="1:11" ht="29.25">
      <c r="A441" s="11">
        <v>55603</v>
      </c>
      <c r="B441" s="54" t="s">
        <v>603</v>
      </c>
      <c r="C441" s="55"/>
      <c r="D441" s="14" t="s">
        <v>18</v>
      </c>
      <c r="E441" s="14" t="s">
        <v>28</v>
      </c>
      <c r="F441" s="14" t="s">
        <v>27</v>
      </c>
      <c r="G441" s="50">
        <f>'Enero-18'!I440</f>
        <v>10</v>
      </c>
      <c r="H441" s="51"/>
      <c r="I441" s="17">
        <f t="shared" si="8"/>
        <v>10</v>
      </c>
      <c r="J441" s="56"/>
      <c r="K441" s="56"/>
    </row>
    <row r="442" spans="1:11" ht="102.75" customHeight="1">
      <c r="A442" s="141" t="s">
        <v>256</v>
      </c>
      <c r="B442" s="53" t="s">
        <v>982</v>
      </c>
      <c r="C442" s="13"/>
      <c r="D442" s="14"/>
      <c r="E442" s="14"/>
      <c r="F442" s="14"/>
      <c r="G442" s="50">
        <f>'Enero-18'!I441</f>
        <v>0</v>
      </c>
      <c r="H442" s="51"/>
      <c r="I442" s="17"/>
      <c r="J442" s="56"/>
      <c r="K442" s="56"/>
    </row>
    <row r="443" spans="1:11" ht="29.25">
      <c r="A443" s="11">
        <v>51202</v>
      </c>
      <c r="B443" s="53" t="s">
        <v>605</v>
      </c>
      <c r="C443" s="13"/>
      <c r="D443" s="14" t="s">
        <v>18</v>
      </c>
      <c r="E443" s="14" t="s">
        <v>28</v>
      </c>
      <c r="F443" s="14" t="s">
        <v>27</v>
      </c>
      <c r="G443" s="50">
        <f>'Enero-18'!I442</f>
        <v>3537.7799999999997</v>
      </c>
      <c r="H443" s="51">
        <f>233.33+186.67+146.66+124.44+233.33+186.67+186.67+124.44+186.67</f>
        <v>1608.88</v>
      </c>
      <c r="I443" s="17">
        <f t="shared" si="8"/>
        <v>1928.8999999999996</v>
      </c>
      <c r="J443" s="56"/>
      <c r="K443" s="56"/>
    </row>
    <row r="444" spans="1:11" ht="29.25">
      <c r="A444" s="11">
        <v>54110</v>
      </c>
      <c r="B444" s="53" t="s">
        <v>606</v>
      </c>
      <c r="C444" s="13"/>
      <c r="D444" s="14" t="s">
        <v>18</v>
      </c>
      <c r="E444" s="14" t="s">
        <v>28</v>
      </c>
      <c r="F444" s="14" t="s">
        <v>27</v>
      </c>
      <c r="G444" s="50">
        <f>'Enero-18'!I443</f>
        <v>257.45</v>
      </c>
      <c r="H444" s="51"/>
      <c r="I444" s="17">
        <f t="shared" si="8"/>
        <v>257.45</v>
      </c>
      <c r="J444" s="56"/>
      <c r="K444" s="56"/>
    </row>
    <row r="445" spans="1:11" ht="30">
      <c r="A445" s="11">
        <v>54111</v>
      </c>
      <c r="B445" s="53" t="s">
        <v>607</v>
      </c>
      <c r="C445" s="13"/>
      <c r="D445" s="14" t="s">
        <v>18</v>
      </c>
      <c r="E445" s="14" t="s">
        <v>28</v>
      </c>
      <c r="F445" s="14" t="s">
        <v>27</v>
      </c>
      <c r="G445" s="50">
        <f>'Enero-18'!I444</f>
        <v>2817.2900000000009</v>
      </c>
      <c r="H445" s="212">
        <f>2374+218.75+1141</f>
        <v>3733.75</v>
      </c>
      <c r="I445" s="17">
        <f t="shared" si="8"/>
        <v>83.540000000000873</v>
      </c>
      <c r="J445" s="238">
        <v>1000</v>
      </c>
      <c r="K445" s="56"/>
    </row>
    <row r="446" spans="1:11" ht="29.25">
      <c r="A446" s="11">
        <v>54112</v>
      </c>
      <c r="B446" s="53" t="s">
        <v>608</v>
      </c>
      <c r="C446" s="13"/>
      <c r="D446" s="14" t="s">
        <v>18</v>
      </c>
      <c r="E446" s="14" t="s">
        <v>28</v>
      </c>
      <c r="F446" s="14" t="s">
        <v>27</v>
      </c>
      <c r="G446" s="50">
        <f>'Enero-18'!I445</f>
        <v>1000</v>
      </c>
      <c r="H446" s="51"/>
      <c r="I446" s="17">
        <f t="shared" si="8"/>
        <v>0</v>
      </c>
      <c r="J446" s="56"/>
      <c r="K446" s="238">
        <v>1000</v>
      </c>
    </row>
    <row r="447" spans="1:11" ht="29.25">
      <c r="A447" s="11">
        <v>54118</v>
      </c>
      <c r="B447" s="53" t="s">
        <v>609</v>
      </c>
      <c r="C447" s="13"/>
      <c r="D447" s="14" t="s">
        <v>18</v>
      </c>
      <c r="E447" s="14" t="s">
        <v>28</v>
      </c>
      <c r="F447" s="14" t="s">
        <v>27</v>
      </c>
      <c r="G447" s="50">
        <f>'Enero-18'!I446</f>
        <v>1000</v>
      </c>
      <c r="H447" s="51"/>
      <c r="I447" s="17">
        <f t="shared" si="8"/>
        <v>1000</v>
      </c>
      <c r="J447" s="56"/>
      <c r="K447" s="56"/>
    </row>
    <row r="448" spans="1:11" ht="29.25">
      <c r="A448" s="11">
        <v>54304</v>
      </c>
      <c r="B448" s="53" t="s">
        <v>610</v>
      </c>
      <c r="C448" s="13"/>
      <c r="D448" s="14" t="s">
        <v>18</v>
      </c>
      <c r="E448" s="14" t="s">
        <v>28</v>
      </c>
      <c r="F448" s="14" t="s">
        <v>27</v>
      </c>
      <c r="G448" s="50">
        <f>'Enero-18'!I447</f>
        <v>200</v>
      </c>
      <c r="H448" s="51"/>
      <c r="I448" s="17">
        <f t="shared" si="8"/>
        <v>200</v>
      </c>
      <c r="J448" s="56"/>
      <c r="K448" s="56"/>
    </row>
    <row r="449" spans="1:11" ht="29.25">
      <c r="A449" s="11">
        <v>54313</v>
      </c>
      <c r="B449" s="53" t="s">
        <v>611</v>
      </c>
      <c r="C449" s="13"/>
      <c r="D449" s="14" t="s">
        <v>18</v>
      </c>
      <c r="E449" s="14" t="s">
        <v>28</v>
      </c>
      <c r="F449" s="14" t="s">
        <v>27</v>
      </c>
      <c r="G449" s="50">
        <f>'Enero-18'!I448</f>
        <v>300</v>
      </c>
      <c r="H449" s="51"/>
      <c r="I449" s="17">
        <f t="shared" si="8"/>
        <v>300</v>
      </c>
      <c r="J449" s="56"/>
      <c r="K449" s="56"/>
    </row>
    <row r="450" spans="1:11" ht="105">
      <c r="A450" s="141" t="s">
        <v>264</v>
      </c>
      <c r="B450" s="53" t="s">
        <v>981</v>
      </c>
      <c r="C450" s="13"/>
      <c r="D450" s="14"/>
      <c r="E450" s="14"/>
      <c r="F450" s="14"/>
      <c r="G450" s="50">
        <f>'Enero-18'!I449</f>
        <v>0</v>
      </c>
      <c r="H450" s="51"/>
      <c r="I450" s="17"/>
      <c r="J450" s="56"/>
      <c r="K450" s="56"/>
    </row>
    <row r="451" spans="1:11" ht="29.25">
      <c r="A451" s="11">
        <v>51202</v>
      </c>
      <c r="B451" s="53" t="s">
        <v>613</v>
      </c>
      <c r="C451" s="13"/>
      <c r="D451" s="14" t="s">
        <v>18</v>
      </c>
      <c r="E451" s="14" t="s">
        <v>28</v>
      </c>
      <c r="F451" s="14" t="s">
        <v>27</v>
      </c>
      <c r="G451" s="50">
        <f>'Enero-18'!I450</f>
        <v>1664.4399999999998</v>
      </c>
      <c r="H451" s="51">
        <f>233.33+186.67+186.67+124.44+186.67</f>
        <v>917.77999999999986</v>
      </c>
      <c r="I451" s="17">
        <f t="shared" si="8"/>
        <v>746.66</v>
      </c>
      <c r="J451" s="56"/>
      <c r="K451" s="56"/>
    </row>
    <row r="452" spans="1:11" ht="29.25">
      <c r="A452" s="11">
        <v>54110</v>
      </c>
      <c r="B452" s="53" t="s">
        <v>614</v>
      </c>
      <c r="C452" s="13"/>
      <c r="D452" s="14" t="s">
        <v>18</v>
      </c>
      <c r="E452" s="14" t="s">
        <v>28</v>
      </c>
      <c r="F452" s="14" t="s">
        <v>27</v>
      </c>
      <c r="G452" s="50">
        <f>'Enero-18'!I451</f>
        <v>251.76</v>
      </c>
      <c r="H452" s="51">
        <f>24.85</f>
        <v>24.85</v>
      </c>
      <c r="I452" s="17">
        <f t="shared" si="8"/>
        <v>26.909999999999997</v>
      </c>
      <c r="J452" s="56"/>
      <c r="K452" s="127">
        <v>200</v>
      </c>
    </row>
    <row r="453" spans="1:11" ht="43.5">
      <c r="A453" s="11">
        <v>54111</v>
      </c>
      <c r="B453" s="53" t="s">
        <v>615</v>
      </c>
      <c r="C453" s="13"/>
      <c r="D453" s="14" t="s">
        <v>18</v>
      </c>
      <c r="E453" s="14" t="s">
        <v>28</v>
      </c>
      <c r="F453" s="14" t="s">
        <v>27</v>
      </c>
      <c r="G453" s="50">
        <f>'Enero-18'!I452</f>
        <v>2712.25</v>
      </c>
      <c r="H453" s="51">
        <f>1246+339+885</f>
        <v>2470</v>
      </c>
      <c r="I453" s="17">
        <f t="shared" si="8"/>
        <v>697.25</v>
      </c>
      <c r="J453" s="239">
        <v>455</v>
      </c>
      <c r="K453" s="56"/>
    </row>
    <row r="454" spans="1:11" ht="43.5">
      <c r="A454" s="11">
        <v>54112</v>
      </c>
      <c r="B454" s="53" t="s">
        <v>616</v>
      </c>
      <c r="C454" s="13"/>
      <c r="D454" s="14" t="s">
        <v>18</v>
      </c>
      <c r="E454" s="14" t="s">
        <v>28</v>
      </c>
      <c r="F454" s="14" t="s">
        <v>27</v>
      </c>
      <c r="G454" s="50">
        <f>'Enero-18'!I453</f>
        <v>50</v>
      </c>
      <c r="H454" s="51"/>
      <c r="I454" s="17">
        <f t="shared" si="8"/>
        <v>0</v>
      </c>
      <c r="J454" s="56"/>
      <c r="K454" s="127">
        <v>50</v>
      </c>
    </row>
    <row r="455" spans="1:11" ht="43.5">
      <c r="A455" s="11">
        <v>54118</v>
      </c>
      <c r="B455" s="53" t="s">
        <v>617</v>
      </c>
      <c r="C455" s="13"/>
      <c r="D455" s="14" t="s">
        <v>18</v>
      </c>
      <c r="E455" s="14" t="s">
        <v>28</v>
      </c>
      <c r="F455" s="14" t="s">
        <v>27</v>
      </c>
      <c r="G455" s="50">
        <f>'Enero-18'!I454</f>
        <v>30.63</v>
      </c>
      <c r="H455" s="51"/>
      <c r="I455" s="17">
        <f t="shared" si="8"/>
        <v>0.62999999999999901</v>
      </c>
      <c r="J455" s="56"/>
      <c r="K455" s="137">
        <v>30</v>
      </c>
    </row>
    <row r="456" spans="1:11" ht="43.5">
      <c r="A456" s="11">
        <v>54304</v>
      </c>
      <c r="B456" s="53" t="s">
        <v>618</v>
      </c>
      <c r="C456" s="13"/>
      <c r="D456" s="14" t="s">
        <v>18</v>
      </c>
      <c r="E456" s="14" t="s">
        <v>28</v>
      </c>
      <c r="F456" s="14" t="s">
        <v>27</v>
      </c>
      <c r="G456" s="50">
        <f>'Enero-18'!I455</f>
        <v>50</v>
      </c>
      <c r="H456" s="51"/>
      <c r="I456" s="17">
        <f t="shared" si="8"/>
        <v>0</v>
      </c>
      <c r="J456" s="56"/>
      <c r="K456" s="142">
        <v>50</v>
      </c>
    </row>
    <row r="457" spans="1:11" ht="43.5">
      <c r="A457" s="11">
        <v>54313</v>
      </c>
      <c r="B457" s="53" t="s">
        <v>619</v>
      </c>
      <c r="C457" s="13"/>
      <c r="D457" s="14" t="s">
        <v>18</v>
      </c>
      <c r="E457" s="14" t="s">
        <v>28</v>
      </c>
      <c r="F457" s="14" t="s">
        <v>27</v>
      </c>
      <c r="G457" s="50">
        <f>'Enero-18'!I456</f>
        <v>300</v>
      </c>
      <c r="H457" s="51"/>
      <c r="I457" s="17">
        <f t="shared" si="8"/>
        <v>175</v>
      </c>
      <c r="J457" s="56"/>
      <c r="K457" s="137">
        <v>125</v>
      </c>
    </row>
    <row r="458" spans="1:11" ht="105">
      <c r="A458" s="144" t="s">
        <v>269</v>
      </c>
      <c r="B458" s="53" t="s">
        <v>983</v>
      </c>
      <c r="C458" s="13"/>
      <c r="D458" s="14"/>
      <c r="E458" s="14"/>
      <c r="F458" s="14"/>
      <c r="G458" s="50">
        <f>'Enero-18'!I457</f>
        <v>0</v>
      </c>
      <c r="H458" s="51"/>
      <c r="I458" s="17"/>
      <c r="J458" s="56"/>
      <c r="K458" s="56"/>
    </row>
    <row r="459" spans="1:11" ht="29.25">
      <c r="A459" s="11">
        <v>51202</v>
      </c>
      <c r="B459" s="54" t="s">
        <v>620</v>
      </c>
      <c r="C459" s="13"/>
      <c r="D459" s="14" t="s">
        <v>18</v>
      </c>
      <c r="E459" s="14" t="s">
        <v>28</v>
      </c>
      <c r="F459" s="14" t="s">
        <v>27</v>
      </c>
      <c r="G459" s="50">
        <f>'Enero-18'!I458</f>
        <v>6000</v>
      </c>
      <c r="H459" s="51"/>
      <c r="I459" s="17">
        <f t="shared" si="8"/>
        <v>6000</v>
      </c>
      <c r="J459" s="56"/>
      <c r="K459" s="56"/>
    </row>
    <row r="460" spans="1:11" ht="35.25" customHeight="1">
      <c r="A460" s="11">
        <v>54110</v>
      </c>
      <c r="B460" s="54" t="s">
        <v>622</v>
      </c>
      <c r="C460" s="13"/>
      <c r="D460" s="14" t="s">
        <v>18</v>
      </c>
      <c r="E460" s="14" t="s">
        <v>28</v>
      </c>
      <c r="F460" s="14" t="s">
        <v>27</v>
      </c>
      <c r="G460" s="50">
        <f>'Enero-18'!I459</f>
        <v>300</v>
      </c>
      <c r="H460" s="51"/>
      <c r="I460" s="17">
        <f t="shared" si="8"/>
        <v>300</v>
      </c>
      <c r="J460" s="56"/>
      <c r="K460" s="56"/>
    </row>
    <row r="461" spans="1:11" ht="43.5">
      <c r="A461" s="11">
        <v>54111</v>
      </c>
      <c r="B461" s="54" t="s">
        <v>621</v>
      </c>
      <c r="C461" s="13"/>
      <c r="D461" s="14" t="s">
        <v>18</v>
      </c>
      <c r="E461" s="14" t="s">
        <v>28</v>
      </c>
      <c r="F461" s="14" t="s">
        <v>27</v>
      </c>
      <c r="G461" s="50">
        <f>'Enero-18'!I460</f>
        <v>10000</v>
      </c>
      <c r="H461" s="51"/>
      <c r="I461" s="17">
        <f t="shared" si="8"/>
        <v>10000</v>
      </c>
      <c r="J461" s="56"/>
      <c r="K461" s="56"/>
    </row>
    <row r="462" spans="1:11" ht="43.5">
      <c r="A462" s="11">
        <v>54112</v>
      </c>
      <c r="B462" s="54" t="s">
        <v>623</v>
      </c>
      <c r="C462" s="13"/>
      <c r="D462" s="14" t="s">
        <v>18</v>
      </c>
      <c r="E462" s="14" t="s">
        <v>28</v>
      </c>
      <c r="F462" s="14" t="s">
        <v>27</v>
      </c>
      <c r="G462" s="50">
        <f>'Enero-18'!I461</f>
        <v>2695.87</v>
      </c>
      <c r="H462" s="51"/>
      <c r="I462" s="17">
        <f t="shared" si="8"/>
        <v>2695.87</v>
      </c>
      <c r="J462" s="56"/>
      <c r="K462" s="56"/>
    </row>
    <row r="463" spans="1:11" ht="43.5">
      <c r="A463" s="11">
        <v>54118</v>
      </c>
      <c r="B463" s="54" t="s">
        <v>624</v>
      </c>
      <c r="C463" s="13"/>
      <c r="D463" s="14" t="s">
        <v>18</v>
      </c>
      <c r="E463" s="14" t="s">
        <v>28</v>
      </c>
      <c r="F463" s="14" t="s">
        <v>27</v>
      </c>
      <c r="G463" s="50">
        <f>'Enero-18'!I462</f>
        <v>200</v>
      </c>
      <c r="H463" s="51"/>
      <c r="I463" s="17">
        <f t="shared" si="8"/>
        <v>200</v>
      </c>
      <c r="J463" s="56"/>
      <c r="K463" s="56"/>
    </row>
    <row r="464" spans="1:11" ht="43.5">
      <c r="A464" s="11">
        <v>54304</v>
      </c>
      <c r="B464" s="54" t="s">
        <v>625</v>
      </c>
      <c r="C464" s="13"/>
      <c r="D464" s="14" t="s">
        <v>18</v>
      </c>
      <c r="E464" s="14" t="s">
        <v>28</v>
      </c>
      <c r="F464" s="14" t="s">
        <v>27</v>
      </c>
      <c r="G464" s="50">
        <f>'Enero-18'!I463</f>
        <v>500</v>
      </c>
      <c r="H464" s="51"/>
      <c r="I464" s="17">
        <f t="shared" si="8"/>
        <v>500</v>
      </c>
      <c r="J464" s="56"/>
      <c r="K464" s="56"/>
    </row>
    <row r="465" spans="1:11" ht="43.5">
      <c r="A465" s="11">
        <v>54313</v>
      </c>
      <c r="B465" s="54" t="s">
        <v>626</v>
      </c>
      <c r="C465" s="13"/>
      <c r="D465" s="14" t="s">
        <v>18</v>
      </c>
      <c r="E465" s="14" t="s">
        <v>28</v>
      </c>
      <c r="F465" s="14" t="s">
        <v>27</v>
      </c>
      <c r="G465" s="50">
        <f>'Enero-18'!I464</f>
        <v>300</v>
      </c>
      <c r="H465" s="51"/>
      <c r="I465" s="17">
        <f t="shared" si="8"/>
        <v>300</v>
      </c>
      <c r="J465" s="56"/>
      <c r="K465" s="56"/>
    </row>
    <row r="466" spans="1:11" ht="105">
      <c r="A466" s="144" t="s">
        <v>289</v>
      </c>
      <c r="B466" s="53" t="s">
        <v>984</v>
      </c>
      <c r="C466" s="13"/>
      <c r="D466" s="14"/>
      <c r="E466" s="14"/>
      <c r="F466" s="14"/>
      <c r="G466" s="50">
        <f>'Enero-18'!I465</f>
        <v>0</v>
      </c>
      <c r="H466" s="51"/>
      <c r="I466" s="17"/>
      <c r="J466" s="56"/>
      <c r="K466" s="56"/>
    </row>
    <row r="467" spans="1:11" ht="29.25">
      <c r="A467" s="11">
        <v>51202</v>
      </c>
      <c r="B467" s="53" t="s">
        <v>628</v>
      </c>
      <c r="C467" s="13"/>
      <c r="D467" s="14" t="s">
        <v>18</v>
      </c>
      <c r="E467" s="14" t="s">
        <v>28</v>
      </c>
      <c r="F467" s="14" t="s">
        <v>27</v>
      </c>
      <c r="G467" s="50">
        <f>'Enero-18'!I466</f>
        <v>1218.3599999999999</v>
      </c>
      <c r="H467" s="108"/>
      <c r="I467" s="17">
        <f t="shared" si="8"/>
        <v>1218.3599999999999</v>
      </c>
      <c r="J467" s="56"/>
      <c r="K467" s="56"/>
    </row>
    <row r="468" spans="1:11" ht="29.25">
      <c r="A468" s="11">
        <v>54110</v>
      </c>
      <c r="B468" s="53" t="s">
        <v>629</v>
      </c>
      <c r="C468" s="13"/>
      <c r="D468" s="14" t="s">
        <v>18</v>
      </c>
      <c r="E468" s="14" t="s">
        <v>28</v>
      </c>
      <c r="F468" s="14" t="s">
        <v>27</v>
      </c>
      <c r="G468" s="50">
        <f>'Enero-18'!I467</f>
        <v>130.69999999999999</v>
      </c>
      <c r="H468" s="51"/>
      <c r="I468" s="17">
        <f t="shared" si="8"/>
        <v>130.69999999999999</v>
      </c>
      <c r="J468" s="56"/>
      <c r="K468" s="56"/>
    </row>
    <row r="469" spans="1:11" ht="29.25">
      <c r="A469" s="11">
        <v>54111</v>
      </c>
      <c r="B469" s="53" t="s">
        <v>630</v>
      </c>
      <c r="C469" s="13"/>
      <c r="D469" s="14" t="s">
        <v>18</v>
      </c>
      <c r="E469" s="14" t="s">
        <v>28</v>
      </c>
      <c r="F469" s="14" t="s">
        <v>27</v>
      </c>
      <c r="G469" s="50">
        <f>'Enero-18'!I468</f>
        <v>862</v>
      </c>
      <c r="H469" s="51"/>
      <c r="I469" s="17">
        <f t="shared" ref="I469:I532" si="9">G469-H469+J469-K469</f>
        <v>862</v>
      </c>
      <c r="J469" s="56"/>
      <c r="K469" s="56"/>
    </row>
    <row r="470" spans="1:11" ht="29.25">
      <c r="A470" s="11">
        <v>54112</v>
      </c>
      <c r="B470" s="53" t="s">
        <v>631</v>
      </c>
      <c r="C470" s="13"/>
      <c r="D470" s="14" t="s">
        <v>18</v>
      </c>
      <c r="E470" s="14" t="s">
        <v>28</v>
      </c>
      <c r="F470" s="14" t="s">
        <v>27</v>
      </c>
      <c r="G470" s="50">
        <f>'Enero-18'!I469</f>
        <v>89.5</v>
      </c>
      <c r="H470" s="51"/>
      <c r="I470" s="17">
        <f t="shared" si="9"/>
        <v>89.5</v>
      </c>
      <c r="J470" s="56"/>
      <c r="K470" s="56"/>
    </row>
    <row r="471" spans="1:11" ht="29.25">
      <c r="A471" s="11">
        <v>54118</v>
      </c>
      <c r="B471" s="53" t="s">
        <v>632</v>
      </c>
      <c r="C471" s="13"/>
      <c r="D471" s="14" t="s">
        <v>18</v>
      </c>
      <c r="E471" s="14" t="s">
        <v>28</v>
      </c>
      <c r="F471" s="14" t="s">
        <v>27</v>
      </c>
      <c r="G471" s="50">
        <f>'Enero-18'!I470</f>
        <v>100</v>
      </c>
      <c r="H471" s="51"/>
      <c r="I471" s="17">
        <f t="shared" si="9"/>
        <v>100</v>
      </c>
      <c r="J471" s="56"/>
      <c r="K471" s="56"/>
    </row>
    <row r="472" spans="1:11" ht="29.25">
      <c r="A472" s="11">
        <v>54304</v>
      </c>
      <c r="B472" s="53" t="s">
        <v>633</v>
      </c>
      <c r="C472" s="13"/>
      <c r="D472" s="14" t="s">
        <v>18</v>
      </c>
      <c r="E472" s="14" t="s">
        <v>28</v>
      </c>
      <c r="F472" s="14" t="s">
        <v>27</v>
      </c>
      <c r="G472" s="50">
        <f>'Enero-18'!I471</f>
        <v>500</v>
      </c>
      <c r="H472" s="51"/>
      <c r="I472" s="17">
        <f t="shared" si="9"/>
        <v>500</v>
      </c>
      <c r="J472" s="56"/>
      <c r="K472" s="56"/>
    </row>
    <row r="473" spans="1:11" ht="29.25">
      <c r="A473" s="11">
        <v>54313</v>
      </c>
      <c r="B473" s="53" t="s">
        <v>634</v>
      </c>
      <c r="C473" s="13"/>
      <c r="D473" s="14" t="s">
        <v>18</v>
      </c>
      <c r="E473" s="14" t="s">
        <v>28</v>
      </c>
      <c r="F473" s="14" t="s">
        <v>27</v>
      </c>
      <c r="G473" s="50">
        <f>'Enero-18'!I472</f>
        <v>300</v>
      </c>
      <c r="H473" s="51"/>
      <c r="I473" s="17">
        <f t="shared" si="9"/>
        <v>300</v>
      </c>
      <c r="J473" s="56"/>
      <c r="K473" s="56"/>
    </row>
    <row r="474" spans="1:11" ht="90">
      <c r="A474" s="141" t="s">
        <v>300</v>
      </c>
      <c r="B474" s="53" t="s">
        <v>635</v>
      </c>
      <c r="C474" s="13"/>
      <c r="D474" s="14"/>
      <c r="E474" s="14"/>
      <c r="F474" s="14"/>
      <c r="G474" s="50">
        <f>'Enero-18'!I473</f>
        <v>0</v>
      </c>
      <c r="H474" s="51"/>
      <c r="I474" s="17"/>
      <c r="J474" s="56"/>
      <c r="K474" s="56"/>
    </row>
    <row r="475" spans="1:11" ht="29.25">
      <c r="A475" s="11">
        <v>51202</v>
      </c>
      <c r="B475" s="53" t="s">
        <v>636</v>
      </c>
      <c r="C475" s="13"/>
      <c r="D475" s="14" t="s">
        <v>18</v>
      </c>
      <c r="E475" s="14" t="s">
        <v>28</v>
      </c>
      <c r="F475" s="14" t="s">
        <v>27</v>
      </c>
      <c r="G475" s="50">
        <f>'Enero-18'!I474</f>
        <v>825.57000000000016</v>
      </c>
      <c r="H475" s="51"/>
      <c r="I475" s="17">
        <f t="shared" si="9"/>
        <v>0</v>
      </c>
      <c r="J475" s="56"/>
      <c r="K475" s="142">
        <v>825.57</v>
      </c>
    </row>
    <row r="476" spans="1:11" ht="29.25">
      <c r="A476" s="11">
        <v>54110</v>
      </c>
      <c r="B476" s="53" t="s">
        <v>637</v>
      </c>
      <c r="C476" s="13"/>
      <c r="D476" s="14" t="s">
        <v>18</v>
      </c>
      <c r="E476" s="14" t="s">
        <v>28</v>
      </c>
      <c r="F476" s="14" t="s">
        <v>27</v>
      </c>
      <c r="G476" s="50">
        <f>'Enero-18'!I475</f>
        <v>231.05</v>
      </c>
      <c r="H476" s="51"/>
      <c r="I476" s="17">
        <f t="shared" si="9"/>
        <v>0</v>
      </c>
      <c r="J476" s="56"/>
      <c r="K476" s="142">
        <v>231.05</v>
      </c>
    </row>
    <row r="477" spans="1:11" ht="29.25">
      <c r="A477" s="11">
        <v>54111</v>
      </c>
      <c r="B477" s="53" t="s">
        <v>638</v>
      </c>
      <c r="C477" s="13"/>
      <c r="D477" s="14" t="s">
        <v>18</v>
      </c>
      <c r="E477" s="14" t="s">
        <v>28</v>
      </c>
      <c r="F477" s="14" t="s">
        <v>27</v>
      </c>
      <c r="G477" s="50">
        <f>'Enero-18'!I476</f>
        <v>3246.8</v>
      </c>
      <c r="H477" s="211">
        <f>3148.75+354+646.5</f>
        <v>4149.25</v>
      </c>
      <c r="I477" s="17">
        <f t="shared" si="9"/>
        <v>321.55000000000018</v>
      </c>
      <c r="J477" s="142">
        <v>1224</v>
      </c>
      <c r="K477" s="56"/>
    </row>
    <row r="478" spans="1:11" ht="29.25">
      <c r="A478" s="11">
        <v>54304</v>
      </c>
      <c r="B478" s="53" t="s">
        <v>639</v>
      </c>
      <c r="C478" s="55"/>
      <c r="D478" s="14" t="s">
        <v>18</v>
      </c>
      <c r="E478" s="14" t="s">
        <v>28</v>
      </c>
      <c r="F478" s="14" t="s">
        <v>27</v>
      </c>
      <c r="G478" s="50">
        <f>'Enero-18'!I477</f>
        <v>167.38</v>
      </c>
      <c r="H478" s="51"/>
      <c r="I478" s="17">
        <f t="shared" si="9"/>
        <v>0</v>
      </c>
      <c r="J478" s="56"/>
      <c r="K478" s="142">
        <v>167.38</v>
      </c>
    </row>
    <row r="479" spans="1:11" ht="38.25" customHeight="1">
      <c r="A479" s="11">
        <v>54313</v>
      </c>
      <c r="B479" s="53" t="s">
        <v>640</v>
      </c>
      <c r="C479" s="60"/>
      <c r="D479" s="14" t="s">
        <v>18</v>
      </c>
      <c r="E479" s="14" t="s">
        <v>28</v>
      </c>
      <c r="F479" s="14" t="s">
        <v>27</v>
      </c>
      <c r="G479" s="50">
        <f>'Enero-18'!I478</f>
        <v>300</v>
      </c>
      <c r="H479" s="51"/>
      <c r="I479" s="17">
        <f t="shared" si="9"/>
        <v>300</v>
      </c>
      <c r="J479" s="56"/>
      <c r="K479" s="56"/>
    </row>
    <row r="480" spans="1:11" ht="91.5" customHeight="1">
      <c r="A480" s="141" t="s">
        <v>316</v>
      </c>
      <c r="B480" s="53" t="s">
        <v>641</v>
      </c>
      <c r="C480" s="60"/>
      <c r="D480" s="14"/>
      <c r="E480" s="14"/>
      <c r="F480" s="14"/>
      <c r="G480" s="50">
        <f>'Enero-18'!I479</f>
        <v>0</v>
      </c>
      <c r="H480" s="51"/>
      <c r="I480" s="17"/>
      <c r="J480" s="56"/>
      <c r="K480" s="56"/>
    </row>
    <row r="481" spans="1:11" ht="38.25" customHeight="1">
      <c r="A481" s="11">
        <v>51202</v>
      </c>
      <c r="B481" s="53" t="s">
        <v>642</v>
      </c>
      <c r="C481" s="60"/>
      <c r="D481" s="14" t="s">
        <v>18</v>
      </c>
      <c r="E481" s="14" t="s">
        <v>28</v>
      </c>
      <c r="F481" s="14" t="s">
        <v>27</v>
      </c>
      <c r="G481" s="50">
        <f>'Enero-18'!I480</f>
        <v>737.78</v>
      </c>
      <c r="H481" s="51">
        <f>233.33+186.67+186.67+124.44</f>
        <v>731.1099999999999</v>
      </c>
      <c r="I481" s="17">
        <f t="shared" si="9"/>
        <v>6.6700000000000728</v>
      </c>
      <c r="J481" s="56"/>
      <c r="K481" s="56"/>
    </row>
    <row r="482" spans="1:11" ht="38.25" customHeight="1">
      <c r="A482" s="11">
        <v>54110</v>
      </c>
      <c r="B482" s="53" t="s">
        <v>643</v>
      </c>
      <c r="C482" s="60"/>
      <c r="D482" s="14" t="s">
        <v>18</v>
      </c>
      <c r="E482" s="14" t="s">
        <v>28</v>
      </c>
      <c r="F482" s="14" t="s">
        <v>27</v>
      </c>
      <c r="G482" s="50">
        <f>'Enero-18'!I481</f>
        <v>252</v>
      </c>
      <c r="H482" s="51"/>
      <c r="I482" s="17">
        <f t="shared" si="9"/>
        <v>252</v>
      </c>
      <c r="J482" s="56"/>
      <c r="K482" s="56"/>
    </row>
    <row r="483" spans="1:11" ht="38.25" customHeight="1">
      <c r="A483" s="11">
        <v>54111</v>
      </c>
      <c r="B483" s="53" t="s">
        <v>644</v>
      </c>
      <c r="C483" s="60"/>
      <c r="D483" s="14" t="s">
        <v>18</v>
      </c>
      <c r="E483" s="14" t="s">
        <v>28</v>
      </c>
      <c r="F483" s="14" t="s">
        <v>27</v>
      </c>
      <c r="G483" s="50">
        <f>'Enero-18'!I482</f>
        <v>1200.5200000000004</v>
      </c>
      <c r="H483" s="51">
        <f>249+101.7</f>
        <v>350.7</v>
      </c>
      <c r="I483" s="17">
        <f t="shared" si="9"/>
        <v>849.82000000000039</v>
      </c>
      <c r="J483" s="56"/>
      <c r="K483" s="56"/>
    </row>
    <row r="484" spans="1:11" ht="38.25" customHeight="1">
      <c r="A484" s="11">
        <v>54304</v>
      </c>
      <c r="B484" s="53" t="s">
        <v>645</v>
      </c>
      <c r="C484" s="60"/>
      <c r="D484" s="14" t="s">
        <v>18</v>
      </c>
      <c r="E484" s="14" t="s">
        <v>28</v>
      </c>
      <c r="F484" s="14" t="s">
        <v>27</v>
      </c>
      <c r="G484" s="50">
        <f>'Enero-18'!I483</f>
        <v>100</v>
      </c>
      <c r="H484" s="51"/>
      <c r="I484" s="17">
        <f t="shared" si="9"/>
        <v>100</v>
      </c>
      <c r="J484" s="56"/>
      <c r="K484" s="56"/>
    </row>
    <row r="485" spans="1:11" ht="38.25" customHeight="1">
      <c r="A485" s="11">
        <v>54313</v>
      </c>
      <c r="B485" s="53" t="s">
        <v>646</v>
      </c>
      <c r="C485" s="60"/>
      <c r="D485" s="14" t="s">
        <v>18</v>
      </c>
      <c r="E485" s="14" t="s">
        <v>28</v>
      </c>
      <c r="F485" s="14" t="s">
        <v>27</v>
      </c>
      <c r="G485" s="50">
        <f>'Enero-18'!I484</f>
        <v>300</v>
      </c>
      <c r="H485" s="51"/>
      <c r="I485" s="17">
        <f t="shared" si="9"/>
        <v>300</v>
      </c>
      <c r="J485" s="56"/>
      <c r="K485" s="56"/>
    </row>
    <row r="486" spans="1:11" ht="93.75" customHeight="1">
      <c r="A486" s="240" t="s">
        <v>326</v>
      </c>
      <c r="B486" s="53" t="s">
        <v>647</v>
      </c>
      <c r="C486" s="60"/>
      <c r="D486" s="14"/>
      <c r="E486" s="14"/>
      <c r="F486" s="14"/>
      <c r="G486" s="50">
        <f>'Enero-18'!I485</f>
        <v>0</v>
      </c>
      <c r="H486" s="51"/>
      <c r="I486" s="17"/>
      <c r="J486" s="56"/>
      <c r="K486" s="56"/>
    </row>
    <row r="487" spans="1:11" ht="38.25" customHeight="1">
      <c r="A487" s="11">
        <v>51202</v>
      </c>
      <c r="B487" s="53" t="s">
        <v>648</v>
      </c>
      <c r="C487" s="60"/>
      <c r="D487" s="14" t="s">
        <v>18</v>
      </c>
      <c r="E487" s="14" t="s">
        <v>28</v>
      </c>
      <c r="F487" s="14" t="s">
        <v>27</v>
      </c>
      <c r="G487" s="50">
        <f>'Enero-18'!I486</f>
        <v>9442.23</v>
      </c>
      <c r="H487" s="51">
        <f>233.33+186.67+186.67+124.44+124.44+233.33+186.67+186.67+124.44+124.44</f>
        <v>1711.1000000000001</v>
      </c>
      <c r="I487" s="17">
        <f t="shared" si="9"/>
        <v>7731.1299999999992</v>
      </c>
      <c r="J487" s="56"/>
      <c r="K487" s="56"/>
    </row>
    <row r="488" spans="1:11" ht="38.25" customHeight="1">
      <c r="A488" s="11">
        <v>54110</v>
      </c>
      <c r="B488" s="53" t="s">
        <v>649</v>
      </c>
      <c r="C488" s="60"/>
      <c r="D488" s="14" t="s">
        <v>18</v>
      </c>
      <c r="E488" s="14" t="s">
        <v>28</v>
      </c>
      <c r="F488" s="14" t="s">
        <v>27</v>
      </c>
      <c r="G488" s="50">
        <f>'Enero-18'!I487</f>
        <v>300</v>
      </c>
      <c r="H488" s="51">
        <f>30.8</f>
        <v>30.8</v>
      </c>
      <c r="I488" s="17">
        <f t="shared" si="9"/>
        <v>269.2</v>
      </c>
      <c r="J488" s="56"/>
      <c r="K488" s="56"/>
    </row>
    <row r="489" spans="1:11" ht="38.25" customHeight="1">
      <c r="A489" s="11">
        <v>54111</v>
      </c>
      <c r="B489" s="53" t="s">
        <v>650</v>
      </c>
      <c r="C489" s="60"/>
      <c r="D489" s="14" t="s">
        <v>18</v>
      </c>
      <c r="E489" s="14" t="s">
        <v>28</v>
      </c>
      <c r="F489" s="14" t="s">
        <v>27</v>
      </c>
      <c r="G489" s="50">
        <f>'Enero-18'!I488</f>
        <v>10000</v>
      </c>
      <c r="H489" s="51">
        <f>1122.75+444+1212.75+600</f>
        <v>3379.5</v>
      </c>
      <c r="I489" s="17">
        <f t="shared" si="9"/>
        <v>6620.5</v>
      </c>
      <c r="J489" s="56"/>
      <c r="K489" s="56"/>
    </row>
    <row r="490" spans="1:11" ht="29.25">
      <c r="A490" s="11">
        <v>54112</v>
      </c>
      <c r="B490" s="53" t="s">
        <v>651</v>
      </c>
      <c r="C490" s="13"/>
      <c r="D490" s="14" t="s">
        <v>18</v>
      </c>
      <c r="E490" s="14" t="s">
        <v>28</v>
      </c>
      <c r="F490" s="14" t="s">
        <v>27</v>
      </c>
      <c r="G490" s="50">
        <f>'Enero-18'!I489</f>
        <v>3000</v>
      </c>
      <c r="H490" s="51"/>
      <c r="I490" s="17">
        <f t="shared" si="9"/>
        <v>3000</v>
      </c>
      <c r="J490" s="56"/>
      <c r="K490" s="56"/>
    </row>
    <row r="491" spans="1:11" ht="29.25">
      <c r="A491" s="11">
        <v>54118</v>
      </c>
      <c r="B491" s="53" t="s">
        <v>652</v>
      </c>
      <c r="C491" s="13"/>
      <c r="D491" s="14" t="s">
        <v>18</v>
      </c>
      <c r="E491" s="14" t="s">
        <v>28</v>
      </c>
      <c r="F491" s="14" t="s">
        <v>27</v>
      </c>
      <c r="G491" s="50">
        <f>'Enero-18'!I490</f>
        <v>2000</v>
      </c>
      <c r="H491" s="51">
        <f>312.45</f>
        <v>312.45</v>
      </c>
      <c r="I491" s="17">
        <f t="shared" si="9"/>
        <v>1687.55</v>
      </c>
      <c r="J491" s="56"/>
      <c r="K491" s="56"/>
    </row>
    <row r="492" spans="1:11" ht="29.25">
      <c r="A492" s="11">
        <v>54304</v>
      </c>
      <c r="B492" s="53" t="s">
        <v>653</v>
      </c>
      <c r="C492" s="13"/>
      <c r="D492" s="14" t="s">
        <v>18</v>
      </c>
      <c r="E492" s="14" t="s">
        <v>28</v>
      </c>
      <c r="F492" s="14" t="s">
        <v>27</v>
      </c>
      <c r="G492" s="50">
        <f>'Enero-18'!I491</f>
        <v>1395.87</v>
      </c>
      <c r="H492" s="51"/>
      <c r="I492" s="17">
        <f t="shared" si="9"/>
        <v>1395.87</v>
      </c>
      <c r="J492" s="56"/>
      <c r="K492" s="56"/>
    </row>
    <row r="493" spans="1:11" ht="29.25">
      <c r="A493" s="11">
        <v>54313</v>
      </c>
      <c r="B493" s="53" t="s">
        <v>654</v>
      </c>
      <c r="C493" s="13"/>
      <c r="D493" s="14" t="s">
        <v>18</v>
      </c>
      <c r="E493" s="14" t="s">
        <v>28</v>
      </c>
      <c r="F493" s="14" t="s">
        <v>27</v>
      </c>
      <c r="G493" s="50">
        <f>'Enero-18'!I492</f>
        <v>300</v>
      </c>
      <c r="H493" s="51"/>
      <c r="I493" s="17">
        <f t="shared" si="9"/>
        <v>300</v>
      </c>
      <c r="J493" s="56"/>
      <c r="K493" s="56"/>
    </row>
    <row r="494" spans="1:11" ht="29.25">
      <c r="A494" s="11">
        <v>54399</v>
      </c>
      <c r="B494" s="53" t="s">
        <v>655</v>
      </c>
      <c r="C494" s="13"/>
      <c r="D494" s="14" t="s">
        <v>18</v>
      </c>
      <c r="E494" s="14" t="s">
        <v>28</v>
      </c>
      <c r="F494" s="14" t="s">
        <v>27</v>
      </c>
      <c r="G494" s="50">
        <f>'Enero-18'!I493</f>
        <v>200</v>
      </c>
      <c r="H494" s="51"/>
      <c r="I494" s="17">
        <f t="shared" si="9"/>
        <v>200</v>
      </c>
      <c r="J494" s="56"/>
      <c r="K494" s="56"/>
    </row>
    <row r="495" spans="1:11" ht="75">
      <c r="A495" s="141" t="s">
        <v>338</v>
      </c>
      <c r="B495" s="53" t="s">
        <v>656</v>
      </c>
      <c r="C495" s="13"/>
      <c r="D495" s="14"/>
      <c r="E495" s="14"/>
      <c r="F495" s="14"/>
      <c r="G495" s="50">
        <f>'Enero-18'!I494</f>
        <v>0</v>
      </c>
      <c r="H495" s="51"/>
      <c r="I495" s="17"/>
      <c r="J495" s="56"/>
      <c r="K495" s="56"/>
    </row>
    <row r="496" spans="1:11" ht="29.25">
      <c r="A496" s="11">
        <v>51202</v>
      </c>
      <c r="B496" s="54" t="s">
        <v>657</v>
      </c>
      <c r="C496" s="13"/>
      <c r="D496" s="14" t="s">
        <v>18</v>
      </c>
      <c r="E496" s="14" t="s">
        <v>28</v>
      </c>
      <c r="F496" s="14" t="s">
        <v>27</v>
      </c>
      <c r="G496" s="50">
        <f>'Enero-18'!I495</f>
        <v>6290</v>
      </c>
      <c r="H496" s="51"/>
      <c r="I496" s="17">
        <f t="shared" si="9"/>
        <v>6290</v>
      </c>
      <c r="J496" s="56"/>
      <c r="K496" s="56"/>
    </row>
    <row r="497" spans="1:11" ht="29.25">
      <c r="A497" s="11">
        <v>54110</v>
      </c>
      <c r="B497" s="54" t="s">
        <v>658</v>
      </c>
      <c r="C497" s="13"/>
      <c r="D497" s="14" t="s">
        <v>18</v>
      </c>
      <c r="E497" s="14" t="s">
        <v>28</v>
      </c>
      <c r="F497" s="14" t="s">
        <v>27</v>
      </c>
      <c r="G497" s="50">
        <f>'Enero-18'!I496</f>
        <v>300</v>
      </c>
      <c r="H497" s="51"/>
      <c r="I497" s="17">
        <f t="shared" si="9"/>
        <v>300</v>
      </c>
      <c r="J497" s="56"/>
      <c r="K497" s="56"/>
    </row>
    <row r="498" spans="1:11" ht="44.25">
      <c r="A498" s="11">
        <v>54111</v>
      </c>
      <c r="B498" s="54" t="s">
        <v>659</v>
      </c>
      <c r="C498" s="13"/>
      <c r="D498" s="14" t="s">
        <v>18</v>
      </c>
      <c r="E498" s="14" t="s">
        <v>28</v>
      </c>
      <c r="F498" s="14" t="s">
        <v>27</v>
      </c>
      <c r="G498" s="50">
        <f>'Enero-18'!I497</f>
        <v>10000</v>
      </c>
      <c r="H498" s="51"/>
      <c r="I498" s="17">
        <f t="shared" si="9"/>
        <v>10000</v>
      </c>
      <c r="J498" s="56"/>
      <c r="K498" s="56"/>
    </row>
    <row r="499" spans="1:11" ht="44.25">
      <c r="A499" s="11">
        <v>54112</v>
      </c>
      <c r="B499" s="54" t="s">
        <v>660</v>
      </c>
      <c r="C499" s="13"/>
      <c r="D499" s="14" t="s">
        <v>18</v>
      </c>
      <c r="E499" s="14" t="s">
        <v>28</v>
      </c>
      <c r="F499" s="14" t="s">
        <v>27</v>
      </c>
      <c r="G499" s="50">
        <f>'Enero-18'!I498</f>
        <v>2000</v>
      </c>
      <c r="H499" s="51"/>
      <c r="I499" s="17">
        <f t="shared" si="9"/>
        <v>2000</v>
      </c>
      <c r="J499" s="56"/>
      <c r="K499" s="56"/>
    </row>
    <row r="500" spans="1:11" ht="44.25">
      <c r="A500" s="11">
        <v>54304</v>
      </c>
      <c r="B500" s="54" t="s">
        <v>661</v>
      </c>
      <c r="C500" s="13"/>
      <c r="D500" s="14" t="s">
        <v>18</v>
      </c>
      <c r="E500" s="14" t="s">
        <v>28</v>
      </c>
      <c r="F500" s="14" t="s">
        <v>27</v>
      </c>
      <c r="G500" s="50">
        <f>'Enero-18'!I499</f>
        <v>1000</v>
      </c>
      <c r="H500" s="51"/>
      <c r="I500" s="17">
        <f t="shared" si="9"/>
        <v>1000</v>
      </c>
      <c r="J500" s="56"/>
      <c r="K500" s="56"/>
    </row>
    <row r="501" spans="1:11" ht="44.25">
      <c r="A501" s="11">
        <v>54313</v>
      </c>
      <c r="B501" s="54" t="s">
        <v>662</v>
      </c>
      <c r="C501" s="13"/>
      <c r="D501" s="14" t="s">
        <v>18</v>
      </c>
      <c r="E501" s="14" t="s">
        <v>28</v>
      </c>
      <c r="F501" s="14" t="s">
        <v>27</v>
      </c>
      <c r="G501" s="50">
        <f>'Enero-18'!I500</f>
        <v>300</v>
      </c>
      <c r="H501" s="51"/>
      <c r="I501" s="17">
        <f t="shared" si="9"/>
        <v>300</v>
      </c>
      <c r="J501" s="56"/>
      <c r="K501" s="56"/>
    </row>
    <row r="502" spans="1:11" ht="44.25">
      <c r="A502" s="11">
        <v>54399</v>
      </c>
      <c r="B502" s="54" t="s">
        <v>663</v>
      </c>
      <c r="C502" s="13"/>
      <c r="D502" s="14" t="s">
        <v>18</v>
      </c>
      <c r="E502" s="14" t="s">
        <v>28</v>
      </c>
      <c r="F502" s="14" t="s">
        <v>27</v>
      </c>
      <c r="G502" s="50">
        <f>'Enero-18'!I501</f>
        <v>100</v>
      </c>
      <c r="H502" s="51"/>
      <c r="I502" s="17">
        <f t="shared" si="9"/>
        <v>100</v>
      </c>
      <c r="J502" s="56"/>
      <c r="K502" s="56"/>
    </row>
    <row r="503" spans="1:11" ht="29.25">
      <c r="A503" s="11">
        <v>55603</v>
      </c>
      <c r="B503" s="54" t="s">
        <v>664</v>
      </c>
      <c r="C503" s="13"/>
      <c r="D503" s="14" t="s">
        <v>18</v>
      </c>
      <c r="E503" s="14" t="s">
        <v>28</v>
      </c>
      <c r="F503" s="14" t="s">
        <v>27</v>
      </c>
      <c r="G503" s="50">
        <f>'Enero-18'!I502</f>
        <v>10</v>
      </c>
      <c r="H503" s="51"/>
      <c r="I503" s="17">
        <f t="shared" si="9"/>
        <v>10</v>
      </c>
      <c r="J503" s="56"/>
      <c r="K503" s="56"/>
    </row>
    <row r="504" spans="1:11" ht="90">
      <c r="A504" s="141" t="s">
        <v>348</v>
      </c>
      <c r="B504" s="53" t="s">
        <v>665</v>
      </c>
      <c r="C504" s="13"/>
      <c r="D504" s="14"/>
      <c r="E504" s="14"/>
      <c r="F504" s="14"/>
      <c r="G504" s="50"/>
      <c r="H504" s="51"/>
      <c r="I504" s="17"/>
      <c r="J504" s="56"/>
      <c r="K504" s="56"/>
    </row>
    <row r="505" spans="1:11" ht="29.25">
      <c r="A505" s="11">
        <v>51202</v>
      </c>
      <c r="B505" s="54" t="s">
        <v>666</v>
      </c>
      <c r="C505" s="13"/>
      <c r="D505" s="14" t="s">
        <v>18</v>
      </c>
      <c r="E505" s="14" t="s">
        <v>28</v>
      </c>
      <c r="F505" s="14" t="s">
        <v>27</v>
      </c>
      <c r="G505" s="50">
        <f>'Enero-18'!I504</f>
        <v>3790</v>
      </c>
      <c r="H505" s="51"/>
      <c r="I505" s="17">
        <f t="shared" si="9"/>
        <v>3790</v>
      </c>
      <c r="J505" s="56"/>
      <c r="K505" s="56"/>
    </row>
    <row r="506" spans="1:11" ht="29.25">
      <c r="A506" s="11">
        <v>54110</v>
      </c>
      <c r="B506" s="54" t="s">
        <v>667</v>
      </c>
      <c r="C506" s="13"/>
      <c r="D506" s="14" t="s">
        <v>18</v>
      </c>
      <c r="E506" s="14" t="s">
        <v>28</v>
      </c>
      <c r="F506" s="14" t="s">
        <v>27</v>
      </c>
      <c r="G506" s="50">
        <f>'Enero-18'!I505</f>
        <v>200</v>
      </c>
      <c r="H506" s="51"/>
      <c r="I506" s="17">
        <f t="shared" si="9"/>
        <v>200</v>
      </c>
      <c r="J506" s="56"/>
      <c r="K506" s="56"/>
    </row>
    <row r="507" spans="1:11" ht="44.25">
      <c r="A507" s="11">
        <v>54111</v>
      </c>
      <c r="B507" s="54" t="s">
        <v>668</v>
      </c>
      <c r="C507" s="13"/>
      <c r="D507" s="14" t="s">
        <v>18</v>
      </c>
      <c r="E507" s="14" t="s">
        <v>28</v>
      </c>
      <c r="F507" s="14" t="s">
        <v>27</v>
      </c>
      <c r="G507" s="50">
        <f>'Enero-18'!I506</f>
        <v>5200</v>
      </c>
      <c r="H507" s="51"/>
      <c r="I507" s="17">
        <f t="shared" si="9"/>
        <v>5200</v>
      </c>
      <c r="J507" s="56"/>
      <c r="K507" s="56"/>
    </row>
    <row r="508" spans="1:11" ht="44.25">
      <c r="A508" s="11">
        <v>54112</v>
      </c>
      <c r="B508" s="54" t="s">
        <v>669</v>
      </c>
      <c r="C508" s="13"/>
      <c r="D508" s="14" t="s">
        <v>18</v>
      </c>
      <c r="E508" s="14" t="s">
        <v>28</v>
      </c>
      <c r="F508" s="14" t="s">
        <v>27</v>
      </c>
      <c r="G508" s="50">
        <f>'Enero-18'!I507</f>
        <v>200</v>
      </c>
      <c r="H508" s="51"/>
      <c r="I508" s="17">
        <f t="shared" si="9"/>
        <v>200</v>
      </c>
      <c r="J508" s="56"/>
      <c r="K508" s="56"/>
    </row>
    <row r="509" spans="1:11" ht="44.25">
      <c r="A509" s="11">
        <v>54313</v>
      </c>
      <c r="B509" s="54" t="s">
        <v>670</v>
      </c>
      <c r="C509" s="13"/>
      <c r="D509" s="14" t="s">
        <v>18</v>
      </c>
      <c r="E509" s="14" t="s">
        <v>28</v>
      </c>
      <c r="F509" s="14" t="s">
        <v>27</v>
      </c>
      <c r="G509" s="50">
        <f>'Enero-18'!I508</f>
        <v>300</v>
      </c>
      <c r="H509" s="51"/>
      <c r="I509" s="17">
        <f t="shared" si="9"/>
        <v>300</v>
      </c>
      <c r="J509" s="56"/>
      <c r="K509" s="56"/>
    </row>
    <row r="510" spans="1:11" ht="44.25">
      <c r="A510" s="11">
        <v>54399</v>
      </c>
      <c r="B510" s="54" t="s">
        <v>671</v>
      </c>
      <c r="C510" s="13"/>
      <c r="D510" s="14" t="s">
        <v>18</v>
      </c>
      <c r="E510" s="14" t="s">
        <v>28</v>
      </c>
      <c r="F510" s="14" t="s">
        <v>27</v>
      </c>
      <c r="G510" s="50">
        <f>'Enero-18'!I509</f>
        <v>300</v>
      </c>
      <c r="H510" s="51"/>
      <c r="I510" s="17">
        <f t="shared" si="9"/>
        <v>300</v>
      </c>
      <c r="J510" s="56"/>
      <c r="K510" s="56"/>
    </row>
    <row r="511" spans="1:11" ht="29.25">
      <c r="A511" s="11">
        <v>55603</v>
      </c>
      <c r="B511" s="54" t="s">
        <v>672</v>
      </c>
      <c r="C511" s="13"/>
      <c r="D511" s="14" t="s">
        <v>18</v>
      </c>
      <c r="E511" s="14" t="s">
        <v>28</v>
      </c>
      <c r="F511" s="14" t="s">
        <v>27</v>
      </c>
      <c r="G511" s="50">
        <f>'Enero-18'!I510</f>
        <v>10</v>
      </c>
      <c r="H511" s="51"/>
      <c r="I511" s="17">
        <f t="shared" si="9"/>
        <v>10</v>
      </c>
      <c r="J511" s="56"/>
      <c r="K511" s="56"/>
    </row>
    <row r="512" spans="1:11" ht="119.25" customHeight="1">
      <c r="A512" s="141" t="s">
        <v>358</v>
      </c>
      <c r="B512" s="53" t="s">
        <v>673</v>
      </c>
      <c r="C512" s="13"/>
      <c r="D512" s="14"/>
      <c r="E512" s="14"/>
      <c r="F512" s="14"/>
      <c r="G512" s="50"/>
      <c r="H512" s="51"/>
      <c r="I512" s="17"/>
      <c r="J512" s="56"/>
      <c r="K512" s="56"/>
    </row>
    <row r="513" spans="1:11" ht="29.25">
      <c r="A513" s="11">
        <v>51202</v>
      </c>
      <c r="B513" s="54" t="s">
        <v>674</v>
      </c>
      <c r="C513" s="13"/>
      <c r="D513" s="14" t="s">
        <v>18</v>
      </c>
      <c r="E513" s="14" t="s">
        <v>28</v>
      </c>
      <c r="F513" s="14" t="s">
        <v>27</v>
      </c>
      <c r="G513" s="50">
        <f>'Enero-18'!I512</f>
        <v>8000</v>
      </c>
      <c r="H513" s="51"/>
      <c r="I513" s="17">
        <f t="shared" si="9"/>
        <v>8000</v>
      </c>
      <c r="J513" s="56"/>
      <c r="K513" s="56"/>
    </row>
    <row r="514" spans="1:11" ht="29.25">
      <c r="A514" s="11">
        <v>54110</v>
      </c>
      <c r="B514" s="54" t="s">
        <v>675</v>
      </c>
      <c r="C514" s="13"/>
      <c r="D514" s="14" t="s">
        <v>18</v>
      </c>
      <c r="E514" s="14" t="s">
        <v>28</v>
      </c>
      <c r="F514" s="14" t="s">
        <v>27</v>
      </c>
      <c r="G514" s="50">
        <f>'Enero-18'!I513</f>
        <v>300</v>
      </c>
      <c r="H514" s="51"/>
      <c r="I514" s="17">
        <f t="shared" si="9"/>
        <v>300</v>
      </c>
      <c r="J514" s="56"/>
      <c r="K514" s="56"/>
    </row>
    <row r="515" spans="1:11" ht="29.25">
      <c r="A515" s="11">
        <v>54111</v>
      </c>
      <c r="B515" s="54" t="s">
        <v>677</v>
      </c>
      <c r="C515" s="13"/>
      <c r="D515" s="14" t="s">
        <v>18</v>
      </c>
      <c r="E515" s="14" t="s">
        <v>28</v>
      </c>
      <c r="F515" s="14" t="s">
        <v>27</v>
      </c>
      <c r="G515" s="50">
        <f>'Enero-18'!I514</f>
        <v>10000</v>
      </c>
      <c r="H515" s="51"/>
      <c r="I515" s="17">
        <f t="shared" si="9"/>
        <v>10000</v>
      </c>
      <c r="J515" s="56"/>
      <c r="K515" s="56"/>
    </row>
    <row r="516" spans="1:11" ht="29.25">
      <c r="A516" s="11">
        <v>54112</v>
      </c>
      <c r="B516" s="54" t="s">
        <v>676</v>
      </c>
      <c r="C516" s="13"/>
      <c r="D516" s="14" t="s">
        <v>18</v>
      </c>
      <c r="E516" s="14" t="s">
        <v>28</v>
      </c>
      <c r="F516" s="14" t="s">
        <v>27</v>
      </c>
      <c r="G516" s="50">
        <f>'Enero-18'!I515</f>
        <v>2000</v>
      </c>
      <c r="H516" s="51"/>
      <c r="I516" s="17">
        <f t="shared" si="9"/>
        <v>2000</v>
      </c>
      <c r="J516" s="56"/>
      <c r="K516" s="56"/>
    </row>
    <row r="517" spans="1:11" ht="29.25">
      <c r="A517" s="11">
        <v>54118</v>
      </c>
      <c r="B517" s="54" t="s">
        <v>678</v>
      </c>
      <c r="C517" s="13"/>
      <c r="D517" s="14" t="s">
        <v>18</v>
      </c>
      <c r="E517" s="14" t="s">
        <v>28</v>
      </c>
      <c r="F517" s="14" t="s">
        <v>27</v>
      </c>
      <c r="G517" s="50">
        <f>'Enero-18'!I516</f>
        <v>1290</v>
      </c>
      <c r="H517" s="51"/>
      <c r="I517" s="17">
        <f t="shared" si="9"/>
        <v>1290</v>
      </c>
      <c r="J517" s="56"/>
      <c r="K517" s="56"/>
    </row>
    <row r="518" spans="1:11" ht="29.25">
      <c r="A518" s="11">
        <v>54313</v>
      </c>
      <c r="B518" s="54" t="s">
        <v>679</v>
      </c>
      <c r="C518" s="13"/>
      <c r="D518" s="14" t="s">
        <v>18</v>
      </c>
      <c r="E518" s="14" t="s">
        <v>28</v>
      </c>
      <c r="F518" s="14" t="s">
        <v>27</v>
      </c>
      <c r="G518" s="50">
        <f>'Enero-18'!I517</f>
        <v>300</v>
      </c>
      <c r="H518" s="51"/>
      <c r="I518" s="17">
        <f t="shared" si="9"/>
        <v>300</v>
      </c>
      <c r="J518" s="56"/>
      <c r="K518" s="56"/>
    </row>
    <row r="519" spans="1:11" ht="36.75" customHeight="1">
      <c r="A519" s="11">
        <v>54399</v>
      </c>
      <c r="B519" s="54" t="s">
        <v>680</v>
      </c>
      <c r="C519" s="13"/>
      <c r="D519" s="14" t="s">
        <v>18</v>
      </c>
      <c r="E519" s="14" t="s">
        <v>28</v>
      </c>
      <c r="F519" s="14" t="s">
        <v>27</v>
      </c>
      <c r="G519" s="50">
        <f>'Enero-18'!I518</f>
        <v>200</v>
      </c>
      <c r="H519" s="51"/>
      <c r="I519" s="17">
        <f t="shared" si="9"/>
        <v>200</v>
      </c>
      <c r="J519" s="56"/>
      <c r="K519" s="56"/>
    </row>
    <row r="520" spans="1:11" ht="29.25">
      <c r="A520" s="11">
        <v>55603</v>
      </c>
      <c r="B520" s="54" t="s">
        <v>681</v>
      </c>
      <c r="C520" s="13"/>
      <c r="D520" s="14" t="s">
        <v>18</v>
      </c>
      <c r="E520" s="14" t="s">
        <v>28</v>
      </c>
      <c r="F520" s="14" t="s">
        <v>27</v>
      </c>
      <c r="G520" s="50">
        <f>'Enero-18'!I519</f>
        <v>10</v>
      </c>
      <c r="H520" s="51"/>
      <c r="I520" s="17">
        <f t="shared" si="9"/>
        <v>10</v>
      </c>
      <c r="J520" s="56"/>
      <c r="K520" s="56"/>
    </row>
    <row r="521" spans="1:11" ht="74.25">
      <c r="A521" s="141" t="s">
        <v>374</v>
      </c>
      <c r="B521" s="53" t="s">
        <v>690</v>
      </c>
      <c r="C521" s="13"/>
      <c r="D521" s="14"/>
      <c r="E521" s="14"/>
      <c r="F521" s="14"/>
      <c r="G521" s="50"/>
      <c r="H521" s="51"/>
      <c r="I521" s="17"/>
      <c r="J521" s="56"/>
      <c r="K521" s="56"/>
    </row>
    <row r="522" spans="1:11">
      <c r="A522" s="11">
        <v>51202</v>
      </c>
      <c r="B522" s="54" t="s">
        <v>682</v>
      </c>
      <c r="C522" s="13"/>
      <c r="D522" s="14" t="s">
        <v>18</v>
      </c>
      <c r="E522" s="14" t="s">
        <v>28</v>
      </c>
      <c r="F522" s="14" t="s">
        <v>27</v>
      </c>
      <c r="G522" s="50">
        <f>'Enero-18'!I521</f>
        <v>8900</v>
      </c>
      <c r="H522" s="51"/>
      <c r="I522" s="17">
        <f t="shared" si="9"/>
        <v>8900</v>
      </c>
      <c r="J522" s="56"/>
      <c r="K522" s="56"/>
    </row>
    <row r="523" spans="1:11" ht="29.25">
      <c r="A523" s="11">
        <v>54110</v>
      </c>
      <c r="B523" s="54" t="s">
        <v>683</v>
      </c>
      <c r="C523" s="13"/>
      <c r="D523" s="14" t="s">
        <v>18</v>
      </c>
      <c r="E523" s="14" t="s">
        <v>28</v>
      </c>
      <c r="F523" s="14" t="s">
        <v>27</v>
      </c>
      <c r="G523" s="50">
        <f>'Enero-18'!I522</f>
        <v>300</v>
      </c>
      <c r="H523" s="51"/>
      <c r="I523" s="17">
        <f t="shared" si="9"/>
        <v>300</v>
      </c>
      <c r="J523" s="56"/>
      <c r="K523" s="56"/>
    </row>
    <row r="524" spans="1:11" ht="30">
      <c r="A524" s="11">
        <v>54111</v>
      </c>
      <c r="B524" s="53" t="s">
        <v>689</v>
      </c>
      <c r="C524" s="13"/>
      <c r="D524" s="14" t="s">
        <v>18</v>
      </c>
      <c r="E524" s="14" t="s">
        <v>28</v>
      </c>
      <c r="F524" s="14" t="s">
        <v>27</v>
      </c>
      <c r="G524" s="50">
        <f>'Enero-18'!I523</f>
        <v>12000</v>
      </c>
      <c r="H524" s="51"/>
      <c r="I524" s="17">
        <f t="shared" si="9"/>
        <v>12000</v>
      </c>
      <c r="J524" s="56"/>
      <c r="K524" s="56"/>
    </row>
    <row r="525" spans="1:11" ht="29.25">
      <c r="A525" s="11">
        <v>54112</v>
      </c>
      <c r="B525" s="53" t="s">
        <v>684</v>
      </c>
      <c r="C525" s="13"/>
      <c r="D525" s="14" t="s">
        <v>18</v>
      </c>
      <c r="E525" s="14" t="s">
        <v>28</v>
      </c>
      <c r="F525" s="14" t="s">
        <v>27</v>
      </c>
      <c r="G525" s="50">
        <f>'Enero-18'!I524</f>
        <v>2000</v>
      </c>
      <c r="H525" s="51"/>
      <c r="I525" s="17">
        <f t="shared" si="9"/>
        <v>2000</v>
      </c>
      <c r="J525" s="56"/>
      <c r="K525" s="56"/>
    </row>
    <row r="526" spans="1:11" ht="29.25">
      <c r="A526" s="11">
        <v>54118</v>
      </c>
      <c r="B526" s="53" t="s">
        <v>685</v>
      </c>
      <c r="C526" s="13"/>
      <c r="D526" s="14" t="s">
        <v>18</v>
      </c>
      <c r="E526" s="14" t="s">
        <v>28</v>
      </c>
      <c r="F526" s="14" t="s">
        <v>27</v>
      </c>
      <c r="G526" s="50">
        <f>'Enero-18'!I525</f>
        <v>1290</v>
      </c>
      <c r="H526" s="51"/>
      <c r="I526" s="17">
        <f t="shared" si="9"/>
        <v>1290</v>
      </c>
      <c r="J526" s="56"/>
      <c r="K526" s="56"/>
    </row>
    <row r="527" spans="1:11" ht="29.25">
      <c r="A527" s="11">
        <v>54313</v>
      </c>
      <c r="B527" s="53" t="s">
        <v>686</v>
      </c>
      <c r="C527" s="13"/>
      <c r="D527" s="14" t="s">
        <v>18</v>
      </c>
      <c r="E527" s="14" t="s">
        <v>28</v>
      </c>
      <c r="F527" s="14" t="s">
        <v>27</v>
      </c>
      <c r="G527" s="50">
        <f>'Enero-18'!I526</f>
        <v>300</v>
      </c>
      <c r="H527" s="51"/>
      <c r="I527" s="17">
        <f t="shared" si="9"/>
        <v>300</v>
      </c>
      <c r="J527" s="56"/>
      <c r="K527" s="56"/>
    </row>
    <row r="528" spans="1:11" ht="29.25">
      <c r="A528" s="11">
        <v>54399</v>
      </c>
      <c r="B528" s="54" t="s">
        <v>687</v>
      </c>
      <c r="C528" s="13"/>
      <c r="D528" s="14" t="s">
        <v>18</v>
      </c>
      <c r="E528" s="14" t="s">
        <v>28</v>
      </c>
      <c r="F528" s="14" t="s">
        <v>27</v>
      </c>
      <c r="G528" s="50">
        <f>'Enero-18'!I527</f>
        <v>200</v>
      </c>
      <c r="H528" s="51"/>
      <c r="I528" s="17">
        <f t="shared" si="9"/>
        <v>200</v>
      </c>
      <c r="J528" s="56"/>
      <c r="K528" s="56"/>
    </row>
    <row r="529" spans="1:11" ht="29.25">
      <c r="A529" s="11">
        <v>55603</v>
      </c>
      <c r="B529" s="53" t="s">
        <v>688</v>
      </c>
      <c r="C529" s="13"/>
      <c r="D529" s="14" t="s">
        <v>18</v>
      </c>
      <c r="E529" s="14" t="s">
        <v>28</v>
      </c>
      <c r="F529" s="14" t="s">
        <v>27</v>
      </c>
      <c r="G529" s="50">
        <f>'Enero-18'!I528</f>
        <v>10</v>
      </c>
      <c r="H529" s="51"/>
      <c r="I529" s="17">
        <f t="shared" si="9"/>
        <v>10</v>
      </c>
      <c r="J529" s="56"/>
      <c r="K529" s="56"/>
    </row>
    <row r="530" spans="1:11" ht="60">
      <c r="A530" s="141" t="s">
        <v>388</v>
      </c>
      <c r="B530" s="53" t="s">
        <v>699</v>
      </c>
      <c r="C530" s="13"/>
      <c r="D530" s="14"/>
      <c r="E530" s="14"/>
      <c r="F530" s="14"/>
      <c r="G530" s="50"/>
      <c r="H530" s="51"/>
      <c r="I530" s="17"/>
      <c r="J530" s="56"/>
      <c r="K530" s="56"/>
    </row>
    <row r="531" spans="1:11" ht="29.25">
      <c r="A531" s="11">
        <v>51202</v>
      </c>
      <c r="B531" s="54" t="s">
        <v>691</v>
      </c>
      <c r="C531" s="13"/>
      <c r="D531" s="14" t="s">
        <v>18</v>
      </c>
      <c r="E531" s="14" t="s">
        <v>28</v>
      </c>
      <c r="F531" s="14" t="s">
        <v>27</v>
      </c>
      <c r="G531" s="50">
        <f>'Enero-18'!I530</f>
        <v>8900</v>
      </c>
      <c r="H531" s="51"/>
      <c r="I531" s="17">
        <f t="shared" si="9"/>
        <v>8900</v>
      </c>
      <c r="J531" s="56"/>
      <c r="K531" s="56"/>
    </row>
    <row r="532" spans="1:11" ht="29.25">
      <c r="A532" s="11">
        <v>54110</v>
      </c>
      <c r="B532" s="54" t="s">
        <v>692</v>
      </c>
      <c r="C532" s="13"/>
      <c r="D532" s="14" t="s">
        <v>18</v>
      </c>
      <c r="E532" s="14" t="s">
        <v>28</v>
      </c>
      <c r="F532" s="14" t="s">
        <v>27</v>
      </c>
      <c r="G532" s="50">
        <f>'Enero-18'!I531</f>
        <v>300</v>
      </c>
      <c r="H532" s="51"/>
      <c r="I532" s="17">
        <f t="shared" si="9"/>
        <v>300</v>
      </c>
      <c r="J532" s="56"/>
      <c r="K532" s="56"/>
    </row>
    <row r="533" spans="1:11" ht="44.25">
      <c r="A533" s="11">
        <v>54111</v>
      </c>
      <c r="B533" s="53" t="s">
        <v>693</v>
      </c>
      <c r="C533" s="13"/>
      <c r="D533" s="14" t="s">
        <v>18</v>
      </c>
      <c r="E533" s="14" t="s">
        <v>28</v>
      </c>
      <c r="F533" s="14" t="s">
        <v>27</v>
      </c>
      <c r="G533" s="50">
        <f>'Enero-18'!I532</f>
        <v>12000</v>
      </c>
      <c r="H533" s="51"/>
      <c r="I533" s="17">
        <f t="shared" ref="I533:I543" si="10">G533-H533+J533-K533</f>
        <v>12000</v>
      </c>
      <c r="J533" s="56"/>
      <c r="K533" s="56"/>
    </row>
    <row r="534" spans="1:11" ht="29.25">
      <c r="A534" s="11">
        <v>54112</v>
      </c>
      <c r="B534" s="54" t="s">
        <v>694</v>
      </c>
      <c r="C534" s="13"/>
      <c r="D534" s="14" t="s">
        <v>18</v>
      </c>
      <c r="E534" s="14" t="s">
        <v>28</v>
      </c>
      <c r="F534" s="14" t="s">
        <v>27</v>
      </c>
      <c r="G534" s="50">
        <f>'Enero-18'!I533</f>
        <v>2000</v>
      </c>
      <c r="H534" s="51"/>
      <c r="I534" s="17">
        <f t="shared" si="10"/>
        <v>2000</v>
      </c>
      <c r="J534" s="56"/>
      <c r="K534" s="56"/>
    </row>
    <row r="535" spans="1:11" ht="29.25">
      <c r="A535" s="11">
        <v>54118</v>
      </c>
      <c r="B535" s="54" t="s">
        <v>695</v>
      </c>
      <c r="C535" s="13"/>
      <c r="D535" s="14" t="s">
        <v>18</v>
      </c>
      <c r="E535" s="14" t="s">
        <v>28</v>
      </c>
      <c r="F535" s="14" t="s">
        <v>27</v>
      </c>
      <c r="G535" s="50">
        <f>'Enero-18'!I534</f>
        <v>1290</v>
      </c>
      <c r="H535" s="51"/>
      <c r="I535" s="17">
        <f t="shared" si="10"/>
        <v>1290</v>
      </c>
      <c r="J535" s="56"/>
      <c r="K535" s="56"/>
    </row>
    <row r="536" spans="1:11" ht="44.25">
      <c r="A536" s="11">
        <v>54313</v>
      </c>
      <c r="B536" s="53" t="s">
        <v>696</v>
      </c>
      <c r="C536" s="13"/>
      <c r="D536" s="14" t="s">
        <v>18</v>
      </c>
      <c r="E536" s="14" t="s">
        <v>28</v>
      </c>
      <c r="F536" s="14" t="s">
        <v>27</v>
      </c>
      <c r="G536" s="50">
        <f>'Enero-18'!I535</f>
        <v>300</v>
      </c>
      <c r="H536" s="51"/>
      <c r="I536" s="17">
        <f t="shared" si="10"/>
        <v>300</v>
      </c>
      <c r="J536" s="56"/>
      <c r="K536" s="56"/>
    </row>
    <row r="537" spans="1:11" ht="29.25">
      <c r="A537" s="11">
        <v>54399</v>
      </c>
      <c r="B537" s="54" t="s">
        <v>697</v>
      </c>
      <c r="C537" s="13"/>
      <c r="D537" s="14" t="s">
        <v>18</v>
      </c>
      <c r="E537" s="14" t="s">
        <v>28</v>
      </c>
      <c r="F537" s="14" t="s">
        <v>27</v>
      </c>
      <c r="G537" s="50">
        <f>'Enero-18'!I536</f>
        <v>200</v>
      </c>
      <c r="H537" s="51"/>
      <c r="I537" s="17">
        <f t="shared" si="10"/>
        <v>200</v>
      </c>
      <c r="J537" s="56"/>
      <c r="K537" s="56"/>
    </row>
    <row r="538" spans="1:11" ht="29.25">
      <c r="A538" s="11">
        <v>55603</v>
      </c>
      <c r="B538" s="54" t="s">
        <v>698</v>
      </c>
      <c r="C538" s="13"/>
      <c r="D538" s="14" t="s">
        <v>18</v>
      </c>
      <c r="E538" s="14" t="s">
        <v>28</v>
      </c>
      <c r="F538" s="14" t="s">
        <v>27</v>
      </c>
      <c r="G538" s="50">
        <f>'Enero-18'!I537</f>
        <v>10</v>
      </c>
      <c r="H538" s="51"/>
      <c r="I538" s="17">
        <f t="shared" si="10"/>
        <v>10</v>
      </c>
      <c r="J538" s="56"/>
      <c r="K538" s="56"/>
    </row>
    <row r="539" spans="1:11" ht="60">
      <c r="A539" s="141" t="s">
        <v>392</v>
      </c>
      <c r="B539" s="53" t="s">
        <v>700</v>
      </c>
      <c r="C539" s="13"/>
      <c r="D539" s="14"/>
      <c r="E539" s="14"/>
      <c r="F539" s="14"/>
      <c r="G539" s="50">
        <f>'Enero-18'!I538</f>
        <v>0</v>
      </c>
      <c r="H539" s="51"/>
      <c r="I539" s="17"/>
      <c r="J539" s="56"/>
      <c r="K539" s="56"/>
    </row>
    <row r="540" spans="1:11" ht="29.25">
      <c r="A540" s="11">
        <v>51202</v>
      </c>
      <c r="B540" s="54" t="s">
        <v>701</v>
      </c>
      <c r="C540" s="13"/>
      <c r="D540" s="14" t="s">
        <v>18</v>
      </c>
      <c r="E540" s="14" t="s">
        <v>28</v>
      </c>
      <c r="F540" s="14" t="s">
        <v>27</v>
      </c>
      <c r="G540" s="50">
        <f>'Enero-18'!I539</f>
        <v>4640</v>
      </c>
      <c r="H540" s="51"/>
      <c r="I540" s="17">
        <f t="shared" si="10"/>
        <v>4640</v>
      </c>
      <c r="J540" s="56"/>
      <c r="K540" s="56"/>
    </row>
    <row r="541" spans="1:11" ht="29.25">
      <c r="A541" s="11">
        <v>54110</v>
      </c>
      <c r="B541" s="53" t="s">
        <v>702</v>
      </c>
      <c r="C541" s="13"/>
      <c r="D541" s="14" t="s">
        <v>18</v>
      </c>
      <c r="E541" s="14" t="s">
        <v>28</v>
      </c>
      <c r="F541" s="14" t="s">
        <v>27</v>
      </c>
      <c r="G541" s="50">
        <f>'Enero-18'!I540</f>
        <v>100</v>
      </c>
      <c r="H541" s="51"/>
      <c r="I541" s="17">
        <f t="shared" si="10"/>
        <v>100</v>
      </c>
      <c r="J541" s="56"/>
      <c r="K541" s="56"/>
    </row>
    <row r="542" spans="1:11" ht="44.25">
      <c r="A542" s="11">
        <v>54111</v>
      </c>
      <c r="B542" s="53" t="s">
        <v>703</v>
      </c>
      <c r="C542" s="13"/>
      <c r="D542" s="14" t="s">
        <v>18</v>
      </c>
      <c r="E542" s="14" t="s">
        <v>28</v>
      </c>
      <c r="F542" s="14" t="s">
        <v>27</v>
      </c>
      <c r="G542" s="50">
        <f>'Enero-18'!I541</f>
        <v>5000</v>
      </c>
      <c r="H542" s="51"/>
      <c r="I542" s="17">
        <f t="shared" si="10"/>
        <v>5000</v>
      </c>
      <c r="J542" s="56"/>
      <c r="K542" s="56"/>
    </row>
    <row r="543" spans="1:11" ht="44.25">
      <c r="A543" s="11">
        <v>54313</v>
      </c>
      <c r="B543" s="53" t="s">
        <v>704</v>
      </c>
      <c r="C543" s="13"/>
      <c r="D543" s="14" t="s">
        <v>18</v>
      </c>
      <c r="E543" s="14" t="s">
        <v>28</v>
      </c>
      <c r="F543" s="14" t="s">
        <v>27</v>
      </c>
      <c r="G543" s="50">
        <f>'Enero-18'!I542</f>
        <v>250</v>
      </c>
      <c r="H543" s="51"/>
      <c r="I543" s="17">
        <f t="shared" si="10"/>
        <v>250</v>
      </c>
      <c r="J543" s="56"/>
      <c r="K543" s="56"/>
    </row>
    <row r="544" spans="1:11" ht="29.25">
      <c r="A544" s="11">
        <v>55603</v>
      </c>
      <c r="B544" s="53" t="s">
        <v>705</v>
      </c>
      <c r="C544" s="13"/>
      <c r="D544" s="14" t="s">
        <v>18</v>
      </c>
      <c r="E544" s="14" t="s">
        <v>28</v>
      </c>
      <c r="F544" s="14" t="s">
        <v>27</v>
      </c>
      <c r="G544" s="50">
        <f>'Enero-18'!I543</f>
        <v>10</v>
      </c>
      <c r="H544" s="51"/>
      <c r="I544" s="17">
        <f>G544-H544+J544-K544</f>
        <v>10</v>
      </c>
      <c r="J544" s="56"/>
      <c r="K544" s="56"/>
    </row>
    <row r="545" spans="1:11" ht="105">
      <c r="A545" s="141" t="s">
        <v>401</v>
      </c>
      <c r="B545" s="53" t="s">
        <v>706</v>
      </c>
      <c r="C545" s="13"/>
      <c r="D545" s="14"/>
      <c r="E545" s="14"/>
      <c r="F545" s="14"/>
      <c r="G545" s="50">
        <f>'Enero-18'!I544</f>
        <v>0</v>
      </c>
      <c r="H545" s="51"/>
      <c r="I545" s="17"/>
      <c r="J545" s="56"/>
      <c r="K545" s="56"/>
    </row>
    <row r="546" spans="1:11" ht="29.25">
      <c r="A546" s="11">
        <v>51202</v>
      </c>
      <c r="B546" s="54" t="s">
        <v>707</v>
      </c>
      <c r="C546" s="13"/>
      <c r="D546" s="14" t="s">
        <v>18</v>
      </c>
      <c r="E546" s="14" t="s">
        <v>28</v>
      </c>
      <c r="F546" s="14" t="s">
        <v>27</v>
      </c>
      <c r="G546" s="50">
        <f>'Enero-18'!I545</f>
        <v>7000</v>
      </c>
      <c r="H546" s="51"/>
      <c r="I546" s="17">
        <f>G546-H546+J546-K546</f>
        <v>7000</v>
      </c>
      <c r="J546" s="56"/>
      <c r="K546" s="56"/>
    </row>
    <row r="547" spans="1:11" ht="43.5">
      <c r="A547" s="11">
        <v>54110</v>
      </c>
      <c r="B547" s="54" t="s">
        <v>708</v>
      </c>
      <c r="C547" s="13"/>
      <c r="D547" s="14" t="s">
        <v>18</v>
      </c>
      <c r="E547" s="14" t="s">
        <v>28</v>
      </c>
      <c r="F547" s="14" t="s">
        <v>27</v>
      </c>
      <c r="G547" s="50">
        <f>'Enero-18'!I546</f>
        <v>200</v>
      </c>
      <c r="H547" s="51"/>
      <c r="I547" s="17">
        <f t="shared" ref="I547:I587" si="11">G547-H547+J547-K547</f>
        <v>200</v>
      </c>
      <c r="J547" s="56"/>
      <c r="K547" s="56"/>
    </row>
    <row r="548" spans="1:11" ht="44.25">
      <c r="A548" s="11">
        <v>54111</v>
      </c>
      <c r="B548" s="54" t="s">
        <v>709</v>
      </c>
      <c r="C548" s="13"/>
      <c r="D548" s="14" t="s">
        <v>18</v>
      </c>
      <c r="E548" s="14" t="s">
        <v>28</v>
      </c>
      <c r="F548" s="14" t="s">
        <v>27</v>
      </c>
      <c r="G548" s="50">
        <f>'Enero-18'!I547</f>
        <v>9290</v>
      </c>
      <c r="H548" s="51"/>
      <c r="I548" s="17">
        <f t="shared" si="11"/>
        <v>9290</v>
      </c>
      <c r="J548" s="56"/>
      <c r="K548" s="56"/>
    </row>
    <row r="549" spans="1:11" ht="43.5">
      <c r="A549" s="11">
        <v>54118</v>
      </c>
      <c r="B549" s="54" t="s">
        <v>710</v>
      </c>
      <c r="C549" s="13"/>
      <c r="D549" s="14" t="s">
        <v>18</v>
      </c>
      <c r="E549" s="14" t="s">
        <v>28</v>
      </c>
      <c r="F549" s="14" t="s">
        <v>27</v>
      </c>
      <c r="G549" s="50">
        <f>'Enero-18'!I548</f>
        <v>3000</v>
      </c>
      <c r="H549" s="51"/>
      <c r="I549" s="17">
        <f t="shared" si="11"/>
        <v>3000</v>
      </c>
      <c r="J549" s="56"/>
      <c r="K549" s="56"/>
    </row>
    <row r="550" spans="1:11" ht="43.5">
      <c r="A550" s="11">
        <v>54313</v>
      </c>
      <c r="B550" s="54" t="s">
        <v>711</v>
      </c>
      <c r="C550" s="13"/>
      <c r="D550" s="14" t="s">
        <v>18</v>
      </c>
      <c r="E550" s="14" t="s">
        <v>28</v>
      </c>
      <c r="F550" s="14" t="s">
        <v>27</v>
      </c>
      <c r="G550" s="50">
        <f>'Enero-18'!I549</f>
        <v>300</v>
      </c>
      <c r="H550" s="51"/>
      <c r="I550" s="17">
        <f t="shared" si="11"/>
        <v>300</v>
      </c>
      <c r="J550" s="56"/>
      <c r="K550" s="56"/>
    </row>
    <row r="551" spans="1:11" ht="44.25">
      <c r="A551" s="11">
        <v>54399</v>
      </c>
      <c r="B551" s="54" t="s">
        <v>712</v>
      </c>
      <c r="C551" s="13"/>
      <c r="D551" s="14" t="s">
        <v>18</v>
      </c>
      <c r="E551" s="14" t="s">
        <v>28</v>
      </c>
      <c r="F551" s="14" t="s">
        <v>27</v>
      </c>
      <c r="G551" s="50">
        <f>'Enero-18'!I550</f>
        <v>200</v>
      </c>
      <c r="H551" s="51"/>
      <c r="I551" s="17">
        <f t="shared" si="11"/>
        <v>200</v>
      </c>
      <c r="J551" s="56"/>
      <c r="K551" s="56"/>
    </row>
    <row r="552" spans="1:11" ht="43.5">
      <c r="A552" s="11">
        <v>55603</v>
      </c>
      <c r="B552" s="53" t="s">
        <v>713</v>
      </c>
      <c r="C552" s="13"/>
      <c r="D552" s="14" t="s">
        <v>18</v>
      </c>
      <c r="E552" s="14" t="s">
        <v>28</v>
      </c>
      <c r="F552" s="14" t="s">
        <v>27</v>
      </c>
      <c r="G552" s="50">
        <f>'Enero-18'!I551</f>
        <v>10</v>
      </c>
      <c r="H552" s="51"/>
      <c r="I552" s="17">
        <f t="shared" si="11"/>
        <v>10</v>
      </c>
      <c r="J552" s="56"/>
      <c r="K552" s="56"/>
    </row>
    <row r="553" spans="1:11" ht="59.25">
      <c r="A553" s="141" t="s">
        <v>408</v>
      </c>
      <c r="B553" s="53" t="s">
        <v>714</v>
      </c>
      <c r="C553" s="13"/>
      <c r="D553" s="14"/>
      <c r="E553" s="14"/>
      <c r="F553" s="14"/>
      <c r="G553" s="50"/>
      <c r="H553" s="51"/>
      <c r="I553" s="17"/>
      <c r="J553" s="56"/>
      <c r="K553" s="56"/>
    </row>
    <row r="554" spans="1:11" ht="29.25">
      <c r="A554" s="11">
        <v>51202</v>
      </c>
      <c r="B554" s="54" t="s">
        <v>715</v>
      </c>
      <c r="C554" s="13"/>
      <c r="D554" s="14" t="s">
        <v>18</v>
      </c>
      <c r="E554" s="14" t="s">
        <v>28</v>
      </c>
      <c r="F554" s="14" t="s">
        <v>27</v>
      </c>
      <c r="G554" s="50">
        <f>'Enero-18'!I553</f>
        <v>6190</v>
      </c>
      <c r="H554" s="51"/>
      <c r="I554" s="17">
        <f t="shared" si="11"/>
        <v>6190</v>
      </c>
      <c r="J554" s="56"/>
      <c r="K554" s="56"/>
    </row>
    <row r="555" spans="1:11" ht="29.25">
      <c r="A555" s="11">
        <v>54110</v>
      </c>
      <c r="B555" s="54" t="s">
        <v>716</v>
      </c>
      <c r="C555" s="13"/>
      <c r="D555" s="14" t="s">
        <v>18</v>
      </c>
      <c r="E555" s="14" t="s">
        <v>28</v>
      </c>
      <c r="F555" s="14" t="s">
        <v>27</v>
      </c>
      <c r="G555" s="50">
        <f>'Enero-18'!I554</f>
        <v>300</v>
      </c>
      <c r="H555" s="51"/>
      <c r="I555" s="17">
        <f t="shared" si="11"/>
        <v>300</v>
      </c>
      <c r="J555" s="56"/>
      <c r="K555" s="56"/>
    </row>
    <row r="556" spans="1:11" ht="44.25">
      <c r="A556" s="11">
        <v>54111</v>
      </c>
      <c r="B556" s="54" t="s">
        <v>717</v>
      </c>
      <c r="C556" s="13"/>
      <c r="D556" s="14" t="s">
        <v>18</v>
      </c>
      <c r="E556" s="14" t="s">
        <v>28</v>
      </c>
      <c r="F556" s="14" t="s">
        <v>27</v>
      </c>
      <c r="G556" s="50">
        <f>'Enero-18'!I555</f>
        <v>10000</v>
      </c>
      <c r="H556" s="51"/>
      <c r="I556" s="17">
        <f t="shared" si="11"/>
        <v>10000</v>
      </c>
      <c r="J556" s="56"/>
      <c r="K556" s="56"/>
    </row>
    <row r="557" spans="1:11" ht="43.5">
      <c r="A557" s="11">
        <v>54112</v>
      </c>
      <c r="B557" s="53" t="s">
        <v>718</v>
      </c>
      <c r="C557" s="13"/>
      <c r="D557" s="14" t="s">
        <v>18</v>
      </c>
      <c r="E557" s="14" t="s">
        <v>28</v>
      </c>
      <c r="F557" s="14" t="s">
        <v>27</v>
      </c>
      <c r="G557" s="50">
        <f>'Enero-18'!I556</f>
        <v>2000</v>
      </c>
      <c r="H557" s="51"/>
      <c r="I557" s="17">
        <f t="shared" si="11"/>
        <v>2000</v>
      </c>
      <c r="J557" s="56"/>
      <c r="K557" s="56"/>
    </row>
    <row r="558" spans="1:11" ht="29.25">
      <c r="A558" s="11">
        <v>54118</v>
      </c>
      <c r="B558" s="54" t="s">
        <v>719</v>
      </c>
      <c r="C558" s="13"/>
      <c r="D558" s="14" t="s">
        <v>18</v>
      </c>
      <c r="E558" s="14" t="s">
        <v>28</v>
      </c>
      <c r="F558" s="14" t="s">
        <v>27</v>
      </c>
      <c r="G558" s="50">
        <f>'Enero-18'!I557</f>
        <v>1000</v>
      </c>
      <c r="H558" s="51"/>
      <c r="I558" s="17">
        <f t="shared" si="11"/>
        <v>1000</v>
      </c>
      <c r="J558" s="56"/>
      <c r="K558" s="56"/>
    </row>
    <row r="559" spans="1:11" ht="44.25">
      <c r="A559" s="11">
        <v>54313</v>
      </c>
      <c r="B559" s="54" t="s">
        <v>720</v>
      </c>
      <c r="C559" s="13"/>
      <c r="D559" s="14" t="s">
        <v>18</v>
      </c>
      <c r="E559" s="14" t="s">
        <v>28</v>
      </c>
      <c r="F559" s="14" t="s">
        <v>27</v>
      </c>
      <c r="G559" s="50">
        <f>'Enero-18'!I558</f>
        <v>300</v>
      </c>
      <c r="H559" s="51"/>
      <c r="I559" s="17">
        <f t="shared" si="11"/>
        <v>300</v>
      </c>
      <c r="J559" s="56"/>
      <c r="K559" s="56"/>
    </row>
    <row r="560" spans="1:11" ht="44.25">
      <c r="A560" s="11">
        <v>54399</v>
      </c>
      <c r="B560" s="53" t="s">
        <v>721</v>
      </c>
      <c r="C560" s="13"/>
      <c r="D560" s="14" t="s">
        <v>18</v>
      </c>
      <c r="E560" s="14" t="s">
        <v>28</v>
      </c>
      <c r="F560" s="14" t="s">
        <v>27</v>
      </c>
      <c r="G560" s="50">
        <f>'Enero-18'!I559</f>
        <v>200</v>
      </c>
      <c r="H560" s="51"/>
      <c r="I560" s="17">
        <f t="shared" si="11"/>
        <v>200</v>
      </c>
      <c r="J560" s="56"/>
      <c r="K560" s="56"/>
    </row>
    <row r="561" spans="1:11" ht="29.25">
      <c r="A561" s="11">
        <v>55603</v>
      </c>
      <c r="B561" s="53" t="s">
        <v>722</v>
      </c>
      <c r="C561" s="13"/>
      <c r="D561" s="14" t="s">
        <v>18</v>
      </c>
      <c r="E561" s="14" t="s">
        <v>28</v>
      </c>
      <c r="F561" s="14" t="s">
        <v>27</v>
      </c>
      <c r="G561" s="50">
        <f>'Enero-18'!I560</f>
        <v>10</v>
      </c>
      <c r="H561" s="51"/>
      <c r="I561" s="17">
        <f t="shared" si="11"/>
        <v>10</v>
      </c>
      <c r="J561" s="56"/>
      <c r="K561" s="56"/>
    </row>
    <row r="562" spans="1:11" ht="89.25">
      <c r="A562" s="141" t="s">
        <v>418</v>
      </c>
      <c r="B562" s="53" t="s">
        <v>723</v>
      </c>
      <c r="C562" s="13"/>
      <c r="D562" s="14"/>
      <c r="E562" s="14"/>
      <c r="F562" s="14"/>
      <c r="G562" s="50">
        <f>'Enero-18'!I561</f>
        <v>0</v>
      </c>
      <c r="H562" s="51"/>
      <c r="I562" s="17"/>
      <c r="J562" s="56"/>
      <c r="K562" s="56"/>
    </row>
    <row r="563" spans="1:11" ht="29.25">
      <c r="A563" s="11">
        <v>51202</v>
      </c>
      <c r="B563" s="53" t="s">
        <v>724</v>
      </c>
      <c r="C563" s="13"/>
      <c r="D563" s="14" t="s">
        <v>18</v>
      </c>
      <c r="E563" s="14" t="s">
        <v>28</v>
      </c>
      <c r="F563" s="14" t="s">
        <v>27</v>
      </c>
      <c r="G563" s="50">
        <f>'Enero-18'!I562</f>
        <v>7000</v>
      </c>
      <c r="H563" s="51"/>
      <c r="I563" s="17">
        <f t="shared" si="11"/>
        <v>7000</v>
      </c>
      <c r="J563" s="56"/>
      <c r="K563" s="56"/>
    </row>
    <row r="564" spans="1:11" ht="29.25">
      <c r="A564" s="11">
        <v>54110</v>
      </c>
      <c r="B564" s="53" t="s">
        <v>725</v>
      </c>
      <c r="C564" s="13"/>
      <c r="D564" s="14" t="s">
        <v>18</v>
      </c>
      <c r="E564" s="14" t="s">
        <v>28</v>
      </c>
      <c r="F564" s="14" t="s">
        <v>27</v>
      </c>
      <c r="G564" s="50">
        <f>'Enero-18'!I563</f>
        <v>200</v>
      </c>
      <c r="H564" s="51"/>
      <c r="I564" s="17">
        <f t="shared" si="11"/>
        <v>200</v>
      </c>
      <c r="J564" s="56"/>
      <c r="K564" s="56"/>
    </row>
    <row r="565" spans="1:11" ht="29.25">
      <c r="A565" s="11">
        <v>54111</v>
      </c>
      <c r="B565" s="53" t="s">
        <v>726</v>
      </c>
      <c r="C565" s="13"/>
      <c r="D565" s="14" t="s">
        <v>18</v>
      </c>
      <c r="E565" s="14" t="s">
        <v>28</v>
      </c>
      <c r="F565" s="14" t="s">
        <v>27</v>
      </c>
      <c r="G565" s="50">
        <f>'Enero-18'!I564</f>
        <v>9290</v>
      </c>
      <c r="H565" s="51"/>
      <c r="I565" s="17">
        <f t="shared" si="11"/>
        <v>9290</v>
      </c>
      <c r="J565" s="56"/>
      <c r="K565" s="56"/>
    </row>
    <row r="566" spans="1:11" ht="29.25">
      <c r="A566" s="11">
        <v>54118</v>
      </c>
      <c r="B566" s="53" t="s">
        <v>727</v>
      </c>
      <c r="C566" s="13"/>
      <c r="D566" s="14" t="s">
        <v>18</v>
      </c>
      <c r="E566" s="14" t="s">
        <v>28</v>
      </c>
      <c r="F566" s="14" t="s">
        <v>27</v>
      </c>
      <c r="G566" s="50">
        <f>'Enero-18'!I565</f>
        <v>3000</v>
      </c>
      <c r="H566" s="51"/>
      <c r="I566" s="17">
        <f t="shared" si="11"/>
        <v>3000</v>
      </c>
      <c r="J566" s="56"/>
      <c r="K566" s="56"/>
    </row>
    <row r="567" spans="1:11" ht="29.25">
      <c r="A567" s="11">
        <v>54313</v>
      </c>
      <c r="B567" s="53" t="s">
        <v>728</v>
      </c>
      <c r="C567" s="13"/>
      <c r="D567" s="14" t="s">
        <v>18</v>
      </c>
      <c r="E567" s="14" t="s">
        <v>28</v>
      </c>
      <c r="F567" s="14" t="s">
        <v>27</v>
      </c>
      <c r="G567" s="50">
        <f>'Enero-18'!I566</f>
        <v>300</v>
      </c>
      <c r="H567" s="51"/>
      <c r="I567" s="17">
        <f t="shared" si="11"/>
        <v>300</v>
      </c>
      <c r="J567" s="56"/>
      <c r="K567" s="56"/>
    </row>
    <row r="568" spans="1:11" ht="30">
      <c r="A568" s="11">
        <v>54399</v>
      </c>
      <c r="B568" s="53" t="s">
        <v>729</v>
      </c>
      <c r="C568" s="13"/>
      <c r="D568" s="14" t="s">
        <v>18</v>
      </c>
      <c r="E568" s="14" t="s">
        <v>28</v>
      </c>
      <c r="F568" s="14" t="s">
        <v>27</v>
      </c>
      <c r="G568" s="50">
        <f>'Enero-18'!I567</f>
        <v>200</v>
      </c>
      <c r="H568" s="51"/>
      <c r="I568" s="17">
        <f t="shared" si="11"/>
        <v>200</v>
      </c>
      <c r="J568" s="56"/>
      <c r="K568" s="56"/>
    </row>
    <row r="569" spans="1:11" ht="29.25">
      <c r="A569" s="11">
        <v>55603</v>
      </c>
      <c r="B569" s="53" t="s">
        <v>730</v>
      </c>
      <c r="C569" s="13"/>
      <c r="D569" s="14" t="s">
        <v>18</v>
      </c>
      <c r="E569" s="14" t="s">
        <v>28</v>
      </c>
      <c r="F569" s="14" t="s">
        <v>27</v>
      </c>
      <c r="G569" s="50">
        <f>'Enero-18'!I568</f>
        <v>10</v>
      </c>
      <c r="H569" s="51"/>
      <c r="I569" s="17">
        <f t="shared" si="11"/>
        <v>10</v>
      </c>
      <c r="J569" s="56"/>
      <c r="K569" s="56"/>
    </row>
    <row r="570" spans="1:11" ht="90">
      <c r="A570" s="141" t="s">
        <v>429</v>
      </c>
      <c r="B570" s="53" t="s">
        <v>731</v>
      </c>
      <c r="C570" s="13"/>
      <c r="D570" s="14"/>
      <c r="E570" s="14"/>
      <c r="F570" s="14"/>
      <c r="G570" s="50"/>
      <c r="H570" s="51"/>
      <c r="I570" s="17"/>
      <c r="J570" s="56"/>
      <c r="K570" s="56"/>
    </row>
    <row r="571" spans="1:11">
      <c r="A571" s="11">
        <v>51202</v>
      </c>
      <c r="B571" s="53" t="s">
        <v>732</v>
      </c>
      <c r="C571" s="13"/>
      <c r="D571" s="14" t="s">
        <v>18</v>
      </c>
      <c r="E571" s="14" t="s">
        <v>28</v>
      </c>
      <c r="F571" s="14" t="s">
        <v>27</v>
      </c>
      <c r="G571" s="50">
        <f>'Enero-18'!I570</f>
        <v>12190</v>
      </c>
      <c r="H571" s="51"/>
      <c r="I571" s="17">
        <f t="shared" si="11"/>
        <v>12190</v>
      </c>
      <c r="J571" s="56"/>
      <c r="K571" s="56"/>
    </row>
    <row r="572" spans="1:11" ht="29.25">
      <c r="A572" s="11">
        <v>54110</v>
      </c>
      <c r="B572" s="53" t="s">
        <v>733</v>
      </c>
      <c r="C572" s="13"/>
      <c r="D572" s="14" t="s">
        <v>18</v>
      </c>
      <c r="E572" s="14" t="s">
        <v>28</v>
      </c>
      <c r="F572" s="14" t="s">
        <v>27</v>
      </c>
      <c r="G572" s="50">
        <f>'Enero-18'!I571</f>
        <v>300</v>
      </c>
      <c r="H572" s="51"/>
      <c r="I572" s="17">
        <f t="shared" si="11"/>
        <v>300</v>
      </c>
      <c r="J572" s="56"/>
      <c r="K572" s="56"/>
    </row>
    <row r="573" spans="1:11" ht="29.25">
      <c r="A573" s="11">
        <v>54111</v>
      </c>
      <c r="B573" s="53" t="s">
        <v>734</v>
      </c>
      <c r="C573" s="13"/>
      <c r="D573" s="14" t="s">
        <v>18</v>
      </c>
      <c r="E573" s="14" t="s">
        <v>28</v>
      </c>
      <c r="F573" s="14" t="s">
        <v>27</v>
      </c>
      <c r="G573" s="50">
        <f>'Enero-18'!I572</f>
        <v>15000</v>
      </c>
      <c r="H573" s="51"/>
      <c r="I573" s="17">
        <f t="shared" si="11"/>
        <v>15000</v>
      </c>
      <c r="J573" s="56"/>
      <c r="K573" s="56"/>
    </row>
    <row r="574" spans="1:11" ht="29.25">
      <c r="A574" s="11">
        <v>54112</v>
      </c>
      <c r="B574" s="53" t="s">
        <v>735</v>
      </c>
      <c r="C574" s="13"/>
      <c r="D574" s="14" t="s">
        <v>18</v>
      </c>
      <c r="E574" s="14" t="s">
        <v>28</v>
      </c>
      <c r="F574" s="14" t="s">
        <v>27</v>
      </c>
      <c r="G574" s="50">
        <f>'Enero-18'!I573</f>
        <v>8000</v>
      </c>
      <c r="H574" s="51"/>
      <c r="I574" s="17">
        <f t="shared" si="11"/>
        <v>8000</v>
      </c>
      <c r="J574" s="56"/>
      <c r="K574" s="56"/>
    </row>
    <row r="575" spans="1:11" ht="29.25">
      <c r="A575" s="11">
        <v>54118</v>
      </c>
      <c r="B575" s="53" t="s">
        <v>736</v>
      </c>
      <c r="C575" s="13"/>
      <c r="D575" s="14" t="s">
        <v>18</v>
      </c>
      <c r="E575" s="14" t="s">
        <v>28</v>
      </c>
      <c r="F575" s="14" t="s">
        <v>27</v>
      </c>
      <c r="G575" s="50">
        <f>'Enero-18'!I574</f>
        <v>7000</v>
      </c>
      <c r="H575" s="51"/>
      <c r="I575" s="17">
        <f t="shared" si="11"/>
        <v>7000</v>
      </c>
      <c r="J575" s="56"/>
      <c r="K575" s="56"/>
    </row>
    <row r="576" spans="1:11" ht="29.25">
      <c r="A576" s="11">
        <v>54304</v>
      </c>
      <c r="B576" s="53" t="s">
        <v>737</v>
      </c>
      <c r="C576" s="13"/>
      <c r="D576" s="14" t="s">
        <v>18</v>
      </c>
      <c r="E576" s="14" t="s">
        <v>28</v>
      </c>
      <c r="F576" s="14" t="s">
        <v>27</v>
      </c>
      <c r="G576" s="50">
        <f>'Enero-18'!I575</f>
        <v>2000</v>
      </c>
      <c r="H576" s="51"/>
      <c r="I576" s="17">
        <f t="shared" si="11"/>
        <v>2000</v>
      </c>
      <c r="J576" s="56"/>
      <c r="K576" s="56"/>
    </row>
    <row r="577" spans="1:11" ht="30">
      <c r="A577" s="11">
        <v>54313</v>
      </c>
      <c r="B577" s="53" t="s">
        <v>738</v>
      </c>
      <c r="C577" s="13"/>
      <c r="D577" s="14" t="s">
        <v>18</v>
      </c>
      <c r="E577" s="14" t="s">
        <v>28</v>
      </c>
      <c r="F577" s="14" t="s">
        <v>27</v>
      </c>
      <c r="G577" s="50">
        <f>'Enero-18'!I576</f>
        <v>300</v>
      </c>
      <c r="H577" s="51"/>
      <c r="I577" s="17">
        <f t="shared" si="11"/>
        <v>300</v>
      </c>
      <c r="J577" s="56"/>
      <c r="K577" s="56"/>
    </row>
    <row r="578" spans="1:11" ht="29.25">
      <c r="A578" s="11">
        <v>54399</v>
      </c>
      <c r="B578" s="53" t="s">
        <v>739</v>
      </c>
      <c r="C578" s="13"/>
      <c r="D578" s="14" t="s">
        <v>18</v>
      </c>
      <c r="E578" s="14" t="s">
        <v>28</v>
      </c>
      <c r="F578" s="14" t="s">
        <v>27</v>
      </c>
      <c r="G578" s="50">
        <f>'Enero-18'!I577</f>
        <v>200</v>
      </c>
      <c r="H578" s="51"/>
      <c r="I578" s="17">
        <f t="shared" si="11"/>
        <v>200</v>
      </c>
      <c r="J578" s="56"/>
      <c r="K578" s="56"/>
    </row>
    <row r="579" spans="1:11" ht="29.25">
      <c r="A579" s="11">
        <v>55603</v>
      </c>
      <c r="B579" s="53" t="s">
        <v>740</v>
      </c>
      <c r="C579" s="13"/>
      <c r="D579" s="14" t="s">
        <v>18</v>
      </c>
      <c r="E579" s="14" t="s">
        <v>28</v>
      </c>
      <c r="F579" s="14" t="s">
        <v>27</v>
      </c>
      <c r="G579" s="50">
        <f>'Enero-18'!I578</f>
        <v>10</v>
      </c>
      <c r="H579" s="51"/>
      <c r="I579" s="17">
        <f t="shared" si="11"/>
        <v>10</v>
      </c>
      <c r="J579" s="56"/>
      <c r="K579" s="56"/>
    </row>
    <row r="580" spans="1:11" ht="75">
      <c r="A580" s="144" t="s">
        <v>437</v>
      </c>
      <c r="B580" s="53" t="s">
        <v>742</v>
      </c>
      <c r="C580" s="13"/>
      <c r="D580" s="14"/>
      <c r="E580" s="14"/>
      <c r="F580" s="14"/>
      <c r="G580" s="50"/>
      <c r="H580" s="51"/>
      <c r="I580" s="17"/>
      <c r="J580" s="56"/>
      <c r="K580" s="56"/>
    </row>
    <row r="581" spans="1:11" ht="29.25">
      <c r="A581" s="11">
        <v>51202</v>
      </c>
      <c r="B581" s="53" t="s">
        <v>743</v>
      </c>
      <c r="C581" s="13"/>
      <c r="D581" s="14" t="s">
        <v>18</v>
      </c>
      <c r="E581" s="14" t="s">
        <v>28</v>
      </c>
      <c r="F581" s="14" t="s">
        <v>27</v>
      </c>
      <c r="G581" s="50">
        <f>'Enero-18'!I580</f>
        <v>7000</v>
      </c>
      <c r="H581" s="51"/>
      <c r="I581" s="17">
        <f t="shared" si="11"/>
        <v>7000</v>
      </c>
      <c r="J581" s="56"/>
      <c r="K581" s="56"/>
    </row>
    <row r="582" spans="1:11" ht="29.25">
      <c r="A582" s="11">
        <v>54110</v>
      </c>
      <c r="B582" s="53" t="s">
        <v>744</v>
      </c>
      <c r="C582" s="13"/>
      <c r="D582" s="14" t="s">
        <v>18</v>
      </c>
      <c r="E582" s="14" t="s">
        <v>28</v>
      </c>
      <c r="F582" s="14" t="s">
        <v>27</v>
      </c>
      <c r="G582" s="50">
        <f>'Enero-18'!I581</f>
        <v>200</v>
      </c>
      <c r="H582" s="51"/>
      <c r="I582" s="17">
        <f t="shared" si="11"/>
        <v>200</v>
      </c>
      <c r="J582" s="56"/>
      <c r="K582" s="56"/>
    </row>
    <row r="583" spans="1:11" ht="43.5">
      <c r="A583" s="11">
        <v>54111</v>
      </c>
      <c r="B583" s="53" t="s">
        <v>745</v>
      </c>
      <c r="C583" s="13"/>
      <c r="D583" s="14" t="s">
        <v>18</v>
      </c>
      <c r="E583" s="14" t="s">
        <v>28</v>
      </c>
      <c r="F583" s="14" t="s">
        <v>27</v>
      </c>
      <c r="G583" s="50">
        <f>'Enero-18'!I582</f>
        <v>9290</v>
      </c>
      <c r="H583" s="51"/>
      <c r="I583" s="17">
        <f t="shared" si="11"/>
        <v>9290</v>
      </c>
      <c r="J583" s="56"/>
      <c r="K583" s="56"/>
    </row>
    <row r="584" spans="1:11" ht="43.5">
      <c r="A584" s="11">
        <v>54118</v>
      </c>
      <c r="B584" s="53" t="s">
        <v>746</v>
      </c>
      <c r="C584" s="13"/>
      <c r="D584" s="14" t="s">
        <v>18</v>
      </c>
      <c r="E584" s="14" t="s">
        <v>28</v>
      </c>
      <c r="F584" s="14" t="s">
        <v>27</v>
      </c>
      <c r="G584" s="50">
        <f>'Enero-18'!I583</f>
        <v>3000</v>
      </c>
      <c r="H584" s="51"/>
      <c r="I584" s="17">
        <f t="shared" si="11"/>
        <v>3000</v>
      </c>
      <c r="J584" s="56"/>
      <c r="K584" s="56"/>
    </row>
    <row r="585" spans="1:11" ht="43.5">
      <c r="A585" s="11">
        <v>54313</v>
      </c>
      <c r="B585" s="53" t="s">
        <v>747</v>
      </c>
      <c r="C585" s="13"/>
      <c r="D585" s="14" t="s">
        <v>18</v>
      </c>
      <c r="E585" s="14" t="s">
        <v>28</v>
      </c>
      <c r="F585" s="14" t="s">
        <v>27</v>
      </c>
      <c r="G585" s="50">
        <f>'Enero-18'!I584</f>
        <v>300</v>
      </c>
      <c r="H585" s="51"/>
      <c r="I585" s="17">
        <f t="shared" si="11"/>
        <v>300</v>
      </c>
      <c r="J585" s="56"/>
      <c r="K585" s="56"/>
    </row>
    <row r="586" spans="1:11" ht="44.25">
      <c r="A586" s="11">
        <v>54399</v>
      </c>
      <c r="B586" s="53" t="s">
        <v>748</v>
      </c>
      <c r="C586" s="13"/>
      <c r="D586" s="14" t="s">
        <v>18</v>
      </c>
      <c r="E586" s="14" t="s">
        <v>28</v>
      </c>
      <c r="F586" s="14" t="s">
        <v>27</v>
      </c>
      <c r="G586" s="50">
        <f>'Enero-18'!I585</f>
        <v>200</v>
      </c>
      <c r="H586" s="51"/>
      <c r="I586" s="17">
        <f t="shared" si="11"/>
        <v>200</v>
      </c>
      <c r="J586" s="56"/>
      <c r="K586" s="56"/>
    </row>
    <row r="587" spans="1:11" ht="29.25">
      <c r="A587" s="11">
        <v>55603</v>
      </c>
      <c r="B587" s="53" t="s">
        <v>749</v>
      </c>
      <c r="C587" s="13"/>
      <c r="D587" s="14" t="s">
        <v>18</v>
      </c>
      <c r="E587" s="14" t="s">
        <v>28</v>
      </c>
      <c r="F587" s="14" t="s">
        <v>27</v>
      </c>
      <c r="G587" s="50">
        <f>'Enero-18'!I586</f>
        <v>10</v>
      </c>
      <c r="H587" s="51"/>
      <c r="I587" s="17">
        <f t="shared" si="11"/>
        <v>10</v>
      </c>
      <c r="J587" s="56"/>
      <c r="K587" s="56"/>
    </row>
    <row r="588" spans="1:11">
      <c r="A588" s="11"/>
      <c r="B588" s="54"/>
      <c r="C588" s="13"/>
      <c r="D588" s="14"/>
      <c r="E588" s="14"/>
      <c r="F588" s="14"/>
      <c r="G588" s="50">
        <f>'Enero-18'!I587</f>
        <v>0</v>
      </c>
      <c r="H588" s="51"/>
      <c r="I588" s="17"/>
      <c r="J588" s="56"/>
      <c r="K588" s="56"/>
    </row>
    <row r="589" spans="1:11" ht="60">
      <c r="A589" s="141" t="s">
        <v>443</v>
      </c>
      <c r="B589" s="53" t="s">
        <v>750</v>
      </c>
      <c r="C589" s="13"/>
      <c r="D589" s="14"/>
      <c r="E589" s="14"/>
      <c r="F589" s="14"/>
      <c r="G589" s="50"/>
      <c r="H589" s="51"/>
      <c r="I589" s="17"/>
      <c r="J589" s="56"/>
      <c r="K589" s="56"/>
    </row>
    <row r="590" spans="1:11" ht="29.25">
      <c r="A590" s="11">
        <v>51202</v>
      </c>
      <c r="B590" s="53" t="s">
        <v>741</v>
      </c>
      <c r="C590" s="13"/>
      <c r="D590" s="14" t="s">
        <v>18</v>
      </c>
      <c r="E590" s="14" t="s">
        <v>28</v>
      </c>
      <c r="F590" s="14" t="s">
        <v>27</v>
      </c>
      <c r="G590" s="50">
        <f>'Enero-18'!I589</f>
        <v>3000</v>
      </c>
      <c r="H590" s="51"/>
      <c r="I590" s="17">
        <f t="shared" ref="I590:I656" si="12">G590-H590+J590-K590</f>
        <v>3000</v>
      </c>
      <c r="J590" s="56"/>
      <c r="K590" s="56"/>
    </row>
    <row r="591" spans="1:11" ht="29.25">
      <c r="A591" s="11">
        <v>54110</v>
      </c>
      <c r="B591" s="53" t="s">
        <v>751</v>
      </c>
      <c r="C591" s="13"/>
      <c r="D591" s="14" t="s">
        <v>18</v>
      </c>
      <c r="E591" s="14" t="s">
        <v>28</v>
      </c>
      <c r="F591" s="14" t="s">
        <v>27</v>
      </c>
      <c r="G591" s="50">
        <f>'Enero-18'!I590</f>
        <v>100</v>
      </c>
      <c r="H591" s="51"/>
      <c r="I591" s="17">
        <f t="shared" si="12"/>
        <v>100</v>
      </c>
      <c r="J591" s="56"/>
      <c r="K591" s="56"/>
    </row>
    <row r="592" spans="1:11" ht="43.5">
      <c r="A592" s="11">
        <v>54111</v>
      </c>
      <c r="B592" s="53" t="s">
        <v>752</v>
      </c>
      <c r="C592" s="13"/>
      <c r="D592" s="14" t="s">
        <v>18</v>
      </c>
      <c r="E592" s="14" t="s">
        <v>28</v>
      </c>
      <c r="F592" s="14" t="s">
        <v>27</v>
      </c>
      <c r="G592" s="50">
        <f>'Enero-18'!I591</f>
        <v>2000</v>
      </c>
      <c r="H592" s="51"/>
      <c r="I592" s="17">
        <f t="shared" si="12"/>
        <v>2000</v>
      </c>
      <c r="J592" s="56"/>
      <c r="K592" s="56"/>
    </row>
    <row r="593" spans="1:11" ht="29.25">
      <c r="A593" s="11">
        <v>54118</v>
      </c>
      <c r="B593" s="53" t="s">
        <v>753</v>
      </c>
      <c r="C593" s="13"/>
      <c r="D593" s="14" t="s">
        <v>18</v>
      </c>
      <c r="E593" s="14" t="s">
        <v>28</v>
      </c>
      <c r="F593" s="14" t="s">
        <v>27</v>
      </c>
      <c r="G593" s="50">
        <f>'Enero-18'!I592</f>
        <v>290</v>
      </c>
      <c r="H593" s="51"/>
      <c r="I593" s="17">
        <f t="shared" si="12"/>
        <v>290</v>
      </c>
      <c r="J593" s="56"/>
      <c r="K593" s="56"/>
    </row>
    <row r="594" spans="1:11" ht="29.25">
      <c r="A594" s="11">
        <v>54304</v>
      </c>
      <c r="B594" s="53" t="s">
        <v>754</v>
      </c>
      <c r="C594" s="13"/>
      <c r="D594" s="14" t="s">
        <v>18</v>
      </c>
      <c r="E594" s="14" t="s">
        <v>28</v>
      </c>
      <c r="F594" s="14" t="s">
        <v>27</v>
      </c>
      <c r="G594" s="50">
        <f>'Enero-18'!I593</f>
        <v>100</v>
      </c>
      <c r="H594" s="51"/>
      <c r="I594" s="17">
        <f t="shared" si="12"/>
        <v>100</v>
      </c>
      <c r="J594" s="56"/>
      <c r="K594" s="56"/>
    </row>
    <row r="595" spans="1:11" ht="29.25">
      <c r="A595" s="11">
        <v>54313</v>
      </c>
      <c r="B595" s="53" t="s">
        <v>755</v>
      </c>
      <c r="C595" s="13"/>
      <c r="D595" s="14" t="s">
        <v>18</v>
      </c>
      <c r="E595" s="14" t="s">
        <v>28</v>
      </c>
      <c r="F595" s="14" t="s">
        <v>27</v>
      </c>
      <c r="G595" s="50">
        <f>'Enero-18'!I594</f>
        <v>300</v>
      </c>
      <c r="H595" s="17"/>
      <c r="I595" s="17">
        <f t="shared" si="12"/>
        <v>300</v>
      </c>
      <c r="J595" s="56"/>
      <c r="K595" s="56"/>
    </row>
    <row r="596" spans="1:11" ht="43.5">
      <c r="A596" s="11">
        <v>54399</v>
      </c>
      <c r="B596" s="53" t="s">
        <v>756</v>
      </c>
      <c r="C596" s="13"/>
      <c r="D596" s="14" t="s">
        <v>18</v>
      </c>
      <c r="E596" s="14" t="s">
        <v>28</v>
      </c>
      <c r="F596" s="14" t="s">
        <v>27</v>
      </c>
      <c r="G596" s="50">
        <f>'Enero-18'!I595</f>
        <v>200</v>
      </c>
      <c r="H596" s="51"/>
      <c r="I596" s="17">
        <f t="shared" si="12"/>
        <v>200</v>
      </c>
      <c r="J596" s="56"/>
      <c r="K596" s="56"/>
    </row>
    <row r="597" spans="1:11" ht="29.25">
      <c r="A597" s="11">
        <v>55603</v>
      </c>
      <c r="B597" s="53" t="s">
        <v>757</v>
      </c>
      <c r="C597" s="13"/>
      <c r="D597" s="14" t="s">
        <v>18</v>
      </c>
      <c r="E597" s="14" t="s">
        <v>28</v>
      </c>
      <c r="F597" s="14" t="s">
        <v>27</v>
      </c>
      <c r="G597" s="50">
        <f>'Enero-18'!I596</f>
        <v>10</v>
      </c>
      <c r="H597" s="51"/>
      <c r="I597" s="17">
        <f t="shared" si="12"/>
        <v>10</v>
      </c>
      <c r="J597" s="56"/>
      <c r="K597" s="56"/>
    </row>
    <row r="598" spans="1:11" ht="60">
      <c r="A598" s="141" t="s">
        <v>451</v>
      </c>
      <c r="B598" s="53" t="s">
        <v>758</v>
      </c>
      <c r="C598" s="13"/>
      <c r="D598" s="14"/>
      <c r="E598" s="14"/>
      <c r="F598" s="14"/>
      <c r="G598" s="50"/>
      <c r="H598" s="51"/>
      <c r="I598" s="17"/>
      <c r="J598" s="56"/>
      <c r="K598" s="56"/>
    </row>
    <row r="599" spans="1:11" ht="29.25">
      <c r="A599" s="11">
        <v>51202</v>
      </c>
      <c r="B599" s="54" t="s">
        <v>759</v>
      </c>
      <c r="C599" s="13"/>
      <c r="D599" s="14" t="s">
        <v>18</v>
      </c>
      <c r="E599" s="14" t="s">
        <v>28</v>
      </c>
      <c r="F599" s="14" t="s">
        <v>27</v>
      </c>
      <c r="G599" s="50">
        <f>'Enero-18'!I598</f>
        <v>5000</v>
      </c>
      <c r="H599" s="51"/>
      <c r="I599" s="17">
        <f t="shared" si="12"/>
        <v>5000</v>
      </c>
      <c r="J599" s="56"/>
      <c r="K599" s="56"/>
    </row>
    <row r="600" spans="1:11" ht="29.25">
      <c r="A600" s="11">
        <v>54110</v>
      </c>
      <c r="B600" s="54" t="s">
        <v>760</v>
      </c>
      <c r="C600" s="13"/>
      <c r="D600" s="14" t="s">
        <v>18</v>
      </c>
      <c r="E600" s="14" t="s">
        <v>28</v>
      </c>
      <c r="F600" s="14" t="s">
        <v>27</v>
      </c>
      <c r="G600" s="50">
        <f>'Enero-18'!I599</f>
        <v>200</v>
      </c>
      <c r="H600" s="51"/>
      <c r="I600" s="17">
        <f t="shared" si="12"/>
        <v>200</v>
      </c>
      <c r="J600" s="56"/>
      <c r="K600" s="56"/>
    </row>
    <row r="601" spans="1:11" ht="41.25" customHeight="1">
      <c r="A601" s="11">
        <v>54111</v>
      </c>
      <c r="B601" s="54" t="s">
        <v>761</v>
      </c>
      <c r="C601" s="13"/>
      <c r="D601" s="14" t="s">
        <v>18</v>
      </c>
      <c r="E601" s="14" t="s">
        <v>28</v>
      </c>
      <c r="F601" s="14" t="s">
        <v>27</v>
      </c>
      <c r="G601" s="50">
        <f>'Enero-18'!I600</f>
        <v>7290</v>
      </c>
      <c r="H601" s="51"/>
      <c r="I601" s="17">
        <f t="shared" si="12"/>
        <v>7290</v>
      </c>
      <c r="J601" s="56"/>
      <c r="K601" s="56"/>
    </row>
    <row r="602" spans="1:11" ht="29.25">
      <c r="A602" s="11">
        <v>54118</v>
      </c>
      <c r="B602" s="54" t="s">
        <v>762</v>
      </c>
      <c r="C602" s="13"/>
      <c r="D602" s="14" t="s">
        <v>18</v>
      </c>
      <c r="E602" s="14" t="s">
        <v>28</v>
      </c>
      <c r="F602" s="14" t="s">
        <v>27</v>
      </c>
      <c r="G602" s="50">
        <f>'Enero-18'!I601</f>
        <v>2000</v>
      </c>
      <c r="H602" s="51"/>
      <c r="I602" s="17">
        <f t="shared" si="12"/>
        <v>2000</v>
      </c>
      <c r="J602" s="56"/>
      <c r="K602" s="56"/>
    </row>
    <row r="603" spans="1:11" ht="29.25">
      <c r="A603" s="11">
        <v>54313</v>
      </c>
      <c r="B603" s="54" t="s">
        <v>763</v>
      </c>
      <c r="C603" s="13"/>
      <c r="D603" s="14" t="s">
        <v>18</v>
      </c>
      <c r="E603" s="14" t="s">
        <v>28</v>
      </c>
      <c r="F603" s="14" t="s">
        <v>27</v>
      </c>
      <c r="G603" s="50">
        <f>'Enero-18'!I602</f>
        <v>300</v>
      </c>
      <c r="H603" s="51"/>
      <c r="I603" s="17">
        <f t="shared" si="12"/>
        <v>300</v>
      </c>
      <c r="J603" s="56"/>
      <c r="K603" s="56"/>
    </row>
    <row r="604" spans="1:11" ht="44.25">
      <c r="A604" s="11">
        <v>54399</v>
      </c>
      <c r="B604" s="54" t="s">
        <v>764</v>
      </c>
      <c r="C604" s="13"/>
      <c r="D604" s="14" t="s">
        <v>18</v>
      </c>
      <c r="E604" s="14" t="s">
        <v>28</v>
      </c>
      <c r="F604" s="14" t="s">
        <v>27</v>
      </c>
      <c r="G604" s="50">
        <f>'Enero-18'!I603</f>
        <v>200</v>
      </c>
      <c r="H604" s="51"/>
      <c r="I604" s="17">
        <f t="shared" si="12"/>
        <v>200</v>
      </c>
      <c r="J604" s="56"/>
      <c r="K604" s="56"/>
    </row>
    <row r="605" spans="1:11" ht="29.25">
      <c r="A605" s="11">
        <v>55603</v>
      </c>
      <c r="B605" s="54" t="s">
        <v>765</v>
      </c>
      <c r="C605" s="13"/>
      <c r="D605" s="14" t="s">
        <v>18</v>
      </c>
      <c r="E605" s="14" t="s">
        <v>28</v>
      </c>
      <c r="F605" s="14" t="s">
        <v>27</v>
      </c>
      <c r="G605" s="50">
        <f>'Enero-18'!I604</f>
        <v>10</v>
      </c>
      <c r="H605" s="51"/>
      <c r="I605" s="17">
        <f t="shared" si="12"/>
        <v>10</v>
      </c>
      <c r="J605" s="56"/>
      <c r="K605" s="56"/>
    </row>
    <row r="606" spans="1:11" ht="66.75" customHeight="1">
      <c r="A606" s="141" t="s">
        <v>459</v>
      </c>
      <c r="B606" s="53" t="s">
        <v>766</v>
      </c>
      <c r="C606" s="13"/>
      <c r="D606" s="14"/>
      <c r="E606" s="14"/>
      <c r="F606" s="14"/>
      <c r="G606" s="50"/>
      <c r="H606" s="51"/>
      <c r="I606" s="17"/>
      <c r="J606" s="56"/>
      <c r="K606" s="56"/>
    </row>
    <row r="607" spans="1:11" ht="29.25">
      <c r="A607" s="11">
        <v>51202</v>
      </c>
      <c r="B607" s="54" t="s">
        <v>767</v>
      </c>
      <c r="C607" s="13"/>
      <c r="D607" s="14" t="s">
        <v>18</v>
      </c>
      <c r="E607" s="14" t="s">
        <v>28</v>
      </c>
      <c r="F607" s="14" t="s">
        <v>27</v>
      </c>
      <c r="G607" s="50">
        <f>'Enero-18'!I606</f>
        <v>5000</v>
      </c>
      <c r="H607" s="51"/>
      <c r="I607" s="17">
        <f t="shared" si="12"/>
        <v>5000</v>
      </c>
      <c r="J607" s="56"/>
      <c r="K607" s="56"/>
    </row>
    <row r="608" spans="1:11" ht="29.25">
      <c r="A608" s="11">
        <v>54110</v>
      </c>
      <c r="B608" s="54" t="s">
        <v>768</v>
      </c>
      <c r="C608" s="13"/>
      <c r="D608" s="14" t="s">
        <v>18</v>
      </c>
      <c r="E608" s="14" t="s">
        <v>28</v>
      </c>
      <c r="F608" s="14" t="s">
        <v>27</v>
      </c>
      <c r="G608" s="50">
        <f>'Enero-18'!I607</f>
        <v>200</v>
      </c>
      <c r="H608" s="51"/>
      <c r="I608" s="17">
        <f t="shared" si="12"/>
        <v>200</v>
      </c>
      <c r="J608" s="56"/>
      <c r="K608" s="56"/>
    </row>
    <row r="609" spans="1:11" ht="43.5">
      <c r="A609" s="11">
        <v>54111</v>
      </c>
      <c r="B609" s="54" t="s">
        <v>769</v>
      </c>
      <c r="C609" s="13"/>
      <c r="D609" s="14" t="s">
        <v>18</v>
      </c>
      <c r="E609" s="14" t="s">
        <v>28</v>
      </c>
      <c r="F609" s="14" t="s">
        <v>27</v>
      </c>
      <c r="G609" s="50">
        <f>'Enero-18'!I608</f>
        <v>7290</v>
      </c>
      <c r="H609" s="51"/>
      <c r="I609" s="17">
        <f t="shared" si="12"/>
        <v>7290</v>
      </c>
      <c r="J609" s="56"/>
      <c r="K609" s="56"/>
    </row>
    <row r="610" spans="1:11" ht="43.5">
      <c r="A610" s="11">
        <v>54118</v>
      </c>
      <c r="B610" s="54" t="s">
        <v>770</v>
      </c>
      <c r="C610" s="13"/>
      <c r="D610" s="14" t="s">
        <v>18</v>
      </c>
      <c r="E610" s="14" t="s">
        <v>28</v>
      </c>
      <c r="F610" s="14" t="s">
        <v>27</v>
      </c>
      <c r="G610" s="50">
        <f>'Enero-18'!I609</f>
        <v>2000</v>
      </c>
      <c r="H610" s="51"/>
      <c r="I610" s="17">
        <f t="shared" si="12"/>
        <v>2000</v>
      </c>
      <c r="J610" s="56"/>
      <c r="K610" s="56"/>
    </row>
    <row r="611" spans="1:11" ht="44.25">
      <c r="A611" s="11">
        <v>54313</v>
      </c>
      <c r="B611" s="54" t="s">
        <v>771</v>
      </c>
      <c r="C611" s="13"/>
      <c r="D611" s="14" t="s">
        <v>18</v>
      </c>
      <c r="E611" s="14" t="s">
        <v>28</v>
      </c>
      <c r="F611" s="14" t="s">
        <v>27</v>
      </c>
      <c r="G611" s="50">
        <f>'Enero-18'!I610</f>
        <v>300</v>
      </c>
      <c r="H611" s="51"/>
      <c r="I611" s="17">
        <f t="shared" si="12"/>
        <v>300</v>
      </c>
      <c r="J611" s="56"/>
      <c r="K611" s="56"/>
    </row>
    <row r="612" spans="1:11" ht="43.5">
      <c r="A612" s="11">
        <v>54399</v>
      </c>
      <c r="B612" s="54" t="s">
        <v>772</v>
      </c>
      <c r="C612" s="13"/>
      <c r="D612" s="14" t="s">
        <v>18</v>
      </c>
      <c r="E612" s="14" t="s">
        <v>28</v>
      </c>
      <c r="F612" s="14" t="s">
        <v>27</v>
      </c>
      <c r="G612" s="50">
        <f>'Enero-18'!I611</f>
        <v>200</v>
      </c>
      <c r="H612" s="51"/>
      <c r="I612" s="17">
        <f t="shared" si="12"/>
        <v>200</v>
      </c>
      <c r="J612" s="56"/>
      <c r="K612" s="56"/>
    </row>
    <row r="613" spans="1:11" ht="43.5">
      <c r="A613" s="11">
        <v>55603</v>
      </c>
      <c r="B613" s="54" t="s">
        <v>773</v>
      </c>
      <c r="C613" s="13"/>
      <c r="D613" s="14" t="s">
        <v>18</v>
      </c>
      <c r="E613" s="14" t="s">
        <v>28</v>
      </c>
      <c r="F613" s="14" t="s">
        <v>27</v>
      </c>
      <c r="G613" s="50">
        <f>'Enero-18'!I612</f>
        <v>10</v>
      </c>
      <c r="H613" s="51"/>
      <c r="I613" s="17">
        <f t="shared" si="12"/>
        <v>10</v>
      </c>
      <c r="J613" s="56"/>
      <c r="K613" s="56"/>
    </row>
    <row r="614" spans="1:11" ht="74.25">
      <c r="A614" s="11" t="s">
        <v>461</v>
      </c>
      <c r="B614" s="53" t="s">
        <v>774</v>
      </c>
      <c r="C614" s="13"/>
      <c r="D614" s="14"/>
      <c r="E614" s="14"/>
      <c r="F614" s="14"/>
      <c r="G614" s="50">
        <f>'Enero-18'!I613</f>
        <v>0</v>
      </c>
      <c r="H614" s="51"/>
      <c r="I614" s="17"/>
      <c r="J614" s="56"/>
      <c r="K614" s="56"/>
    </row>
    <row r="615" spans="1:11" ht="29.25">
      <c r="A615" s="11">
        <v>51202</v>
      </c>
      <c r="B615" s="54" t="s">
        <v>775</v>
      </c>
      <c r="C615" s="13"/>
      <c r="D615" s="14" t="s">
        <v>18</v>
      </c>
      <c r="E615" s="14" t="s">
        <v>28</v>
      </c>
      <c r="F615" s="14" t="s">
        <v>27</v>
      </c>
      <c r="G615" s="50">
        <f>'Enero-18'!I614</f>
        <v>7000</v>
      </c>
      <c r="H615" s="51"/>
      <c r="I615" s="17">
        <f t="shared" si="12"/>
        <v>7000</v>
      </c>
      <c r="J615" s="56"/>
      <c r="K615" s="56"/>
    </row>
    <row r="616" spans="1:11" ht="29.25">
      <c r="A616" s="11">
        <v>54110</v>
      </c>
      <c r="B616" s="54" t="s">
        <v>776</v>
      </c>
      <c r="C616" s="13"/>
      <c r="D616" s="14" t="s">
        <v>18</v>
      </c>
      <c r="E616" s="14" t="s">
        <v>28</v>
      </c>
      <c r="F616" s="14" t="s">
        <v>27</v>
      </c>
      <c r="G616" s="50">
        <f>'Enero-18'!I615</f>
        <v>200</v>
      </c>
      <c r="H616" s="51"/>
      <c r="I616" s="17">
        <f t="shared" si="12"/>
        <v>200</v>
      </c>
      <c r="J616" s="56"/>
      <c r="K616" s="56"/>
    </row>
    <row r="617" spans="1:11" ht="44.25">
      <c r="A617" s="11">
        <v>54111</v>
      </c>
      <c r="B617" s="54" t="s">
        <v>777</v>
      </c>
      <c r="C617" s="13"/>
      <c r="D617" s="14" t="s">
        <v>18</v>
      </c>
      <c r="E617" s="14" t="s">
        <v>28</v>
      </c>
      <c r="F617" s="14" t="s">
        <v>27</v>
      </c>
      <c r="G617" s="50">
        <f>'Enero-18'!I616</f>
        <v>9290</v>
      </c>
      <c r="H617" s="51"/>
      <c r="I617" s="17">
        <f t="shared" si="12"/>
        <v>9290</v>
      </c>
      <c r="J617" s="56"/>
      <c r="K617" s="56"/>
    </row>
    <row r="618" spans="1:11" ht="43.5">
      <c r="A618" s="11">
        <v>54118</v>
      </c>
      <c r="B618" s="54" t="s">
        <v>778</v>
      </c>
      <c r="C618" s="13"/>
      <c r="D618" s="14" t="s">
        <v>18</v>
      </c>
      <c r="E618" s="14" t="s">
        <v>28</v>
      </c>
      <c r="F618" s="14" t="s">
        <v>27</v>
      </c>
      <c r="G618" s="50">
        <f>'Enero-18'!I617</f>
        <v>3000</v>
      </c>
      <c r="H618" s="51"/>
      <c r="I618" s="17">
        <f t="shared" si="12"/>
        <v>3000</v>
      </c>
      <c r="J618" s="56"/>
      <c r="K618" s="56"/>
    </row>
    <row r="619" spans="1:11" ht="43.5">
      <c r="A619" s="11">
        <v>54313</v>
      </c>
      <c r="B619" s="54" t="s">
        <v>779</v>
      </c>
      <c r="C619" s="13"/>
      <c r="D619" s="14" t="s">
        <v>18</v>
      </c>
      <c r="E619" s="14" t="s">
        <v>28</v>
      </c>
      <c r="F619" s="14" t="s">
        <v>27</v>
      </c>
      <c r="G619" s="50">
        <f>'Enero-18'!I618</f>
        <v>300</v>
      </c>
      <c r="H619" s="51"/>
      <c r="I619" s="17">
        <f t="shared" si="12"/>
        <v>300</v>
      </c>
      <c r="J619" s="56"/>
      <c r="K619" s="56"/>
    </row>
    <row r="620" spans="1:11" ht="43.5">
      <c r="A620" s="11">
        <v>54399</v>
      </c>
      <c r="B620" s="54" t="s">
        <v>780</v>
      </c>
      <c r="C620" s="13"/>
      <c r="D620" s="14" t="s">
        <v>18</v>
      </c>
      <c r="E620" s="14" t="s">
        <v>28</v>
      </c>
      <c r="F620" s="14" t="s">
        <v>27</v>
      </c>
      <c r="G620" s="50">
        <f>'Enero-18'!I619</f>
        <v>200</v>
      </c>
      <c r="H620" s="51"/>
      <c r="I620" s="17">
        <f t="shared" si="12"/>
        <v>200</v>
      </c>
      <c r="J620" s="56"/>
      <c r="K620" s="56"/>
    </row>
    <row r="621" spans="1:11" ht="43.5">
      <c r="A621" s="11">
        <v>55603</v>
      </c>
      <c r="B621" s="54" t="s">
        <v>781</v>
      </c>
      <c r="C621" s="13"/>
      <c r="D621" s="14" t="s">
        <v>18</v>
      </c>
      <c r="E621" s="14" t="s">
        <v>28</v>
      </c>
      <c r="F621" s="14" t="s">
        <v>27</v>
      </c>
      <c r="G621" s="50">
        <f>'Enero-18'!I620</f>
        <v>10</v>
      </c>
      <c r="H621" s="51"/>
      <c r="I621" s="17">
        <f t="shared" si="12"/>
        <v>10</v>
      </c>
      <c r="J621" s="56"/>
      <c r="K621" s="56"/>
    </row>
    <row r="622" spans="1:11" ht="89.25">
      <c r="A622" s="141" t="s">
        <v>468</v>
      </c>
      <c r="B622" s="53" t="s">
        <v>782</v>
      </c>
      <c r="C622" s="13"/>
      <c r="D622" s="14"/>
      <c r="E622" s="14"/>
      <c r="F622" s="14"/>
      <c r="G622" s="50"/>
      <c r="H622" s="51"/>
      <c r="I622" s="17"/>
      <c r="J622" s="56"/>
      <c r="K622" s="56"/>
    </row>
    <row r="623" spans="1:11" ht="29.25">
      <c r="A623" s="11">
        <v>51202</v>
      </c>
      <c r="B623" s="54" t="s">
        <v>783</v>
      </c>
      <c r="C623" s="13"/>
      <c r="D623" s="14" t="s">
        <v>18</v>
      </c>
      <c r="E623" s="14" t="s">
        <v>28</v>
      </c>
      <c r="F623" s="14" t="s">
        <v>27</v>
      </c>
      <c r="G623" s="50">
        <f>'Enero-18'!I622</f>
        <v>7000</v>
      </c>
      <c r="H623" s="51"/>
      <c r="I623" s="17">
        <f t="shared" si="12"/>
        <v>7000</v>
      </c>
      <c r="J623" s="56"/>
      <c r="K623" s="56"/>
    </row>
    <row r="624" spans="1:11" ht="43.5">
      <c r="A624" s="11">
        <v>54110</v>
      </c>
      <c r="B624" s="54" t="s">
        <v>784</v>
      </c>
      <c r="C624" s="13"/>
      <c r="D624" s="14" t="s">
        <v>18</v>
      </c>
      <c r="E624" s="14" t="s">
        <v>28</v>
      </c>
      <c r="F624" s="14" t="s">
        <v>27</v>
      </c>
      <c r="G624" s="50">
        <f>'Enero-18'!I623</f>
        <v>200</v>
      </c>
      <c r="H624" s="51"/>
      <c r="I624" s="17">
        <f t="shared" si="12"/>
        <v>200</v>
      </c>
      <c r="J624" s="56"/>
      <c r="K624" s="56"/>
    </row>
    <row r="625" spans="1:11" ht="44.25">
      <c r="A625" s="11">
        <v>54111</v>
      </c>
      <c r="B625" s="53" t="s">
        <v>785</v>
      </c>
      <c r="C625" s="13"/>
      <c r="D625" s="14" t="s">
        <v>18</v>
      </c>
      <c r="E625" s="14" t="s">
        <v>28</v>
      </c>
      <c r="F625" s="14" t="s">
        <v>27</v>
      </c>
      <c r="G625" s="50">
        <f>'Enero-18'!I624</f>
        <v>9290</v>
      </c>
      <c r="H625" s="51"/>
      <c r="I625" s="17">
        <f t="shared" si="12"/>
        <v>9290</v>
      </c>
      <c r="J625" s="56"/>
      <c r="K625" s="56"/>
    </row>
    <row r="626" spans="1:11" ht="43.5">
      <c r="A626" s="11">
        <v>54118</v>
      </c>
      <c r="B626" s="54" t="s">
        <v>786</v>
      </c>
      <c r="C626" s="13"/>
      <c r="D626" s="14" t="s">
        <v>18</v>
      </c>
      <c r="E626" s="14" t="s">
        <v>28</v>
      </c>
      <c r="F626" s="14" t="s">
        <v>27</v>
      </c>
      <c r="G626" s="50">
        <f>'Enero-18'!I625</f>
        <v>3000</v>
      </c>
      <c r="H626" s="51"/>
      <c r="I626" s="17">
        <f t="shared" si="12"/>
        <v>3000</v>
      </c>
      <c r="J626" s="56"/>
      <c r="K626" s="56"/>
    </row>
    <row r="627" spans="1:11" ht="44.25">
      <c r="A627" s="11">
        <v>54313</v>
      </c>
      <c r="B627" s="54" t="s">
        <v>787</v>
      </c>
      <c r="C627" s="13"/>
      <c r="D627" s="14" t="s">
        <v>18</v>
      </c>
      <c r="E627" s="14" t="s">
        <v>28</v>
      </c>
      <c r="F627" s="14" t="s">
        <v>27</v>
      </c>
      <c r="G627" s="50">
        <f>'Enero-18'!I626</f>
        <v>300</v>
      </c>
      <c r="H627" s="51"/>
      <c r="I627" s="17">
        <f t="shared" si="12"/>
        <v>300</v>
      </c>
      <c r="J627" s="56"/>
      <c r="K627" s="56"/>
    </row>
    <row r="628" spans="1:11" ht="44.25">
      <c r="A628" s="11">
        <v>54399</v>
      </c>
      <c r="B628" s="54" t="s">
        <v>788</v>
      </c>
      <c r="C628" s="13"/>
      <c r="D628" s="14" t="s">
        <v>18</v>
      </c>
      <c r="E628" s="14" t="s">
        <v>28</v>
      </c>
      <c r="F628" s="14" t="s">
        <v>27</v>
      </c>
      <c r="G628" s="50">
        <f>'Enero-18'!I627</f>
        <v>200</v>
      </c>
      <c r="H628" s="51"/>
      <c r="I628" s="17">
        <f t="shared" si="12"/>
        <v>200</v>
      </c>
      <c r="J628" s="56"/>
      <c r="K628" s="56"/>
    </row>
    <row r="629" spans="1:11" ht="40.5" customHeight="1">
      <c r="A629" s="11">
        <v>55603</v>
      </c>
      <c r="B629" s="54" t="s">
        <v>789</v>
      </c>
      <c r="C629" s="13"/>
      <c r="D629" s="14" t="s">
        <v>18</v>
      </c>
      <c r="E629" s="14" t="s">
        <v>28</v>
      </c>
      <c r="F629" s="14" t="s">
        <v>27</v>
      </c>
      <c r="G629" s="50">
        <f>'Enero-18'!I628</f>
        <v>10</v>
      </c>
      <c r="H629" s="51"/>
      <c r="I629" s="17">
        <f t="shared" si="12"/>
        <v>10</v>
      </c>
      <c r="J629" s="56"/>
      <c r="K629" s="56"/>
    </row>
    <row r="630" spans="1:11" ht="60">
      <c r="A630" s="144" t="s">
        <v>477</v>
      </c>
      <c r="B630" s="53" t="s">
        <v>791</v>
      </c>
      <c r="C630" s="13"/>
      <c r="D630" s="14"/>
      <c r="E630" s="14"/>
      <c r="F630" s="14"/>
      <c r="G630" s="50"/>
      <c r="H630" s="51"/>
      <c r="I630" s="17"/>
      <c r="J630" s="56"/>
      <c r="K630" s="56"/>
    </row>
    <row r="631" spans="1:11" ht="30">
      <c r="A631" s="11">
        <v>51202</v>
      </c>
      <c r="B631" s="54" t="s">
        <v>792</v>
      </c>
      <c r="C631" s="13"/>
      <c r="D631" s="14" t="s">
        <v>18</v>
      </c>
      <c r="E631" s="14" t="s">
        <v>28</v>
      </c>
      <c r="F631" s="14" t="s">
        <v>27</v>
      </c>
      <c r="G631" s="50">
        <f>'Enero-18'!I630</f>
        <v>9000</v>
      </c>
      <c r="H631" s="51"/>
      <c r="I631" s="17">
        <f t="shared" si="12"/>
        <v>9000</v>
      </c>
      <c r="J631" s="56"/>
      <c r="K631" s="56"/>
    </row>
    <row r="632" spans="1:11" ht="30">
      <c r="A632" s="11">
        <v>54110</v>
      </c>
      <c r="B632" s="54" t="s">
        <v>793</v>
      </c>
      <c r="C632" s="13"/>
      <c r="D632" s="14" t="s">
        <v>18</v>
      </c>
      <c r="E632" s="14" t="s">
        <v>28</v>
      </c>
      <c r="F632" s="14" t="s">
        <v>27</v>
      </c>
      <c r="G632" s="50">
        <f>'Enero-18'!I631</f>
        <v>200</v>
      </c>
      <c r="H632" s="51"/>
      <c r="I632" s="17">
        <f t="shared" si="12"/>
        <v>200</v>
      </c>
      <c r="J632" s="56"/>
      <c r="K632" s="56"/>
    </row>
    <row r="633" spans="1:11" ht="30">
      <c r="A633" s="11">
        <v>54111</v>
      </c>
      <c r="B633" s="54" t="s">
        <v>794</v>
      </c>
      <c r="C633" s="13"/>
      <c r="D633" s="14" t="s">
        <v>18</v>
      </c>
      <c r="E633" s="14" t="s">
        <v>28</v>
      </c>
      <c r="F633" s="14" t="s">
        <v>27</v>
      </c>
      <c r="G633" s="50">
        <f>'Enero-18'!I632</f>
        <v>11290</v>
      </c>
      <c r="H633" s="51"/>
      <c r="I633" s="17">
        <f t="shared" si="12"/>
        <v>11290</v>
      </c>
      <c r="J633" s="56"/>
      <c r="K633" s="56"/>
    </row>
    <row r="634" spans="1:11" ht="30">
      <c r="A634" s="11">
        <v>54118</v>
      </c>
      <c r="B634" s="54" t="s">
        <v>795</v>
      </c>
      <c r="C634" s="13"/>
      <c r="D634" s="14" t="s">
        <v>18</v>
      </c>
      <c r="E634" s="14" t="s">
        <v>28</v>
      </c>
      <c r="F634" s="14" t="s">
        <v>27</v>
      </c>
      <c r="G634" s="50">
        <f>'Enero-18'!I633</f>
        <v>3000</v>
      </c>
      <c r="H634" s="51"/>
      <c r="I634" s="17">
        <f t="shared" si="12"/>
        <v>3000</v>
      </c>
      <c r="J634" s="56"/>
      <c r="K634" s="56"/>
    </row>
    <row r="635" spans="1:11" ht="45">
      <c r="A635" s="11">
        <v>54313</v>
      </c>
      <c r="B635" s="54" t="s">
        <v>796</v>
      </c>
      <c r="C635" s="13"/>
      <c r="D635" s="14" t="s">
        <v>18</v>
      </c>
      <c r="E635" s="14" t="s">
        <v>28</v>
      </c>
      <c r="F635" s="14" t="s">
        <v>27</v>
      </c>
      <c r="G635" s="50">
        <f>'Enero-18'!I634</f>
        <v>300</v>
      </c>
      <c r="H635" s="51"/>
      <c r="I635" s="17">
        <f t="shared" si="12"/>
        <v>300</v>
      </c>
      <c r="J635" s="56"/>
      <c r="K635" s="56"/>
    </row>
    <row r="636" spans="1:11" ht="30">
      <c r="A636" s="11">
        <v>54399</v>
      </c>
      <c r="B636" s="54" t="s">
        <v>797</v>
      </c>
      <c r="C636" s="13"/>
      <c r="D636" s="14" t="s">
        <v>18</v>
      </c>
      <c r="E636" s="14" t="s">
        <v>28</v>
      </c>
      <c r="F636" s="14" t="s">
        <v>27</v>
      </c>
      <c r="G636" s="50">
        <f>'Enero-18'!I635</f>
        <v>1200</v>
      </c>
      <c r="H636" s="51"/>
      <c r="I636" s="17">
        <f t="shared" si="12"/>
        <v>1200</v>
      </c>
      <c r="J636" s="56"/>
      <c r="K636" s="56"/>
    </row>
    <row r="637" spans="1:11" ht="30">
      <c r="A637" s="11">
        <v>55603</v>
      </c>
      <c r="B637" s="54" t="s">
        <v>798</v>
      </c>
      <c r="C637" s="13"/>
      <c r="D637" s="14" t="s">
        <v>18</v>
      </c>
      <c r="E637" s="14" t="s">
        <v>28</v>
      </c>
      <c r="F637" s="14" t="s">
        <v>27</v>
      </c>
      <c r="G637" s="50">
        <f>'Enero-18'!I636</f>
        <v>10</v>
      </c>
      <c r="H637" s="51"/>
      <c r="I637" s="17">
        <f t="shared" si="12"/>
        <v>10</v>
      </c>
      <c r="J637" s="56"/>
      <c r="K637" s="56"/>
    </row>
    <row r="638" spans="1:11" ht="60">
      <c r="A638" s="141" t="s">
        <v>486</v>
      </c>
      <c r="B638" s="53" t="s">
        <v>790</v>
      </c>
      <c r="C638" s="13"/>
      <c r="D638" s="14"/>
      <c r="E638" s="14"/>
      <c r="F638" s="14"/>
      <c r="G638" s="50"/>
      <c r="H638" s="51"/>
      <c r="I638" s="17"/>
      <c r="J638" s="56"/>
      <c r="K638" s="56"/>
    </row>
    <row r="639" spans="1:11" ht="29.25">
      <c r="A639" s="11">
        <v>51202</v>
      </c>
      <c r="B639" s="54" t="s">
        <v>799</v>
      </c>
      <c r="C639" s="13"/>
      <c r="D639" s="14" t="s">
        <v>18</v>
      </c>
      <c r="E639" s="14" t="s">
        <v>28</v>
      </c>
      <c r="F639" s="14" t="s">
        <v>27</v>
      </c>
      <c r="G639" s="50">
        <f>'Enero-18'!I638</f>
        <v>9000</v>
      </c>
      <c r="H639" s="51"/>
      <c r="I639" s="17">
        <f t="shared" si="12"/>
        <v>9000</v>
      </c>
      <c r="J639" s="56"/>
      <c r="K639" s="56"/>
    </row>
    <row r="640" spans="1:11" ht="29.25">
      <c r="A640" s="11">
        <v>54110</v>
      </c>
      <c r="B640" s="54" t="s">
        <v>800</v>
      </c>
      <c r="C640" s="13"/>
      <c r="D640" s="14" t="s">
        <v>18</v>
      </c>
      <c r="E640" s="14" t="s">
        <v>28</v>
      </c>
      <c r="F640" s="14" t="s">
        <v>27</v>
      </c>
      <c r="G640" s="50">
        <f>'Enero-18'!I639</f>
        <v>200</v>
      </c>
      <c r="H640" s="51"/>
      <c r="I640" s="17">
        <f t="shared" si="12"/>
        <v>200</v>
      </c>
      <c r="J640" s="56"/>
      <c r="K640" s="56"/>
    </row>
    <row r="641" spans="1:11" ht="44.25">
      <c r="A641" s="11">
        <v>54111</v>
      </c>
      <c r="B641" s="54" t="s">
        <v>801</v>
      </c>
      <c r="C641" s="13"/>
      <c r="D641" s="14" t="s">
        <v>18</v>
      </c>
      <c r="E641" s="14" t="s">
        <v>28</v>
      </c>
      <c r="F641" s="14" t="s">
        <v>27</v>
      </c>
      <c r="G641" s="50">
        <f>'Enero-18'!I640</f>
        <v>12290</v>
      </c>
      <c r="H641" s="51"/>
      <c r="I641" s="17">
        <f t="shared" si="12"/>
        <v>12290</v>
      </c>
      <c r="J641" s="56"/>
      <c r="K641" s="56"/>
    </row>
    <row r="642" spans="1:11" ht="29.25">
      <c r="A642" s="11">
        <v>54118</v>
      </c>
      <c r="B642" s="54" t="s">
        <v>802</v>
      </c>
      <c r="C642" s="13"/>
      <c r="D642" s="14" t="s">
        <v>18</v>
      </c>
      <c r="E642" s="14" t="s">
        <v>28</v>
      </c>
      <c r="F642" s="14" t="s">
        <v>27</v>
      </c>
      <c r="G642" s="50">
        <f>'Enero-18'!I641</f>
        <v>3000</v>
      </c>
      <c r="H642" s="51"/>
      <c r="I642" s="17">
        <f t="shared" si="12"/>
        <v>3000</v>
      </c>
      <c r="J642" s="56"/>
      <c r="K642" s="56"/>
    </row>
    <row r="643" spans="1:11" ht="43.5">
      <c r="A643" s="11">
        <v>54313</v>
      </c>
      <c r="B643" s="54" t="s">
        <v>803</v>
      </c>
      <c r="C643" s="13"/>
      <c r="D643" s="14" t="s">
        <v>18</v>
      </c>
      <c r="E643" s="14" t="s">
        <v>28</v>
      </c>
      <c r="F643" s="14" t="s">
        <v>27</v>
      </c>
      <c r="G643" s="50">
        <f>'Enero-18'!I642</f>
        <v>300</v>
      </c>
      <c r="H643" s="51"/>
      <c r="I643" s="17">
        <f t="shared" si="12"/>
        <v>300</v>
      </c>
      <c r="J643" s="56"/>
      <c r="K643" s="56"/>
    </row>
    <row r="644" spans="1:11" ht="43.5">
      <c r="A644" s="11">
        <v>54399</v>
      </c>
      <c r="B644" s="54" t="s">
        <v>804</v>
      </c>
      <c r="C644" s="13"/>
      <c r="D644" s="14" t="s">
        <v>18</v>
      </c>
      <c r="E644" s="14" t="s">
        <v>28</v>
      </c>
      <c r="F644" s="14" t="s">
        <v>27</v>
      </c>
      <c r="G644" s="50">
        <f>'Enero-18'!I643</f>
        <v>200</v>
      </c>
      <c r="H644" s="51"/>
      <c r="I644" s="17">
        <f t="shared" si="12"/>
        <v>200</v>
      </c>
      <c r="J644" s="56"/>
      <c r="K644" s="56"/>
    </row>
    <row r="645" spans="1:11" ht="29.25">
      <c r="A645" s="11">
        <v>55603</v>
      </c>
      <c r="B645" s="54" t="s">
        <v>805</v>
      </c>
      <c r="C645" s="13"/>
      <c r="D645" s="14" t="s">
        <v>18</v>
      </c>
      <c r="E645" s="14" t="s">
        <v>28</v>
      </c>
      <c r="F645" s="14" t="s">
        <v>27</v>
      </c>
      <c r="G645" s="50">
        <f>'Enero-18'!I644</f>
        <v>10</v>
      </c>
      <c r="H645" s="51"/>
      <c r="I645" s="17">
        <f t="shared" si="12"/>
        <v>10</v>
      </c>
      <c r="J645" s="56"/>
      <c r="K645" s="56"/>
    </row>
    <row r="646" spans="1:11" ht="75">
      <c r="A646" s="141" t="s">
        <v>504</v>
      </c>
      <c r="B646" s="53" t="s">
        <v>806</v>
      </c>
      <c r="C646" s="13"/>
      <c r="D646" s="14"/>
      <c r="E646" s="14"/>
      <c r="F646" s="14"/>
      <c r="G646" s="50">
        <f>'Enero-18'!I645</f>
        <v>0</v>
      </c>
      <c r="H646" s="51"/>
      <c r="I646" s="17"/>
      <c r="J646" s="56"/>
      <c r="K646" s="56"/>
    </row>
    <row r="647" spans="1:11" ht="29.25">
      <c r="A647" s="11">
        <v>51202</v>
      </c>
      <c r="B647" s="54" t="s">
        <v>807</v>
      </c>
      <c r="C647" s="13"/>
      <c r="D647" s="14" t="s">
        <v>18</v>
      </c>
      <c r="E647" s="14" t="s">
        <v>28</v>
      </c>
      <c r="F647" s="14" t="s">
        <v>27</v>
      </c>
      <c r="G647" s="50">
        <f>'Enero-18'!I646</f>
        <v>7000</v>
      </c>
      <c r="H647" s="51"/>
      <c r="I647" s="17">
        <f t="shared" si="12"/>
        <v>7000</v>
      </c>
      <c r="J647" s="56"/>
      <c r="K647" s="56"/>
    </row>
    <row r="648" spans="1:11" ht="29.25">
      <c r="A648" s="11">
        <v>54110</v>
      </c>
      <c r="B648" s="54" t="s">
        <v>808</v>
      </c>
      <c r="C648" s="13"/>
      <c r="D648" s="14" t="s">
        <v>18</v>
      </c>
      <c r="E648" s="14" t="s">
        <v>28</v>
      </c>
      <c r="F648" s="14" t="s">
        <v>27</v>
      </c>
      <c r="G648" s="50">
        <f>'Enero-18'!I647</f>
        <v>200</v>
      </c>
      <c r="H648" s="51"/>
      <c r="I648" s="17">
        <f t="shared" si="12"/>
        <v>200</v>
      </c>
      <c r="J648" s="56"/>
      <c r="K648" s="56"/>
    </row>
    <row r="649" spans="1:11" ht="29.25">
      <c r="A649" s="11">
        <v>54111</v>
      </c>
      <c r="B649" s="54" t="s">
        <v>809</v>
      </c>
      <c r="C649" s="13"/>
      <c r="D649" s="14" t="s">
        <v>18</v>
      </c>
      <c r="E649" s="14" t="s">
        <v>28</v>
      </c>
      <c r="F649" s="14" t="s">
        <v>27</v>
      </c>
      <c r="G649" s="50">
        <f>'Enero-18'!I648</f>
        <v>10290</v>
      </c>
      <c r="H649" s="51"/>
      <c r="I649" s="17">
        <f t="shared" si="12"/>
        <v>10290</v>
      </c>
      <c r="J649" s="56"/>
      <c r="K649" s="56"/>
    </row>
    <row r="650" spans="1:11" ht="29.25">
      <c r="A650" s="11">
        <v>54118</v>
      </c>
      <c r="B650" s="54" t="s">
        <v>810</v>
      </c>
      <c r="C650" s="13"/>
      <c r="D650" s="14" t="s">
        <v>18</v>
      </c>
      <c r="E650" s="14" t="s">
        <v>28</v>
      </c>
      <c r="F650" s="14" t="s">
        <v>27</v>
      </c>
      <c r="G650" s="50">
        <f>'Enero-18'!I649</f>
        <v>1500</v>
      </c>
      <c r="H650" s="51"/>
      <c r="I650" s="17">
        <f t="shared" si="12"/>
        <v>1500</v>
      </c>
      <c r="J650" s="56"/>
      <c r="K650" s="56"/>
    </row>
    <row r="651" spans="1:11" ht="44.25">
      <c r="A651" s="11">
        <v>54313</v>
      </c>
      <c r="B651" s="54" t="s">
        <v>811</v>
      </c>
      <c r="C651" s="13"/>
      <c r="D651" s="14" t="s">
        <v>18</v>
      </c>
      <c r="E651" s="14" t="s">
        <v>28</v>
      </c>
      <c r="F651" s="14" t="s">
        <v>27</v>
      </c>
      <c r="G651" s="50">
        <f>'Enero-18'!I650</f>
        <v>300</v>
      </c>
      <c r="H651" s="51"/>
      <c r="I651" s="17">
        <f t="shared" si="12"/>
        <v>300</v>
      </c>
      <c r="J651" s="56"/>
      <c r="K651" s="56"/>
    </row>
    <row r="652" spans="1:11" ht="29.25">
      <c r="A652" s="11">
        <v>54399</v>
      </c>
      <c r="B652" s="54" t="s">
        <v>812</v>
      </c>
      <c r="C652" s="13"/>
      <c r="D652" s="14" t="s">
        <v>18</v>
      </c>
      <c r="E652" s="14" t="s">
        <v>28</v>
      </c>
      <c r="F652" s="14" t="s">
        <v>27</v>
      </c>
      <c r="G652" s="50">
        <f>'Enero-18'!I651</f>
        <v>700</v>
      </c>
      <c r="H652" s="51"/>
      <c r="I652" s="17">
        <f t="shared" si="12"/>
        <v>700</v>
      </c>
      <c r="J652" s="56"/>
      <c r="K652" s="56"/>
    </row>
    <row r="653" spans="1:11" ht="29.25">
      <c r="A653" s="11">
        <v>55603</v>
      </c>
      <c r="B653" s="54" t="s">
        <v>813</v>
      </c>
      <c r="C653" s="13"/>
      <c r="D653" s="14" t="s">
        <v>18</v>
      </c>
      <c r="E653" s="14" t="s">
        <v>28</v>
      </c>
      <c r="F653" s="14" t="s">
        <v>27</v>
      </c>
      <c r="G653" s="50">
        <f>'Enero-18'!I652</f>
        <v>10</v>
      </c>
      <c r="H653" s="51"/>
      <c r="I653" s="17">
        <f t="shared" si="12"/>
        <v>10</v>
      </c>
      <c r="J653" s="56"/>
      <c r="K653" s="56"/>
    </row>
    <row r="654" spans="1:11" ht="88.5">
      <c r="A654" s="141" t="s">
        <v>505</v>
      </c>
      <c r="B654" s="53" t="s">
        <v>821</v>
      </c>
      <c r="C654" s="13"/>
      <c r="D654" s="14"/>
      <c r="E654" s="14"/>
      <c r="F654" s="14"/>
      <c r="G654" s="50">
        <f>'Enero-18'!I653</f>
        <v>0</v>
      </c>
      <c r="H654" s="51"/>
      <c r="I654" s="17"/>
      <c r="J654" s="56"/>
      <c r="K654" s="56"/>
    </row>
    <row r="655" spans="1:11" ht="29.25">
      <c r="A655" s="11">
        <v>51202</v>
      </c>
      <c r="B655" s="54" t="s">
        <v>814</v>
      </c>
      <c r="C655" s="13"/>
      <c r="D655" s="14" t="s">
        <v>18</v>
      </c>
      <c r="E655" s="14" t="s">
        <v>28</v>
      </c>
      <c r="F655" s="14" t="s">
        <v>27</v>
      </c>
      <c r="G655" s="50">
        <f>'Enero-18'!I654</f>
        <v>9000</v>
      </c>
      <c r="H655" s="51"/>
      <c r="I655" s="17">
        <f t="shared" si="12"/>
        <v>9000</v>
      </c>
      <c r="J655" s="56"/>
      <c r="K655" s="56"/>
    </row>
    <row r="656" spans="1:11" ht="29.25">
      <c r="A656" s="11">
        <v>54110</v>
      </c>
      <c r="B656" s="54" t="s">
        <v>815</v>
      </c>
      <c r="C656" s="13"/>
      <c r="D656" s="14" t="s">
        <v>18</v>
      </c>
      <c r="E656" s="14" t="s">
        <v>28</v>
      </c>
      <c r="F656" s="14" t="s">
        <v>27</v>
      </c>
      <c r="G656" s="50">
        <f>'Enero-18'!I655</f>
        <v>200</v>
      </c>
      <c r="H656" s="51"/>
      <c r="I656" s="17">
        <f t="shared" si="12"/>
        <v>200</v>
      </c>
      <c r="J656" s="56"/>
      <c r="K656" s="56"/>
    </row>
    <row r="657" spans="1:11" ht="44.25">
      <c r="A657" s="11">
        <v>54111</v>
      </c>
      <c r="B657" s="53" t="s">
        <v>816</v>
      </c>
      <c r="C657" s="13"/>
      <c r="D657" s="14" t="s">
        <v>18</v>
      </c>
      <c r="E657" s="14" t="s">
        <v>28</v>
      </c>
      <c r="F657" s="14" t="s">
        <v>27</v>
      </c>
      <c r="G657" s="50">
        <f>'Enero-18'!I656</f>
        <v>12290</v>
      </c>
      <c r="H657" s="51"/>
      <c r="I657" s="17">
        <f t="shared" ref="I657:I720" si="13">G657-H657+J657-K657</f>
        <v>12290</v>
      </c>
      <c r="J657" s="56"/>
      <c r="K657" s="56"/>
    </row>
    <row r="658" spans="1:11" ht="29.25">
      <c r="A658" s="11">
        <v>54118</v>
      </c>
      <c r="B658" s="54" t="s">
        <v>817</v>
      </c>
      <c r="C658" s="13"/>
      <c r="D658" s="14" t="s">
        <v>18</v>
      </c>
      <c r="E658" s="14" t="s">
        <v>28</v>
      </c>
      <c r="F658" s="14" t="s">
        <v>27</v>
      </c>
      <c r="G658" s="50">
        <f>'Enero-18'!I657</f>
        <v>3000</v>
      </c>
      <c r="H658" s="51"/>
      <c r="I658" s="17">
        <f t="shared" si="13"/>
        <v>3000</v>
      </c>
      <c r="J658" s="56"/>
      <c r="K658" s="56"/>
    </row>
    <row r="659" spans="1:11" ht="44.25">
      <c r="A659" s="11">
        <v>54313</v>
      </c>
      <c r="B659" s="54" t="s">
        <v>818</v>
      </c>
      <c r="C659" s="13"/>
      <c r="D659" s="14" t="s">
        <v>18</v>
      </c>
      <c r="E659" s="14" t="s">
        <v>28</v>
      </c>
      <c r="F659" s="14" t="s">
        <v>27</v>
      </c>
      <c r="G659" s="50">
        <f>'Enero-18'!I658</f>
        <v>300</v>
      </c>
      <c r="H659" s="51"/>
      <c r="I659" s="17">
        <f t="shared" si="13"/>
        <v>300</v>
      </c>
      <c r="J659" s="56"/>
      <c r="K659" s="56"/>
    </row>
    <row r="660" spans="1:11" ht="43.5">
      <c r="A660" s="11">
        <v>54399</v>
      </c>
      <c r="B660" s="54" t="s">
        <v>819</v>
      </c>
      <c r="C660" s="13"/>
      <c r="D660" s="14" t="s">
        <v>18</v>
      </c>
      <c r="E660" s="14" t="s">
        <v>28</v>
      </c>
      <c r="F660" s="14" t="s">
        <v>27</v>
      </c>
      <c r="G660" s="50">
        <f>'Enero-18'!I659</f>
        <v>200</v>
      </c>
      <c r="H660" s="51"/>
      <c r="I660" s="17">
        <f t="shared" si="13"/>
        <v>200</v>
      </c>
      <c r="J660" s="56"/>
      <c r="K660" s="56"/>
    </row>
    <row r="661" spans="1:11" ht="29.25">
      <c r="A661" s="11">
        <v>55603</v>
      </c>
      <c r="B661" s="54" t="s">
        <v>820</v>
      </c>
      <c r="C661" s="13"/>
      <c r="D661" s="14" t="s">
        <v>18</v>
      </c>
      <c r="E661" s="14" t="s">
        <v>28</v>
      </c>
      <c r="F661" s="14" t="s">
        <v>27</v>
      </c>
      <c r="G661" s="50">
        <f>'Enero-18'!I660</f>
        <v>10</v>
      </c>
      <c r="H661" s="51"/>
      <c r="I661" s="17">
        <f t="shared" si="13"/>
        <v>10</v>
      </c>
      <c r="J661" s="56"/>
      <c r="K661" s="56"/>
    </row>
    <row r="662" spans="1:11" ht="75">
      <c r="A662" s="141" t="s">
        <v>511</v>
      </c>
      <c r="B662" s="53" t="s">
        <v>824</v>
      </c>
      <c r="C662" s="13"/>
      <c r="D662" s="14"/>
      <c r="E662" s="14"/>
      <c r="F662" s="14"/>
      <c r="G662" s="50">
        <f>'Enero-18'!I661</f>
        <v>0</v>
      </c>
      <c r="H662" s="51"/>
      <c r="I662" s="17"/>
      <c r="J662" s="56"/>
      <c r="K662" s="56"/>
    </row>
    <row r="663" spans="1:11" ht="29.25">
      <c r="A663" s="11">
        <v>51202</v>
      </c>
      <c r="B663" s="54" t="s">
        <v>823</v>
      </c>
      <c r="C663" s="13"/>
      <c r="D663" s="14" t="s">
        <v>18</v>
      </c>
      <c r="E663" s="14" t="s">
        <v>28</v>
      </c>
      <c r="F663" s="14" t="s">
        <v>27</v>
      </c>
      <c r="G663" s="50">
        <f>'Enero-18'!I662</f>
        <v>3000</v>
      </c>
      <c r="H663" s="51"/>
      <c r="I663" s="17">
        <f t="shared" si="13"/>
        <v>3000</v>
      </c>
      <c r="J663" s="56"/>
      <c r="K663" s="56"/>
    </row>
    <row r="664" spans="1:11" ht="29.25">
      <c r="A664" s="11">
        <v>54110</v>
      </c>
      <c r="B664" s="54" t="s">
        <v>825</v>
      </c>
      <c r="C664" s="13"/>
      <c r="D664" s="14" t="s">
        <v>18</v>
      </c>
      <c r="E664" s="14" t="s">
        <v>28</v>
      </c>
      <c r="F664" s="14" t="s">
        <v>27</v>
      </c>
      <c r="G664" s="50">
        <f>'Enero-18'!I663</f>
        <v>200</v>
      </c>
      <c r="H664" s="51"/>
      <c r="I664" s="17">
        <f t="shared" si="13"/>
        <v>200</v>
      </c>
      <c r="J664" s="56"/>
      <c r="K664" s="56"/>
    </row>
    <row r="665" spans="1:11" ht="44.25">
      <c r="A665" s="11">
        <v>54111</v>
      </c>
      <c r="B665" s="54" t="s">
        <v>826</v>
      </c>
      <c r="C665" s="13"/>
      <c r="D665" s="14" t="s">
        <v>18</v>
      </c>
      <c r="E665" s="14" t="s">
        <v>28</v>
      </c>
      <c r="F665" s="14" t="s">
        <v>27</v>
      </c>
      <c r="G665" s="50">
        <f>'Enero-18'!I664</f>
        <v>4990</v>
      </c>
      <c r="H665" s="51"/>
      <c r="I665" s="17">
        <f t="shared" si="13"/>
        <v>4990</v>
      </c>
      <c r="J665" s="56"/>
      <c r="K665" s="56"/>
    </row>
    <row r="666" spans="1:11" ht="29.25">
      <c r="A666" s="11">
        <v>54118</v>
      </c>
      <c r="B666" s="54" t="s">
        <v>827</v>
      </c>
      <c r="C666" s="13"/>
      <c r="D666" s="14" t="s">
        <v>18</v>
      </c>
      <c r="E666" s="14" t="s">
        <v>28</v>
      </c>
      <c r="F666" s="14" t="s">
        <v>27</v>
      </c>
      <c r="G666" s="50">
        <f>'Enero-18'!I665</f>
        <v>800</v>
      </c>
      <c r="H666" s="51"/>
      <c r="I666" s="17">
        <f t="shared" si="13"/>
        <v>800</v>
      </c>
      <c r="J666" s="56"/>
      <c r="K666" s="56"/>
    </row>
    <row r="667" spans="1:11" ht="44.25">
      <c r="A667" s="11">
        <v>54313</v>
      </c>
      <c r="B667" s="54" t="s">
        <v>828</v>
      </c>
      <c r="C667" s="13"/>
      <c r="D667" s="14" t="s">
        <v>18</v>
      </c>
      <c r="E667" s="14" t="s">
        <v>28</v>
      </c>
      <c r="F667" s="14" t="s">
        <v>27</v>
      </c>
      <c r="G667" s="50">
        <f>'Enero-18'!I666</f>
        <v>300</v>
      </c>
      <c r="H667" s="51"/>
      <c r="I667" s="17">
        <f t="shared" si="13"/>
        <v>300</v>
      </c>
      <c r="J667" s="56"/>
      <c r="K667" s="56"/>
    </row>
    <row r="668" spans="1:11" ht="44.25">
      <c r="A668" s="11">
        <v>54399</v>
      </c>
      <c r="B668" s="54" t="s">
        <v>829</v>
      </c>
      <c r="C668" s="13"/>
      <c r="D668" s="14" t="s">
        <v>18</v>
      </c>
      <c r="E668" s="14" t="s">
        <v>28</v>
      </c>
      <c r="F668" s="14" t="s">
        <v>27</v>
      </c>
      <c r="G668" s="50">
        <f>'Enero-18'!I667</f>
        <v>700</v>
      </c>
      <c r="H668" s="51"/>
      <c r="I668" s="17">
        <f t="shared" si="13"/>
        <v>700</v>
      </c>
      <c r="J668" s="56"/>
      <c r="K668" s="56"/>
    </row>
    <row r="669" spans="1:11" ht="29.25">
      <c r="A669" s="11">
        <v>55603</v>
      </c>
      <c r="B669" s="54" t="s">
        <v>830</v>
      </c>
      <c r="C669" s="13"/>
      <c r="D669" s="14" t="s">
        <v>18</v>
      </c>
      <c r="E669" s="14" t="s">
        <v>28</v>
      </c>
      <c r="F669" s="14" t="s">
        <v>27</v>
      </c>
      <c r="G669" s="50">
        <f>'Enero-18'!I668</f>
        <v>10</v>
      </c>
      <c r="H669" s="51"/>
      <c r="I669" s="17">
        <f t="shared" si="13"/>
        <v>10</v>
      </c>
      <c r="J669" s="56"/>
      <c r="K669" s="56"/>
    </row>
    <row r="670" spans="1:11" ht="74.25">
      <c r="A670" s="141" t="s">
        <v>517</v>
      </c>
      <c r="B670" s="53" t="s">
        <v>822</v>
      </c>
      <c r="C670" s="13"/>
      <c r="D670" s="14"/>
      <c r="E670" s="14"/>
      <c r="F670" s="14"/>
      <c r="G670" s="50">
        <f>'Enero-18'!I669</f>
        <v>0</v>
      </c>
      <c r="H670" s="51"/>
      <c r="I670" s="17"/>
      <c r="J670" s="56"/>
      <c r="K670" s="56"/>
    </row>
    <row r="671" spans="1:11" ht="29.25">
      <c r="A671" s="11">
        <v>51202</v>
      </c>
      <c r="B671" s="54" t="s">
        <v>831</v>
      </c>
      <c r="C671" s="13"/>
      <c r="D671" s="14" t="s">
        <v>18</v>
      </c>
      <c r="E671" s="14" t="s">
        <v>28</v>
      </c>
      <c r="F671" s="14" t="s">
        <v>27</v>
      </c>
      <c r="G671" s="50">
        <f>'Enero-18'!I670</f>
        <v>9000</v>
      </c>
      <c r="H671" s="51"/>
      <c r="I671" s="17">
        <f t="shared" si="13"/>
        <v>9000</v>
      </c>
      <c r="J671" s="56"/>
      <c r="K671" s="56"/>
    </row>
    <row r="672" spans="1:11" ht="29.25">
      <c r="A672" s="11">
        <v>54110</v>
      </c>
      <c r="B672" s="54" t="s">
        <v>832</v>
      </c>
      <c r="C672" s="13"/>
      <c r="D672" s="14" t="s">
        <v>18</v>
      </c>
      <c r="E672" s="14" t="s">
        <v>28</v>
      </c>
      <c r="F672" s="14" t="s">
        <v>27</v>
      </c>
      <c r="G672" s="50">
        <f>'Enero-18'!I671</f>
        <v>200</v>
      </c>
      <c r="H672" s="51"/>
      <c r="I672" s="17">
        <f t="shared" si="13"/>
        <v>200</v>
      </c>
      <c r="J672" s="56"/>
      <c r="K672" s="56"/>
    </row>
    <row r="673" spans="1:11" ht="29.25">
      <c r="A673" s="11">
        <v>54111</v>
      </c>
      <c r="B673" s="54" t="s">
        <v>833</v>
      </c>
      <c r="C673" s="13"/>
      <c r="D673" s="14" t="s">
        <v>18</v>
      </c>
      <c r="E673" s="14" t="s">
        <v>28</v>
      </c>
      <c r="F673" s="14" t="s">
        <v>27</v>
      </c>
      <c r="G673" s="50">
        <f>'Enero-18'!I672</f>
        <v>12290</v>
      </c>
      <c r="H673" s="51"/>
      <c r="I673" s="17">
        <f t="shared" si="13"/>
        <v>12290</v>
      </c>
      <c r="J673" s="56"/>
      <c r="K673" s="56"/>
    </row>
    <row r="674" spans="1:11" ht="29.25">
      <c r="A674" s="11">
        <v>54118</v>
      </c>
      <c r="B674" s="54" t="s">
        <v>834</v>
      </c>
      <c r="C674" s="13"/>
      <c r="D674" s="14" t="s">
        <v>18</v>
      </c>
      <c r="E674" s="14" t="s">
        <v>28</v>
      </c>
      <c r="F674" s="14" t="s">
        <v>27</v>
      </c>
      <c r="G674" s="50">
        <f>'Enero-18'!I673</f>
        <v>3000</v>
      </c>
      <c r="H674" s="51"/>
      <c r="I674" s="17">
        <f t="shared" si="13"/>
        <v>3000</v>
      </c>
      <c r="J674" s="56"/>
      <c r="K674" s="56"/>
    </row>
    <row r="675" spans="1:11" ht="29.25">
      <c r="A675" s="11">
        <v>54313</v>
      </c>
      <c r="B675" s="54" t="s">
        <v>835</v>
      </c>
      <c r="C675" s="13"/>
      <c r="D675" s="14" t="s">
        <v>18</v>
      </c>
      <c r="E675" s="14" t="s">
        <v>28</v>
      </c>
      <c r="F675" s="14" t="s">
        <v>27</v>
      </c>
      <c r="G675" s="50">
        <f>'Enero-18'!I674</f>
        <v>300</v>
      </c>
      <c r="H675" s="51"/>
      <c r="I675" s="17">
        <f t="shared" si="13"/>
        <v>300</v>
      </c>
      <c r="J675" s="56"/>
      <c r="K675" s="56"/>
    </row>
    <row r="676" spans="1:11" ht="29.25">
      <c r="A676" s="11">
        <v>54399</v>
      </c>
      <c r="B676" s="54" t="s">
        <v>836</v>
      </c>
      <c r="C676" s="13"/>
      <c r="D676" s="14" t="s">
        <v>18</v>
      </c>
      <c r="E676" s="14" t="s">
        <v>28</v>
      </c>
      <c r="F676" s="14" t="s">
        <v>27</v>
      </c>
      <c r="G676" s="50">
        <f>'Enero-18'!I675</f>
        <v>200</v>
      </c>
      <c r="H676" s="51"/>
      <c r="I676" s="17">
        <f t="shared" si="13"/>
        <v>200</v>
      </c>
      <c r="J676" s="56"/>
      <c r="K676" s="56"/>
    </row>
    <row r="677" spans="1:11" ht="29.25">
      <c r="A677" s="11">
        <v>55603</v>
      </c>
      <c r="B677" s="53" t="s">
        <v>837</v>
      </c>
      <c r="C677" s="13"/>
      <c r="D677" s="14" t="s">
        <v>18</v>
      </c>
      <c r="E677" s="14" t="s">
        <v>28</v>
      </c>
      <c r="F677" s="14" t="s">
        <v>27</v>
      </c>
      <c r="G677" s="50">
        <f>'Enero-18'!I676</f>
        <v>10</v>
      </c>
      <c r="H677" s="51"/>
      <c r="I677" s="17">
        <f t="shared" si="13"/>
        <v>10</v>
      </c>
      <c r="J677" s="56"/>
      <c r="K677" s="56"/>
    </row>
    <row r="678" spans="1:11" ht="75">
      <c r="A678" s="141" t="s">
        <v>838</v>
      </c>
      <c r="B678" s="53" t="s">
        <v>840</v>
      </c>
      <c r="C678" s="13"/>
      <c r="D678" s="14"/>
      <c r="E678" s="14"/>
      <c r="F678" s="14"/>
      <c r="G678" s="50">
        <f>'Enero-18'!I677</f>
        <v>0</v>
      </c>
      <c r="H678" s="51"/>
      <c r="I678" s="17"/>
      <c r="J678" s="56"/>
      <c r="K678" s="56"/>
    </row>
    <row r="679" spans="1:11" ht="29.25">
      <c r="A679" s="11">
        <v>51202</v>
      </c>
      <c r="B679" s="54" t="s">
        <v>842</v>
      </c>
      <c r="C679" s="13"/>
      <c r="D679" s="14" t="s">
        <v>18</v>
      </c>
      <c r="E679" s="14" t="s">
        <v>28</v>
      </c>
      <c r="F679" s="14" t="s">
        <v>27</v>
      </c>
      <c r="G679" s="50">
        <f>'Enero-18'!I678</f>
        <v>9000</v>
      </c>
      <c r="H679" s="51"/>
      <c r="I679" s="17">
        <f t="shared" si="13"/>
        <v>9000</v>
      </c>
      <c r="J679" s="56"/>
      <c r="K679" s="56"/>
    </row>
    <row r="680" spans="1:11" ht="43.5">
      <c r="A680" s="11">
        <v>54110</v>
      </c>
      <c r="B680" s="53" t="s">
        <v>844</v>
      </c>
      <c r="C680" s="13"/>
      <c r="D680" s="14" t="s">
        <v>18</v>
      </c>
      <c r="E680" s="14" t="s">
        <v>28</v>
      </c>
      <c r="F680" s="14" t="s">
        <v>27</v>
      </c>
      <c r="G680" s="50">
        <f>'Enero-18'!I679</f>
        <v>200</v>
      </c>
      <c r="H680" s="51"/>
      <c r="I680" s="17">
        <f t="shared" si="13"/>
        <v>200</v>
      </c>
      <c r="J680" s="56"/>
      <c r="K680" s="56"/>
    </row>
    <row r="681" spans="1:11" ht="44.25">
      <c r="A681" s="11">
        <v>54111</v>
      </c>
      <c r="B681" s="53" t="s">
        <v>845</v>
      </c>
      <c r="C681" s="13"/>
      <c r="D681" s="14" t="s">
        <v>18</v>
      </c>
      <c r="E681" s="14" t="s">
        <v>28</v>
      </c>
      <c r="F681" s="14" t="s">
        <v>27</v>
      </c>
      <c r="G681" s="50">
        <f>'Enero-18'!I680</f>
        <v>12290</v>
      </c>
      <c r="H681" s="51"/>
      <c r="I681" s="17">
        <f t="shared" si="13"/>
        <v>12290</v>
      </c>
      <c r="J681" s="56"/>
      <c r="K681" s="56"/>
    </row>
    <row r="682" spans="1:11" ht="43.5">
      <c r="A682" s="11">
        <v>54118</v>
      </c>
      <c r="B682" s="53" t="s">
        <v>846</v>
      </c>
      <c r="C682" s="13"/>
      <c r="D682" s="14" t="s">
        <v>18</v>
      </c>
      <c r="E682" s="14" t="s">
        <v>28</v>
      </c>
      <c r="F682" s="14" t="s">
        <v>27</v>
      </c>
      <c r="G682" s="50">
        <f>'Enero-18'!I681</f>
        <v>3000</v>
      </c>
      <c r="H682" s="51"/>
      <c r="I682" s="17">
        <f t="shared" si="13"/>
        <v>3000</v>
      </c>
      <c r="J682" s="56"/>
      <c r="K682" s="56"/>
    </row>
    <row r="683" spans="1:11" ht="44.25">
      <c r="A683" s="11">
        <v>54313</v>
      </c>
      <c r="B683" s="53" t="s">
        <v>847</v>
      </c>
      <c r="C683" s="13"/>
      <c r="D683" s="14" t="s">
        <v>18</v>
      </c>
      <c r="E683" s="14" t="s">
        <v>28</v>
      </c>
      <c r="F683" s="14" t="s">
        <v>27</v>
      </c>
      <c r="G683" s="50">
        <f>'Enero-18'!I682</f>
        <v>300</v>
      </c>
      <c r="H683" s="51"/>
      <c r="I683" s="17">
        <f t="shared" si="13"/>
        <v>300</v>
      </c>
      <c r="J683" s="56"/>
      <c r="K683" s="56"/>
    </row>
    <row r="684" spans="1:11" ht="44.25">
      <c r="A684" s="11">
        <v>54399</v>
      </c>
      <c r="B684" s="53" t="s">
        <v>848</v>
      </c>
      <c r="C684" s="13"/>
      <c r="D684" s="14" t="s">
        <v>18</v>
      </c>
      <c r="E684" s="14" t="s">
        <v>28</v>
      </c>
      <c r="F684" s="14" t="s">
        <v>27</v>
      </c>
      <c r="G684" s="50">
        <f>'Enero-18'!I683</f>
        <v>200</v>
      </c>
      <c r="H684" s="51"/>
      <c r="I684" s="17">
        <f t="shared" si="13"/>
        <v>200</v>
      </c>
      <c r="J684" s="56"/>
      <c r="K684" s="56"/>
    </row>
    <row r="685" spans="1:11" ht="43.5">
      <c r="A685" s="11">
        <v>55603</v>
      </c>
      <c r="B685" s="53" t="s">
        <v>849</v>
      </c>
      <c r="C685" s="13"/>
      <c r="D685" s="14" t="s">
        <v>18</v>
      </c>
      <c r="E685" s="14" t="s">
        <v>28</v>
      </c>
      <c r="F685" s="14" t="s">
        <v>27</v>
      </c>
      <c r="G685" s="50">
        <f>'Enero-18'!I684</f>
        <v>10</v>
      </c>
      <c r="H685" s="51"/>
      <c r="I685" s="17">
        <f t="shared" si="13"/>
        <v>10</v>
      </c>
      <c r="J685" s="56"/>
      <c r="K685" s="56"/>
    </row>
    <row r="686" spans="1:11" ht="60">
      <c r="A686" s="141" t="s">
        <v>839</v>
      </c>
      <c r="B686" s="53" t="s">
        <v>841</v>
      </c>
      <c r="C686" s="13"/>
      <c r="D686" s="14"/>
      <c r="E686" s="14"/>
      <c r="F686" s="14"/>
      <c r="G686" s="50">
        <f>'Enero-18'!I685</f>
        <v>0</v>
      </c>
      <c r="H686" s="51"/>
      <c r="I686" s="17"/>
      <c r="J686" s="56"/>
      <c r="K686" s="56"/>
    </row>
    <row r="687" spans="1:11" ht="29.25">
      <c r="A687" s="11">
        <v>51202</v>
      </c>
      <c r="B687" s="54" t="s">
        <v>843</v>
      </c>
      <c r="C687" s="13"/>
      <c r="D687" s="14" t="s">
        <v>18</v>
      </c>
      <c r="E687" s="14" t="s">
        <v>28</v>
      </c>
      <c r="F687" s="14" t="s">
        <v>27</v>
      </c>
      <c r="G687" s="50">
        <f>'Enero-18'!I686</f>
        <v>9000</v>
      </c>
      <c r="H687" s="51"/>
      <c r="I687" s="17">
        <f t="shared" si="13"/>
        <v>9000</v>
      </c>
      <c r="J687" s="56"/>
      <c r="K687" s="56"/>
    </row>
    <row r="688" spans="1:11" ht="29.25">
      <c r="A688" s="11">
        <v>54110</v>
      </c>
      <c r="B688" s="53" t="s">
        <v>850</v>
      </c>
      <c r="C688" s="13"/>
      <c r="D688" s="14" t="s">
        <v>18</v>
      </c>
      <c r="E688" s="14" t="s">
        <v>28</v>
      </c>
      <c r="F688" s="14" t="s">
        <v>27</v>
      </c>
      <c r="G688" s="50">
        <f>'Enero-18'!I687</f>
        <v>200</v>
      </c>
      <c r="H688" s="51"/>
      <c r="I688" s="17">
        <f t="shared" si="13"/>
        <v>200</v>
      </c>
      <c r="J688" s="56"/>
      <c r="K688" s="56"/>
    </row>
    <row r="689" spans="1:11" ht="29.25">
      <c r="A689" s="11">
        <v>54111</v>
      </c>
      <c r="B689" s="54" t="s">
        <v>851</v>
      </c>
      <c r="C689" s="13"/>
      <c r="D689" s="14" t="s">
        <v>18</v>
      </c>
      <c r="E689" s="14" t="s">
        <v>28</v>
      </c>
      <c r="F689" s="14" t="s">
        <v>27</v>
      </c>
      <c r="G689" s="50">
        <f>'Enero-18'!I688</f>
        <v>12290</v>
      </c>
      <c r="H689" s="51"/>
      <c r="I689" s="17">
        <f t="shared" si="13"/>
        <v>12290</v>
      </c>
      <c r="J689" s="56"/>
      <c r="K689" s="56"/>
    </row>
    <row r="690" spans="1:11" ht="29.25">
      <c r="A690" s="11">
        <v>54118</v>
      </c>
      <c r="B690" s="53" t="s">
        <v>852</v>
      </c>
      <c r="C690" s="13"/>
      <c r="D690" s="14" t="s">
        <v>18</v>
      </c>
      <c r="E690" s="14" t="s">
        <v>28</v>
      </c>
      <c r="F690" s="14" t="s">
        <v>27</v>
      </c>
      <c r="G690" s="50">
        <f>'Enero-18'!I689</f>
        <v>3000</v>
      </c>
      <c r="H690" s="51"/>
      <c r="I690" s="17">
        <f t="shared" si="13"/>
        <v>3000</v>
      </c>
      <c r="J690" s="56"/>
      <c r="K690" s="56"/>
    </row>
    <row r="691" spans="1:11" ht="29.25">
      <c r="A691" s="11">
        <v>54313</v>
      </c>
      <c r="B691" s="54" t="s">
        <v>853</v>
      </c>
      <c r="C691" s="13"/>
      <c r="D691" s="14" t="s">
        <v>18</v>
      </c>
      <c r="E691" s="14" t="s">
        <v>28</v>
      </c>
      <c r="F691" s="14" t="s">
        <v>27</v>
      </c>
      <c r="G691" s="50">
        <f>'Enero-18'!I690</f>
        <v>300</v>
      </c>
      <c r="H691" s="51"/>
      <c r="I691" s="17">
        <f t="shared" si="13"/>
        <v>300</v>
      </c>
      <c r="J691" s="56"/>
      <c r="K691" s="56"/>
    </row>
    <row r="692" spans="1:11" ht="37.5" customHeight="1">
      <c r="A692" s="11">
        <v>54399</v>
      </c>
      <c r="B692" s="54" t="s">
        <v>854</v>
      </c>
      <c r="C692" s="13"/>
      <c r="D692" s="14" t="s">
        <v>18</v>
      </c>
      <c r="E692" s="14" t="s">
        <v>28</v>
      </c>
      <c r="F692" s="14" t="s">
        <v>27</v>
      </c>
      <c r="G692" s="50">
        <f>'Enero-18'!I691</f>
        <v>200</v>
      </c>
      <c r="H692" s="51"/>
      <c r="I692" s="17">
        <f t="shared" si="13"/>
        <v>200</v>
      </c>
      <c r="J692" s="56"/>
      <c r="K692" s="56"/>
    </row>
    <row r="693" spans="1:11" ht="29.25">
      <c r="A693" s="11">
        <v>55603</v>
      </c>
      <c r="B693" s="54" t="s">
        <v>855</v>
      </c>
      <c r="C693" s="13"/>
      <c r="D693" s="14" t="s">
        <v>18</v>
      </c>
      <c r="E693" s="14" t="s">
        <v>28</v>
      </c>
      <c r="F693" s="14" t="s">
        <v>27</v>
      </c>
      <c r="G693" s="50">
        <f>'Enero-18'!I692</f>
        <v>10</v>
      </c>
      <c r="H693" s="51"/>
      <c r="I693" s="17">
        <f t="shared" si="13"/>
        <v>10</v>
      </c>
      <c r="J693" s="56"/>
      <c r="K693" s="56"/>
    </row>
    <row r="694" spans="1:11" ht="60">
      <c r="A694" s="141" t="s">
        <v>872</v>
      </c>
      <c r="B694" s="53" t="s">
        <v>856</v>
      </c>
      <c r="C694" s="13"/>
      <c r="D694" s="14"/>
      <c r="E694" s="14"/>
      <c r="F694" s="14"/>
      <c r="G694" s="50">
        <f>'Enero-18'!I693</f>
        <v>0</v>
      </c>
      <c r="H694" s="51"/>
      <c r="I694" s="17"/>
      <c r="J694" s="56"/>
      <c r="K694" s="56"/>
    </row>
    <row r="695" spans="1:11" ht="29.25">
      <c r="A695" s="11">
        <v>51202</v>
      </c>
      <c r="B695" s="54" t="s">
        <v>857</v>
      </c>
      <c r="C695" s="13"/>
      <c r="D695" s="14" t="s">
        <v>18</v>
      </c>
      <c r="E695" s="14" t="s">
        <v>28</v>
      </c>
      <c r="F695" s="14" t="s">
        <v>27</v>
      </c>
      <c r="G695" s="50">
        <f>'Enero-18'!I694</f>
        <v>1800</v>
      </c>
      <c r="H695" s="51"/>
      <c r="I695" s="17">
        <f t="shared" si="13"/>
        <v>1800</v>
      </c>
      <c r="J695" s="56"/>
      <c r="K695" s="56"/>
    </row>
    <row r="696" spans="1:11" ht="29.25">
      <c r="A696" s="11">
        <v>54110</v>
      </c>
      <c r="B696" s="53" t="s">
        <v>858</v>
      </c>
      <c r="C696" s="13"/>
      <c r="D696" s="14" t="s">
        <v>18</v>
      </c>
      <c r="E696" s="14" t="s">
        <v>28</v>
      </c>
      <c r="F696" s="14" t="s">
        <v>27</v>
      </c>
      <c r="G696" s="50">
        <f>'Enero-18'!I695</f>
        <v>100</v>
      </c>
      <c r="H696" s="51"/>
      <c r="I696" s="17">
        <f t="shared" si="13"/>
        <v>100</v>
      </c>
      <c r="J696" s="56"/>
      <c r="K696" s="56"/>
    </row>
    <row r="697" spans="1:11" ht="44.25">
      <c r="A697" s="11">
        <v>54111</v>
      </c>
      <c r="B697" s="53" t="s">
        <v>859</v>
      </c>
      <c r="C697" s="13"/>
      <c r="D697" s="14" t="s">
        <v>18</v>
      </c>
      <c r="E697" s="14" t="s">
        <v>28</v>
      </c>
      <c r="F697" s="14" t="s">
        <v>27</v>
      </c>
      <c r="G697" s="50">
        <f>'Enero-18'!I696</f>
        <v>2590</v>
      </c>
      <c r="H697" s="51"/>
      <c r="I697" s="17">
        <f t="shared" si="13"/>
        <v>2590</v>
      </c>
      <c r="J697" s="56"/>
      <c r="K697" s="56"/>
    </row>
    <row r="698" spans="1:11" ht="29.25">
      <c r="A698" s="11">
        <v>54118</v>
      </c>
      <c r="B698" s="53" t="s">
        <v>860</v>
      </c>
      <c r="C698" s="13"/>
      <c r="D698" s="14" t="s">
        <v>18</v>
      </c>
      <c r="E698" s="14" t="s">
        <v>28</v>
      </c>
      <c r="F698" s="14" t="s">
        <v>27</v>
      </c>
      <c r="G698" s="50">
        <f>'Enero-18'!I697</f>
        <v>100</v>
      </c>
      <c r="H698" s="51"/>
      <c r="I698" s="17">
        <f t="shared" si="13"/>
        <v>100</v>
      </c>
      <c r="J698" s="56"/>
      <c r="K698" s="56"/>
    </row>
    <row r="699" spans="1:11" ht="44.25">
      <c r="A699" s="11">
        <v>54313</v>
      </c>
      <c r="B699" s="53" t="s">
        <v>861</v>
      </c>
      <c r="C699" s="13"/>
      <c r="D699" s="14" t="s">
        <v>18</v>
      </c>
      <c r="E699" s="14" t="s">
        <v>28</v>
      </c>
      <c r="F699" s="14" t="s">
        <v>27</v>
      </c>
      <c r="G699" s="50">
        <f>'Enero-18'!I698</f>
        <v>200</v>
      </c>
      <c r="H699" s="51"/>
      <c r="I699" s="17">
        <f t="shared" si="13"/>
        <v>200</v>
      </c>
      <c r="J699" s="56"/>
      <c r="K699" s="56"/>
    </row>
    <row r="700" spans="1:11" ht="44.25">
      <c r="A700" s="11">
        <v>54399</v>
      </c>
      <c r="B700" s="53" t="s">
        <v>862</v>
      </c>
      <c r="C700" s="13"/>
      <c r="D700" s="14" t="s">
        <v>18</v>
      </c>
      <c r="E700" s="14" t="s">
        <v>28</v>
      </c>
      <c r="F700" s="14" t="s">
        <v>27</v>
      </c>
      <c r="G700" s="50">
        <f>'Enero-18'!I699</f>
        <v>200</v>
      </c>
      <c r="H700" s="51"/>
      <c r="I700" s="17">
        <f t="shared" si="13"/>
        <v>200</v>
      </c>
      <c r="J700" s="56"/>
      <c r="K700" s="56"/>
    </row>
    <row r="701" spans="1:11" ht="29.25">
      <c r="A701" s="11">
        <v>55603</v>
      </c>
      <c r="B701" s="53" t="s">
        <v>863</v>
      </c>
      <c r="C701" s="13"/>
      <c r="D701" s="14" t="s">
        <v>18</v>
      </c>
      <c r="E701" s="14" t="s">
        <v>28</v>
      </c>
      <c r="F701" s="14" t="s">
        <v>27</v>
      </c>
      <c r="G701" s="50">
        <f>'Enero-18'!I700</f>
        <v>10</v>
      </c>
      <c r="H701" s="51"/>
      <c r="I701" s="17">
        <f t="shared" si="13"/>
        <v>10</v>
      </c>
      <c r="J701" s="56"/>
      <c r="K701" s="56"/>
    </row>
    <row r="702" spans="1:11" ht="59.25">
      <c r="A702" s="141" t="s">
        <v>873</v>
      </c>
      <c r="B702" s="53" t="s">
        <v>864</v>
      </c>
      <c r="C702" s="13"/>
      <c r="D702" s="14"/>
      <c r="E702" s="14"/>
      <c r="F702" s="14"/>
      <c r="G702" s="50">
        <f>'Enero-18'!I701</f>
        <v>0</v>
      </c>
      <c r="H702" s="51"/>
      <c r="I702" s="17"/>
      <c r="J702" s="56"/>
      <c r="K702" s="56"/>
    </row>
    <row r="703" spans="1:11" ht="29.25">
      <c r="A703" s="11">
        <v>51202</v>
      </c>
      <c r="B703" s="53" t="s">
        <v>865</v>
      </c>
      <c r="C703" s="13"/>
      <c r="D703" s="14" t="s">
        <v>18</v>
      </c>
      <c r="E703" s="14" t="s">
        <v>28</v>
      </c>
      <c r="F703" s="14" t="s">
        <v>27</v>
      </c>
      <c r="G703" s="50">
        <f>'Enero-18'!I702</f>
        <v>7000</v>
      </c>
      <c r="H703" s="51"/>
      <c r="I703" s="17">
        <f t="shared" si="13"/>
        <v>7000</v>
      </c>
      <c r="J703" s="56"/>
      <c r="K703" s="56"/>
    </row>
    <row r="704" spans="1:11" ht="29.25">
      <c r="A704" s="11">
        <v>54110</v>
      </c>
      <c r="B704" s="53" t="s">
        <v>866</v>
      </c>
      <c r="C704" s="13"/>
      <c r="D704" s="14" t="s">
        <v>18</v>
      </c>
      <c r="E704" s="14" t="s">
        <v>28</v>
      </c>
      <c r="F704" s="14" t="s">
        <v>27</v>
      </c>
      <c r="G704" s="50">
        <f>'Enero-18'!I703</f>
        <v>200</v>
      </c>
      <c r="H704" s="51"/>
      <c r="I704" s="17">
        <f t="shared" si="13"/>
        <v>200</v>
      </c>
      <c r="J704" s="56"/>
      <c r="K704" s="56"/>
    </row>
    <row r="705" spans="1:11" ht="30">
      <c r="A705" s="11">
        <v>54111</v>
      </c>
      <c r="B705" s="53" t="s">
        <v>867</v>
      </c>
      <c r="C705" s="13"/>
      <c r="D705" s="14" t="s">
        <v>18</v>
      </c>
      <c r="E705" s="14" t="s">
        <v>28</v>
      </c>
      <c r="F705" s="14" t="s">
        <v>27</v>
      </c>
      <c r="G705" s="50">
        <f>'Enero-18'!I704</f>
        <v>10290</v>
      </c>
      <c r="H705" s="51"/>
      <c r="I705" s="17">
        <f t="shared" si="13"/>
        <v>10290</v>
      </c>
      <c r="J705" s="56"/>
      <c r="K705" s="56"/>
    </row>
    <row r="706" spans="1:11" ht="29.25">
      <c r="A706" s="11">
        <v>54118</v>
      </c>
      <c r="B706" s="53" t="s">
        <v>868</v>
      </c>
      <c r="C706" s="13"/>
      <c r="D706" s="14" t="s">
        <v>18</v>
      </c>
      <c r="E706" s="14" t="s">
        <v>28</v>
      </c>
      <c r="F706" s="14" t="s">
        <v>27</v>
      </c>
      <c r="G706" s="50">
        <f>'Enero-18'!I705</f>
        <v>2000</v>
      </c>
      <c r="H706" s="51"/>
      <c r="I706" s="17">
        <f t="shared" si="13"/>
        <v>2000</v>
      </c>
      <c r="J706" s="56"/>
      <c r="K706" s="56"/>
    </row>
    <row r="707" spans="1:11" ht="44.25">
      <c r="A707" s="11">
        <v>54313</v>
      </c>
      <c r="B707" s="53" t="s">
        <v>869</v>
      </c>
      <c r="C707" s="13"/>
      <c r="D707" s="14" t="s">
        <v>18</v>
      </c>
      <c r="E707" s="14" t="s">
        <v>28</v>
      </c>
      <c r="F707" s="14" t="s">
        <v>27</v>
      </c>
      <c r="G707" s="50">
        <f>'Enero-18'!I706</f>
        <v>300</v>
      </c>
      <c r="H707" s="51"/>
      <c r="I707" s="17">
        <f t="shared" si="13"/>
        <v>300</v>
      </c>
      <c r="J707" s="56"/>
      <c r="K707" s="56"/>
    </row>
    <row r="708" spans="1:11" ht="30">
      <c r="A708" s="11">
        <v>54399</v>
      </c>
      <c r="B708" s="53" t="s">
        <v>870</v>
      </c>
      <c r="C708" s="13"/>
      <c r="D708" s="14" t="s">
        <v>18</v>
      </c>
      <c r="E708" s="14" t="s">
        <v>28</v>
      </c>
      <c r="F708" s="14" t="s">
        <v>27</v>
      </c>
      <c r="G708" s="50">
        <f>'Enero-18'!I707</f>
        <v>200</v>
      </c>
      <c r="H708" s="51"/>
      <c r="I708" s="17">
        <f t="shared" si="13"/>
        <v>200</v>
      </c>
      <c r="J708" s="56"/>
      <c r="K708" s="56"/>
    </row>
    <row r="709" spans="1:11" ht="29.25">
      <c r="A709" s="11">
        <v>55603</v>
      </c>
      <c r="B709" s="53" t="s">
        <v>871</v>
      </c>
      <c r="C709" s="13"/>
      <c r="D709" s="14" t="s">
        <v>18</v>
      </c>
      <c r="E709" s="14" t="s">
        <v>28</v>
      </c>
      <c r="F709" s="14" t="s">
        <v>27</v>
      </c>
      <c r="G709" s="50">
        <f>'Enero-18'!I708</f>
        <v>10</v>
      </c>
      <c r="H709" s="51"/>
      <c r="I709" s="17">
        <f t="shared" si="13"/>
        <v>10</v>
      </c>
      <c r="J709" s="56"/>
      <c r="K709" s="56"/>
    </row>
    <row r="710" spans="1:11" ht="60">
      <c r="A710" s="141" t="s">
        <v>532</v>
      </c>
      <c r="B710" s="53" t="s">
        <v>874</v>
      </c>
      <c r="C710" s="13"/>
      <c r="D710" s="14"/>
      <c r="E710" s="14"/>
      <c r="F710" s="14"/>
      <c r="G710" s="50">
        <f>'Enero-18'!I709</f>
        <v>0</v>
      </c>
      <c r="H710" s="51"/>
      <c r="I710" s="17"/>
      <c r="J710" s="56"/>
      <c r="K710" s="56"/>
    </row>
    <row r="711" spans="1:11" ht="29.25">
      <c r="A711" s="11">
        <v>51202</v>
      </c>
      <c r="B711" s="53" t="s">
        <v>875</v>
      </c>
      <c r="C711" s="13"/>
      <c r="D711" s="14" t="s">
        <v>18</v>
      </c>
      <c r="E711" s="14" t="s">
        <v>28</v>
      </c>
      <c r="F711" s="14" t="s">
        <v>27</v>
      </c>
      <c r="G711" s="50">
        <f>'Enero-18'!I710</f>
        <v>6990</v>
      </c>
      <c r="H711" s="51"/>
      <c r="I711" s="17">
        <f t="shared" si="13"/>
        <v>6990</v>
      </c>
      <c r="J711" s="56"/>
      <c r="K711" s="56"/>
    </row>
    <row r="712" spans="1:11" ht="29.25">
      <c r="A712" s="11">
        <v>54110</v>
      </c>
      <c r="B712" s="53" t="s">
        <v>876</v>
      </c>
      <c r="C712" s="13"/>
      <c r="D712" s="14" t="s">
        <v>18</v>
      </c>
      <c r="E712" s="14" t="s">
        <v>28</v>
      </c>
      <c r="F712" s="14" t="s">
        <v>27</v>
      </c>
      <c r="G712" s="50">
        <f>'Enero-18'!I711</f>
        <v>200</v>
      </c>
      <c r="H712" s="51"/>
      <c r="I712" s="17">
        <f t="shared" si="13"/>
        <v>200</v>
      </c>
      <c r="J712" s="56"/>
      <c r="K712" s="56"/>
    </row>
    <row r="713" spans="1:11" ht="44.25">
      <c r="A713" s="11">
        <v>54111</v>
      </c>
      <c r="B713" s="53" t="s">
        <v>881</v>
      </c>
      <c r="C713" s="13"/>
      <c r="D713" s="14" t="s">
        <v>18</v>
      </c>
      <c r="E713" s="14" t="s">
        <v>28</v>
      </c>
      <c r="F713" s="14" t="s">
        <v>27</v>
      </c>
      <c r="G713" s="50">
        <f>'Enero-18'!I712</f>
        <v>10000</v>
      </c>
      <c r="H713" s="51"/>
      <c r="I713" s="17">
        <f t="shared" si="13"/>
        <v>10000</v>
      </c>
      <c r="J713" s="56"/>
      <c r="K713" s="56"/>
    </row>
    <row r="714" spans="1:11" ht="29.25">
      <c r="A714" s="11">
        <v>54118</v>
      </c>
      <c r="B714" s="53" t="s">
        <v>877</v>
      </c>
      <c r="C714" s="13"/>
      <c r="D714" s="14" t="s">
        <v>18</v>
      </c>
      <c r="E714" s="14" t="s">
        <v>28</v>
      </c>
      <c r="F714" s="14" t="s">
        <v>27</v>
      </c>
      <c r="G714" s="50">
        <f>'Enero-18'!I713</f>
        <v>2000</v>
      </c>
      <c r="H714" s="51"/>
      <c r="I714" s="17">
        <f t="shared" si="13"/>
        <v>2000</v>
      </c>
      <c r="J714" s="56"/>
      <c r="K714" s="56"/>
    </row>
    <row r="715" spans="1:11" ht="44.25">
      <c r="A715" s="11">
        <v>54313</v>
      </c>
      <c r="B715" s="53" t="s">
        <v>878</v>
      </c>
      <c r="C715" s="13"/>
      <c r="D715" s="14" t="s">
        <v>18</v>
      </c>
      <c r="E715" s="14" t="s">
        <v>28</v>
      </c>
      <c r="F715" s="14" t="s">
        <v>27</v>
      </c>
      <c r="G715" s="50">
        <f>'Enero-18'!I714</f>
        <v>300</v>
      </c>
      <c r="H715" s="51"/>
      <c r="I715" s="17">
        <f t="shared" si="13"/>
        <v>300</v>
      </c>
      <c r="J715" s="56"/>
      <c r="K715" s="56"/>
    </row>
    <row r="716" spans="1:11" ht="43.5">
      <c r="A716" s="11">
        <v>54399</v>
      </c>
      <c r="B716" s="53" t="s">
        <v>879</v>
      </c>
      <c r="C716" s="13"/>
      <c r="D716" s="14" t="s">
        <v>18</v>
      </c>
      <c r="E716" s="14" t="s">
        <v>28</v>
      </c>
      <c r="F716" s="14" t="s">
        <v>27</v>
      </c>
      <c r="G716" s="50">
        <f>'Enero-18'!I715</f>
        <v>500</v>
      </c>
      <c r="H716" s="51"/>
      <c r="I716" s="17">
        <f t="shared" si="13"/>
        <v>500</v>
      </c>
      <c r="J716" s="56"/>
      <c r="K716" s="56"/>
    </row>
    <row r="717" spans="1:11" ht="29.25">
      <c r="A717" s="11">
        <v>55603</v>
      </c>
      <c r="B717" s="53" t="s">
        <v>880</v>
      </c>
      <c r="C717" s="13"/>
      <c r="D717" s="14" t="s">
        <v>18</v>
      </c>
      <c r="E717" s="14" t="s">
        <v>28</v>
      </c>
      <c r="F717" s="14" t="s">
        <v>27</v>
      </c>
      <c r="G717" s="50">
        <f>'Enero-18'!I716</f>
        <v>10</v>
      </c>
      <c r="H717" s="51"/>
      <c r="I717" s="17">
        <f t="shared" si="13"/>
        <v>10</v>
      </c>
      <c r="J717" s="56"/>
      <c r="K717" s="56"/>
    </row>
    <row r="718" spans="1:11" ht="72.75">
      <c r="A718" s="144" t="s">
        <v>540</v>
      </c>
      <c r="B718" s="53" t="s">
        <v>882</v>
      </c>
      <c r="C718" s="13"/>
      <c r="D718" s="14"/>
      <c r="E718" s="14"/>
      <c r="F718" s="14"/>
      <c r="G718" s="50">
        <f>'Enero-18'!I717</f>
        <v>0</v>
      </c>
      <c r="H718" s="51"/>
      <c r="I718" s="17"/>
      <c r="J718" s="56"/>
      <c r="K718" s="56"/>
    </row>
    <row r="719" spans="1:11" ht="43.5">
      <c r="A719" s="11">
        <v>51202</v>
      </c>
      <c r="B719" s="53" t="s">
        <v>883</v>
      </c>
      <c r="C719" s="13"/>
      <c r="D719" s="14" t="s">
        <v>18</v>
      </c>
      <c r="E719" s="14" t="s">
        <v>28</v>
      </c>
      <c r="F719" s="14" t="s">
        <v>27</v>
      </c>
      <c r="G719" s="50">
        <f>'Enero-18'!I718</f>
        <v>10000</v>
      </c>
      <c r="H719" s="51"/>
      <c r="I719" s="17">
        <f t="shared" si="13"/>
        <v>10000</v>
      </c>
      <c r="J719" s="56"/>
      <c r="K719" s="56"/>
    </row>
    <row r="720" spans="1:11" ht="43.5">
      <c r="A720" s="11">
        <v>54110</v>
      </c>
      <c r="B720" s="53" t="s">
        <v>968</v>
      </c>
      <c r="C720" s="13"/>
      <c r="D720" s="14" t="s">
        <v>18</v>
      </c>
      <c r="E720" s="14" t="s">
        <v>28</v>
      </c>
      <c r="F720" s="14" t="s">
        <v>27</v>
      </c>
      <c r="G720" s="50">
        <f>'Enero-18'!I719</f>
        <v>500</v>
      </c>
      <c r="H720" s="51"/>
      <c r="I720" s="17">
        <f t="shared" si="13"/>
        <v>500</v>
      </c>
      <c r="J720" s="56"/>
      <c r="K720" s="56"/>
    </row>
    <row r="721" spans="1:11" ht="44.25">
      <c r="A721" s="11">
        <v>54111</v>
      </c>
      <c r="B721" s="53" t="s">
        <v>884</v>
      </c>
      <c r="C721" s="13"/>
      <c r="D721" s="14" t="s">
        <v>18</v>
      </c>
      <c r="E721" s="14" t="s">
        <v>28</v>
      </c>
      <c r="F721" s="14" t="s">
        <v>27</v>
      </c>
      <c r="G721" s="50">
        <f>'Enero-18'!I720</f>
        <v>15000</v>
      </c>
      <c r="H721" s="51"/>
      <c r="I721" s="17">
        <f t="shared" ref="I721:I767" si="14">G721-H721+J721-K721</f>
        <v>15000</v>
      </c>
      <c r="J721" s="56"/>
      <c r="K721" s="56"/>
    </row>
    <row r="722" spans="1:11" ht="43.5">
      <c r="A722" s="11">
        <v>54118</v>
      </c>
      <c r="B722" s="53" t="s">
        <v>885</v>
      </c>
      <c r="C722" s="13"/>
      <c r="D722" s="14" t="s">
        <v>18</v>
      </c>
      <c r="E722" s="14" t="s">
        <v>28</v>
      </c>
      <c r="F722" s="14" t="s">
        <v>27</v>
      </c>
      <c r="G722" s="50">
        <f>'Enero-18'!I721</f>
        <v>5000</v>
      </c>
      <c r="H722" s="51"/>
      <c r="I722" s="17">
        <f t="shared" si="14"/>
        <v>5000</v>
      </c>
      <c r="J722" s="56"/>
      <c r="K722" s="56"/>
    </row>
    <row r="723" spans="1:11" ht="43.5">
      <c r="A723" s="11">
        <v>54304</v>
      </c>
      <c r="B723" s="53" t="s">
        <v>889</v>
      </c>
      <c r="C723" s="13"/>
      <c r="D723" s="14" t="s">
        <v>18</v>
      </c>
      <c r="E723" s="14" t="s">
        <v>28</v>
      </c>
      <c r="F723" s="14" t="s">
        <v>27</v>
      </c>
      <c r="G723" s="50">
        <f>'Enero-18'!I722</f>
        <v>2690</v>
      </c>
      <c r="H723" s="51"/>
      <c r="I723" s="17">
        <f t="shared" si="14"/>
        <v>2690</v>
      </c>
      <c r="J723" s="56"/>
      <c r="K723" s="56"/>
    </row>
    <row r="724" spans="1:11" ht="44.25">
      <c r="A724" s="11">
        <v>54313</v>
      </c>
      <c r="B724" s="53" t="s">
        <v>886</v>
      </c>
      <c r="C724" s="13"/>
      <c r="D724" s="14" t="s">
        <v>18</v>
      </c>
      <c r="E724" s="14" t="s">
        <v>28</v>
      </c>
      <c r="F724" s="14" t="s">
        <v>27</v>
      </c>
      <c r="G724" s="50">
        <f>'Enero-18'!I723</f>
        <v>300</v>
      </c>
      <c r="H724" s="51"/>
      <c r="I724" s="17">
        <f t="shared" si="14"/>
        <v>300</v>
      </c>
      <c r="J724" s="56"/>
      <c r="K724" s="56"/>
    </row>
    <row r="725" spans="1:11" ht="44.25">
      <c r="A725" s="11">
        <v>54399</v>
      </c>
      <c r="B725" s="53" t="s">
        <v>887</v>
      </c>
      <c r="C725" s="13"/>
      <c r="D725" s="14" t="s">
        <v>18</v>
      </c>
      <c r="E725" s="14" t="s">
        <v>28</v>
      </c>
      <c r="F725" s="14" t="s">
        <v>27</v>
      </c>
      <c r="G725" s="50">
        <f>'Enero-18'!I724</f>
        <v>1500</v>
      </c>
      <c r="H725" s="51"/>
      <c r="I725" s="17">
        <f t="shared" si="14"/>
        <v>1500</v>
      </c>
      <c r="J725" s="56"/>
      <c r="K725" s="56"/>
    </row>
    <row r="726" spans="1:11" ht="43.5">
      <c r="A726" s="11">
        <v>55603</v>
      </c>
      <c r="B726" s="53" t="s">
        <v>888</v>
      </c>
      <c r="C726" s="13"/>
      <c r="D726" s="14" t="s">
        <v>18</v>
      </c>
      <c r="E726" s="14" t="s">
        <v>28</v>
      </c>
      <c r="F726" s="14" t="s">
        <v>27</v>
      </c>
      <c r="G726" s="50">
        <f>'Enero-18'!I725</f>
        <v>10</v>
      </c>
      <c r="H726" s="51"/>
      <c r="I726" s="17">
        <f t="shared" si="14"/>
        <v>10</v>
      </c>
      <c r="J726" s="56"/>
      <c r="K726" s="56"/>
    </row>
    <row r="727" spans="1:11" ht="60">
      <c r="A727" s="141" t="s">
        <v>901</v>
      </c>
      <c r="B727" s="53" t="s">
        <v>890</v>
      </c>
      <c r="C727" s="13"/>
      <c r="D727" s="14"/>
      <c r="E727" s="14"/>
      <c r="F727" s="14"/>
      <c r="G727" s="50">
        <f>'Enero-18'!I726</f>
        <v>0</v>
      </c>
      <c r="H727" s="51"/>
      <c r="I727" s="17"/>
      <c r="J727" s="56"/>
      <c r="K727" s="56"/>
    </row>
    <row r="728" spans="1:11" ht="29.25">
      <c r="A728" s="11">
        <v>51202</v>
      </c>
      <c r="B728" s="53" t="s">
        <v>894</v>
      </c>
      <c r="C728" s="13"/>
      <c r="D728" s="14" t="s">
        <v>18</v>
      </c>
      <c r="E728" s="14" t="s">
        <v>28</v>
      </c>
      <c r="F728" s="14" t="s">
        <v>27</v>
      </c>
      <c r="G728" s="50">
        <f>'Enero-18'!I727</f>
        <v>8000</v>
      </c>
      <c r="H728" s="51">
        <f>80+80+20+20</f>
        <v>200</v>
      </c>
      <c r="I728" s="17">
        <f t="shared" si="14"/>
        <v>7800</v>
      </c>
      <c r="J728" s="56"/>
      <c r="K728" s="56"/>
    </row>
    <row r="729" spans="1:11" ht="29.25">
      <c r="A729" s="11">
        <v>51999</v>
      </c>
      <c r="B729" s="53" t="s">
        <v>900</v>
      </c>
      <c r="C729" s="13"/>
      <c r="D729" s="14" t="s">
        <v>18</v>
      </c>
      <c r="E729" s="14" t="s">
        <v>28</v>
      </c>
      <c r="F729" s="14" t="s">
        <v>27</v>
      </c>
      <c r="G729" s="50">
        <f>'Enero-18'!I728</f>
        <v>3000</v>
      </c>
      <c r="H729" s="51"/>
      <c r="I729" s="17">
        <f t="shared" si="14"/>
        <v>3000</v>
      </c>
      <c r="J729" s="56"/>
      <c r="K729" s="56"/>
    </row>
    <row r="730" spans="1:11" ht="29.25">
      <c r="A730" s="11">
        <v>54110</v>
      </c>
      <c r="B730" s="53" t="s">
        <v>891</v>
      </c>
      <c r="C730" s="13"/>
      <c r="D730" s="14" t="s">
        <v>18</v>
      </c>
      <c r="E730" s="14" t="s">
        <v>28</v>
      </c>
      <c r="F730" s="14" t="s">
        <v>27</v>
      </c>
      <c r="G730" s="50">
        <f>'Enero-18'!I729</f>
        <v>500</v>
      </c>
      <c r="H730" s="51"/>
      <c r="I730" s="17">
        <f t="shared" si="14"/>
        <v>500</v>
      </c>
      <c r="J730" s="56"/>
      <c r="K730" s="56"/>
    </row>
    <row r="731" spans="1:11" ht="29.25">
      <c r="A731" s="11">
        <v>54111</v>
      </c>
      <c r="B731" s="53" t="s">
        <v>899</v>
      </c>
      <c r="C731" s="13"/>
      <c r="D731" s="14" t="s">
        <v>18</v>
      </c>
      <c r="E731" s="14" t="s">
        <v>28</v>
      </c>
      <c r="F731" s="14" t="s">
        <v>27</v>
      </c>
      <c r="G731" s="50">
        <f>'Enero-18'!I730</f>
        <v>12000</v>
      </c>
      <c r="H731" s="51"/>
      <c r="I731" s="17">
        <f t="shared" si="14"/>
        <v>12000</v>
      </c>
      <c r="J731" s="56"/>
      <c r="K731" s="56"/>
    </row>
    <row r="732" spans="1:11" ht="44.25">
      <c r="A732" s="11">
        <v>54112</v>
      </c>
      <c r="B732" s="53" t="s">
        <v>895</v>
      </c>
      <c r="C732" s="13"/>
      <c r="D732" s="14" t="s">
        <v>18</v>
      </c>
      <c r="E732" s="14" t="s">
        <v>28</v>
      </c>
      <c r="F732" s="14" t="s">
        <v>27</v>
      </c>
      <c r="G732" s="50">
        <f>'Enero-18'!I731</f>
        <v>3000</v>
      </c>
      <c r="H732" s="51">
        <f>18.75</f>
        <v>18.75</v>
      </c>
      <c r="I732" s="17">
        <f t="shared" si="14"/>
        <v>2981.25</v>
      </c>
      <c r="J732" s="56"/>
      <c r="K732" s="56"/>
    </row>
    <row r="733" spans="1:11" ht="29.25">
      <c r="A733" s="11">
        <v>54118</v>
      </c>
      <c r="B733" s="53" t="s">
        <v>893</v>
      </c>
      <c r="C733" s="13"/>
      <c r="D733" s="14" t="s">
        <v>18</v>
      </c>
      <c r="E733" s="14" t="s">
        <v>28</v>
      </c>
      <c r="F733" s="14" t="s">
        <v>27</v>
      </c>
      <c r="G733" s="50">
        <f>'Enero-18'!I732</f>
        <v>3000</v>
      </c>
      <c r="H733" s="51">
        <f>10</f>
        <v>10</v>
      </c>
      <c r="I733" s="17">
        <f t="shared" si="14"/>
        <v>2990</v>
      </c>
      <c r="J733" s="56"/>
      <c r="K733" s="56"/>
    </row>
    <row r="734" spans="1:11" ht="29.25">
      <c r="A734" s="11">
        <v>54199</v>
      </c>
      <c r="B734" s="53" t="s">
        <v>892</v>
      </c>
      <c r="C734" s="13"/>
      <c r="D734" s="14" t="s">
        <v>18</v>
      </c>
      <c r="E734" s="14" t="s">
        <v>28</v>
      </c>
      <c r="F734" s="14" t="s">
        <v>27</v>
      </c>
      <c r="G734" s="50">
        <f>'Enero-18'!I733</f>
        <v>3000</v>
      </c>
      <c r="H734" s="51">
        <f>31</f>
        <v>31</v>
      </c>
      <c r="I734" s="17">
        <f t="shared" si="14"/>
        <v>2969</v>
      </c>
      <c r="J734" s="56"/>
      <c r="K734" s="56"/>
    </row>
    <row r="735" spans="1:11" ht="29.25">
      <c r="A735" s="11">
        <v>54313</v>
      </c>
      <c r="B735" s="53" t="s">
        <v>896</v>
      </c>
      <c r="C735" s="13"/>
      <c r="D735" s="14" t="s">
        <v>18</v>
      </c>
      <c r="E735" s="14" t="s">
        <v>28</v>
      </c>
      <c r="F735" s="14" t="s">
        <v>27</v>
      </c>
      <c r="G735" s="50">
        <f>'Enero-18'!I734</f>
        <v>2190</v>
      </c>
      <c r="H735" s="51">
        <f>540</f>
        <v>540</v>
      </c>
      <c r="I735" s="17">
        <f t="shared" si="14"/>
        <v>1650</v>
      </c>
      <c r="J735" s="56"/>
      <c r="K735" s="56"/>
    </row>
    <row r="736" spans="1:11" ht="44.25">
      <c r="A736" s="11">
        <v>54399</v>
      </c>
      <c r="B736" s="53" t="s">
        <v>897</v>
      </c>
      <c r="C736" s="13"/>
      <c r="D736" s="14" t="s">
        <v>18</v>
      </c>
      <c r="E736" s="14" t="s">
        <v>28</v>
      </c>
      <c r="F736" s="14" t="s">
        <v>27</v>
      </c>
      <c r="G736" s="50">
        <f>'Enero-18'!I735</f>
        <v>300</v>
      </c>
      <c r="H736" s="51"/>
      <c r="I736" s="17">
        <f t="shared" si="14"/>
        <v>300</v>
      </c>
      <c r="J736" s="56"/>
      <c r="K736" s="56"/>
    </row>
    <row r="737" spans="1:11" ht="29.25">
      <c r="A737" s="11">
        <v>55603</v>
      </c>
      <c r="B737" s="53" t="s">
        <v>898</v>
      </c>
      <c r="C737" s="13"/>
      <c r="D737" s="14" t="s">
        <v>18</v>
      </c>
      <c r="E737" s="14" t="s">
        <v>28</v>
      </c>
      <c r="F737" s="14" t="s">
        <v>27</v>
      </c>
      <c r="G737" s="50">
        <f>'Enero-18'!I736</f>
        <v>10</v>
      </c>
      <c r="H737" s="51">
        <f>1.3+1.7</f>
        <v>3</v>
      </c>
      <c r="I737" s="17">
        <f t="shared" si="14"/>
        <v>7</v>
      </c>
      <c r="J737" s="56"/>
      <c r="K737" s="56"/>
    </row>
    <row r="738" spans="1:11" ht="60">
      <c r="A738" s="141">
        <v>41</v>
      </c>
      <c r="B738" s="53" t="s">
        <v>902</v>
      </c>
      <c r="C738" s="13"/>
      <c r="D738" s="14"/>
      <c r="E738" s="14"/>
      <c r="F738" s="14"/>
      <c r="G738" s="50">
        <f>'Enero-18'!I737</f>
        <v>0</v>
      </c>
      <c r="H738" s="51"/>
      <c r="I738" s="17"/>
      <c r="J738" s="56"/>
      <c r="K738" s="56"/>
    </row>
    <row r="739" spans="1:11" ht="29.25">
      <c r="A739" s="11">
        <v>51999</v>
      </c>
      <c r="B739" s="53" t="s">
        <v>903</v>
      </c>
      <c r="C739" s="13"/>
      <c r="D739" s="14" t="s">
        <v>18</v>
      </c>
      <c r="E739" s="14" t="s">
        <v>28</v>
      </c>
      <c r="F739" s="14" t="s">
        <v>27</v>
      </c>
      <c r="G739" s="50">
        <f>'Enero-18'!I738</f>
        <v>1000</v>
      </c>
      <c r="H739" s="51"/>
      <c r="I739" s="17">
        <f t="shared" si="14"/>
        <v>1000</v>
      </c>
      <c r="J739" s="56"/>
      <c r="K739" s="56"/>
    </row>
    <row r="740" spans="1:11" ht="44.25">
      <c r="A740" s="11">
        <v>54111</v>
      </c>
      <c r="B740" s="53" t="s">
        <v>904</v>
      </c>
      <c r="C740" s="13"/>
      <c r="D740" s="14" t="s">
        <v>18</v>
      </c>
      <c r="E740" s="14" t="s">
        <v>28</v>
      </c>
      <c r="F740" s="14" t="s">
        <v>27</v>
      </c>
      <c r="G740" s="50">
        <f>'Enero-18'!I739</f>
        <v>1000</v>
      </c>
      <c r="H740" s="51"/>
      <c r="I740" s="17">
        <f t="shared" si="14"/>
        <v>1000</v>
      </c>
      <c r="J740" s="56"/>
      <c r="K740" s="56"/>
    </row>
    <row r="741" spans="1:11" ht="43.5">
      <c r="A741" s="11">
        <v>54118</v>
      </c>
      <c r="B741" s="53" t="s">
        <v>905</v>
      </c>
      <c r="C741" s="13"/>
      <c r="D741" s="14" t="s">
        <v>18</v>
      </c>
      <c r="E741" s="14" t="s">
        <v>28</v>
      </c>
      <c r="F741" s="14" t="s">
        <v>27</v>
      </c>
      <c r="G741" s="50">
        <f>'Enero-18'!I740</f>
        <v>1000</v>
      </c>
      <c r="H741" s="51"/>
      <c r="I741" s="17">
        <f t="shared" si="14"/>
        <v>1000</v>
      </c>
      <c r="J741" s="56"/>
      <c r="K741" s="56"/>
    </row>
    <row r="742" spans="1:11" ht="44.25">
      <c r="A742" s="11">
        <v>54313</v>
      </c>
      <c r="B742" s="53" t="s">
        <v>906</v>
      </c>
      <c r="C742" s="13"/>
      <c r="D742" s="14" t="s">
        <v>18</v>
      </c>
      <c r="E742" s="14" t="s">
        <v>28</v>
      </c>
      <c r="F742" s="14" t="s">
        <v>27</v>
      </c>
      <c r="G742" s="50">
        <f>'Enero-18'!I741</f>
        <v>100</v>
      </c>
      <c r="H742" s="51"/>
      <c r="I742" s="17">
        <f t="shared" si="14"/>
        <v>100</v>
      </c>
      <c r="J742" s="56"/>
      <c r="K742" s="56"/>
    </row>
    <row r="743" spans="1:11" ht="44.25">
      <c r="A743" s="11">
        <v>54399</v>
      </c>
      <c r="B743" s="53" t="s">
        <v>907</v>
      </c>
      <c r="C743" s="13"/>
      <c r="D743" s="14" t="s">
        <v>18</v>
      </c>
      <c r="E743" s="14" t="s">
        <v>28</v>
      </c>
      <c r="F743" s="14" t="s">
        <v>27</v>
      </c>
      <c r="G743" s="50">
        <f>'Enero-18'!I742</f>
        <v>1890</v>
      </c>
      <c r="H743" s="51"/>
      <c r="I743" s="17">
        <f t="shared" si="14"/>
        <v>1890</v>
      </c>
      <c r="J743" s="56"/>
      <c r="K743" s="56"/>
    </row>
    <row r="744" spans="1:11" ht="29.25">
      <c r="A744" s="11">
        <v>55603</v>
      </c>
      <c r="B744" s="53" t="s">
        <v>908</v>
      </c>
      <c r="C744" s="13"/>
      <c r="D744" s="14" t="s">
        <v>18</v>
      </c>
      <c r="E744" s="14" t="s">
        <v>28</v>
      </c>
      <c r="F744" s="14" t="s">
        <v>27</v>
      </c>
      <c r="G744" s="50">
        <f>'Enero-18'!I743</f>
        <v>10</v>
      </c>
      <c r="H744" s="51"/>
      <c r="I744" s="17">
        <f t="shared" si="14"/>
        <v>10</v>
      </c>
      <c r="J744" s="56"/>
      <c r="K744" s="56"/>
    </row>
    <row r="745" spans="1:11" ht="45">
      <c r="A745" s="141" t="s">
        <v>909</v>
      </c>
      <c r="B745" s="53" t="s">
        <v>910</v>
      </c>
      <c r="C745" s="13"/>
      <c r="D745" s="14"/>
      <c r="E745" s="14"/>
      <c r="F745" s="14"/>
      <c r="G745" s="50">
        <f>'Enero-18'!I744</f>
        <v>0</v>
      </c>
      <c r="H745" s="51"/>
      <c r="I745" s="17"/>
      <c r="J745" s="56"/>
      <c r="K745" s="56"/>
    </row>
    <row r="746" spans="1:11" ht="29.25">
      <c r="A746" s="11">
        <v>51999</v>
      </c>
      <c r="B746" s="54" t="s">
        <v>911</v>
      </c>
      <c r="C746" s="13"/>
      <c r="D746" s="14" t="s">
        <v>18</v>
      </c>
      <c r="E746" s="14" t="s">
        <v>28</v>
      </c>
      <c r="F746" s="14" t="s">
        <v>27</v>
      </c>
      <c r="G746" s="50">
        <f>'Enero-18'!I745</f>
        <v>500</v>
      </c>
      <c r="H746" s="51"/>
      <c r="I746" s="17">
        <f t="shared" si="14"/>
        <v>500</v>
      </c>
      <c r="J746" s="56"/>
      <c r="K746" s="56"/>
    </row>
    <row r="747" spans="1:11" ht="29.25">
      <c r="A747" s="11">
        <v>54110</v>
      </c>
      <c r="B747" s="54" t="s">
        <v>912</v>
      </c>
      <c r="C747" s="13"/>
      <c r="D747" s="14" t="s">
        <v>18</v>
      </c>
      <c r="E747" s="14" t="s">
        <v>28</v>
      </c>
      <c r="F747" s="14" t="s">
        <v>27</v>
      </c>
      <c r="G747" s="50">
        <f>'Enero-18'!I746</f>
        <v>500</v>
      </c>
      <c r="H747" s="51"/>
      <c r="I747" s="17">
        <f t="shared" si="14"/>
        <v>500</v>
      </c>
      <c r="J747" s="56"/>
      <c r="K747" s="56"/>
    </row>
    <row r="748" spans="1:11" ht="30">
      <c r="A748" s="11">
        <v>54111</v>
      </c>
      <c r="B748" s="53" t="s">
        <v>913</v>
      </c>
      <c r="C748" s="13"/>
      <c r="D748" s="14" t="s">
        <v>18</v>
      </c>
      <c r="E748" s="14" t="s">
        <v>28</v>
      </c>
      <c r="F748" s="14" t="s">
        <v>27</v>
      </c>
      <c r="G748" s="50">
        <f>'Enero-18'!I747</f>
        <v>1000</v>
      </c>
      <c r="H748" s="51"/>
      <c r="I748" s="17">
        <f t="shared" si="14"/>
        <v>1000</v>
      </c>
      <c r="J748" s="56"/>
      <c r="K748" s="56"/>
    </row>
    <row r="749" spans="1:11" ht="29.25">
      <c r="A749" s="11">
        <v>54118</v>
      </c>
      <c r="B749" s="53" t="s">
        <v>914</v>
      </c>
      <c r="C749" s="13"/>
      <c r="D749" s="14" t="s">
        <v>18</v>
      </c>
      <c r="E749" s="14" t="s">
        <v>28</v>
      </c>
      <c r="F749" s="14" t="s">
        <v>27</v>
      </c>
      <c r="G749" s="50">
        <f>'Enero-18'!I748</f>
        <v>1000</v>
      </c>
      <c r="H749" s="51"/>
      <c r="I749" s="17">
        <f t="shared" si="14"/>
        <v>1000</v>
      </c>
      <c r="J749" s="56"/>
      <c r="K749" s="56"/>
    </row>
    <row r="750" spans="1:11" ht="29.25">
      <c r="A750" s="11">
        <v>54199</v>
      </c>
      <c r="B750" s="53" t="s">
        <v>915</v>
      </c>
      <c r="C750" s="13"/>
      <c r="D750" s="14" t="s">
        <v>18</v>
      </c>
      <c r="E750" s="14" t="s">
        <v>28</v>
      </c>
      <c r="F750" s="14" t="s">
        <v>27</v>
      </c>
      <c r="G750" s="50">
        <f>'Enero-18'!I749</f>
        <v>500</v>
      </c>
      <c r="H750" s="51"/>
      <c r="I750" s="17">
        <f t="shared" si="14"/>
        <v>500</v>
      </c>
      <c r="J750" s="56"/>
      <c r="K750" s="56"/>
    </row>
    <row r="751" spans="1:11" ht="44.25">
      <c r="A751" s="11">
        <v>54313</v>
      </c>
      <c r="B751" s="53" t="s">
        <v>916</v>
      </c>
      <c r="C751" s="13"/>
      <c r="D751" s="14" t="s">
        <v>18</v>
      </c>
      <c r="E751" s="14" t="s">
        <v>28</v>
      </c>
      <c r="F751" s="14" t="s">
        <v>27</v>
      </c>
      <c r="G751" s="50">
        <f>'Enero-18'!I750</f>
        <v>600</v>
      </c>
      <c r="H751" s="51"/>
      <c r="I751" s="17">
        <f t="shared" si="14"/>
        <v>600</v>
      </c>
      <c r="J751" s="56"/>
      <c r="K751" s="56"/>
    </row>
    <row r="752" spans="1:11" ht="30">
      <c r="A752" s="11">
        <v>54399</v>
      </c>
      <c r="B752" s="53" t="s">
        <v>917</v>
      </c>
      <c r="C752" s="13"/>
      <c r="D752" s="14" t="s">
        <v>18</v>
      </c>
      <c r="E752" s="14" t="s">
        <v>28</v>
      </c>
      <c r="F752" s="14" t="s">
        <v>27</v>
      </c>
      <c r="G752" s="50">
        <f>'Enero-18'!I751</f>
        <v>890</v>
      </c>
      <c r="H752" s="51"/>
      <c r="I752" s="17">
        <f t="shared" si="14"/>
        <v>890</v>
      </c>
      <c r="J752" s="56"/>
      <c r="K752" s="56"/>
    </row>
    <row r="753" spans="1:11" ht="29.25">
      <c r="A753" s="11">
        <v>55603</v>
      </c>
      <c r="B753" s="53" t="s">
        <v>918</v>
      </c>
      <c r="C753" s="13"/>
      <c r="D753" s="14" t="s">
        <v>18</v>
      </c>
      <c r="E753" s="14" t="s">
        <v>28</v>
      </c>
      <c r="F753" s="14" t="s">
        <v>27</v>
      </c>
      <c r="G753" s="50">
        <f>'Enero-18'!I752</f>
        <v>10</v>
      </c>
      <c r="H753" s="51"/>
      <c r="I753" s="17">
        <f t="shared" si="14"/>
        <v>10</v>
      </c>
      <c r="J753" s="56"/>
      <c r="K753" s="56"/>
    </row>
    <row r="754" spans="1:11" ht="74.25">
      <c r="A754" s="141">
        <v>43</v>
      </c>
      <c r="B754" s="53" t="s">
        <v>964</v>
      </c>
      <c r="C754" s="13"/>
      <c r="D754" s="14"/>
      <c r="E754" s="14"/>
      <c r="F754" s="14"/>
      <c r="G754" s="50">
        <f>'Enero-18'!I753</f>
        <v>0</v>
      </c>
      <c r="H754" s="51"/>
      <c r="I754" s="17"/>
      <c r="J754" s="56"/>
      <c r="K754" s="56"/>
    </row>
    <row r="755" spans="1:11" s="178" customFormat="1" ht="45">
      <c r="A755" s="1" t="s">
        <v>19</v>
      </c>
      <c r="B755" s="179" t="s">
        <v>965</v>
      </c>
      <c r="C755" s="180"/>
      <c r="D755" s="14" t="s">
        <v>18</v>
      </c>
      <c r="E755" s="14" t="s">
        <v>28</v>
      </c>
      <c r="F755" s="14" t="s">
        <v>27</v>
      </c>
      <c r="G755" s="50">
        <f>'Enero-18'!I754</f>
        <v>24000</v>
      </c>
      <c r="H755" s="210">
        <f>6995.78</f>
        <v>6995.78</v>
      </c>
      <c r="I755" s="17">
        <f t="shared" si="14"/>
        <v>13004.220000000001</v>
      </c>
      <c r="J755" s="136"/>
      <c r="K755" s="209">
        <v>4000</v>
      </c>
    </row>
    <row r="756" spans="1:11" s="178" customFormat="1" ht="71.25">
      <c r="A756" s="1">
        <v>51202</v>
      </c>
      <c r="B756" s="53" t="s">
        <v>985</v>
      </c>
      <c r="C756" s="180"/>
      <c r="D756" s="14" t="s">
        <v>18</v>
      </c>
      <c r="E756" s="14" t="s">
        <v>28</v>
      </c>
      <c r="F756" s="14" t="s">
        <v>27</v>
      </c>
      <c r="G756" s="50"/>
      <c r="H756" s="210">
        <f>183.33+183.33+111.11+122.22+122.22+122.22</f>
        <v>844.43000000000006</v>
      </c>
      <c r="I756" s="17">
        <f t="shared" si="14"/>
        <v>3155.5699999999997</v>
      </c>
      <c r="J756" s="209">
        <v>4000</v>
      </c>
      <c r="K756" s="209"/>
    </row>
    <row r="757" spans="1:11" ht="29.25">
      <c r="A757" s="11">
        <v>54118</v>
      </c>
      <c r="B757" s="53" t="s">
        <v>919</v>
      </c>
      <c r="C757" s="13"/>
      <c r="D757" s="14" t="s">
        <v>18</v>
      </c>
      <c r="E757" s="14" t="s">
        <v>28</v>
      </c>
      <c r="F757" s="14" t="s">
        <v>27</v>
      </c>
      <c r="G757" s="50">
        <f>'Enero-18'!I755</f>
        <v>290</v>
      </c>
      <c r="H757" s="51"/>
      <c r="I757" s="17">
        <f t="shared" si="14"/>
        <v>290</v>
      </c>
      <c r="J757" s="56"/>
      <c r="K757" s="56"/>
    </row>
    <row r="758" spans="1:11" ht="44.25">
      <c r="A758" s="11">
        <v>54313</v>
      </c>
      <c r="B758" s="168" t="s">
        <v>920</v>
      </c>
      <c r="C758" s="13"/>
      <c r="D758" s="14" t="s">
        <v>18</v>
      </c>
      <c r="E758" s="14" t="s">
        <v>28</v>
      </c>
      <c r="F758" s="14" t="s">
        <v>27</v>
      </c>
      <c r="G758" s="50">
        <f>'Enero-18'!I756</f>
        <v>300</v>
      </c>
      <c r="H758" s="51"/>
      <c r="I758" s="17">
        <f t="shared" si="14"/>
        <v>300</v>
      </c>
      <c r="J758" s="56"/>
      <c r="K758" s="56"/>
    </row>
    <row r="759" spans="1:11" ht="29.25">
      <c r="A759" s="11">
        <v>56303</v>
      </c>
      <c r="B759" s="53" t="s">
        <v>921</v>
      </c>
      <c r="C759" s="13"/>
      <c r="D759" s="14" t="s">
        <v>18</v>
      </c>
      <c r="E759" s="14" t="s">
        <v>28</v>
      </c>
      <c r="F759" s="14" t="s">
        <v>27</v>
      </c>
      <c r="G759" s="50">
        <f>'Enero-18'!I757</f>
        <v>400</v>
      </c>
      <c r="H759" s="51"/>
      <c r="I759" s="17">
        <f t="shared" si="14"/>
        <v>400</v>
      </c>
      <c r="J759" s="56"/>
      <c r="K759" s="56"/>
    </row>
    <row r="760" spans="1:11" ht="29.25">
      <c r="A760" s="11">
        <v>55603</v>
      </c>
      <c r="B760" s="53" t="s">
        <v>922</v>
      </c>
      <c r="C760" s="13"/>
      <c r="D760" s="14" t="s">
        <v>18</v>
      </c>
      <c r="E760" s="14" t="s">
        <v>28</v>
      </c>
      <c r="F760" s="14" t="s">
        <v>27</v>
      </c>
      <c r="G760" s="50">
        <f>'Enero-18'!I758</f>
        <v>7.17</v>
      </c>
      <c r="H760" s="51"/>
      <c r="I760" s="17">
        <f t="shared" si="14"/>
        <v>7.17</v>
      </c>
      <c r="J760" s="56"/>
      <c r="K760" s="56"/>
    </row>
    <row r="761" spans="1:11" ht="103.5">
      <c r="A761" s="11" t="s">
        <v>923</v>
      </c>
      <c r="B761" s="53" t="s">
        <v>924</v>
      </c>
      <c r="C761" s="13"/>
      <c r="D761" s="14" t="s">
        <v>18</v>
      </c>
      <c r="E761" s="14" t="s">
        <v>28</v>
      </c>
      <c r="F761" s="14" t="s">
        <v>27</v>
      </c>
      <c r="G761" s="50">
        <f>'Enero-18'!I759</f>
        <v>85682.41</v>
      </c>
      <c r="H761" s="51"/>
      <c r="I761" s="17">
        <f t="shared" si="14"/>
        <v>85682.41</v>
      </c>
      <c r="J761" s="56"/>
      <c r="K761" s="56"/>
    </row>
    <row r="762" spans="1:11">
      <c r="A762" s="38"/>
      <c r="B762" s="161" t="s">
        <v>975</v>
      </c>
      <c r="C762" s="39"/>
      <c r="D762" s="39"/>
      <c r="E762" s="39"/>
      <c r="F762" s="39"/>
      <c r="G762" s="40">
        <f>SUM(G401:G761)</f>
        <v>978516.04</v>
      </c>
      <c r="H762" s="95">
        <f>SUM(H401:H761)</f>
        <v>35647.08</v>
      </c>
      <c r="I762" s="40">
        <f>SUM(I401:I761)</f>
        <v>942868.96</v>
      </c>
      <c r="J762" s="40">
        <f>SUM(J445:J761)</f>
        <v>6679</v>
      </c>
      <c r="K762" s="40">
        <f>SUM(K445:K761)</f>
        <v>6679</v>
      </c>
    </row>
    <row r="763" spans="1:11" s="198" customFormat="1" ht="42" customHeight="1" thickBot="1">
      <c r="A763" s="191" t="s">
        <v>925</v>
      </c>
      <c r="B763" s="192" t="s">
        <v>926</v>
      </c>
      <c r="C763" s="193"/>
      <c r="D763" s="194" t="s">
        <v>20</v>
      </c>
      <c r="E763" s="194" t="s">
        <v>31</v>
      </c>
      <c r="F763" s="194" t="s">
        <v>27</v>
      </c>
      <c r="G763" s="195">
        <f>'Enero-18'!I761</f>
        <v>23253.55</v>
      </c>
      <c r="H763" s="246">
        <v>22712.639999999999</v>
      </c>
      <c r="I763" s="196">
        <f t="shared" si="14"/>
        <v>540.90999999999985</v>
      </c>
      <c r="J763" s="197"/>
      <c r="K763" s="197"/>
    </row>
    <row r="764" spans="1:11" s="199" customFormat="1" ht="23.25" customHeight="1" thickBot="1">
      <c r="A764" s="38"/>
      <c r="B764" s="161" t="s">
        <v>21</v>
      </c>
      <c r="C764" s="39"/>
      <c r="D764" s="39"/>
      <c r="E764" s="39"/>
      <c r="F764" s="39"/>
      <c r="G764" s="40">
        <f>SUM(G763)</f>
        <v>23253.55</v>
      </c>
      <c r="H764" s="95">
        <f>SUM(H763)</f>
        <v>22712.639999999999</v>
      </c>
      <c r="I764" s="196">
        <f t="shared" si="14"/>
        <v>540.90999999999985</v>
      </c>
      <c r="J764" s="40"/>
      <c r="K764" s="40"/>
    </row>
    <row r="765" spans="1:11" s="171" customFormat="1" ht="45">
      <c r="A765" s="184" t="s">
        <v>929</v>
      </c>
      <c r="B765" s="185" t="s">
        <v>928</v>
      </c>
      <c r="C765" s="186"/>
      <c r="D765" s="187" t="s">
        <v>22</v>
      </c>
      <c r="E765" s="187" t="s">
        <v>31</v>
      </c>
      <c r="F765" s="187" t="s">
        <v>27</v>
      </c>
      <c r="G765" s="188">
        <f>'Enero-18'!I763</f>
        <v>643.39</v>
      </c>
      <c r="H765" s="245">
        <v>189.04</v>
      </c>
      <c r="I765" s="189">
        <f t="shared" si="14"/>
        <v>454.35</v>
      </c>
      <c r="J765" s="190"/>
      <c r="K765" s="190"/>
    </row>
    <row r="766" spans="1:11" s="171" customFormat="1" ht="63" customHeight="1">
      <c r="A766" s="175" t="s">
        <v>927</v>
      </c>
      <c r="B766" s="174" t="s">
        <v>978</v>
      </c>
      <c r="C766" s="139"/>
      <c r="D766" s="14" t="s">
        <v>22</v>
      </c>
      <c r="E766" s="14" t="s">
        <v>31</v>
      </c>
      <c r="F766" s="14" t="s">
        <v>27</v>
      </c>
      <c r="G766" s="188">
        <f>'Enero-18'!I764</f>
        <v>1096.76</v>
      </c>
      <c r="H766" s="244">
        <f>403.24</f>
        <v>403.24</v>
      </c>
      <c r="I766" s="17">
        <f t="shared" si="14"/>
        <v>693.52</v>
      </c>
      <c r="J766" s="140"/>
      <c r="K766" s="140"/>
    </row>
    <row r="767" spans="1:11">
      <c r="A767" s="38"/>
      <c r="B767" s="161" t="s">
        <v>23</v>
      </c>
      <c r="C767" s="39"/>
      <c r="D767" s="39"/>
      <c r="E767" s="39"/>
      <c r="F767" s="39"/>
      <c r="G767" s="40">
        <f>SUM(G765:G766)</f>
        <v>1740.15</v>
      </c>
      <c r="H767" s="95">
        <f>SUM(H765:H766)</f>
        <v>592.28</v>
      </c>
      <c r="I767" s="17">
        <f t="shared" si="14"/>
        <v>1147.8700000000001</v>
      </c>
      <c r="J767" s="40"/>
      <c r="K767" s="40"/>
    </row>
    <row r="768" spans="1:11" s="171" customFormat="1" ht="119.25" customHeight="1">
      <c r="A768" s="169" t="s">
        <v>200</v>
      </c>
      <c r="B768" s="174" t="s">
        <v>930</v>
      </c>
      <c r="C768" s="139"/>
      <c r="D768" s="139"/>
      <c r="E768" s="139"/>
      <c r="F768" s="139"/>
      <c r="G768" s="170"/>
      <c r="H768" s="170"/>
      <c r="I768" s="140"/>
      <c r="J768" s="140"/>
      <c r="K768" s="140"/>
    </row>
    <row r="769" spans="1:11" s="171" customFormat="1" ht="30">
      <c r="A769" s="182">
        <v>51999</v>
      </c>
      <c r="B769" s="173" t="s">
        <v>933</v>
      </c>
      <c r="C769" s="139"/>
      <c r="D769" s="14" t="s">
        <v>11</v>
      </c>
      <c r="E769" s="14" t="s">
        <v>25</v>
      </c>
      <c r="F769" s="139" t="s">
        <v>991</v>
      </c>
      <c r="G769" s="170">
        <f>'Enero-18'!I767</f>
        <v>10150</v>
      </c>
      <c r="H769" s="140">
        <f>1300+550+1500</f>
        <v>3350</v>
      </c>
      <c r="I769" s="17">
        <f t="shared" ref="I769:I804" si="15">G769-H769+J769-K769</f>
        <v>6800</v>
      </c>
      <c r="J769" s="140"/>
      <c r="K769" s="140"/>
    </row>
    <row r="770" spans="1:11" s="171" customFormat="1">
      <c r="A770" s="182">
        <v>54199</v>
      </c>
      <c r="B770" s="173" t="s">
        <v>931</v>
      </c>
      <c r="C770" s="139"/>
      <c r="D770" s="14" t="s">
        <v>11</v>
      </c>
      <c r="E770" s="14" t="s">
        <v>25</v>
      </c>
      <c r="F770" s="139" t="s">
        <v>991</v>
      </c>
      <c r="G770" s="170">
        <f>'Enero-18'!I768</f>
        <v>3000</v>
      </c>
      <c r="H770" s="170"/>
      <c r="I770" s="17">
        <f t="shared" si="15"/>
        <v>3000</v>
      </c>
      <c r="J770" s="140"/>
      <c r="K770" s="140"/>
    </row>
    <row r="771" spans="1:11" s="171" customFormat="1">
      <c r="A771" s="182">
        <v>55799</v>
      </c>
      <c r="B771" s="173" t="s">
        <v>932</v>
      </c>
      <c r="C771" s="139"/>
      <c r="D771" s="14" t="s">
        <v>11</v>
      </c>
      <c r="E771" s="14" t="s">
        <v>25</v>
      </c>
      <c r="F771" s="139" t="s">
        <v>991</v>
      </c>
      <c r="G771" s="170">
        <f>'Enero-18'!I769</f>
        <v>3413.68</v>
      </c>
      <c r="H771" s="170"/>
      <c r="I771" s="17">
        <f t="shared" si="15"/>
        <v>3413.68</v>
      </c>
      <c r="J771" s="140"/>
      <c r="K771" s="140"/>
    </row>
    <row r="772" spans="1:11" s="171" customFormat="1" ht="71.25">
      <c r="A772" s="176" t="s">
        <v>201</v>
      </c>
      <c r="B772" s="173" t="s">
        <v>934</v>
      </c>
      <c r="C772" s="139"/>
      <c r="D772" s="139"/>
      <c r="E772" s="139"/>
      <c r="F772" s="139" t="s">
        <v>991</v>
      </c>
      <c r="G772" s="170"/>
      <c r="H772" s="170"/>
      <c r="I772" s="17"/>
      <c r="J772" s="140"/>
      <c r="K772" s="140"/>
    </row>
    <row r="773" spans="1:11" s="171" customFormat="1" ht="29.25">
      <c r="A773" s="176">
        <v>51202</v>
      </c>
      <c r="B773" s="173" t="s">
        <v>954</v>
      </c>
      <c r="C773" s="139"/>
      <c r="D773" s="14" t="s">
        <v>11</v>
      </c>
      <c r="E773" s="14" t="s">
        <v>25</v>
      </c>
      <c r="F773" s="139" t="s">
        <v>991</v>
      </c>
      <c r="G773" s="170">
        <f>'Enero-18'!I771</f>
        <v>11197.79</v>
      </c>
      <c r="H773" s="140">
        <f>2053.3+2382.19</f>
        <v>4435.49</v>
      </c>
      <c r="I773" s="17">
        <f t="shared" si="15"/>
        <v>6762.3000000000011</v>
      </c>
      <c r="J773" s="140"/>
      <c r="K773" s="140"/>
    </row>
    <row r="774" spans="1:11" s="171" customFormat="1" ht="29.25">
      <c r="A774" s="176">
        <v>51999</v>
      </c>
      <c r="B774" s="177" t="s">
        <v>935</v>
      </c>
      <c r="C774" s="139"/>
      <c r="D774" s="14" t="s">
        <v>11</v>
      </c>
      <c r="E774" s="14" t="s">
        <v>25</v>
      </c>
      <c r="F774" s="139" t="s">
        <v>991</v>
      </c>
      <c r="G774" s="170">
        <f>'Enero-18'!I772</f>
        <v>1000</v>
      </c>
      <c r="H774" s="140"/>
      <c r="I774" s="17">
        <f t="shared" si="15"/>
        <v>1000</v>
      </c>
      <c r="J774" s="140"/>
      <c r="K774" s="140"/>
    </row>
    <row r="775" spans="1:11" s="171" customFormat="1" ht="29.25">
      <c r="A775" s="176">
        <v>54110</v>
      </c>
      <c r="B775" s="177" t="s">
        <v>936</v>
      </c>
      <c r="C775" s="139"/>
      <c r="D775" s="14" t="s">
        <v>11</v>
      </c>
      <c r="E775" s="14" t="s">
        <v>25</v>
      </c>
      <c r="F775" s="139" t="s">
        <v>991</v>
      </c>
      <c r="G775" s="170">
        <f>'Enero-18'!I773</f>
        <v>2000</v>
      </c>
      <c r="H775" s="140">
        <f>106.14</f>
        <v>106.14</v>
      </c>
      <c r="I775" s="17">
        <f t="shared" si="15"/>
        <v>1893.86</v>
      </c>
      <c r="J775" s="140"/>
      <c r="K775" s="140"/>
    </row>
    <row r="776" spans="1:11" s="171" customFormat="1" ht="44.25">
      <c r="A776" s="176">
        <v>54111</v>
      </c>
      <c r="B776" s="173" t="s">
        <v>937</v>
      </c>
      <c r="C776" s="139"/>
      <c r="D776" s="14" t="s">
        <v>11</v>
      </c>
      <c r="E776" s="14" t="s">
        <v>25</v>
      </c>
      <c r="F776" s="139" t="s">
        <v>991</v>
      </c>
      <c r="G776" s="170">
        <f>'Enero-18'!I774</f>
        <v>15000</v>
      </c>
      <c r="H776" s="140">
        <f>172+645</f>
        <v>817</v>
      </c>
      <c r="I776" s="17">
        <f t="shared" si="15"/>
        <v>12183</v>
      </c>
      <c r="J776" s="140"/>
      <c r="K776" s="135">
        <v>2000</v>
      </c>
    </row>
    <row r="777" spans="1:11" s="171" customFormat="1" ht="44.25">
      <c r="A777" s="176">
        <v>54112</v>
      </c>
      <c r="B777" s="173" t="s">
        <v>938</v>
      </c>
      <c r="C777" s="139"/>
      <c r="D777" s="14" t="s">
        <v>11</v>
      </c>
      <c r="E777" s="14" t="s">
        <v>25</v>
      </c>
      <c r="F777" s="139" t="s">
        <v>991</v>
      </c>
      <c r="G777" s="170">
        <f>'Enero-18'!I775</f>
        <v>6000</v>
      </c>
      <c r="H777" s="140">
        <f>4831.4+309.7+605+3390</f>
        <v>9136.0999999999985</v>
      </c>
      <c r="I777" s="17">
        <f t="shared" si="15"/>
        <v>1863.9000000000015</v>
      </c>
      <c r="J777" s="135">
        <v>5000</v>
      </c>
      <c r="K777" s="140"/>
    </row>
    <row r="778" spans="1:11" s="171" customFormat="1" ht="29.25">
      <c r="A778" s="176">
        <v>54118</v>
      </c>
      <c r="B778" s="173" t="s">
        <v>939</v>
      </c>
      <c r="C778" s="139"/>
      <c r="D778" s="14" t="s">
        <v>11</v>
      </c>
      <c r="E778" s="14" t="s">
        <v>25</v>
      </c>
      <c r="F778" s="139" t="s">
        <v>991</v>
      </c>
      <c r="G778" s="170">
        <f>'Enero-18'!I776</f>
        <v>3000</v>
      </c>
      <c r="H778" s="244">
        <f>290.05+145.5</f>
        <v>435.55</v>
      </c>
      <c r="I778" s="17">
        <f t="shared" si="15"/>
        <v>2564.4499999999998</v>
      </c>
      <c r="J778" s="140"/>
      <c r="K778" s="140"/>
    </row>
    <row r="779" spans="1:11" s="171" customFormat="1" ht="29.25">
      <c r="A779" s="176">
        <v>54304</v>
      </c>
      <c r="B779" s="173" t="s">
        <v>940</v>
      </c>
      <c r="C779" s="139"/>
      <c r="D779" s="14" t="s">
        <v>11</v>
      </c>
      <c r="E779" s="14" t="s">
        <v>25</v>
      </c>
      <c r="F779" s="139" t="s">
        <v>991</v>
      </c>
      <c r="G779" s="170">
        <f>'Enero-18'!I777</f>
        <v>8000</v>
      </c>
      <c r="H779" s="170"/>
      <c r="I779" s="17">
        <f t="shared" si="15"/>
        <v>5000</v>
      </c>
      <c r="J779" s="140"/>
      <c r="K779" s="135">
        <v>3000</v>
      </c>
    </row>
    <row r="780" spans="1:11" s="171" customFormat="1" ht="44.25">
      <c r="A780" s="176">
        <v>54313</v>
      </c>
      <c r="B780" s="173" t="s">
        <v>941</v>
      </c>
      <c r="C780" s="139"/>
      <c r="D780" s="14" t="s">
        <v>11</v>
      </c>
      <c r="E780" s="14" t="s">
        <v>25</v>
      </c>
      <c r="F780" s="139" t="s">
        <v>991</v>
      </c>
      <c r="G780" s="170">
        <f>'Enero-18'!I778</f>
        <v>1000</v>
      </c>
      <c r="H780" s="170"/>
      <c r="I780" s="17">
        <f t="shared" si="15"/>
        <v>1000</v>
      </c>
      <c r="J780" s="140"/>
      <c r="K780" s="140"/>
    </row>
    <row r="781" spans="1:11" s="171" customFormat="1" ht="44.25">
      <c r="A781" s="176">
        <v>54399</v>
      </c>
      <c r="B781" s="173" t="s">
        <v>942</v>
      </c>
      <c r="C781" s="139"/>
      <c r="D781" s="14" t="s">
        <v>11</v>
      </c>
      <c r="E781" s="14" t="s">
        <v>25</v>
      </c>
      <c r="F781" s="139" t="s">
        <v>991</v>
      </c>
      <c r="G781" s="170">
        <f>'Enero-18'!I779</f>
        <v>1995</v>
      </c>
      <c r="H781" s="170"/>
      <c r="I781" s="17">
        <f t="shared" si="15"/>
        <v>1995</v>
      </c>
      <c r="J781" s="140"/>
      <c r="K781" s="140"/>
    </row>
    <row r="782" spans="1:11" s="171" customFormat="1" ht="29.25">
      <c r="A782" s="176">
        <v>55603</v>
      </c>
      <c r="B782" s="173" t="s">
        <v>943</v>
      </c>
      <c r="C782" s="139"/>
      <c r="D782" s="14" t="s">
        <v>11</v>
      </c>
      <c r="E782" s="14" t="s">
        <v>25</v>
      </c>
      <c r="F782" s="139" t="s">
        <v>991</v>
      </c>
      <c r="G782" s="170">
        <f>'Enero-18'!I780</f>
        <v>5</v>
      </c>
      <c r="H782" s="170"/>
      <c r="I782" s="17">
        <f t="shared" si="15"/>
        <v>5</v>
      </c>
      <c r="J782" s="140"/>
      <c r="K782" s="140"/>
    </row>
    <row r="783" spans="1:11" s="171" customFormat="1" ht="85.5">
      <c r="A783" s="169" t="s">
        <v>220</v>
      </c>
      <c r="B783" s="241" t="s">
        <v>973</v>
      </c>
      <c r="C783" s="139"/>
      <c r="D783" s="14"/>
      <c r="E783" s="14"/>
      <c r="F783" s="139" t="s">
        <v>991</v>
      </c>
      <c r="G783" s="170"/>
      <c r="H783" s="170"/>
      <c r="I783" s="17"/>
      <c r="J783" s="140"/>
      <c r="K783" s="140"/>
    </row>
    <row r="784" spans="1:11" s="171" customFormat="1" ht="29.25">
      <c r="A784" s="176">
        <v>51202</v>
      </c>
      <c r="B784" s="173" t="s">
        <v>944</v>
      </c>
      <c r="C784" s="139"/>
      <c r="D784" s="14" t="s">
        <v>11</v>
      </c>
      <c r="E784" s="14" t="s">
        <v>25</v>
      </c>
      <c r="F784" s="139" t="s">
        <v>991</v>
      </c>
      <c r="G784" s="170">
        <f>'Enero-18'!I782</f>
        <v>14533.33</v>
      </c>
      <c r="H784" s="140">
        <f>544.44+902.21</f>
        <v>1446.65</v>
      </c>
      <c r="I784" s="17">
        <f t="shared" si="15"/>
        <v>13086.68</v>
      </c>
      <c r="J784" s="140"/>
      <c r="K784" s="140"/>
    </row>
    <row r="785" spans="1:11" s="171" customFormat="1" ht="29.25">
      <c r="A785" s="176">
        <v>51999</v>
      </c>
      <c r="B785" s="173" t="s">
        <v>946</v>
      </c>
      <c r="C785" s="139"/>
      <c r="D785" s="14" t="s">
        <v>11</v>
      </c>
      <c r="E785" s="14" t="s">
        <v>25</v>
      </c>
      <c r="F785" s="139" t="s">
        <v>991</v>
      </c>
      <c r="G785" s="170">
        <f>'Enero-18'!I783</f>
        <v>1000</v>
      </c>
      <c r="H785" s="140"/>
      <c r="I785" s="17">
        <f t="shared" si="15"/>
        <v>1000</v>
      </c>
      <c r="J785" s="140"/>
      <c r="K785" s="140"/>
    </row>
    <row r="786" spans="1:11" s="171" customFormat="1" ht="29.25">
      <c r="A786" s="176">
        <v>54110</v>
      </c>
      <c r="B786" s="173" t="s">
        <v>945</v>
      </c>
      <c r="C786" s="139"/>
      <c r="D786" s="14" t="s">
        <v>11</v>
      </c>
      <c r="E786" s="14" t="s">
        <v>25</v>
      </c>
      <c r="F786" s="139" t="s">
        <v>991</v>
      </c>
      <c r="G786" s="170">
        <f>'Enero-18'!I784</f>
        <v>2000</v>
      </c>
      <c r="H786" s="140"/>
      <c r="I786" s="17">
        <f t="shared" si="15"/>
        <v>2000</v>
      </c>
      <c r="J786" s="140"/>
      <c r="K786" s="140"/>
    </row>
    <row r="787" spans="1:11" s="171" customFormat="1" ht="41.25" customHeight="1">
      <c r="A787" s="176">
        <v>54111</v>
      </c>
      <c r="B787" s="173" t="s">
        <v>947</v>
      </c>
      <c r="C787" s="139"/>
      <c r="D787" s="14" t="s">
        <v>11</v>
      </c>
      <c r="E787" s="14" t="s">
        <v>25</v>
      </c>
      <c r="F787" s="139" t="s">
        <v>991</v>
      </c>
      <c r="G787" s="170">
        <f>'Enero-18'!I785</f>
        <v>18000</v>
      </c>
      <c r="H787" s="140"/>
      <c r="I787" s="17">
        <f t="shared" si="15"/>
        <v>18000</v>
      </c>
      <c r="J787" s="140"/>
      <c r="K787" s="140"/>
    </row>
    <row r="788" spans="1:11" s="171" customFormat="1" ht="35.25" customHeight="1">
      <c r="A788" s="176">
        <v>54112</v>
      </c>
      <c r="B788" s="173" t="s">
        <v>948</v>
      </c>
      <c r="C788" s="139"/>
      <c r="D788" s="14" t="s">
        <v>11</v>
      </c>
      <c r="E788" s="14" t="s">
        <v>25</v>
      </c>
      <c r="F788" s="139" t="s">
        <v>991</v>
      </c>
      <c r="G788" s="170">
        <f>'Enero-18'!I786</f>
        <v>6000</v>
      </c>
      <c r="H788" s="140">
        <f>734.05</f>
        <v>734.05</v>
      </c>
      <c r="I788" s="17">
        <f t="shared" si="15"/>
        <v>5265.95</v>
      </c>
      <c r="J788" s="140"/>
      <c r="K788" s="140"/>
    </row>
    <row r="789" spans="1:11" s="171" customFormat="1" ht="29.25">
      <c r="A789" s="176">
        <v>54118</v>
      </c>
      <c r="B789" s="173" t="s">
        <v>949</v>
      </c>
      <c r="C789" s="139"/>
      <c r="D789" s="14" t="s">
        <v>11</v>
      </c>
      <c r="E789" s="14" t="s">
        <v>25</v>
      </c>
      <c r="F789" s="139" t="s">
        <v>991</v>
      </c>
      <c r="G789" s="170">
        <f>'Enero-18'!I787</f>
        <v>3000</v>
      </c>
      <c r="H789" s="140"/>
      <c r="I789" s="17">
        <f t="shared" si="15"/>
        <v>3000</v>
      </c>
      <c r="J789" s="140"/>
      <c r="K789" s="140"/>
    </row>
    <row r="790" spans="1:11" s="171" customFormat="1" ht="29.25">
      <c r="A790" s="176">
        <v>54304</v>
      </c>
      <c r="B790" s="173" t="s">
        <v>950</v>
      </c>
      <c r="C790" s="139"/>
      <c r="D790" s="14" t="s">
        <v>11</v>
      </c>
      <c r="E790" s="14" t="s">
        <v>25</v>
      </c>
      <c r="F790" s="139" t="s">
        <v>991</v>
      </c>
      <c r="G790" s="170">
        <f>'Enero-18'!I788</f>
        <v>12000</v>
      </c>
      <c r="H790" s="140"/>
      <c r="I790" s="17">
        <f t="shared" si="15"/>
        <v>12000</v>
      </c>
      <c r="J790" s="140"/>
      <c r="K790" s="140"/>
    </row>
    <row r="791" spans="1:11" s="171" customFormat="1" ht="44.25">
      <c r="A791" s="176">
        <v>54313</v>
      </c>
      <c r="B791" s="173" t="s">
        <v>951</v>
      </c>
      <c r="C791" s="139"/>
      <c r="D791" s="14" t="s">
        <v>11</v>
      </c>
      <c r="E791" s="14" t="s">
        <v>25</v>
      </c>
      <c r="F791" s="139" t="s">
        <v>991</v>
      </c>
      <c r="G791" s="170">
        <f>'Enero-18'!I789</f>
        <v>1000</v>
      </c>
      <c r="H791" s="140"/>
      <c r="I791" s="17">
        <f t="shared" si="15"/>
        <v>1000</v>
      </c>
      <c r="J791" s="140"/>
      <c r="K791" s="140"/>
    </row>
    <row r="792" spans="1:11" s="171" customFormat="1" ht="44.25">
      <c r="A792" s="176">
        <v>54399</v>
      </c>
      <c r="B792" s="173" t="s">
        <v>952</v>
      </c>
      <c r="C792" s="139"/>
      <c r="D792" s="14" t="s">
        <v>11</v>
      </c>
      <c r="E792" s="14" t="s">
        <v>25</v>
      </c>
      <c r="F792" s="139" t="s">
        <v>991</v>
      </c>
      <c r="G792" s="170">
        <f>'Enero-18'!I790</f>
        <v>1995</v>
      </c>
      <c r="H792" s="140"/>
      <c r="I792" s="17">
        <f t="shared" si="15"/>
        <v>1995</v>
      </c>
      <c r="J792" s="140"/>
      <c r="K792" s="140"/>
    </row>
    <row r="793" spans="1:11" s="171" customFormat="1" ht="29.25">
      <c r="A793" s="176">
        <v>55603</v>
      </c>
      <c r="B793" s="173" t="s">
        <v>953</v>
      </c>
      <c r="C793" s="139"/>
      <c r="D793" s="14" t="s">
        <v>11</v>
      </c>
      <c r="E793" s="14" t="s">
        <v>25</v>
      </c>
      <c r="F793" s="139" t="s">
        <v>991</v>
      </c>
      <c r="G793" s="170">
        <f>'Enero-18'!I791</f>
        <v>5</v>
      </c>
      <c r="H793" s="140"/>
      <c r="I793" s="17">
        <f t="shared" si="15"/>
        <v>5</v>
      </c>
      <c r="J793" s="140"/>
      <c r="K793" s="140"/>
    </row>
    <row r="794" spans="1:11" s="171" customFormat="1" ht="99.75">
      <c r="A794" s="169" t="s">
        <v>238</v>
      </c>
      <c r="B794" s="241" t="s">
        <v>972</v>
      </c>
      <c r="C794" s="139"/>
      <c r="D794" s="14"/>
      <c r="E794" s="14"/>
      <c r="F794" s="139" t="s">
        <v>991</v>
      </c>
      <c r="G794" s="170"/>
      <c r="H794" s="170"/>
      <c r="I794" s="17"/>
      <c r="J794" s="140"/>
      <c r="K794" s="140"/>
    </row>
    <row r="795" spans="1:11" s="171" customFormat="1" ht="29.25">
      <c r="A795" s="176">
        <v>51202</v>
      </c>
      <c r="B795" s="173" t="s">
        <v>955</v>
      </c>
      <c r="C795" s="139"/>
      <c r="D795" s="14" t="s">
        <v>11</v>
      </c>
      <c r="E795" s="14" t="s">
        <v>25</v>
      </c>
      <c r="F795" s="139" t="s">
        <v>991</v>
      </c>
      <c r="G795" s="170">
        <f>'Enero-18'!I793</f>
        <v>11516.66</v>
      </c>
      <c r="H795" s="140">
        <f>1866.64+1182.2</f>
        <v>3048.84</v>
      </c>
      <c r="I795" s="17">
        <f t="shared" si="15"/>
        <v>8467.82</v>
      </c>
      <c r="J795" s="140"/>
      <c r="K795" s="140"/>
    </row>
    <row r="796" spans="1:11" s="171" customFormat="1" ht="43.5">
      <c r="A796" s="176">
        <v>51999</v>
      </c>
      <c r="B796" s="173" t="s">
        <v>956</v>
      </c>
      <c r="C796" s="139"/>
      <c r="D796" s="14" t="s">
        <v>11</v>
      </c>
      <c r="E796" s="14" t="s">
        <v>25</v>
      </c>
      <c r="F796" s="139" t="s">
        <v>991</v>
      </c>
      <c r="G796" s="170">
        <f>'Enero-18'!I794</f>
        <v>1000</v>
      </c>
      <c r="H796" s="140"/>
      <c r="I796" s="17">
        <f t="shared" si="15"/>
        <v>1000</v>
      </c>
      <c r="J796" s="140"/>
      <c r="K796" s="140"/>
    </row>
    <row r="797" spans="1:11" s="171" customFormat="1" ht="43.5">
      <c r="A797" s="176">
        <v>54110</v>
      </c>
      <c r="B797" s="173" t="s">
        <v>957</v>
      </c>
      <c r="C797" s="139"/>
      <c r="D797" s="14" t="s">
        <v>11</v>
      </c>
      <c r="E797" s="14" t="s">
        <v>25</v>
      </c>
      <c r="F797" s="139" t="s">
        <v>991</v>
      </c>
      <c r="G797" s="170">
        <f>'Enero-18'!I795</f>
        <v>2000</v>
      </c>
      <c r="H797" s="140">
        <f>90.8</f>
        <v>90.8</v>
      </c>
      <c r="I797" s="17">
        <f t="shared" si="15"/>
        <v>1909.2</v>
      </c>
      <c r="J797" s="140"/>
      <c r="K797" s="140"/>
    </row>
    <row r="798" spans="1:11" s="171" customFormat="1" ht="44.25">
      <c r="A798" s="176">
        <v>54111</v>
      </c>
      <c r="B798" s="173" t="s">
        <v>958</v>
      </c>
      <c r="C798" s="139"/>
      <c r="D798" s="14" t="s">
        <v>11</v>
      </c>
      <c r="E798" s="14" t="s">
        <v>25</v>
      </c>
      <c r="F798" s="139" t="s">
        <v>991</v>
      </c>
      <c r="G798" s="170">
        <f>'Enero-18'!I796</f>
        <v>15000</v>
      </c>
      <c r="H798" s="140">
        <f>339+579</f>
        <v>918</v>
      </c>
      <c r="I798" s="17">
        <f t="shared" si="15"/>
        <v>14082</v>
      </c>
      <c r="J798" s="140"/>
      <c r="K798" s="140"/>
    </row>
    <row r="799" spans="1:11" s="171" customFormat="1" ht="44.25">
      <c r="A799" s="176">
        <v>54112</v>
      </c>
      <c r="B799" s="173" t="s">
        <v>959</v>
      </c>
      <c r="C799" s="139"/>
      <c r="D799" s="14" t="s">
        <v>11</v>
      </c>
      <c r="E799" s="14" t="s">
        <v>25</v>
      </c>
      <c r="F799" s="139" t="s">
        <v>991</v>
      </c>
      <c r="G799" s="170">
        <f>'Enero-18'!I797</f>
        <v>6000</v>
      </c>
      <c r="H799" s="140">
        <f>4800+1075.65</f>
        <v>5875.65</v>
      </c>
      <c r="I799" s="17">
        <f t="shared" si="15"/>
        <v>124.35000000000036</v>
      </c>
      <c r="J799" s="140"/>
      <c r="K799" s="140"/>
    </row>
    <row r="800" spans="1:11" s="171" customFormat="1" ht="43.5">
      <c r="A800" s="176">
        <v>54118</v>
      </c>
      <c r="B800" s="173" t="s">
        <v>960</v>
      </c>
      <c r="C800" s="139"/>
      <c r="D800" s="14" t="s">
        <v>11</v>
      </c>
      <c r="E800" s="14" t="s">
        <v>25</v>
      </c>
      <c r="F800" s="139" t="s">
        <v>991</v>
      </c>
      <c r="G800" s="170">
        <f>'Enero-18'!I798</f>
        <v>3000</v>
      </c>
      <c r="H800" s="140">
        <f>687</f>
        <v>687</v>
      </c>
      <c r="I800" s="17">
        <f t="shared" si="15"/>
        <v>2313</v>
      </c>
      <c r="J800" s="140"/>
      <c r="K800" s="140"/>
    </row>
    <row r="801" spans="1:11" s="171" customFormat="1" ht="43.5">
      <c r="A801" s="176">
        <v>54304</v>
      </c>
      <c r="B801" s="173" t="s">
        <v>961</v>
      </c>
      <c r="C801" s="139"/>
      <c r="D801" s="14" t="s">
        <v>11</v>
      </c>
      <c r="E801" s="14" t="s">
        <v>25</v>
      </c>
      <c r="F801" s="139" t="s">
        <v>991</v>
      </c>
      <c r="G801" s="170">
        <f>'Enero-18'!I799</f>
        <v>8000</v>
      </c>
      <c r="H801" s="170"/>
      <c r="I801" s="17">
        <f t="shared" si="15"/>
        <v>8000</v>
      </c>
      <c r="J801" s="140"/>
      <c r="K801" s="140"/>
    </row>
    <row r="802" spans="1:11" s="171" customFormat="1" ht="44.25">
      <c r="A802" s="176">
        <v>54313</v>
      </c>
      <c r="B802" s="173" t="s">
        <v>962</v>
      </c>
      <c r="C802" s="139"/>
      <c r="D802" s="14" t="s">
        <v>11</v>
      </c>
      <c r="E802" s="14" t="s">
        <v>25</v>
      </c>
      <c r="F802" s="139" t="s">
        <v>991</v>
      </c>
      <c r="G802" s="170">
        <f>'Enero-18'!I800</f>
        <v>1000</v>
      </c>
      <c r="H802" s="170"/>
      <c r="I802" s="17">
        <f t="shared" si="15"/>
        <v>1000</v>
      </c>
      <c r="J802" s="140"/>
      <c r="K802" s="140"/>
    </row>
    <row r="803" spans="1:11" s="171" customFormat="1" ht="44.25">
      <c r="A803" s="176">
        <v>54399</v>
      </c>
      <c r="B803" s="173" t="s">
        <v>963</v>
      </c>
      <c r="C803" s="139"/>
      <c r="D803" s="14" t="s">
        <v>11</v>
      </c>
      <c r="E803" s="14" t="s">
        <v>25</v>
      </c>
      <c r="F803" s="139" t="s">
        <v>991</v>
      </c>
      <c r="G803" s="170">
        <f>'Enero-18'!I801</f>
        <v>1995</v>
      </c>
      <c r="H803" s="170"/>
      <c r="I803" s="17">
        <f t="shared" si="15"/>
        <v>1995</v>
      </c>
      <c r="J803" s="140"/>
      <c r="K803" s="140"/>
    </row>
    <row r="804" spans="1:11" s="171" customFormat="1" ht="57.75">
      <c r="A804" s="176">
        <v>55603</v>
      </c>
      <c r="B804" s="173" t="s">
        <v>971</v>
      </c>
      <c r="C804" s="139"/>
      <c r="D804" s="14" t="s">
        <v>11</v>
      </c>
      <c r="E804" s="14" t="s">
        <v>25</v>
      </c>
      <c r="F804" s="139" t="s">
        <v>991</v>
      </c>
      <c r="G804" s="170">
        <f>'Enero-18'!I802</f>
        <v>5</v>
      </c>
      <c r="H804" s="170"/>
      <c r="I804" s="17">
        <f t="shared" si="15"/>
        <v>5</v>
      </c>
      <c r="J804" s="140"/>
      <c r="K804" s="140"/>
    </row>
    <row r="805" spans="1:11" ht="21">
      <c r="A805" s="38" t="s">
        <v>8</v>
      </c>
      <c r="B805" s="39" t="s">
        <v>24</v>
      </c>
      <c r="C805" s="39"/>
      <c r="D805" s="39" t="s">
        <v>11</v>
      </c>
      <c r="E805" s="39" t="s">
        <v>25</v>
      </c>
      <c r="F805" s="39" t="s">
        <v>32</v>
      </c>
      <c r="G805" s="40">
        <f>SUM(G768:G804)</f>
        <v>174811.46</v>
      </c>
      <c r="H805" s="95">
        <f>SUM(H768:H804)</f>
        <v>31081.269999999997</v>
      </c>
      <c r="I805" s="40">
        <f>G805-H805+J805-K805</f>
        <v>143730.19</v>
      </c>
      <c r="J805" s="40">
        <f>SUM(J776:J804)</f>
        <v>5000</v>
      </c>
      <c r="K805" s="40">
        <f>SUM(K776:K804)</f>
        <v>5000</v>
      </c>
    </row>
    <row r="806" spans="1:11" ht="42.75">
      <c r="A806" s="169" t="s">
        <v>15</v>
      </c>
      <c r="B806" s="139" t="s">
        <v>990</v>
      </c>
      <c r="C806" s="139"/>
      <c r="D806" s="14" t="s">
        <v>18</v>
      </c>
      <c r="E806" s="14" t="s">
        <v>28</v>
      </c>
      <c r="F806" s="230" t="s">
        <v>992</v>
      </c>
      <c r="G806" s="140"/>
      <c r="H806" s="170"/>
      <c r="I806" s="140">
        <f>G806-H806+J806-K806</f>
        <v>9000</v>
      </c>
      <c r="J806" s="135">
        <v>9000</v>
      </c>
      <c r="K806" s="140"/>
    </row>
    <row r="807" spans="1:11">
      <c r="A807" s="169"/>
      <c r="B807" s="139"/>
      <c r="C807" s="139"/>
      <c r="D807" s="139"/>
      <c r="E807" s="139"/>
      <c r="F807" s="139"/>
      <c r="G807" s="140"/>
      <c r="H807" s="170"/>
      <c r="I807" s="140"/>
      <c r="J807" s="140"/>
      <c r="K807" s="140"/>
    </row>
    <row r="808" spans="1:11" ht="25.5">
      <c r="A808" s="38"/>
      <c r="B808" s="39" t="s">
        <v>989</v>
      </c>
      <c r="C808" s="39"/>
      <c r="D808" s="99" t="s">
        <v>18</v>
      </c>
      <c r="E808" s="99" t="s">
        <v>28</v>
      </c>
      <c r="F808" s="242" t="s">
        <v>996</v>
      </c>
      <c r="G808" s="40"/>
      <c r="H808" s="95"/>
      <c r="I808" s="40">
        <f>SUM(I806:I807)</f>
        <v>9000</v>
      </c>
      <c r="J808" s="40">
        <f>SUM(J806:J807)</f>
        <v>9000</v>
      </c>
      <c r="K808" s="40"/>
    </row>
    <row r="809" spans="1:11" ht="20.25" customHeight="1">
      <c r="A809" s="469" t="s">
        <v>124</v>
      </c>
      <c r="B809" s="469"/>
      <c r="C809" s="469"/>
      <c r="D809" s="48"/>
      <c r="E809" s="48"/>
      <c r="F809" s="48"/>
      <c r="G809" s="49">
        <f>G805+G767+G764+G762+G400+G152+G144+G132+G121+G100+G73+G60</f>
        <v>3063525.7700000005</v>
      </c>
      <c r="H809" s="51">
        <f>H805+H767+H764+H762+H400+H152+H144+H132+H121+H100+H73+H60</f>
        <v>160979.77999999997</v>
      </c>
      <c r="I809" s="49">
        <f>I805+I767+I764+I762+I400+I152+I144+I132+I121+I100+I73+I60+I808</f>
        <v>2911545.9899999998</v>
      </c>
      <c r="J809" s="231">
        <f>J808+J805+J767+J762+J764+J400+J152+J144+J132+J121+J100+J73+J60</f>
        <v>24679</v>
      </c>
      <c r="K809" s="231">
        <f>K805+K767+K762+K400+K152+K144+K132+K121+K100+K73+K60</f>
        <v>15679</v>
      </c>
    </row>
    <row r="810" spans="1:11">
      <c r="J810" s="130"/>
    </row>
    <row r="811" spans="1:11">
      <c r="J811" s="243">
        <f>J809-K809</f>
        <v>9000</v>
      </c>
    </row>
    <row r="812" spans="1:11">
      <c r="A812" s="232" t="s">
        <v>993</v>
      </c>
    </row>
  </sheetData>
  <mergeCells count="3">
    <mergeCell ref="B1:K1"/>
    <mergeCell ref="B2:J2"/>
    <mergeCell ref="A809:C809"/>
  </mergeCells>
  <pageMargins left="0.15748031496062992" right="0.11811023622047245" top="0.19685039370078741" bottom="0.62992125984251968" header="0.15748031496062992" footer="0.11811023622047245"/>
  <pageSetup paperSize="5" scale="82" orientation="landscape" horizontalDpi="4294967293" verticalDpi="4294967293" r:id="rId1"/>
  <headerFooter>
    <oddFooter>&amp;L&amp;P
&amp;F
&amp;D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099D"/>
  </sheetPr>
  <dimension ref="A1:J24"/>
  <sheetViews>
    <sheetView topLeftCell="B10" workbookViewId="0">
      <selection activeCell="B21" sqref="B21"/>
    </sheetView>
  </sheetViews>
  <sheetFormatPr baseColWidth="10" defaultRowHeight="15"/>
  <cols>
    <col min="1" max="1" width="20.42578125" customWidth="1"/>
    <col min="2" max="2" width="26.5703125" customWidth="1"/>
    <col min="3" max="3" width="22.85546875" customWidth="1"/>
    <col min="4" max="4" width="18" customWidth="1"/>
    <col min="5" max="5" width="16" customWidth="1"/>
    <col min="6" max="6" width="20.7109375" customWidth="1"/>
    <col min="7" max="7" width="22.7109375" customWidth="1"/>
    <col min="8" max="8" width="20.7109375" customWidth="1"/>
    <col min="9" max="9" width="22.42578125" customWidth="1"/>
  </cols>
  <sheetData>
    <row r="1" spans="1:10" ht="36.75">
      <c r="A1" s="467" t="s">
        <v>155</v>
      </c>
      <c r="B1" s="467"/>
      <c r="C1" s="467"/>
      <c r="D1" s="467"/>
      <c r="E1" s="467"/>
      <c r="F1" s="467"/>
      <c r="G1" s="467"/>
      <c r="H1" s="467"/>
      <c r="I1" s="467"/>
      <c r="J1" s="467"/>
    </row>
    <row r="2" spans="1:10" ht="36.75">
      <c r="A2" s="468" t="s">
        <v>1001</v>
      </c>
      <c r="B2" s="468"/>
      <c r="C2" s="468"/>
      <c r="D2" s="468"/>
      <c r="E2" s="468"/>
      <c r="F2" s="468"/>
      <c r="G2" s="468"/>
      <c r="H2" s="468"/>
      <c r="I2" s="468"/>
      <c r="J2" s="94"/>
    </row>
    <row r="3" spans="1:10" ht="66" customHeight="1">
      <c r="A3" s="100" t="s">
        <v>142</v>
      </c>
      <c r="B3" s="100" t="s">
        <v>143</v>
      </c>
      <c r="C3" s="100" t="s">
        <v>144</v>
      </c>
      <c r="D3" s="247" t="s">
        <v>145</v>
      </c>
      <c r="E3" s="100" t="s">
        <v>146</v>
      </c>
      <c r="F3" s="100" t="s">
        <v>147</v>
      </c>
      <c r="G3" s="100" t="s">
        <v>148</v>
      </c>
      <c r="H3" s="100" t="s">
        <v>998</v>
      </c>
      <c r="I3" s="100" t="s">
        <v>999</v>
      </c>
    </row>
    <row r="4" spans="1:10" ht="30" customHeight="1">
      <c r="A4" s="101" t="s">
        <v>42</v>
      </c>
      <c r="B4" s="100" t="s">
        <v>149</v>
      </c>
      <c r="C4" s="85">
        <f>'FEBRERO-18'!G60</f>
        <v>285000.78999999998</v>
      </c>
      <c r="D4" s="86"/>
      <c r="E4" s="87"/>
      <c r="F4" s="87"/>
      <c r="G4" s="85">
        <f>C4+D4-F4</f>
        <v>285000.78999999998</v>
      </c>
      <c r="H4" s="85">
        <f>'FEBRERO-18'!H60</f>
        <v>12035.310000000001</v>
      </c>
      <c r="I4" s="85">
        <f>G4-H4</f>
        <v>272965.48</v>
      </c>
      <c r="J4" s="72"/>
    </row>
    <row r="5" spans="1:10" ht="30" customHeight="1">
      <c r="A5" s="101" t="s">
        <v>94</v>
      </c>
      <c r="B5" s="100" t="s">
        <v>149</v>
      </c>
      <c r="C5" s="88">
        <f>'FEBRERO-18'!G73</f>
        <v>27084.660000000003</v>
      </c>
      <c r="D5" s="89"/>
      <c r="E5" s="89"/>
      <c r="F5" s="89"/>
      <c r="G5" s="85">
        <f t="shared" ref="G5:G15" si="0">C5+D5-F5</f>
        <v>27084.660000000003</v>
      </c>
      <c r="H5" s="90">
        <f>'FEBRERO-18'!H73</f>
        <v>0</v>
      </c>
      <c r="I5" s="85">
        <f t="shared" ref="I5:I15" si="1">G5-H5</f>
        <v>27084.660000000003</v>
      </c>
      <c r="J5" s="72"/>
    </row>
    <row r="6" spans="1:10" ht="30" customHeight="1">
      <c r="A6" s="101" t="s">
        <v>97</v>
      </c>
      <c r="B6" s="100" t="s">
        <v>149</v>
      </c>
      <c r="C6" s="90">
        <f>'FEBRERO-18'!G100</f>
        <v>86211.17</v>
      </c>
      <c r="D6" s="89"/>
      <c r="E6" s="89"/>
      <c r="F6" s="89"/>
      <c r="G6" s="85">
        <f t="shared" si="0"/>
        <v>86211.17</v>
      </c>
      <c r="H6" s="90">
        <f>'FEBRERO-18'!H100</f>
        <v>809.1</v>
      </c>
      <c r="I6" s="85">
        <f t="shared" si="1"/>
        <v>85402.069999999992</v>
      </c>
      <c r="J6" s="72"/>
    </row>
    <row r="7" spans="1:10" ht="30" customHeight="1">
      <c r="A7" s="101" t="s">
        <v>42</v>
      </c>
      <c r="B7" s="100" t="s">
        <v>150</v>
      </c>
      <c r="C7" s="90">
        <f>'FEBRERO-18'!G121</f>
        <v>194162.49</v>
      </c>
      <c r="D7" s="89"/>
      <c r="E7" s="89"/>
      <c r="F7" s="89"/>
      <c r="G7" s="85">
        <f t="shared" si="0"/>
        <v>194162.49</v>
      </c>
      <c r="H7" s="90">
        <f>'FEBRERO-18'!H121</f>
        <v>17429.96</v>
      </c>
      <c r="I7" s="85">
        <f t="shared" si="1"/>
        <v>176732.53</v>
      </c>
      <c r="J7" s="72"/>
    </row>
    <row r="8" spans="1:10" ht="30" customHeight="1">
      <c r="A8" s="101" t="s">
        <v>94</v>
      </c>
      <c r="B8" s="100" t="s">
        <v>150</v>
      </c>
      <c r="C8" s="90">
        <f>'FEBRERO-18'!G132</f>
        <v>114934.27000000002</v>
      </c>
      <c r="D8" s="89"/>
      <c r="E8" s="89"/>
      <c r="F8" s="89"/>
      <c r="G8" s="85">
        <f t="shared" si="0"/>
        <v>114934.27000000002</v>
      </c>
      <c r="H8" s="90">
        <f>'FEBRERO-18'!H132</f>
        <v>7934.4599999999991</v>
      </c>
      <c r="I8" s="85">
        <f t="shared" si="1"/>
        <v>106999.81000000003</v>
      </c>
      <c r="J8" s="72"/>
    </row>
    <row r="9" spans="1:10" ht="30" customHeight="1">
      <c r="A9" s="101" t="s">
        <v>97</v>
      </c>
      <c r="B9" s="100" t="s">
        <v>150</v>
      </c>
      <c r="C9" s="90">
        <f>'FEBRERO-18'!G144</f>
        <v>265265.51999999996</v>
      </c>
      <c r="D9" s="89"/>
      <c r="E9" s="89"/>
      <c r="F9" s="89"/>
      <c r="G9" s="85">
        <f t="shared" si="0"/>
        <v>265265.51999999996</v>
      </c>
      <c r="H9" s="90">
        <f>'FEBRERO-18'!H144</f>
        <v>22726.429999999997</v>
      </c>
      <c r="I9" s="85">
        <f t="shared" si="1"/>
        <v>242539.08999999997</v>
      </c>
      <c r="J9" s="72"/>
    </row>
    <row r="10" spans="1:10" ht="30" customHeight="1">
      <c r="A10" s="101" t="s">
        <v>1</v>
      </c>
      <c r="B10" s="100" t="s">
        <v>151</v>
      </c>
      <c r="C10" s="90">
        <f>'FEBRERO-18'!G152</f>
        <v>16569.48</v>
      </c>
      <c r="D10" s="89"/>
      <c r="E10" s="89"/>
      <c r="F10" s="89"/>
      <c r="G10" s="85">
        <f t="shared" si="0"/>
        <v>16569.48</v>
      </c>
      <c r="H10" s="90">
        <f>'FEBRERO-18'!H152</f>
        <v>556.84999999999991</v>
      </c>
      <c r="I10" s="85">
        <f t="shared" si="1"/>
        <v>16012.63</v>
      </c>
      <c r="J10" s="72"/>
    </row>
    <row r="11" spans="1:10" ht="30" customHeight="1">
      <c r="A11" s="101" t="s">
        <v>11</v>
      </c>
      <c r="B11" s="100" t="s">
        <v>151</v>
      </c>
      <c r="C11" s="90">
        <f>'FEBRERO-18'!G400</f>
        <v>895976.19000000006</v>
      </c>
      <c r="D11" s="89">
        <f>'FEBRERO-18'!J400</f>
        <v>4000</v>
      </c>
      <c r="E11" s="89"/>
      <c r="F11" s="89">
        <f>'FEBRERO-18'!K400</f>
        <v>4000</v>
      </c>
      <c r="G11" s="85">
        <f>C11+D11-F11</f>
        <v>895976.19000000006</v>
      </c>
      <c r="H11" s="90">
        <f>'FEBRERO-18'!H400</f>
        <v>9454.4000000000015</v>
      </c>
      <c r="I11" s="85">
        <f>G11-H11</f>
        <v>886521.79</v>
      </c>
      <c r="J11" s="72"/>
    </row>
    <row r="12" spans="1:10" ht="30" customHeight="1">
      <c r="A12" s="101" t="s">
        <v>18</v>
      </c>
      <c r="B12" s="100" t="s">
        <v>151</v>
      </c>
      <c r="C12" s="90">
        <f>'FEBRERO-18'!G762</f>
        <v>978516.04</v>
      </c>
      <c r="D12" s="89">
        <f>'FEBRERO-18'!J762</f>
        <v>6679</v>
      </c>
      <c r="E12" s="89"/>
      <c r="F12" s="89">
        <f>'FEBRERO-18'!K762</f>
        <v>6679</v>
      </c>
      <c r="G12" s="85">
        <f t="shared" si="0"/>
        <v>978516.04</v>
      </c>
      <c r="H12" s="90">
        <f>'FEBRERO-18'!H762</f>
        <v>35647.08</v>
      </c>
      <c r="I12" s="85">
        <f t="shared" si="1"/>
        <v>942868.96000000008</v>
      </c>
      <c r="J12" s="72"/>
    </row>
    <row r="13" spans="1:10" ht="49.5" customHeight="1">
      <c r="A13" s="101" t="s">
        <v>20</v>
      </c>
      <c r="B13" s="100" t="s">
        <v>156</v>
      </c>
      <c r="C13" s="90">
        <f>'FEBRERO-18'!G764</f>
        <v>23253.55</v>
      </c>
      <c r="D13" s="89"/>
      <c r="E13" s="89"/>
      <c r="F13" s="89"/>
      <c r="G13" s="85">
        <f t="shared" si="0"/>
        <v>23253.55</v>
      </c>
      <c r="H13" s="91">
        <f>'FEBRERO-18'!H764</f>
        <v>22712.639999999999</v>
      </c>
      <c r="I13" s="85">
        <f t="shared" si="1"/>
        <v>540.90999999999985</v>
      </c>
      <c r="J13" s="72"/>
    </row>
    <row r="14" spans="1:10" ht="39" customHeight="1">
      <c r="A14" s="101" t="s">
        <v>22</v>
      </c>
      <c r="B14" s="100" t="s">
        <v>157</v>
      </c>
      <c r="C14" s="91">
        <f>'FEBRERO-18'!G767</f>
        <v>1740.15</v>
      </c>
      <c r="D14" s="92"/>
      <c r="E14" s="92"/>
      <c r="F14" s="92"/>
      <c r="G14" s="93">
        <f t="shared" si="0"/>
        <v>1740.15</v>
      </c>
      <c r="H14" s="91">
        <f>'FEBRERO-18'!H767</f>
        <v>592.28</v>
      </c>
      <c r="I14" s="85">
        <f t="shared" si="1"/>
        <v>1147.8700000000001</v>
      </c>
      <c r="J14" s="72"/>
    </row>
    <row r="15" spans="1:10" ht="54" customHeight="1">
      <c r="A15" s="102" t="s">
        <v>11</v>
      </c>
      <c r="B15" s="103" t="s">
        <v>997</v>
      </c>
      <c r="C15" s="96">
        <f>'FEBRERO-18'!G805</f>
        <v>174811.46</v>
      </c>
      <c r="D15" s="97">
        <f>'FEBRERO-18'!J805</f>
        <v>5000</v>
      </c>
      <c r="E15" s="97"/>
      <c r="F15" s="97">
        <f>'FEBRERO-18'!K805</f>
        <v>5000</v>
      </c>
      <c r="G15" s="98">
        <f t="shared" si="0"/>
        <v>174811.46</v>
      </c>
      <c r="H15" s="96">
        <f>'FEBRERO-18'!H805</f>
        <v>31081.269999999997</v>
      </c>
      <c r="I15" s="98">
        <f t="shared" si="1"/>
        <v>143730.19</v>
      </c>
      <c r="J15" s="72"/>
    </row>
    <row r="16" spans="1:10" ht="45" customHeight="1">
      <c r="A16" s="236" t="s">
        <v>18</v>
      </c>
      <c r="B16" s="100" t="s">
        <v>994</v>
      </c>
      <c r="C16" s="133"/>
      <c r="D16" s="132">
        <f>'FEBRERO-18'!J806</f>
        <v>9000</v>
      </c>
      <c r="E16" s="132"/>
      <c r="F16" s="132"/>
      <c r="G16" s="131"/>
      <c r="H16" s="133">
        <f>'FEBRERO-18'!H808</f>
        <v>0</v>
      </c>
      <c r="I16" s="131">
        <f>'FEBRERO-18'!I806</f>
        <v>9000</v>
      </c>
      <c r="J16" s="72"/>
    </row>
    <row r="17" spans="1:10" ht="24" thickBot="1">
      <c r="A17" s="233" t="s">
        <v>153</v>
      </c>
      <c r="B17" s="234"/>
      <c r="C17" s="235">
        <f t="shared" ref="C17:H17" si="2">SUM(C4:C15)</f>
        <v>3063525.7699999996</v>
      </c>
      <c r="D17" s="235">
        <f>SUM(D7:D16)</f>
        <v>24679</v>
      </c>
      <c r="E17" s="235">
        <f t="shared" si="2"/>
        <v>0</v>
      </c>
      <c r="F17" s="235">
        <f t="shared" si="2"/>
        <v>15679</v>
      </c>
      <c r="G17" s="235">
        <f>SUM(G4:G16)</f>
        <v>3063525.7699999996</v>
      </c>
      <c r="H17" s="235">
        <f t="shared" si="2"/>
        <v>160979.78</v>
      </c>
      <c r="I17" s="235">
        <f>SUM(I4:I16)</f>
        <v>2911545.99</v>
      </c>
      <c r="J17" s="72"/>
    </row>
    <row r="18" spans="1:10" ht="15.75" thickBot="1">
      <c r="A18" s="73"/>
      <c r="B18" s="74"/>
      <c r="C18" s="75"/>
      <c r="D18" s="76"/>
      <c r="E18" s="77"/>
      <c r="F18" s="77"/>
      <c r="G18" s="77"/>
      <c r="H18" s="77"/>
      <c r="I18" s="77"/>
      <c r="J18" s="78"/>
    </row>
    <row r="19" spans="1:10" ht="15.75" thickBot="1">
      <c r="A19" s="73" t="s">
        <v>154</v>
      </c>
      <c r="B19" s="74"/>
      <c r="C19" s="79">
        <f ca="1">TODAY()</f>
        <v>43586</v>
      </c>
      <c r="D19" s="80"/>
      <c r="E19" s="81">
        <f>D17-F17</f>
        <v>9000</v>
      </c>
      <c r="F19" s="80"/>
      <c r="G19" s="80"/>
      <c r="H19" s="80"/>
      <c r="I19" s="80"/>
      <c r="J19" s="72"/>
    </row>
    <row r="20" spans="1:10">
      <c r="A20" s="232" t="s">
        <v>993</v>
      </c>
      <c r="B20" s="84"/>
      <c r="F20" s="80"/>
      <c r="G20" s="80"/>
      <c r="H20" s="80"/>
    </row>
    <row r="21" spans="1:10">
      <c r="A21" s="83"/>
      <c r="B21" s="84"/>
      <c r="C21" s="84"/>
      <c r="D21" s="84"/>
      <c r="E21" s="82"/>
      <c r="F21" s="80"/>
      <c r="G21" s="80"/>
      <c r="H21" s="80"/>
    </row>
    <row r="22" spans="1:10">
      <c r="A22" s="232"/>
    </row>
    <row r="23" spans="1:10">
      <c r="A23" s="83"/>
      <c r="B23" s="84"/>
      <c r="C23" s="84"/>
      <c r="D23" s="84"/>
      <c r="F23" s="80"/>
      <c r="G23" s="80"/>
      <c r="H23" s="80"/>
    </row>
    <row r="24" spans="1:10">
      <c r="A24" s="83"/>
      <c r="B24" s="84"/>
      <c r="C24" s="84"/>
      <c r="D24" s="84"/>
    </row>
  </sheetData>
  <mergeCells count="2">
    <mergeCell ref="A1:J1"/>
    <mergeCell ref="A2:I2"/>
  </mergeCells>
  <pageMargins left="0.19685039370078741" right="0.19685039370078741" top="0.35433070866141736" bottom="0.31496062992125984" header="0.31496062992125984" footer="0.31496062992125984"/>
  <pageSetup paperSize="5" scale="83" orientation="landscape" horizontalDpi="4294967293" verticalDpi="4294967293" r:id="rId1"/>
  <headerFooter>
    <oddFooter xml:space="preserve">&amp;L&amp;8&amp;Z&amp;F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A816"/>
  <sheetViews>
    <sheetView view="pageBreakPreview" topLeftCell="A685" zoomScale="82" zoomScaleNormal="120" zoomScaleSheetLayoutView="82" workbookViewId="0">
      <selection activeCell="A797" sqref="A797:XFD797"/>
    </sheetView>
  </sheetViews>
  <sheetFormatPr baseColWidth="10" defaultRowHeight="15"/>
  <cols>
    <col min="1" max="1" width="11.42578125" customWidth="1"/>
    <col min="2" max="2" width="62" customWidth="1"/>
    <col min="3" max="3" width="17.28515625" customWidth="1"/>
    <col min="4" max="4" width="11" customWidth="1"/>
    <col min="5" max="5" width="10.85546875" customWidth="1"/>
    <col min="6" max="6" width="15.42578125" customWidth="1"/>
    <col min="7" max="7" width="14.7109375" customWidth="1"/>
    <col min="8" max="8" width="13.5703125" customWidth="1"/>
    <col min="9" max="9" width="17" customWidth="1"/>
    <col min="10" max="10" width="12.42578125" bestFit="1" customWidth="1"/>
    <col min="11" max="11" width="14.7109375" customWidth="1"/>
  </cols>
  <sheetData>
    <row r="1" spans="1:11" ht="36.75">
      <c r="A1" s="15"/>
      <c r="B1" s="467" t="s">
        <v>33</v>
      </c>
      <c r="C1" s="467"/>
      <c r="D1" s="467"/>
      <c r="E1" s="467"/>
      <c r="F1" s="467"/>
      <c r="G1" s="467"/>
      <c r="H1" s="467"/>
      <c r="I1" s="467"/>
      <c r="J1" s="467"/>
      <c r="K1" s="467"/>
    </row>
    <row r="2" spans="1:11" ht="36.75">
      <c r="A2" s="16"/>
      <c r="B2" s="468" t="s">
        <v>1002</v>
      </c>
      <c r="C2" s="468"/>
      <c r="D2" s="468"/>
      <c r="E2" s="468"/>
      <c r="F2" s="468"/>
      <c r="G2" s="468"/>
      <c r="H2" s="468"/>
      <c r="I2" s="468"/>
      <c r="J2" s="468"/>
      <c r="K2" s="249"/>
    </row>
    <row r="3" spans="1:11" ht="53.25" customHeight="1">
      <c r="A3" s="41" t="s">
        <v>8</v>
      </c>
      <c r="B3" s="41" t="s">
        <v>34</v>
      </c>
      <c r="C3" s="41" t="s">
        <v>35</v>
      </c>
      <c r="D3" s="41" t="s">
        <v>36</v>
      </c>
      <c r="E3" s="41" t="s">
        <v>37</v>
      </c>
      <c r="F3" s="41" t="s">
        <v>38</v>
      </c>
      <c r="G3" s="42" t="s">
        <v>39</v>
      </c>
      <c r="H3" s="42" t="s">
        <v>1003</v>
      </c>
      <c r="I3" s="42" t="s">
        <v>1004</v>
      </c>
      <c r="J3" s="42" t="s">
        <v>40</v>
      </c>
      <c r="K3" s="42" t="s">
        <v>41</v>
      </c>
    </row>
    <row r="4" spans="1:11">
      <c r="A4" s="4">
        <v>51103</v>
      </c>
      <c r="B4" s="7" t="s">
        <v>164</v>
      </c>
      <c r="C4" s="2"/>
      <c r="D4" s="3" t="s">
        <v>42</v>
      </c>
      <c r="E4" s="3" t="s">
        <v>29</v>
      </c>
      <c r="F4" s="3" t="s">
        <v>43</v>
      </c>
      <c r="G4" s="17">
        <f>'FEBRERO-18'!I4</f>
        <v>100</v>
      </c>
      <c r="H4" s="51"/>
      <c r="I4" s="17">
        <f>G4-H4+J4-K4</f>
        <v>100</v>
      </c>
      <c r="J4" s="18"/>
      <c r="K4" s="18"/>
    </row>
    <row r="5" spans="1:11">
      <c r="A5" s="4">
        <v>51105</v>
      </c>
      <c r="B5" s="7" t="s">
        <v>125</v>
      </c>
      <c r="C5" s="2"/>
      <c r="D5" s="3" t="s">
        <v>42</v>
      </c>
      <c r="E5" s="3" t="s">
        <v>29</v>
      </c>
      <c r="F5" s="3" t="s">
        <v>43</v>
      </c>
      <c r="G5" s="17">
        <f>'FEBRERO-18'!I5</f>
        <v>25000</v>
      </c>
      <c r="H5" s="51"/>
      <c r="I5" s="17">
        <f>G5-H5+J5-K5</f>
        <v>25000</v>
      </c>
      <c r="J5" s="18"/>
      <c r="K5" s="18"/>
    </row>
    <row r="6" spans="1:11">
      <c r="A6" s="4">
        <v>51107</v>
      </c>
      <c r="B6" s="7" t="s">
        <v>167</v>
      </c>
      <c r="C6" s="2"/>
      <c r="D6" s="3" t="s">
        <v>42</v>
      </c>
      <c r="E6" s="3" t="s">
        <v>29</v>
      </c>
      <c r="F6" s="3" t="s">
        <v>43</v>
      </c>
      <c r="G6" s="17">
        <f>'FEBRERO-18'!I6</f>
        <v>1500</v>
      </c>
      <c r="H6" s="51"/>
      <c r="I6" s="17">
        <f t="shared" ref="I6:I70" si="0">G6-H6+J6-K6</f>
        <v>1500</v>
      </c>
      <c r="J6" s="18"/>
      <c r="K6" s="18"/>
    </row>
    <row r="7" spans="1:11">
      <c r="A7" s="4">
        <v>51201</v>
      </c>
      <c r="B7" s="7" t="s">
        <v>44</v>
      </c>
      <c r="C7" s="2"/>
      <c r="D7" s="3" t="s">
        <v>42</v>
      </c>
      <c r="E7" s="3" t="s">
        <v>29</v>
      </c>
      <c r="F7" s="3" t="s">
        <v>43</v>
      </c>
      <c r="G7" s="17">
        <f>'FEBRERO-18'!I7</f>
        <v>2000</v>
      </c>
      <c r="H7" s="51"/>
      <c r="I7" s="17">
        <f t="shared" si="0"/>
        <v>2000</v>
      </c>
      <c r="J7" s="19"/>
      <c r="K7" s="18"/>
    </row>
    <row r="8" spans="1:11" ht="30.75" customHeight="1">
      <c r="A8" s="4">
        <v>51401</v>
      </c>
      <c r="B8" s="5" t="s">
        <v>128</v>
      </c>
      <c r="C8" s="2"/>
      <c r="D8" s="3" t="s">
        <v>42</v>
      </c>
      <c r="E8" s="3" t="s">
        <v>29</v>
      </c>
      <c r="F8" s="3" t="s">
        <v>43</v>
      </c>
      <c r="G8" s="17">
        <f>'FEBRERO-18'!I8</f>
        <v>2244.1799999999998</v>
      </c>
      <c r="H8" s="51"/>
      <c r="I8" s="17">
        <f t="shared" si="0"/>
        <v>2244.1799999999998</v>
      </c>
      <c r="J8" s="20"/>
      <c r="K8" s="18"/>
    </row>
    <row r="9" spans="1:11" ht="42" customHeight="1">
      <c r="A9" s="4">
        <v>51501</v>
      </c>
      <c r="B9" s="5" t="s">
        <v>168</v>
      </c>
      <c r="C9" s="47"/>
      <c r="D9" s="3" t="s">
        <v>42</v>
      </c>
      <c r="E9" s="3" t="s">
        <v>29</v>
      </c>
      <c r="F9" s="3" t="s">
        <v>43</v>
      </c>
      <c r="G9" s="17">
        <f>'FEBRERO-18'!I9</f>
        <v>2829.78</v>
      </c>
      <c r="H9" s="51"/>
      <c r="I9" s="17">
        <f t="shared" si="0"/>
        <v>2829.78</v>
      </c>
      <c r="J9" s="21"/>
      <c r="K9" s="18"/>
    </row>
    <row r="10" spans="1:11" ht="25.5">
      <c r="A10" s="4">
        <v>51701</v>
      </c>
      <c r="B10" s="7" t="s">
        <v>126</v>
      </c>
      <c r="C10" s="2"/>
      <c r="D10" s="3" t="s">
        <v>42</v>
      </c>
      <c r="E10" s="3" t="s">
        <v>29</v>
      </c>
      <c r="F10" s="3" t="s">
        <v>43</v>
      </c>
      <c r="G10" s="17">
        <f>'FEBRERO-18'!I10</f>
        <v>30001</v>
      </c>
      <c r="H10" s="51"/>
      <c r="I10" s="17">
        <f t="shared" si="0"/>
        <v>30001</v>
      </c>
      <c r="J10" s="22"/>
      <c r="K10" s="18"/>
    </row>
    <row r="11" spans="1:11" ht="25.5">
      <c r="A11" s="4">
        <v>51601</v>
      </c>
      <c r="B11" s="7" t="s">
        <v>129</v>
      </c>
      <c r="C11" s="2"/>
      <c r="D11" s="3" t="s">
        <v>42</v>
      </c>
      <c r="E11" s="3" t="s">
        <v>29</v>
      </c>
      <c r="F11" s="3" t="s">
        <v>43</v>
      </c>
      <c r="G11" s="17">
        <f>'FEBRERO-18'!I11</f>
        <v>7500</v>
      </c>
      <c r="H11" s="51"/>
      <c r="I11" s="17">
        <f t="shared" si="0"/>
        <v>7500</v>
      </c>
      <c r="J11" s="21"/>
      <c r="K11" s="18"/>
    </row>
    <row r="12" spans="1:11">
      <c r="A12" s="4">
        <v>51602</v>
      </c>
      <c r="B12" s="2" t="s">
        <v>46</v>
      </c>
      <c r="C12" s="2"/>
      <c r="D12" s="3" t="s">
        <v>42</v>
      </c>
      <c r="E12" s="3" t="s">
        <v>29</v>
      </c>
      <c r="F12" s="3" t="s">
        <v>43</v>
      </c>
      <c r="G12" s="17">
        <f>'FEBRERO-18'!I12</f>
        <v>1</v>
      </c>
      <c r="H12" s="51"/>
      <c r="I12" s="17">
        <f t="shared" si="0"/>
        <v>1</v>
      </c>
      <c r="J12" s="20"/>
      <c r="K12" s="18"/>
    </row>
    <row r="13" spans="1:11">
      <c r="A13" s="4">
        <v>51999</v>
      </c>
      <c r="B13" s="2" t="s">
        <v>47</v>
      </c>
      <c r="C13" s="2"/>
      <c r="D13" s="3" t="s">
        <v>42</v>
      </c>
      <c r="E13" s="3" t="s">
        <v>29</v>
      </c>
      <c r="F13" s="3" t="s">
        <v>43</v>
      </c>
      <c r="G13" s="17">
        <f>'FEBRERO-18'!I13</f>
        <v>2072.5</v>
      </c>
      <c r="H13" s="51">
        <f>40+55+55+25+50+50+50+50+32.5+500+35+50</f>
        <v>992.5</v>
      </c>
      <c r="I13" s="17">
        <f t="shared" si="0"/>
        <v>1080</v>
      </c>
      <c r="J13" s="21"/>
      <c r="K13" s="18"/>
    </row>
    <row r="14" spans="1:11" ht="45" customHeight="1">
      <c r="A14" s="4">
        <v>54101</v>
      </c>
      <c r="B14" s="5" t="s">
        <v>48</v>
      </c>
      <c r="C14" s="2"/>
      <c r="D14" s="3" t="s">
        <v>42</v>
      </c>
      <c r="E14" s="3" t="s">
        <v>29</v>
      </c>
      <c r="F14" s="3" t="s">
        <v>43</v>
      </c>
      <c r="G14" s="17">
        <f>'FEBRERO-18'!I14</f>
        <v>33457.78</v>
      </c>
      <c r="H14" s="51">
        <f>587.1+333+183.85+423.75+46.25+676.6+420+270+100+245</f>
        <v>3285.55</v>
      </c>
      <c r="I14" s="17">
        <f t="shared" si="0"/>
        <v>30172.23</v>
      </c>
      <c r="J14" s="23"/>
      <c r="K14" s="18"/>
    </row>
    <row r="15" spans="1:11" ht="26.25">
      <c r="A15" s="4">
        <v>54104</v>
      </c>
      <c r="B15" s="5" t="s">
        <v>130</v>
      </c>
      <c r="C15" s="2"/>
      <c r="D15" s="3" t="s">
        <v>42</v>
      </c>
      <c r="E15" s="3" t="s">
        <v>29</v>
      </c>
      <c r="F15" s="3" t="s">
        <v>43</v>
      </c>
      <c r="G15" s="17">
        <f>'FEBRERO-18'!I15</f>
        <v>2000</v>
      </c>
      <c r="H15" s="51">
        <f>4500</f>
        <v>4500</v>
      </c>
      <c r="I15" s="17">
        <f t="shared" si="0"/>
        <v>2000</v>
      </c>
      <c r="J15" s="259">
        <v>4500</v>
      </c>
      <c r="K15" s="18"/>
    </row>
    <row r="16" spans="1:11">
      <c r="A16" s="4">
        <v>54105</v>
      </c>
      <c r="B16" s="2" t="s">
        <v>49</v>
      </c>
      <c r="C16" s="2"/>
      <c r="D16" s="3" t="s">
        <v>42</v>
      </c>
      <c r="E16" s="3" t="s">
        <v>29</v>
      </c>
      <c r="F16" s="3" t="s">
        <v>43</v>
      </c>
      <c r="G16" s="17">
        <f>'FEBRERO-18'!I16</f>
        <v>2000</v>
      </c>
      <c r="H16" s="51"/>
      <c r="I16" s="17">
        <f t="shared" si="0"/>
        <v>2000</v>
      </c>
      <c r="J16" s="20"/>
      <c r="K16" s="18"/>
    </row>
    <row r="17" spans="1:11">
      <c r="A17" s="4">
        <v>54107</v>
      </c>
      <c r="B17" s="2" t="s">
        <v>50</v>
      </c>
      <c r="C17" s="2"/>
      <c r="D17" s="3" t="s">
        <v>42</v>
      </c>
      <c r="E17" s="3" t="s">
        <v>29</v>
      </c>
      <c r="F17" s="3" t="s">
        <v>43</v>
      </c>
      <c r="G17" s="17">
        <f>'FEBRERO-18'!I17</f>
        <v>2000</v>
      </c>
      <c r="H17" s="51"/>
      <c r="I17" s="17">
        <f t="shared" si="0"/>
        <v>2000</v>
      </c>
      <c r="J17" s="22"/>
      <c r="K17" s="18"/>
    </row>
    <row r="18" spans="1:11">
      <c r="A18" s="4">
        <v>54108</v>
      </c>
      <c r="B18" s="2" t="s">
        <v>51</v>
      </c>
      <c r="C18" s="2"/>
      <c r="D18" s="3" t="s">
        <v>42</v>
      </c>
      <c r="E18" s="3" t="s">
        <v>29</v>
      </c>
      <c r="F18" s="3" t="s">
        <v>43</v>
      </c>
      <c r="G18" s="17">
        <f>'FEBRERO-18'!I18</f>
        <v>100</v>
      </c>
      <c r="H18" s="51"/>
      <c r="I18" s="17">
        <f t="shared" si="0"/>
        <v>100</v>
      </c>
      <c r="J18" s="20"/>
      <c r="K18" s="18"/>
    </row>
    <row r="19" spans="1:11">
      <c r="A19" s="4">
        <v>54109</v>
      </c>
      <c r="B19" s="2" t="s">
        <v>131</v>
      </c>
      <c r="C19" s="2"/>
      <c r="D19" s="3" t="s">
        <v>42</v>
      </c>
      <c r="E19" s="3" t="s">
        <v>29</v>
      </c>
      <c r="F19" s="3" t="s">
        <v>43</v>
      </c>
      <c r="G19" s="17">
        <f>'FEBRERO-18'!I19</f>
        <v>500</v>
      </c>
      <c r="H19" s="51"/>
      <c r="I19" s="17">
        <f t="shared" si="0"/>
        <v>500</v>
      </c>
      <c r="J19" s="20"/>
      <c r="K19" s="18"/>
    </row>
    <row r="20" spans="1:11">
      <c r="A20" s="4">
        <v>54110</v>
      </c>
      <c r="B20" s="2" t="s">
        <v>132</v>
      </c>
      <c r="C20" s="2"/>
      <c r="D20" s="3" t="s">
        <v>42</v>
      </c>
      <c r="E20" s="3" t="s">
        <v>29</v>
      </c>
      <c r="F20" s="3" t="s">
        <v>43</v>
      </c>
      <c r="G20" s="17">
        <f>'FEBRERO-18'!I20</f>
        <v>12000</v>
      </c>
      <c r="H20" s="51">
        <f>617.6+669.55</f>
        <v>1287.1500000000001</v>
      </c>
      <c r="I20" s="17">
        <f t="shared" si="0"/>
        <v>10712.85</v>
      </c>
      <c r="J20" s="24"/>
      <c r="K20" s="18"/>
    </row>
    <row r="21" spans="1:11" ht="30.75" customHeight="1">
      <c r="A21" s="4">
        <v>54111</v>
      </c>
      <c r="B21" s="5" t="s">
        <v>54</v>
      </c>
      <c r="C21" s="2"/>
      <c r="D21" s="3" t="s">
        <v>42</v>
      </c>
      <c r="E21" s="3" t="s">
        <v>29</v>
      </c>
      <c r="F21" s="3" t="s">
        <v>43</v>
      </c>
      <c r="G21" s="17">
        <f>'FEBRERO-18'!I21</f>
        <v>958.75</v>
      </c>
      <c r="H21" s="51">
        <v>101.7</v>
      </c>
      <c r="I21" s="17">
        <f t="shared" si="0"/>
        <v>857.05</v>
      </c>
      <c r="J21" s="23"/>
      <c r="K21" s="18"/>
    </row>
    <row r="22" spans="1:11" ht="42.75" customHeight="1">
      <c r="A22" s="4">
        <v>54112</v>
      </c>
      <c r="B22" s="5" t="s">
        <v>55</v>
      </c>
      <c r="C22" s="2"/>
      <c r="D22" s="3" t="s">
        <v>42</v>
      </c>
      <c r="E22" s="3" t="s">
        <v>29</v>
      </c>
      <c r="F22" s="3" t="s">
        <v>43</v>
      </c>
      <c r="G22" s="17">
        <f>'FEBRERO-18'!I22</f>
        <v>1000</v>
      </c>
      <c r="H22" s="51"/>
      <c r="I22" s="17">
        <f t="shared" si="0"/>
        <v>1000</v>
      </c>
      <c r="J22" s="21"/>
      <c r="K22" s="18"/>
    </row>
    <row r="23" spans="1:11">
      <c r="A23" s="4">
        <v>54114</v>
      </c>
      <c r="B23" s="2" t="s">
        <v>56</v>
      </c>
      <c r="C23" s="2"/>
      <c r="D23" s="3" t="s">
        <v>42</v>
      </c>
      <c r="E23" s="3" t="s">
        <v>29</v>
      </c>
      <c r="F23" s="3" t="s">
        <v>43</v>
      </c>
      <c r="G23" s="17">
        <f>'FEBRERO-18'!I23</f>
        <v>1000</v>
      </c>
      <c r="H23" s="51"/>
      <c r="I23" s="17">
        <f t="shared" si="0"/>
        <v>1000</v>
      </c>
      <c r="J23" s="20"/>
      <c r="K23" s="18"/>
    </row>
    <row r="24" spans="1:11">
      <c r="A24" s="4">
        <v>54115</v>
      </c>
      <c r="B24" s="2" t="s">
        <v>57</v>
      </c>
      <c r="C24" s="2"/>
      <c r="D24" s="3" t="s">
        <v>42</v>
      </c>
      <c r="E24" s="3" t="s">
        <v>29</v>
      </c>
      <c r="F24" s="3" t="s">
        <v>43</v>
      </c>
      <c r="G24" s="17">
        <f>'FEBRERO-18'!I24</f>
        <v>1000</v>
      </c>
      <c r="H24" s="51"/>
      <c r="I24" s="17">
        <f t="shared" si="0"/>
        <v>1000</v>
      </c>
      <c r="J24" s="20"/>
      <c r="K24" s="18"/>
    </row>
    <row r="25" spans="1:11" ht="30">
      <c r="A25" s="4">
        <v>54116</v>
      </c>
      <c r="B25" s="5" t="s">
        <v>58</v>
      </c>
      <c r="C25" s="2"/>
      <c r="D25" s="3" t="s">
        <v>42</v>
      </c>
      <c r="E25" s="3" t="s">
        <v>29</v>
      </c>
      <c r="F25" s="3" t="s">
        <v>43</v>
      </c>
      <c r="G25" s="17">
        <f>'FEBRERO-18'!I25</f>
        <v>500</v>
      </c>
      <c r="H25" s="51"/>
      <c r="I25" s="17">
        <f t="shared" si="0"/>
        <v>500</v>
      </c>
      <c r="J25" s="20"/>
      <c r="K25" s="18"/>
    </row>
    <row r="26" spans="1:11">
      <c r="A26" s="4">
        <v>54117</v>
      </c>
      <c r="B26" s="25" t="s">
        <v>12</v>
      </c>
      <c r="C26" s="25"/>
      <c r="D26" s="3" t="s">
        <v>42</v>
      </c>
      <c r="E26" s="3" t="s">
        <v>29</v>
      </c>
      <c r="F26" s="3" t="s">
        <v>43</v>
      </c>
      <c r="G26" s="17">
        <f>'FEBRERO-18'!I26</f>
        <v>2000</v>
      </c>
      <c r="H26" s="51"/>
      <c r="I26" s="17">
        <f t="shared" si="0"/>
        <v>2000</v>
      </c>
      <c r="J26" s="20"/>
      <c r="K26" s="18"/>
    </row>
    <row r="27" spans="1:11">
      <c r="A27" s="4">
        <v>54118</v>
      </c>
      <c r="B27" s="2" t="s">
        <v>59</v>
      </c>
      <c r="C27" s="2"/>
      <c r="D27" s="3" t="s">
        <v>42</v>
      </c>
      <c r="E27" s="3" t="s">
        <v>29</v>
      </c>
      <c r="F27" s="3" t="s">
        <v>43</v>
      </c>
      <c r="G27" s="17">
        <f>'FEBRERO-18'!I27</f>
        <v>1000</v>
      </c>
      <c r="H27" s="51"/>
      <c r="I27" s="17">
        <f t="shared" si="0"/>
        <v>1000</v>
      </c>
      <c r="J27" s="23"/>
      <c r="K27" s="18"/>
    </row>
    <row r="28" spans="1:11">
      <c r="A28" s="4">
        <v>54119</v>
      </c>
      <c r="B28" s="2" t="s">
        <v>60</v>
      </c>
      <c r="C28" s="2"/>
      <c r="D28" s="3" t="s">
        <v>42</v>
      </c>
      <c r="E28" s="3" t="s">
        <v>29</v>
      </c>
      <c r="F28" s="3" t="s">
        <v>43</v>
      </c>
      <c r="G28" s="17">
        <f>'FEBRERO-18'!I28</f>
        <v>1000</v>
      </c>
      <c r="H28" s="51"/>
      <c r="I28" s="17">
        <f t="shared" si="0"/>
        <v>1000</v>
      </c>
      <c r="J28" s="21"/>
      <c r="K28" s="18"/>
    </row>
    <row r="29" spans="1:11">
      <c r="A29" s="4">
        <v>54199</v>
      </c>
      <c r="B29" s="2" t="s">
        <v>61</v>
      </c>
      <c r="C29" s="2"/>
      <c r="D29" s="3" t="s">
        <v>42</v>
      </c>
      <c r="E29" s="3" t="s">
        <v>29</v>
      </c>
      <c r="F29" s="3" t="s">
        <v>43</v>
      </c>
      <c r="G29" s="17">
        <f>'FEBRERO-18'!I29</f>
        <v>1500</v>
      </c>
      <c r="H29" s="51">
        <f>44.75</f>
        <v>44.75</v>
      </c>
      <c r="I29" s="17">
        <f t="shared" si="0"/>
        <v>1455.25</v>
      </c>
      <c r="J29" s="21"/>
      <c r="K29" s="18"/>
    </row>
    <row r="30" spans="1:11">
      <c r="A30" s="4">
        <v>54201</v>
      </c>
      <c r="B30" s="2" t="s">
        <v>62</v>
      </c>
      <c r="C30" s="2"/>
      <c r="D30" s="3" t="s">
        <v>42</v>
      </c>
      <c r="E30" s="3" t="s">
        <v>29</v>
      </c>
      <c r="F30" s="3" t="s">
        <v>43</v>
      </c>
      <c r="G30" s="17">
        <f>'FEBRERO-18'!I30</f>
        <v>30000</v>
      </c>
      <c r="H30" s="51"/>
      <c r="I30" s="17">
        <f t="shared" si="0"/>
        <v>30000</v>
      </c>
      <c r="J30" s="20"/>
      <c r="K30" s="18"/>
    </row>
    <row r="31" spans="1:11">
      <c r="A31" s="4">
        <v>54202</v>
      </c>
      <c r="B31" s="2" t="s">
        <v>63</v>
      </c>
      <c r="C31" s="2"/>
      <c r="D31" s="3" t="s">
        <v>42</v>
      </c>
      <c r="E31" s="3" t="s">
        <v>29</v>
      </c>
      <c r="F31" s="3" t="s">
        <v>43</v>
      </c>
      <c r="G31" s="17">
        <f>'FEBRERO-18'!I31</f>
        <v>3000</v>
      </c>
      <c r="H31" s="51"/>
      <c r="I31" s="17">
        <f t="shared" si="0"/>
        <v>3000</v>
      </c>
      <c r="J31" s="20"/>
      <c r="K31" s="18"/>
    </row>
    <row r="32" spans="1:11" ht="26.25">
      <c r="A32" s="4">
        <v>54203</v>
      </c>
      <c r="B32" s="5" t="s">
        <v>133</v>
      </c>
      <c r="C32" s="2"/>
      <c r="D32" s="3" t="s">
        <v>42</v>
      </c>
      <c r="E32" s="3" t="s">
        <v>29</v>
      </c>
      <c r="F32" s="3" t="s">
        <v>43</v>
      </c>
      <c r="G32" s="17">
        <f>'FEBRERO-18'!I32</f>
        <v>19089.650000000001</v>
      </c>
      <c r="H32" s="51">
        <f>696.21+242.73+436.96+698.86</f>
        <v>2074.7600000000002</v>
      </c>
      <c r="I32" s="17">
        <f t="shared" si="0"/>
        <v>17014.89</v>
      </c>
      <c r="J32" s="20"/>
      <c r="K32" s="21"/>
    </row>
    <row r="33" spans="1:11">
      <c r="A33" s="4">
        <v>54204</v>
      </c>
      <c r="B33" s="2" t="s">
        <v>65</v>
      </c>
      <c r="C33" s="2"/>
      <c r="D33" s="3" t="s">
        <v>42</v>
      </c>
      <c r="E33" s="3" t="s">
        <v>29</v>
      </c>
      <c r="F33" s="3" t="s">
        <v>43</v>
      </c>
      <c r="G33" s="17">
        <f>'FEBRERO-18'!I33</f>
        <v>100</v>
      </c>
      <c r="H33" s="51"/>
      <c r="I33" s="17">
        <f t="shared" si="0"/>
        <v>100</v>
      </c>
      <c r="J33" s="20"/>
      <c r="K33" s="18"/>
    </row>
    <row r="34" spans="1:11">
      <c r="A34" s="4">
        <v>54301</v>
      </c>
      <c r="B34" s="2" t="s">
        <v>66</v>
      </c>
      <c r="C34" s="2"/>
      <c r="D34" s="3" t="s">
        <v>42</v>
      </c>
      <c r="E34" s="3" t="s">
        <v>29</v>
      </c>
      <c r="F34" s="3" t="s">
        <v>43</v>
      </c>
      <c r="G34" s="17">
        <f>'FEBRERO-18'!I34</f>
        <v>407</v>
      </c>
      <c r="H34" s="51">
        <f>55</f>
        <v>55</v>
      </c>
      <c r="I34" s="17">
        <f t="shared" si="0"/>
        <v>352</v>
      </c>
      <c r="J34" s="21"/>
      <c r="K34" s="18"/>
    </row>
    <row r="35" spans="1:11">
      <c r="A35" s="4">
        <v>54302</v>
      </c>
      <c r="B35" s="2" t="s">
        <v>67</v>
      </c>
      <c r="C35" s="2"/>
      <c r="D35" s="3" t="s">
        <v>42</v>
      </c>
      <c r="E35" s="3" t="s">
        <v>29</v>
      </c>
      <c r="F35" s="3" t="s">
        <v>43</v>
      </c>
      <c r="G35" s="17">
        <f>'FEBRERO-18'!I35</f>
        <v>500</v>
      </c>
      <c r="H35" s="51"/>
      <c r="I35" s="17">
        <f t="shared" si="0"/>
        <v>500</v>
      </c>
      <c r="J35" s="20"/>
      <c r="K35" s="18"/>
    </row>
    <row r="36" spans="1:11">
      <c r="A36" s="4">
        <v>54303</v>
      </c>
      <c r="B36" s="2" t="s">
        <v>68</v>
      </c>
      <c r="C36" s="2"/>
      <c r="D36" s="3" t="s">
        <v>42</v>
      </c>
      <c r="E36" s="3" t="s">
        <v>29</v>
      </c>
      <c r="F36" s="3" t="s">
        <v>43</v>
      </c>
      <c r="G36" s="17">
        <f>'FEBRERO-18'!I36</f>
        <v>2000</v>
      </c>
      <c r="H36" s="51"/>
      <c r="I36" s="17">
        <f t="shared" si="0"/>
        <v>2000</v>
      </c>
      <c r="J36" s="20"/>
      <c r="K36" s="18"/>
    </row>
    <row r="37" spans="1:11">
      <c r="A37" s="4">
        <v>54304</v>
      </c>
      <c r="B37" s="2" t="s">
        <v>69</v>
      </c>
      <c r="C37" s="2"/>
      <c r="D37" s="3" t="s">
        <v>42</v>
      </c>
      <c r="E37" s="3" t="s">
        <v>29</v>
      </c>
      <c r="F37" s="3" t="s">
        <v>43</v>
      </c>
      <c r="G37" s="17">
        <f>'FEBRERO-18'!I37</f>
        <v>2375</v>
      </c>
      <c r="H37" s="51">
        <f>40+95.55+235.55+600+38.89</f>
        <v>1009.99</v>
      </c>
      <c r="I37" s="17">
        <f t="shared" si="0"/>
        <v>1365.01</v>
      </c>
      <c r="J37" s="18"/>
      <c r="K37" s="21"/>
    </row>
    <row r="38" spans="1:11">
      <c r="A38" s="4">
        <v>54305</v>
      </c>
      <c r="B38" s="2" t="s">
        <v>70</v>
      </c>
      <c r="C38" s="2"/>
      <c r="D38" s="3" t="s">
        <v>42</v>
      </c>
      <c r="E38" s="3" t="s">
        <v>29</v>
      </c>
      <c r="F38" s="3" t="s">
        <v>43</v>
      </c>
      <c r="G38" s="17">
        <f>'FEBRERO-18'!I38</f>
        <v>2000</v>
      </c>
      <c r="H38" s="51"/>
      <c r="I38" s="17">
        <f t="shared" si="0"/>
        <v>2000</v>
      </c>
      <c r="J38" s="21"/>
      <c r="K38" s="18"/>
    </row>
    <row r="39" spans="1:11">
      <c r="A39" s="4">
        <v>54313</v>
      </c>
      <c r="B39" s="2" t="s">
        <v>71</v>
      </c>
      <c r="C39" s="2"/>
      <c r="D39" s="3" t="s">
        <v>42</v>
      </c>
      <c r="E39" s="3" t="s">
        <v>29</v>
      </c>
      <c r="F39" s="3" t="s">
        <v>43</v>
      </c>
      <c r="G39" s="17">
        <f>'FEBRERO-18'!I39</f>
        <v>1816.55</v>
      </c>
      <c r="H39" s="51">
        <f>125</f>
        <v>125</v>
      </c>
      <c r="I39" s="17">
        <f t="shared" si="0"/>
        <v>1691.55</v>
      </c>
      <c r="J39" s="18"/>
      <c r="K39" s="21"/>
    </row>
    <row r="40" spans="1:11">
      <c r="A40" s="4">
        <v>54316</v>
      </c>
      <c r="B40" s="2" t="s">
        <v>72</v>
      </c>
      <c r="C40" s="2"/>
      <c r="D40" s="3" t="s">
        <v>42</v>
      </c>
      <c r="E40" s="3" t="s">
        <v>29</v>
      </c>
      <c r="F40" s="3" t="s">
        <v>43</v>
      </c>
      <c r="G40" s="17">
        <f>'FEBRERO-18'!I40</f>
        <v>2000</v>
      </c>
      <c r="H40" s="51"/>
      <c r="I40" s="17">
        <f t="shared" si="0"/>
        <v>2000</v>
      </c>
      <c r="J40" s="20"/>
      <c r="K40" s="18"/>
    </row>
    <row r="41" spans="1:11">
      <c r="A41" s="4">
        <v>54317</v>
      </c>
      <c r="B41" s="2" t="s">
        <v>73</v>
      </c>
      <c r="C41" s="2"/>
      <c r="D41" s="3" t="s">
        <v>42</v>
      </c>
      <c r="E41" s="3" t="s">
        <v>29</v>
      </c>
      <c r="F41" s="3" t="s">
        <v>43</v>
      </c>
      <c r="G41" s="17">
        <f>'FEBRERO-18'!I41</f>
        <v>5470</v>
      </c>
      <c r="H41" s="51">
        <f>400+330+330</f>
        <v>1060</v>
      </c>
      <c r="I41" s="17">
        <f t="shared" si="0"/>
        <v>4410</v>
      </c>
      <c r="J41" s="20"/>
      <c r="K41" s="18"/>
    </row>
    <row r="42" spans="1:11">
      <c r="A42" s="4">
        <v>54399</v>
      </c>
      <c r="B42" s="2" t="s">
        <v>74</v>
      </c>
      <c r="C42" s="2"/>
      <c r="D42" s="3" t="s">
        <v>42</v>
      </c>
      <c r="E42" s="3" t="s">
        <v>29</v>
      </c>
      <c r="F42" s="3" t="s">
        <v>43</v>
      </c>
      <c r="G42" s="17">
        <f>'FEBRERO-18'!I42</f>
        <v>163.28</v>
      </c>
      <c r="H42" s="51"/>
      <c r="I42" s="17">
        <f t="shared" si="0"/>
        <v>163.28</v>
      </c>
      <c r="J42" s="18"/>
      <c r="K42" s="21"/>
    </row>
    <row r="43" spans="1:11">
      <c r="A43" s="4">
        <v>54401</v>
      </c>
      <c r="B43" s="2" t="s">
        <v>75</v>
      </c>
      <c r="C43" s="2"/>
      <c r="D43" s="3" t="s">
        <v>42</v>
      </c>
      <c r="E43" s="3" t="s">
        <v>29</v>
      </c>
      <c r="F43" s="3" t="s">
        <v>43</v>
      </c>
      <c r="G43" s="17">
        <f>'FEBRERO-18'!I43</f>
        <v>200</v>
      </c>
      <c r="H43" s="51"/>
      <c r="I43" s="17">
        <f t="shared" si="0"/>
        <v>200</v>
      </c>
      <c r="J43" s="20"/>
      <c r="K43" s="18"/>
    </row>
    <row r="44" spans="1:11">
      <c r="A44" s="4">
        <v>54403</v>
      </c>
      <c r="B44" s="2" t="s">
        <v>76</v>
      </c>
      <c r="C44" s="2"/>
      <c r="D44" s="3" t="s">
        <v>42</v>
      </c>
      <c r="E44" s="3" t="s">
        <v>29</v>
      </c>
      <c r="F44" s="3" t="s">
        <v>43</v>
      </c>
      <c r="G44" s="17">
        <f>'FEBRERO-18'!I44</f>
        <v>300</v>
      </c>
      <c r="H44" s="51"/>
      <c r="I44" s="17">
        <f t="shared" si="0"/>
        <v>300</v>
      </c>
      <c r="J44" s="20"/>
      <c r="K44" s="18"/>
    </row>
    <row r="45" spans="1:11">
      <c r="A45" s="4">
        <v>54501</v>
      </c>
      <c r="B45" s="2" t="s">
        <v>77</v>
      </c>
      <c r="C45" s="2"/>
      <c r="D45" s="3" t="s">
        <v>42</v>
      </c>
      <c r="E45" s="3" t="s">
        <v>29</v>
      </c>
      <c r="F45" s="3" t="s">
        <v>43</v>
      </c>
      <c r="G45" s="17">
        <f>'FEBRERO-18'!I45</f>
        <v>9000</v>
      </c>
      <c r="H45" s="51">
        <f>500+500</f>
        <v>1000</v>
      </c>
      <c r="I45" s="17">
        <f t="shared" si="0"/>
        <v>8000</v>
      </c>
      <c r="J45" s="18"/>
      <c r="K45" s="22"/>
    </row>
    <row r="46" spans="1:11">
      <c r="A46" s="4">
        <v>54503</v>
      </c>
      <c r="B46" s="2" t="s">
        <v>78</v>
      </c>
      <c r="C46" s="2"/>
      <c r="D46" s="3" t="s">
        <v>42</v>
      </c>
      <c r="E46" s="3" t="s">
        <v>29</v>
      </c>
      <c r="F46" s="3" t="s">
        <v>43</v>
      </c>
      <c r="G46" s="17">
        <f>'FEBRERO-18'!I46</f>
        <v>2000</v>
      </c>
      <c r="H46" s="51"/>
      <c r="I46" s="17">
        <f t="shared" si="0"/>
        <v>2000</v>
      </c>
      <c r="J46" s="18"/>
      <c r="K46" s="18"/>
    </row>
    <row r="47" spans="1:11">
      <c r="A47" s="4">
        <v>54504</v>
      </c>
      <c r="B47" s="2" t="s">
        <v>79</v>
      </c>
      <c r="C47" s="2"/>
      <c r="D47" s="3" t="s">
        <v>80</v>
      </c>
      <c r="E47" s="3" t="s">
        <v>29</v>
      </c>
      <c r="F47" s="3" t="s">
        <v>43</v>
      </c>
      <c r="G47" s="17">
        <f>'FEBRERO-18'!I47</f>
        <v>1000</v>
      </c>
      <c r="H47" s="51"/>
      <c r="I47" s="17">
        <f t="shared" si="0"/>
        <v>1000</v>
      </c>
      <c r="J47" s="18"/>
      <c r="K47" s="18"/>
    </row>
    <row r="48" spans="1:11">
      <c r="A48" s="4">
        <v>54505</v>
      </c>
      <c r="B48" s="5" t="s">
        <v>81</v>
      </c>
      <c r="C48" s="2"/>
      <c r="D48" s="3" t="s">
        <v>42</v>
      </c>
      <c r="E48" s="3" t="s">
        <v>29</v>
      </c>
      <c r="F48" s="3" t="s">
        <v>43</v>
      </c>
      <c r="G48" s="17">
        <f>'FEBRERO-18'!I48</f>
        <v>1000</v>
      </c>
      <c r="H48" s="51"/>
      <c r="I48" s="17">
        <f t="shared" si="0"/>
        <v>1000</v>
      </c>
      <c r="J48" s="18"/>
      <c r="K48" s="22"/>
    </row>
    <row r="49" spans="1:11" ht="20.25" customHeight="1">
      <c r="A49" s="4">
        <v>54599</v>
      </c>
      <c r="B49" s="5" t="s">
        <v>82</v>
      </c>
      <c r="C49" s="5"/>
      <c r="D49" s="3" t="s">
        <v>42</v>
      </c>
      <c r="E49" s="3" t="s">
        <v>29</v>
      </c>
      <c r="F49" s="3" t="s">
        <v>43</v>
      </c>
      <c r="G49" s="17">
        <f>'FEBRERO-18'!I49</f>
        <v>1000</v>
      </c>
      <c r="H49" s="51">
        <f>300</f>
        <v>300</v>
      </c>
      <c r="I49" s="17">
        <f t="shared" si="0"/>
        <v>700</v>
      </c>
      <c r="J49" s="18"/>
      <c r="K49" s="18"/>
    </row>
    <row r="50" spans="1:11" ht="30" customHeight="1">
      <c r="A50" s="4">
        <v>55302</v>
      </c>
      <c r="B50" s="5" t="s">
        <v>83</v>
      </c>
      <c r="C50" s="2"/>
      <c r="D50" s="3" t="s">
        <v>42</v>
      </c>
      <c r="E50" s="3" t="s">
        <v>29</v>
      </c>
      <c r="F50" s="3" t="s">
        <v>43</v>
      </c>
      <c r="G50" s="17">
        <f>'FEBRERO-18'!I50</f>
        <v>500</v>
      </c>
      <c r="H50" s="51"/>
      <c r="I50" s="17">
        <f t="shared" si="0"/>
        <v>500</v>
      </c>
      <c r="J50" s="18"/>
      <c r="K50" s="21"/>
    </row>
    <row r="51" spans="1:11">
      <c r="A51" s="4">
        <v>55601</v>
      </c>
      <c r="B51" s="2" t="s">
        <v>84</v>
      </c>
      <c r="C51" s="2" t="s">
        <v>85</v>
      </c>
      <c r="D51" s="3" t="s">
        <v>42</v>
      </c>
      <c r="E51" s="3" t="s">
        <v>29</v>
      </c>
      <c r="F51" s="3" t="s">
        <v>43</v>
      </c>
      <c r="G51" s="17">
        <f>'FEBRERO-18'!I51</f>
        <v>5000</v>
      </c>
      <c r="H51" s="51"/>
      <c r="I51" s="17">
        <f t="shared" si="0"/>
        <v>5000</v>
      </c>
      <c r="J51" s="18"/>
      <c r="K51" s="22"/>
    </row>
    <row r="52" spans="1:11">
      <c r="A52" s="4">
        <v>55602</v>
      </c>
      <c r="B52" s="2" t="s">
        <v>86</v>
      </c>
      <c r="C52" s="2" t="s">
        <v>87</v>
      </c>
      <c r="D52" s="3" t="s">
        <v>42</v>
      </c>
      <c r="E52" s="3" t="s">
        <v>29</v>
      </c>
      <c r="F52" s="3" t="s">
        <v>43</v>
      </c>
      <c r="G52" s="17">
        <f>'FEBRERO-18'!I52</f>
        <v>8000</v>
      </c>
      <c r="H52" s="51"/>
      <c r="I52" s="17">
        <f t="shared" si="0"/>
        <v>8000</v>
      </c>
      <c r="J52" s="18"/>
      <c r="K52" s="22"/>
    </row>
    <row r="53" spans="1:11">
      <c r="A53" s="4">
        <v>55603</v>
      </c>
      <c r="B53" s="2" t="s">
        <v>6</v>
      </c>
      <c r="C53" s="2"/>
      <c r="D53" s="3" t="s">
        <v>42</v>
      </c>
      <c r="E53" s="3" t="s">
        <v>29</v>
      </c>
      <c r="F53" s="3" t="s">
        <v>43</v>
      </c>
      <c r="G53" s="17">
        <f>'FEBRERO-18'!I53</f>
        <v>484.18</v>
      </c>
      <c r="H53" s="51"/>
      <c r="I53" s="17">
        <f t="shared" si="0"/>
        <v>484.18</v>
      </c>
      <c r="J53" s="18"/>
      <c r="K53" s="21"/>
    </row>
    <row r="54" spans="1:11" ht="33" customHeight="1">
      <c r="A54" s="4">
        <v>55799</v>
      </c>
      <c r="B54" s="5" t="s">
        <v>169</v>
      </c>
      <c r="C54" s="5"/>
      <c r="D54" s="3" t="s">
        <v>42</v>
      </c>
      <c r="E54" s="3" t="s">
        <v>29</v>
      </c>
      <c r="F54" s="3" t="s">
        <v>43</v>
      </c>
      <c r="G54" s="17">
        <f>'FEBRERO-18'!I54</f>
        <v>616.99</v>
      </c>
      <c r="H54" s="51"/>
      <c r="I54" s="17">
        <f t="shared" si="0"/>
        <v>616.99</v>
      </c>
      <c r="J54" s="18"/>
      <c r="K54" s="21"/>
    </row>
    <row r="55" spans="1:11" ht="33" customHeight="1">
      <c r="A55" s="4" t="s">
        <v>170</v>
      </c>
      <c r="B55" s="5" t="s">
        <v>1028</v>
      </c>
      <c r="C55" s="5"/>
      <c r="D55" s="3" t="s">
        <v>42</v>
      </c>
      <c r="E55" s="3" t="s">
        <v>29</v>
      </c>
      <c r="F55" s="3" t="s">
        <v>43</v>
      </c>
      <c r="G55" s="17">
        <f>'FEBRERO-18'!I55</f>
        <v>700</v>
      </c>
      <c r="H55" s="51"/>
      <c r="I55" s="17">
        <f t="shared" si="0"/>
        <v>700</v>
      </c>
      <c r="J55" s="18"/>
      <c r="K55" s="21"/>
    </row>
    <row r="56" spans="1:11" ht="39">
      <c r="A56" s="4" t="s">
        <v>171</v>
      </c>
      <c r="B56" s="5" t="s">
        <v>88</v>
      </c>
      <c r="C56" s="5"/>
      <c r="D56" s="3" t="s">
        <v>42</v>
      </c>
      <c r="E56" s="3" t="s">
        <v>29</v>
      </c>
      <c r="F56" s="3" t="s">
        <v>43</v>
      </c>
      <c r="G56" s="17">
        <f>'FEBRERO-18'!I56</f>
        <v>3118.34</v>
      </c>
      <c r="H56" s="51">
        <v>374.14</v>
      </c>
      <c r="I56" s="17">
        <f t="shared" si="0"/>
        <v>2744.2000000000003</v>
      </c>
      <c r="J56" s="18"/>
      <c r="K56" s="18"/>
    </row>
    <row r="57" spans="1:11" ht="27">
      <c r="A57" s="4" t="s">
        <v>161</v>
      </c>
      <c r="B57" s="5" t="s">
        <v>1027</v>
      </c>
      <c r="C57" s="5"/>
      <c r="D57" s="3" t="s">
        <v>42</v>
      </c>
      <c r="E57" s="3" t="s">
        <v>29</v>
      </c>
      <c r="F57" s="3" t="s">
        <v>43</v>
      </c>
      <c r="G57" s="17">
        <f>'FEBRERO-18'!I57</f>
        <v>3000</v>
      </c>
      <c r="H57" s="51">
        <v>100</v>
      </c>
      <c r="I57" s="17">
        <f t="shared" si="0"/>
        <v>2900</v>
      </c>
      <c r="J57" s="18"/>
      <c r="K57" s="18"/>
    </row>
    <row r="58" spans="1:11" ht="21" customHeight="1">
      <c r="A58" s="4">
        <v>56303</v>
      </c>
      <c r="B58" s="2" t="s">
        <v>90</v>
      </c>
      <c r="C58" s="2"/>
      <c r="D58" s="3" t="s">
        <v>42</v>
      </c>
      <c r="E58" s="3" t="s">
        <v>29</v>
      </c>
      <c r="F58" s="3" t="s">
        <v>43</v>
      </c>
      <c r="G58" s="17">
        <f>'FEBRERO-18'!I58</f>
        <v>17475</v>
      </c>
      <c r="H58" s="51">
        <f>100+100+150+100</f>
        <v>450</v>
      </c>
      <c r="I58" s="17">
        <f t="shared" si="0"/>
        <v>17025</v>
      </c>
      <c r="J58" s="18"/>
      <c r="K58" s="18"/>
    </row>
    <row r="59" spans="1:11" ht="21.75" customHeight="1">
      <c r="A59" s="4">
        <v>56304</v>
      </c>
      <c r="B59" s="2" t="s">
        <v>91</v>
      </c>
      <c r="C59" s="2"/>
      <c r="D59" s="3" t="s">
        <v>42</v>
      </c>
      <c r="E59" s="3" t="s">
        <v>29</v>
      </c>
      <c r="F59" s="3" t="s">
        <v>43</v>
      </c>
      <c r="G59" s="17">
        <f>'FEBRERO-18'!I59</f>
        <v>15384.5</v>
      </c>
      <c r="H59" s="51">
        <f>794.48+100+25+120+150+100+100</f>
        <v>1389.48</v>
      </c>
      <c r="I59" s="17">
        <f t="shared" si="0"/>
        <v>13995.02</v>
      </c>
      <c r="J59" s="18"/>
      <c r="K59" s="18"/>
    </row>
    <row r="60" spans="1:11" ht="45.75" customHeight="1">
      <c r="A60" s="38" t="s">
        <v>8</v>
      </c>
      <c r="B60" s="39" t="s">
        <v>92</v>
      </c>
      <c r="C60" s="39"/>
      <c r="D60" s="39" t="s">
        <v>42</v>
      </c>
      <c r="E60" s="39" t="s">
        <v>29</v>
      </c>
      <c r="F60" s="39" t="s">
        <v>43</v>
      </c>
      <c r="G60" s="17">
        <f>'FEBRERO-18'!I60</f>
        <v>272965.48</v>
      </c>
      <c r="H60" s="95">
        <f>SUM(H4:H59)</f>
        <v>18150.02</v>
      </c>
      <c r="I60" s="40">
        <f>G60-H60+J60-K60</f>
        <v>259315.46</v>
      </c>
      <c r="J60" s="107">
        <f>SUM(J15:J59)</f>
        <v>4500</v>
      </c>
      <c r="K60" s="40"/>
    </row>
    <row r="61" spans="1:11">
      <c r="A61" s="4">
        <v>51103</v>
      </c>
      <c r="B61" s="2" t="s">
        <v>173</v>
      </c>
      <c r="C61" s="2"/>
      <c r="D61" s="3" t="s">
        <v>94</v>
      </c>
      <c r="E61" s="3" t="s">
        <v>29</v>
      </c>
      <c r="F61" s="3" t="s">
        <v>43</v>
      </c>
      <c r="G61" s="17">
        <f>'FEBRERO-18'!I61</f>
        <v>100</v>
      </c>
      <c r="H61" s="51"/>
      <c r="I61" s="17">
        <f t="shared" si="0"/>
        <v>100</v>
      </c>
      <c r="J61" s="27"/>
      <c r="K61" s="28"/>
    </row>
    <row r="62" spans="1:11">
      <c r="A62" s="4">
        <v>51107</v>
      </c>
      <c r="B62" s="2" t="s">
        <v>93</v>
      </c>
      <c r="C62" s="2"/>
      <c r="D62" s="3" t="s">
        <v>94</v>
      </c>
      <c r="E62" s="3" t="s">
        <v>29</v>
      </c>
      <c r="F62" s="3" t="s">
        <v>43</v>
      </c>
      <c r="G62" s="17">
        <f>'FEBRERO-18'!I62</f>
        <v>1500</v>
      </c>
      <c r="H62" s="51"/>
      <c r="I62" s="17">
        <f t="shared" si="0"/>
        <v>1500</v>
      </c>
      <c r="J62" s="27"/>
      <c r="K62" s="28"/>
    </row>
    <row r="63" spans="1:11">
      <c r="A63" s="4">
        <v>51301</v>
      </c>
      <c r="B63" s="2" t="s">
        <v>45</v>
      </c>
      <c r="C63" s="2"/>
      <c r="D63" s="3" t="s">
        <v>94</v>
      </c>
      <c r="E63" s="3" t="s">
        <v>29</v>
      </c>
      <c r="F63" s="3" t="s">
        <v>43</v>
      </c>
      <c r="G63" s="17">
        <f>'FEBRERO-18'!I63</f>
        <v>5000</v>
      </c>
      <c r="H63" s="51"/>
      <c r="I63" s="17">
        <f t="shared" si="0"/>
        <v>5000</v>
      </c>
      <c r="J63" s="27"/>
      <c r="K63" s="29"/>
    </row>
    <row r="64" spans="1:11" ht="25.5">
      <c r="A64" s="4">
        <v>51401</v>
      </c>
      <c r="B64" s="7" t="s">
        <v>128</v>
      </c>
      <c r="C64" s="2"/>
      <c r="D64" s="3" t="s">
        <v>94</v>
      </c>
      <c r="E64" s="3" t="s">
        <v>29</v>
      </c>
      <c r="F64" s="3" t="s">
        <v>43</v>
      </c>
      <c r="G64" s="17">
        <f>'FEBRERO-18'!I64</f>
        <v>2099.1</v>
      </c>
      <c r="H64" s="51"/>
      <c r="I64" s="17">
        <f t="shared" si="0"/>
        <v>2099.1</v>
      </c>
      <c r="J64" s="27"/>
      <c r="K64" s="30"/>
    </row>
    <row r="65" spans="1:11" ht="36">
      <c r="A65" s="4">
        <v>51501</v>
      </c>
      <c r="B65" s="5" t="s">
        <v>141</v>
      </c>
      <c r="C65" s="2"/>
      <c r="D65" s="3" t="s">
        <v>94</v>
      </c>
      <c r="E65" s="3" t="s">
        <v>29</v>
      </c>
      <c r="F65" s="3" t="s">
        <v>43</v>
      </c>
      <c r="G65" s="17">
        <f>'FEBRERO-18'!I65</f>
        <v>1889.16</v>
      </c>
      <c r="H65" s="51"/>
      <c r="I65" s="17">
        <f t="shared" si="0"/>
        <v>1889.16</v>
      </c>
      <c r="J65" s="27"/>
      <c r="K65" s="21"/>
    </row>
    <row r="66" spans="1:11">
      <c r="A66" s="4">
        <v>54104</v>
      </c>
      <c r="B66" s="2" t="s">
        <v>10</v>
      </c>
      <c r="C66" s="2"/>
      <c r="D66" s="3" t="s">
        <v>94</v>
      </c>
      <c r="E66" s="3" t="s">
        <v>29</v>
      </c>
      <c r="F66" s="3" t="s">
        <v>43</v>
      </c>
      <c r="G66" s="17">
        <f>'FEBRERO-18'!I66</f>
        <v>2000</v>
      </c>
      <c r="H66" s="51"/>
      <c r="I66" s="17">
        <f t="shared" si="0"/>
        <v>2000</v>
      </c>
      <c r="J66" s="27"/>
      <c r="K66" s="22"/>
    </row>
    <row r="67" spans="1:11">
      <c r="A67" s="4">
        <v>54105</v>
      </c>
      <c r="B67" s="2" t="s">
        <v>49</v>
      </c>
      <c r="C67" s="2"/>
      <c r="D67" s="3" t="s">
        <v>94</v>
      </c>
      <c r="E67" s="3" t="s">
        <v>29</v>
      </c>
      <c r="F67" s="3" t="s">
        <v>43</v>
      </c>
      <c r="G67" s="17">
        <f>'FEBRERO-18'!I67</f>
        <v>4000</v>
      </c>
      <c r="H67" s="51"/>
      <c r="I67" s="17">
        <f t="shared" si="0"/>
        <v>4000</v>
      </c>
      <c r="J67" s="27"/>
      <c r="K67" s="18"/>
    </row>
    <row r="68" spans="1:11">
      <c r="A68" s="4">
        <v>54114</v>
      </c>
      <c r="B68" s="2" t="s">
        <v>56</v>
      </c>
      <c r="C68" s="2"/>
      <c r="D68" s="3" t="s">
        <v>94</v>
      </c>
      <c r="E68" s="3" t="s">
        <v>29</v>
      </c>
      <c r="F68" s="3" t="s">
        <v>43</v>
      </c>
      <c r="G68" s="17">
        <f>'FEBRERO-18'!I68</f>
        <v>4996.3999999999996</v>
      </c>
      <c r="H68" s="51"/>
      <c r="I68" s="17">
        <f t="shared" si="0"/>
        <v>4996.3999999999996</v>
      </c>
      <c r="J68" s="27"/>
      <c r="K68" s="21"/>
    </row>
    <row r="69" spans="1:11">
      <c r="A69" s="4">
        <v>54115</v>
      </c>
      <c r="B69" s="2" t="s">
        <v>57</v>
      </c>
      <c r="C69" s="2"/>
      <c r="D69" s="3" t="s">
        <v>94</v>
      </c>
      <c r="E69" s="3" t="s">
        <v>29</v>
      </c>
      <c r="F69" s="3" t="s">
        <v>43</v>
      </c>
      <c r="G69" s="17">
        <f>'FEBRERO-18'!I69</f>
        <v>4000</v>
      </c>
      <c r="H69" s="51"/>
      <c r="I69" s="17">
        <f t="shared" si="0"/>
        <v>4000</v>
      </c>
      <c r="J69" s="31"/>
      <c r="K69" s="21"/>
    </row>
    <row r="70" spans="1:11">
      <c r="A70" s="4">
        <v>54401</v>
      </c>
      <c r="B70" s="2" t="s">
        <v>75</v>
      </c>
      <c r="C70" s="2"/>
      <c r="D70" s="3" t="s">
        <v>94</v>
      </c>
      <c r="E70" s="3" t="s">
        <v>29</v>
      </c>
      <c r="F70" s="3" t="s">
        <v>43</v>
      </c>
      <c r="G70" s="17">
        <f>'FEBRERO-18'!I70</f>
        <v>200</v>
      </c>
      <c r="H70" s="51"/>
      <c r="I70" s="17">
        <f t="shared" si="0"/>
        <v>200</v>
      </c>
      <c r="J70" s="27"/>
      <c r="K70" s="21"/>
    </row>
    <row r="71" spans="1:11">
      <c r="A71" s="4">
        <v>54403</v>
      </c>
      <c r="B71" s="2" t="s">
        <v>76</v>
      </c>
      <c r="C71" s="2"/>
      <c r="D71" s="3" t="s">
        <v>94</v>
      </c>
      <c r="E71" s="3" t="s">
        <v>29</v>
      </c>
      <c r="F71" s="3" t="s">
        <v>43</v>
      </c>
      <c r="G71" s="17">
        <f>'FEBRERO-18'!I71</f>
        <v>300</v>
      </c>
      <c r="H71" s="51"/>
      <c r="I71" s="17">
        <f>G71-H71+J71-K71</f>
        <v>300</v>
      </c>
      <c r="J71" s="27"/>
      <c r="K71" s="28"/>
    </row>
    <row r="72" spans="1:11" ht="21" customHeight="1">
      <c r="A72" s="4">
        <v>54507</v>
      </c>
      <c r="B72" s="5" t="s">
        <v>95</v>
      </c>
      <c r="C72" s="2"/>
      <c r="D72" s="3" t="s">
        <v>94</v>
      </c>
      <c r="E72" s="3" t="s">
        <v>29</v>
      </c>
      <c r="F72" s="3" t="s">
        <v>43</v>
      </c>
      <c r="G72" s="17">
        <f>'FEBRERO-18'!I72</f>
        <v>1000</v>
      </c>
      <c r="H72" s="51"/>
      <c r="I72" s="17">
        <f>G72-H72+J72-K72</f>
        <v>1000</v>
      </c>
      <c r="J72" s="32"/>
      <c r="K72" s="28"/>
    </row>
    <row r="73" spans="1:11" ht="21">
      <c r="A73" s="38" t="s">
        <v>8</v>
      </c>
      <c r="B73" s="39" t="s">
        <v>96</v>
      </c>
      <c r="C73" s="39"/>
      <c r="D73" s="39" t="s">
        <v>94</v>
      </c>
      <c r="E73" s="39" t="s">
        <v>29</v>
      </c>
      <c r="F73" s="39" t="s">
        <v>43</v>
      </c>
      <c r="G73" s="17">
        <f>'FEBRERO-18'!I73</f>
        <v>27084.660000000003</v>
      </c>
      <c r="H73" s="95">
        <f>SUM(H61:H72)</f>
        <v>0</v>
      </c>
      <c r="I73" s="40">
        <f>G73-H73+J73-K73</f>
        <v>27084.660000000003</v>
      </c>
      <c r="J73" s="40"/>
      <c r="K73" s="40"/>
    </row>
    <row r="74" spans="1:11">
      <c r="A74" s="4">
        <v>51103</v>
      </c>
      <c r="B74" s="2" t="s">
        <v>174</v>
      </c>
      <c r="C74" s="2"/>
      <c r="D74" s="3" t="s">
        <v>97</v>
      </c>
      <c r="E74" s="3" t="s">
        <v>29</v>
      </c>
      <c r="F74" s="3" t="s">
        <v>43</v>
      </c>
      <c r="G74" s="17">
        <f>'FEBRERO-18'!I74</f>
        <v>100</v>
      </c>
      <c r="H74" s="51"/>
      <c r="I74" s="170">
        <f t="shared" ref="I74:I99" si="1">G74-H74+J74-K74</f>
        <v>100</v>
      </c>
      <c r="J74" s="28"/>
      <c r="K74" s="28"/>
    </row>
    <row r="75" spans="1:11">
      <c r="A75" s="4">
        <v>51107</v>
      </c>
      <c r="B75" s="2" t="s">
        <v>93</v>
      </c>
      <c r="C75" s="2"/>
      <c r="D75" s="3" t="s">
        <v>97</v>
      </c>
      <c r="E75" s="3" t="s">
        <v>29</v>
      </c>
      <c r="F75" s="3" t="s">
        <v>43</v>
      </c>
      <c r="G75" s="17">
        <f>'FEBRERO-18'!I75</f>
        <v>5000</v>
      </c>
      <c r="H75" s="51"/>
      <c r="I75" s="170">
        <f t="shared" si="1"/>
        <v>5000</v>
      </c>
      <c r="J75" s="28"/>
      <c r="K75" s="28"/>
    </row>
    <row r="76" spans="1:11">
      <c r="A76" s="4">
        <v>51201</v>
      </c>
      <c r="B76" s="2" t="s">
        <v>44</v>
      </c>
      <c r="C76" s="2"/>
      <c r="D76" s="3" t="s">
        <v>97</v>
      </c>
      <c r="E76" s="3" t="s">
        <v>29</v>
      </c>
      <c r="F76" s="3" t="s">
        <v>43</v>
      </c>
      <c r="G76" s="17">
        <f>'FEBRERO-18'!I76</f>
        <v>2000</v>
      </c>
      <c r="H76" s="51"/>
      <c r="I76" s="170">
        <f t="shared" si="1"/>
        <v>2000</v>
      </c>
      <c r="J76" s="30"/>
      <c r="K76" s="28"/>
    </row>
    <row r="77" spans="1:11">
      <c r="A77" s="4">
        <v>51301</v>
      </c>
      <c r="B77" s="7" t="s">
        <v>98</v>
      </c>
      <c r="C77" s="2"/>
      <c r="D77" s="3" t="s">
        <v>97</v>
      </c>
      <c r="E77" s="3" t="s">
        <v>29</v>
      </c>
      <c r="F77" s="3" t="s">
        <v>43</v>
      </c>
      <c r="G77" s="17">
        <f>'FEBRERO-18'!I77</f>
        <v>3000</v>
      </c>
      <c r="H77" s="51"/>
      <c r="I77" s="170">
        <f t="shared" si="1"/>
        <v>3000</v>
      </c>
      <c r="J77" s="30"/>
      <c r="K77" s="28"/>
    </row>
    <row r="78" spans="1:11" ht="48.75" customHeight="1">
      <c r="A78" s="4">
        <v>51401</v>
      </c>
      <c r="B78" s="7" t="s">
        <v>134</v>
      </c>
      <c r="C78" s="2"/>
      <c r="D78" s="3" t="s">
        <v>97</v>
      </c>
      <c r="E78" s="3" t="s">
        <v>29</v>
      </c>
      <c r="F78" s="3" t="s">
        <v>43</v>
      </c>
      <c r="G78" s="17">
        <f>'FEBRERO-18'!I78</f>
        <v>9778.74</v>
      </c>
      <c r="H78" s="51"/>
      <c r="I78" s="170">
        <f t="shared" si="1"/>
        <v>9778.74</v>
      </c>
      <c r="J78" s="29"/>
      <c r="K78" s="28"/>
    </row>
    <row r="79" spans="1:11" ht="36">
      <c r="A79" s="4">
        <v>51501</v>
      </c>
      <c r="B79" s="5" t="s">
        <v>127</v>
      </c>
      <c r="C79" s="2"/>
      <c r="D79" s="3" t="s">
        <v>97</v>
      </c>
      <c r="E79" s="3" t="s">
        <v>29</v>
      </c>
      <c r="F79" s="3" t="s">
        <v>43</v>
      </c>
      <c r="G79" s="17">
        <f>'FEBRERO-18'!I79</f>
        <v>7853.28</v>
      </c>
      <c r="H79" s="51"/>
      <c r="I79" s="170">
        <f t="shared" si="1"/>
        <v>7853.28</v>
      </c>
      <c r="J79" s="27"/>
      <c r="K79" s="28"/>
    </row>
    <row r="80" spans="1:11" ht="24" customHeight="1">
      <c r="A80" s="4">
        <v>54104</v>
      </c>
      <c r="B80" s="2" t="s">
        <v>10</v>
      </c>
      <c r="C80" s="2"/>
      <c r="D80" s="3" t="s">
        <v>97</v>
      </c>
      <c r="E80" s="3" t="s">
        <v>29</v>
      </c>
      <c r="F80" s="3" t="s">
        <v>43</v>
      </c>
      <c r="G80" s="17">
        <f>'FEBRERO-18'!I80</f>
        <v>4000</v>
      </c>
      <c r="H80" s="51"/>
      <c r="I80" s="170">
        <f t="shared" si="1"/>
        <v>4000</v>
      </c>
      <c r="J80" s="28"/>
      <c r="K80" s="28"/>
    </row>
    <row r="81" spans="1:11" ht="21.75" customHeight="1">
      <c r="A81" s="4">
        <v>54105</v>
      </c>
      <c r="B81" s="2" t="s">
        <v>49</v>
      </c>
      <c r="C81" s="2"/>
      <c r="D81" s="3" t="s">
        <v>97</v>
      </c>
      <c r="E81" s="3" t="s">
        <v>29</v>
      </c>
      <c r="F81" s="3" t="s">
        <v>43</v>
      </c>
      <c r="G81" s="17">
        <f>'FEBRERO-18'!I81</f>
        <v>2000</v>
      </c>
      <c r="H81" s="51"/>
      <c r="I81" s="170">
        <f t="shared" si="1"/>
        <v>2000</v>
      </c>
      <c r="J81" s="27"/>
      <c r="K81" s="28"/>
    </row>
    <row r="82" spans="1:11" ht="27" customHeight="1">
      <c r="A82" s="4">
        <v>54106</v>
      </c>
      <c r="B82" s="5" t="s">
        <v>99</v>
      </c>
      <c r="C82" s="5"/>
      <c r="D82" s="3" t="s">
        <v>97</v>
      </c>
      <c r="E82" s="3" t="s">
        <v>29</v>
      </c>
      <c r="F82" s="3" t="s">
        <v>43</v>
      </c>
      <c r="G82" s="17">
        <f>'FEBRERO-18'!I82</f>
        <v>1000</v>
      </c>
      <c r="H82" s="51"/>
      <c r="I82" s="170">
        <f t="shared" si="1"/>
        <v>1000</v>
      </c>
      <c r="J82" s="27"/>
      <c r="K82" s="28"/>
    </row>
    <row r="83" spans="1:11" ht="24" customHeight="1">
      <c r="A83" s="4">
        <v>54109</v>
      </c>
      <c r="B83" s="2" t="s">
        <v>52</v>
      </c>
      <c r="C83" s="2"/>
      <c r="D83" s="3" t="s">
        <v>97</v>
      </c>
      <c r="E83" s="3" t="s">
        <v>29</v>
      </c>
      <c r="F83" s="3" t="s">
        <v>43</v>
      </c>
      <c r="G83" s="17">
        <f>'FEBRERO-18'!I83</f>
        <v>500</v>
      </c>
      <c r="H83" s="51"/>
      <c r="I83" s="170">
        <f t="shared" si="1"/>
        <v>500</v>
      </c>
      <c r="J83" s="33"/>
      <c r="K83" s="28"/>
    </row>
    <row r="84" spans="1:11" ht="28.5" customHeight="1">
      <c r="A84" s="4">
        <v>54110</v>
      </c>
      <c r="B84" s="2" t="s">
        <v>53</v>
      </c>
      <c r="C84" s="2"/>
      <c r="D84" s="3" t="s">
        <v>97</v>
      </c>
      <c r="E84" s="3" t="s">
        <v>29</v>
      </c>
      <c r="F84" s="3" t="s">
        <v>43</v>
      </c>
      <c r="G84" s="17">
        <f>'FEBRERO-18'!I84</f>
        <v>12000</v>
      </c>
      <c r="H84" s="51">
        <f>1332.73+1409.95</f>
        <v>2742.6800000000003</v>
      </c>
      <c r="I84" s="170">
        <f t="shared" si="1"/>
        <v>9257.32</v>
      </c>
      <c r="J84" s="33"/>
      <c r="K84" s="30"/>
    </row>
    <row r="85" spans="1:11" ht="30.75" customHeight="1">
      <c r="A85" s="4">
        <v>54111</v>
      </c>
      <c r="B85" s="5" t="s">
        <v>54</v>
      </c>
      <c r="C85" s="2"/>
      <c r="D85" s="3" t="s">
        <v>97</v>
      </c>
      <c r="E85" s="3" t="s">
        <v>29</v>
      </c>
      <c r="F85" s="3" t="s">
        <v>43</v>
      </c>
      <c r="G85" s="17">
        <f>'FEBRERO-18'!I85</f>
        <v>1000</v>
      </c>
      <c r="H85" s="51"/>
      <c r="I85" s="170">
        <f t="shared" si="1"/>
        <v>1000</v>
      </c>
      <c r="J85" s="33"/>
      <c r="K85" s="27"/>
    </row>
    <row r="86" spans="1:11" ht="39">
      <c r="A86" s="4">
        <v>54112</v>
      </c>
      <c r="B86" s="5" t="s">
        <v>55</v>
      </c>
      <c r="C86" s="2"/>
      <c r="D86" s="3" t="s">
        <v>97</v>
      </c>
      <c r="E86" s="3" t="s">
        <v>29</v>
      </c>
      <c r="F86" s="3" t="s">
        <v>43</v>
      </c>
      <c r="G86" s="17">
        <f>'FEBRERO-18'!I86</f>
        <v>1000</v>
      </c>
      <c r="H86" s="51"/>
      <c r="I86" s="170">
        <f t="shared" si="1"/>
        <v>1000</v>
      </c>
      <c r="J86" s="33"/>
      <c r="K86" s="28"/>
    </row>
    <row r="87" spans="1:11">
      <c r="A87" s="4">
        <v>54114</v>
      </c>
      <c r="B87" s="2" t="s">
        <v>56</v>
      </c>
      <c r="C87" s="2"/>
      <c r="D87" s="3" t="s">
        <v>97</v>
      </c>
      <c r="E87" s="3" t="s">
        <v>29</v>
      </c>
      <c r="F87" s="3" t="s">
        <v>43</v>
      </c>
      <c r="G87" s="17">
        <f>'FEBRERO-18'!I87</f>
        <v>1000</v>
      </c>
      <c r="H87" s="51"/>
      <c r="I87" s="170">
        <f t="shared" si="1"/>
        <v>1000</v>
      </c>
      <c r="J87" s="27"/>
      <c r="K87" s="28"/>
    </row>
    <row r="88" spans="1:11">
      <c r="A88" s="4">
        <v>54115</v>
      </c>
      <c r="B88" s="2" t="s">
        <v>57</v>
      </c>
      <c r="C88" s="2"/>
      <c r="D88" s="3" t="s">
        <v>97</v>
      </c>
      <c r="E88" s="3" t="s">
        <v>29</v>
      </c>
      <c r="F88" s="3" t="s">
        <v>43</v>
      </c>
      <c r="G88" s="17">
        <f>'FEBRERO-18'!I88</f>
        <v>1000</v>
      </c>
      <c r="H88" s="51"/>
      <c r="I88" s="170">
        <f t="shared" si="1"/>
        <v>1000</v>
      </c>
      <c r="J88" s="33"/>
      <c r="K88" s="28"/>
    </row>
    <row r="89" spans="1:11" ht="27" customHeight="1">
      <c r="A89" s="4">
        <v>54118</v>
      </c>
      <c r="B89" s="5" t="s">
        <v>100</v>
      </c>
      <c r="C89" s="2"/>
      <c r="D89" s="3" t="s">
        <v>97</v>
      </c>
      <c r="E89" s="3" t="s">
        <v>29</v>
      </c>
      <c r="F89" s="3" t="s">
        <v>43</v>
      </c>
      <c r="G89" s="17">
        <f>'FEBRERO-18'!I89</f>
        <v>895.9</v>
      </c>
      <c r="H89" s="51"/>
      <c r="I89" s="170">
        <f t="shared" si="1"/>
        <v>895.9</v>
      </c>
      <c r="J89" s="30"/>
      <c r="K89" s="28"/>
    </row>
    <row r="90" spans="1:11">
      <c r="A90" s="4">
        <v>54119</v>
      </c>
      <c r="B90" s="2" t="s">
        <v>60</v>
      </c>
      <c r="C90" s="2"/>
      <c r="D90" s="3" t="s">
        <v>97</v>
      </c>
      <c r="E90" s="3" t="s">
        <v>29</v>
      </c>
      <c r="F90" s="3" t="s">
        <v>43</v>
      </c>
      <c r="G90" s="17">
        <f>'FEBRERO-18'!I90</f>
        <v>1000</v>
      </c>
      <c r="H90" s="276">
        <f>442.8</f>
        <v>442.8</v>
      </c>
      <c r="I90" s="170">
        <f t="shared" si="1"/>
        <v>557.20000000000005</v>
      </c>
      <c r="J90" s="30"/>
      <c r="K90" s="28"/>
    </row>
    <row r="91" spans="1:11">
      <c r="A91" s="4">
        <v>54199</v>
      </c>
      <c r="B91" s="2" t="s">
        <v>61</v>
      </c>
      <c r="C91" s="2"/>
      <c r="D91" s="3" t="s">
        <v>97</v>
      </c>
      <c r="E91" s="3" t="s">
        <v>29</v>
      </c>
      <c r="F91" s="3" t="s">
        <v>43</v>
      </c>
      <c r="G91" s="17">
        <f>'FEBRERO-18'!I91</f>
        <v>1470.1</v>
      </c>
      <c r="H91" s="51">
        <f>210</f>
        <v>210</v>
      </c>
      <c r="I91" s="170">
        <f t="shared" si="1"/>
        <v>1260.0999999999999</v>
      </c>
      <c r="J91" s="33"/>
      <c r="K91" s="28"/>
    </row>
    <row r="92" spans="1:11">
      <c r="A92" s="4">
        <v>54301</v>
      </c>
      <c r="B92" s="2" t="s">
        <v>66</v>
      </c>
      <c r="C92" s="2"/>
      <c r="D92" s="3" t="s">
        <v>97</v>
      </c>
      <c r="E92" s="3" t="s">
        <v>29</v>
      </c>
      <c r="F92" s="3" t="s">
        <v>43</v>
      </c>
      <c r="G92" s="17">
        <f>'FEBRERO-18'!I92</f>
        <v>200</v>
      </c>
      <c r="H92" s="51"/>
      <c r="I92" s="170">
        <f t="shared" si="1"/>
        <v>200</v>
      </c>
      <c r="J92" s="29"/>
      <c r="K92" s="28"/>
    </row>
    <row r="93" spans="1:11">
      <c r="A93" s="4">
        <v>54302</v>
      </c>
      <c r="B93" s="2" t="s">
        <v>67</v>
      </c>
      <c r="C93" s="2"/>
      <c r="D93" s="3" t="s">
        <v>97</v>
      </c>
      <c r="E93" s="3" t="s">
        <v>29</v>
      </c>
      <c r="F93" s="3" t="s">
        <v>43</v>
      </c>
      <c r="G93" s="17">
        <f>'FEBRERO-18'!I93</f>
        <v>380</v>
      </c>
      <c r="H93" s="51"/>
      <c r="I93" s="170">
        <f t="shared" si="1"/>
        <v>380</v>
      </c>
      <c r="J93" s="27"/>
      <c r="K93" s="28"/>
    </row>
    <row r="94" spans="1:11" ht="24.75" customHeight="1">
      <c r="A94" s="4">
        <v>54314</v>
      </c>
      <c r="B94" s="5" t="s">
        <v>101</v>
      </c>
      <c r="C94" s="2"/>
      <c r="D94" s="3" t="s">
        <v>97</v>
      </c>
      <c r="E94" s="3" t="s">
        <v>29</v>
      </c>
      <c r="F94" s="3" t="s">
        <v>43</v>
      </c>
      <c r="G94" s="17">
        <f>'FEBRERO-18'!I94</f>
        <v>28592.91</v>
      </c>
      <c r="H94" s="51">
        <f>340+200+200+200+200+200+300+830</f>
        <v>2470</v>
      </c>
      <c r="I94" s="170">
        <f t="shared" si="1"/>
        <v>26122.91</v>
      </c>
      <c r="J94" s="33"/>
      <c r="K94" s="34"/>
    </row>
    <row r="95" spans="1:11">
      <c r="A95" s="4">
        <v>54399</v>
      </c>
      <c r="B95" s="2" t="s">
        <v>74</v>
      </c>
      <c r="C95" s="2"/>
      <c r="D95" s="3" t="s">
        <v>97</v>
      </c>
      <c r="E95" s="3" t="s">
        <v>29</v>
      </c>
      <c r="F95" s="3" t="s">
        <v>43</v>
      </c>
      <c r="G95" s="17">
        <f>'FEBRERO-18'!I95</f>
        <v>97.159999999999854</v>
      </c>
      <c r="H95" s="51"/>
      <c r="I95" s="170">
        <f t="shared" si="1"/>
        <v>97.159999999999854</v>
      </c>
      <c r="J95" s="33"/>
      <c r="K95" s="33"/>
    </row>
    <row r="96" spans="1:11">
      <c r="A96" s="4">
        <v>54401</v>
      </c>
      <c r="B96" s="2" t="s">
        <v>75</v>
      </c>
      <c r="C96" s="2"/>
      <c r="D96" s="3" t="s">
        <v>97</v>
      </c>
      <c r="E96" s="3" t="s">
        <v>29</v>
      </c>
      <c r="F96" s="3" t="s">
        <v>43</v>
      </c>
      <c r="G96" s="17">
        <f>'FEBRERO-18'!I96</f>
        <v>400</v>
      </c>
      <c r="H96" s="51"/>
      <c r="I96" s="170">
        <f t="shared" si="1"/>
        <v>400</v>
      </c>
      <c r="J96" s="34"/>
      <c r="K96" s="28"/>
    </row>
    <row r="97" spans="1:11">
      <c r="A97" s="4">
        <v>54403</v>
      </c>
      <c r="B97" s="2" t="s">
        <v>102</v>
      </c>
      <c r="C97" s="2"/>
      <c r="D97" s="3" t="s">
        <v>97</v>
      </c>
      <c r="E97" s="3" t="s">
        <v>29</v>
      </c>
      <c r="F97" s="3" t="s">
        <v>43</v>
      </c>
      <c r="G97" s="17">
        <f>'FEBRERO-18'!I97</f>
        <v>632.98</v>
      </c>
      <c r="H97" s="51"/>
      <c r="I97" s="170">
        <f t="shared" si="1"/>
        <v>632.98</v>
      </c>
      <c r="J97" s="34"/>
      <c r="K97" s="28"/>
    </row>
    <row r="98" spans="1:11" ht="21.75" customHeight="1">
      <c r="A98" s="4">
        <v>54507</v>
      </c>
      <c r="B98" s="5" t="s">
        <v>103</v>
      </c>
      <c r="C98" s="5"/>
      <c r="D98" s="3" t="s">
        <v>97</v>
      </c>
      <c r="E98" s="3" t="s">
        <v>29</v>
      </c>
      <c r="F98" s="3" t="s">
        <v>43</v>
      </c>
      <c r="G98" s="17">
        <f>'FEBRERO-18'!I98</f>
        <v>500</v>
      </c>
      <c r="H98" s="51"/>
      <c r="I98" s="170">
        <f t="shared" si="1"/>
        <v>500</v>
      </c>
      <c r="J98" s="35"/>
      <c r="K98" s="28"/>
    </row>
    <row r="99" spans="1:11">
      <c r="A99" s="4">
        <v>54699</v>
      </c>
      <c r="B99" s="5" t="s">
        <v>104</v>
      </c>
      <c r="C99" s="2"/>
      <c r="D99" s="3" t="s">
        <v>97</v>
      </c>
      <c r="E99" s="3" t="s">
        <v>29</v>
      </c>
      <c r="F99" s="3" t="s">
        <v>43</v>
      </c>
      <c r="G99" s="17">
        <f>'FEBRERO-18'!I99</f>
        <v>1</v>
      </c>
      <c r="H99" s="51"/>
      <c r="I99" s="170">
        <f t="shared" si="1"/>
        <v>1</v>
      </c>
      <c r="J99" s="27"/>
      <c r="K99" s="28"/>
    </row>
    <row r="100" spans="1:11" ht="21">
      <c r="A100" s="38" t="s">
        <v>8</v>
      </c>
      <c r="B100" s="39" t="s">
        <v>105</v>
      </c>
      <c r="C100" s="39"/>
      <c r="D100" s="39" t="s">
        <v>97</v>
      </c>
      <c r="E100" s="39" t="s">
        <v>29</v>
      </c>
      <c r="F100" s="39" t="s">
        <v>43</v>
      </c>
      <c r="G100" s="17">
        <f>'FEBRERO-18'!I100</f>
        <v>85402.069999999992</v>
      </c>
      <c r="H100" s="95">
        <f>SUM(H74:H99)</f>
        <v>5865.4800000000005</v>
      </c>
      <c r="I100" s="40">
        <f>G100-H100+J100-K100</f>
        <v>79536.59</v>
      </c>
      <c r="J100" s="40"/>
      <c r="K100" s="40"/>
    </row>
    <row r="101" spans="1:11">
      <c r="A101" s="4">
        <v>51101</v>
      </c>
      <c r="B101" s="2" t="s">
        <v>175</v>
      </c>
      <c r="C101" s="2"/>
      <c r="D101" s="3" t="s">
        <v>42</v>
      </c>
      <c r="E101" s="3" t="s">
        <v>29</v>
      </c>
      <c r="F101" s="3" t="s">
        <v>106</v>
      </c>
      <c r="G101" s="17">
        <f>'FEBRERO-18'!I101</f>
        <v>47770.499999999993</v>
      </c>
      <c r="H101" s="51">
        <f>4237.05</f>
        <v>4237.05</v>
      </c>
      <c r="I101" s="17">
        <f t="shared" ref="I101:I140" si="2">G101-H101+J101-K101</f>
        <v>43533.44999999999</v>
      </c>
      <c r="J101" s="28"/>
      <c r="K101" s="30"/>
    </row>
    <row r="102" spans="1:11">
      <c r="A102" s="4">
        <v>51103</v>
      </c>
      <c r="B102" s="2" t="s">
        <v>107</v>
      </c>
      <c r="C102" s="2"/>
      <c r="D102" s="3" t="s">
        <v>42</v>
      </c>
      <c r="E102" s="3" t="s">
        <v>29</v>
      </c>
      <c r="F102" s="3" t="s">
        <v>106</v>
      </c>
      <c r="G102" s="17">
        <f>'FEBRERO-18'!I102</f>
        <v>4687.05</v>
      </c>
      <c r="H102" s="51"/>
      <c r="I102" s="17">
        <f t="shared" si="2"/>
        <v>4687.05</v>
      </c>
      <c r="J102" s="30"/>
      <c r="K102" s="29"/>
    </row>
    <row r="103" spans="1:11">
      <c r="A103" s="4">
        <v>51105</v>
      </c>
      <c r="B103" s="2" t="s">
        <v>176</v>
      </c>
      <c r="C103" s="2"/>
      <c r="D103" s="3" t="s">
        <v>42</v>
      </c>
      <c r="E103" s="3" t="s">
        <v>29</v>
      </c>
      <c r="F103" s="3" t="s">
        <v>106</v>
      </c>
      <c r="G103" s="17">
        <f>'FEBRERO-18'!I103</f>
        <v>34587.74</v>
      </c>
      <c r="H103" s="51">
        <f>783.08+6518.6</f>
        <v>7301.68</v>
      </c>
      <c r="I103" s="17">
        <f t="shared" si="2"/>
        <v>27286.059999999998</v>
      </c>
      <c r="J103" s="30"/>
      <c r="K103" s="29"/>
    </row>
    <row r="104" spans="1:11">
      <c r="A104" s="4">
        <v>51201</v>
      </c>
      <c r="B104" s="2" t="s">
        <v>135</v>
      </c>
      <c r="C104" s="2"/>
      <c r="D104" s="3" t="s">
        <v>42</v>
      </c>
      <c r="E104" s="3" t="s">
        <v>29</v>
      </c>
      <c r="F104" s="3" t="s">
        <v>30</v>
      </c>
      <c r="G104" s="17">
        <f>'FEBRERO-18'!I104</f>
        <v>6670</v>
      </c>
      <c r="H104" s="51">
        <f>1334+1334</f>
        <v>2668</v>
      </c>
      <c r="I104" s="17">
        <f t="shared" si="2"/>
        <v>4002</v>
      </c>
      <c r="J104" s="30"/>
      <c r="K104" s="29"/>
    </row>
    <row r="105" spans="1:11">
      <c r="A105" s="4">
        <v>51301</v>
      </c>
      <c r="B105" s="2" t="s">
        <v>177</v>
      </c>
      <c r="C105" s="2"/>
      <c r="D105" s="3" t="s">
        <v>42</v>
      </c>
      <c r="E105" s="3" t="s">
        <v>29</v>
      </c>
      <c r="F105" s="3" t="s">
        <v>30</v>
      </c>
      <c r="G105" s="17">
        <f>'FEBRERO-18'!I105</f>
        <v>719.02</v>
      </c>
      <c r="H105" s="51"/>
      <c r="I105" s="17">
        <f t="shared" si="2"/>
        <v>719.02</v>
      </c>
      <c r="J105" s="30"/>
      <c r="K105" s="29"/>
    </row>
    <row r="106" spans="1:11" ht="33.75" customHeight="1">
      <c r="A106" s="4">
        <v>51401</v>
      </c>
      <c r="B106" s="5" t="s">
        <v>128</v>
      </c>
      <c r="C106" s="5"/>
      <c r="D106" s="3" t="s">
        <v>42</v>
      </c>
      <c r="E106" s="3" t="s">
        <v>29</v>
      </c>
      <c r="F106" s="3" t="s">
        <v>106</v>
      </c>
      <c r="G106" s="17">
        <f>'FEBRERO-18'!I106</f>
        <v>1838.9199999999998</v>
      </c>
      <c r="H106" s="51">
        <f>199.98+205.28</f>
        <v>405.26</v>
      </c>
      <c r="I106" s="17">
        <f t="shared" si="2"/>
        <v>1433.6599999999999</v>
      </c>
      <c r="J106" s="33"/>
      <c r="K106" s="29"/>
    </row>
    <row r="107" spans="1:11" ht="36">
      <c r="A107" s="4">
        <v>51501</v>
      </c>
      <c r="B107" s="5" t="s">
        <v>168</v>
      </c>
      <c r="C107" s="5"/>
      <c r="D107" s="3" t="s">
        <v>42</v>
      </c>
      <c r="E107" s="3" t="s">
        <v>29</v>
      </c>
      <c r="F107" s="3" t="s">
        <v>106</v>
      </c>
      <c r="G107" s="17">
        <f>'FEBRERO-18'!I107</f>
        <v>2513.9100000000003</v>
      </c>
      <c r="H107" s="51">
        <f>134.62</f>
        <v>134.62</v>
      </c>
      <c r="I107" s="17">
        <f t="shared" si="2"/>
        <v>2379.2900000000004</v>
      </c>
      <c r="J107" s="33"/>
      <c r="K107" s="29"/>
    </row>
    <row r="108" spans="1:11" ht="27.75" customHeight="1">
      <c r="A108" s="4">
        <v>51999</v>
      </c>
      <c r="B108" s="5" t="s">
        <v>178</v>
      </c>
      <c r="C108" s="5"/>
      <c r="D108" s="3" t="s">
        <v>42</v>
      </c>
      <c r="E108" s="3" t="s">
        <v>29</v>
      </c>
      <c r="F108" s="3" t="s">
        <v>30</v>
      </c>
      <c r="G108" s="17">
        <f>'FEBRERO-18'!I108</f>
        <v>1000</v>
      </c>
      <c r="H108" s="51"/>
      <c r="I108" s="17">
        <f t="shared" si="2"/>
        <v>1000</v>
      </c>
      <c r="J108" s="33"/>
      <c r="K108" s="29"/>
    </row>
    <row r="109" spans="1:11">
      <c r="A109" s="4">
        <v>54110</v>
      </c>
      <c r="B109" s="2" t="s">
        <v>108</v>
      </c>
      <c r="C109" s="2"/>
      <c r="D109" s="3" t="s">
        <v>42</v>
      </c>
      <c r="E109" s="3" t="s">
        <v>29</v>
      </c>
      <c r="F109" s="3" t="s">
        <v>30</v>
      </c>
      <c r="G109" s="17">
        <f>'FEBRERO-18'!I109</f>
        <v>1000</v>
      </c>
      <c r="H109" s="51"/>
      <c r="I109" s="17">
        <f t="shared" si="2"/>
        <v>1000</v>
      </c>
      <c r="J109" s="33"/>
      <c r="K109" s="29"/>
    </row>
    <row r="110" spans="1:11">
      <c r="A110" s="4">
        <v>54199</v>
      </c>
      <c r="B110" s="2" t="s">
        <v>61</v>
      </c>
      <c r="C110" s="2"/>
      <c r="D110" s="3" t="s">
        <v>42</v>
      </c>
      <c r="E110" s="3" t="s">
        <v>29</v>
      </c>
      <c r="F110" s="3" t="s">
        <v>106</v>
      </c>
      <c r="G110" s="17">
        <f>'FEBRERO-18'!I110</f>
        <v>1000</v>
      </c>
      <c r="H110" s="51"/>
      <c r="I110" s="17">
        <f t="shared" si="2"/>
        <v>1000</v>
      </c>
      <c r="J110" s="35"/>
      <c r="K110" s="29"/>
    </row>
    <row r="111" spans="1:11">
      <c r="A111" s="4">
        <v>54201</v>
      </c>
      <c r="B111" s="2" t="s">
        <v>62</v>
      </c>
      <c r="C111" s="2"/>
      <c r="D111" s="3" t="s">
        <v>42</v>
      </c>
      <c r="E111" s="3" t="s">
        <v>29</v>
      </c>
      <c r="F111" s="3" t="s">
        <v>106</v>
      </c>
      <c r="G111" s="17">
        <f>'FEBRERO-18'!I111</f>
        <v>13480.23</v>
      </c>
      <c r="H111" s="51">
        <f>3149.13</f>
        <v>3149.13</v>
      </c>
      <c r="I111" s="17">
        <f t="shared" si="2"/>
        <v>10331.099999999999</v>
      </c>
      <c r="J111" s="18"/>
      <c r="K111" s="29"/>
    </row>
    <row r="112" spans="1:11">
      <c r="A112" s="4">
        <v>54202</v>
      </c>
      <c r="B112" s="2" t="s">
        <v>109</v>
      </c>
      <c r="C112" s="2"/>
      <c r="D112" s="3" t="s">
        <v>42</v>
      </c>
      <c r="E112" s="3" t="s">
        <v>29</v>
      </c>
      <c r="F112" s="3" t="s">
        <v>106</v>
      </c>
      <c r="G112" s="17">
        <f>'FEBRERO-18'!I112</f>
        <v>1783.16</v>
      </c>
      <c r="H112" s="51"/>
      <c r="I112" s="17">
        <f t="shared" si="2"/>
        <v>1783.16</v>
      </c>
      <c r="J112" s="18"/>
      <c r="K112" s="29"/>
    </row>
    <row r="113" spans="1:11">
      <c r="A113" s="4">
        <v>54203</v>
      </c>
      <c r="B113" s="2" t="s">
        <v>64</v>
      </c>
      <c r="C113" s="2"/>
      <c r="D113" s="3" t="s">
        <v>42</v>
      </c>
      <c r="E113" s="3" t="s">
        <v>29</v>
      </c>
      <c r="F113" s="3" t="s">
        <v>106</v>
      </c>
      <c r="G113" s="17">
        <f>'FEBRERO-18'!I113</f>
        <v>1598.38</v>
      </c>
      <c r="H113" s="51">
        <f>485.46</f>
        <v>485.46</v>
      </c>
      <c r="I113" s="17">
        <f t="shared" si="2"/>
        <v>1112.92</v>
      </c>
      <c r="J113" s="18"/>
      <c r="K113" s="29"/>
    </row>
    <row r="114" spans="1:11">
      <c r="A114" s="4">
        <v>54302</v>
      </c>
      <c r="B114" s="5" t="s">
        <v>136</v>
      </c>
      <c r="C114" s="2"/>
      <c r="D114" s="3" t="s">
        <v>42</v>
      </c>
      <c r="E114" s="3" t="s">
        <v>29</v>
      </c>
      <c r="F114" s="3" t="s">
        <v>106</v>
      </c>
      <c r="G114" s="17">
        <f>'FEBRERO-18'!I114</f>
        <v>1</v>
      </c>
      <c r="H114" s="51"/>
      <c r="I114" s="17">
        <f t="shared" si="2"/>
        <v>1</v>
      </c>
      <c r="J114" s="35"/>
      <c r="K114" s="29"/>
    </row>
    <row r="115" spans="1:11">
      <c r="A115" s="4">
        <v>55603</v>
      </c>
      <c r="B115" s="2" t="s">
        <v>6</v>
      </c>
      <c r="C115" s="2"/>
      <c r="D115" s="3" t="s">
        <v>42</v>
      </c>
      <c r="E115" s="3" t="s">
        <v>29</v>
      </c>
      <c r="F115" s="3" t="s">
        <v>106</v>
      </c>
      <c r="G115" s="17">
        <f>'FEBRERO-18'!I115</f>
        <v>500</v>
      </c>
      <c r="H115" s="51"/>
      <c r="I115" s="17">
        <f t="shared" si="2"/>
        <v>500</v>
      </c>
      <c r="J115" s="35"/>
      <c r="K115" s="29"/>
    </row>
    <row r="116" spans="1:11" ht="24.75" customHeight="1">
      <c r="A116" s="4">
        <v>55799</v>
      </c>
      <c r="B116" s="5" t="s">
        <v>137</v>
      </c>
      <c r="C116" s="2"/>
      <c r="D116" s="3" t="s">
        <v>42</v>
      </c>
      <c r="E116" s="3" t="s">
        <v>29</v>
      </c>
      <c r="F116" s="3" t="s">
        <v>106</v>
      </c>
      <c r="G116" s="17">
        <f>'FEBRERO-18'!I116</f>
        <v>1355.25</v>
      </c>
      <c r="H116" s="51">
        <f>244.75</f>
        <v>244.75</v>
      </c>
      <c r="I116" s="17">
        <f t="shared" si="2"/>
        <v>1110.5</v>
      </c>
      <c r="J116" s="35"/>
      <c r="K116" s="29"/>
    </row>
    <row r="117" spans="1:11" ht="27" customHeight="1">
      <c r="A117" s="4" t="s">
        <v>110</v>
      </c>
      <c r="B117" s="5" t="s">
        <v>111</v>
      </c>
      <c r="C117" s="2"/>
      <c r="D117" s="3" t="s">
        <v>42</v>
      </c>
      <c r="E117" s="3" t="s">
        <v>29</v>
      </c>
      <c r="F117" s="3" t="s">
        <v>106</v>
      </c>
      <c r="G117" s="17">
        <f>'FEBRERO-18'!I117</f>
        <v>7200</v>
      </c>
      <c r="H117" s="51">
        <f>600</f>
        <v>600</v>
      </c>
      <c r="I117" s="17">
        <f t="shared" si="2"/>
        <v>6600</v>
      </c>
      <c r="J117" s="35"/>
      <c r="K117" s="35"/>
    </row>
    <row r="118" spans="1:11" ht="24" customHeight="1">
      <c r="A118" s="4" t="s">
        <v>112</v>
      </c>
      <c r="B118" s="5" t="s">
        <v>113</v>
      </c>
      <c r="C118" s="2"/>
      <c r="D118" s="3" t="s">
        <v>42</v>
      </c>
      <c r="E118" s="3" t="s">
        <v>29</v>
      </c>
      <c r="F118" s="3" t="s">
        <v>106</v>
      </c>
      <c r="G118" s="17">
        <f>'FEBRERO-18'!I118</f>
        <v>1000</v>
      </c>
      <c r="H118" s="51"/>
      <c r="I118" s="17">
        <f t="shared" si="2"/>
        <v>1000</v>
      </c>
      <c r="J118" s="35"/>
      <c r="K118" s="35"/>
    </row>
    <row r="119" spans="1:11" ht="27">
      <c r="A119" s="4">
        <v>56301</v>
      </c>
      <c r="B119" s="5" t="s">
        <v>114</v>
      </c>
      <c r="C119" s="2"/>
      <c r="D119" s="3" t="s">
        <v>42</v>
      </c>
      <c r="E119" s="3" t="s">
        <v>29</v>
      </c>
      <c r="F119" s="3" t="s">
        <v>106</v>
      </c>
      <c r="G119" s="17">
        <f>'FEBRERO-18'!I119</f>
        <v>2000</v>
      </c>
      <c r="H119" s="51"/>
      <c r="I119" s="17">
        <f t="shared" si="2"/>
        <v>2000</v>
      </c>
      <c r="J119" s="35"/>
      <c r="K119" s="35"/>
    </row>
    <row r="120" spans="1:11" ht="39.75" customHeight="1">
      <c r="A120" s="4"/>
      <c r="B120" s="5" t="s">
        <v>179</v>
      </c>
      <c r="C120" s="2"/>
      <c r="D120" s="3" t="s">
        <v>42</v>
      </c>
      <c r="E120" s="3" t="s">
        <v>29</v>
      </c>
      <c r="F120" s="3" t="s">
        <v>30</v>
      </c>
      <c r="G120" s="17">
        <f>'FEBRERO-18'!I120</f>
        <v>46027.37</v>
      </c>
      <c r="H120" s="51"/>
      <c r="I120" s="17">
        <f t="shared" si="2"/>
        <v>46027.37</v>
      </c>
      <c r="J120" s="29"/>
      <c r="K120" s="30"/>
    </row>
    <row r="121" spans="1:11" ht="21">
      <c r="A121" s="38" t="s">
        <v>8</v>
      </c>
      <c r="B121" s="39" t="s">
        <v>115</v>
      </c>
      <c r="C121" s="39"/>
      <c r="D121" s="39" t="s">
        <v>42</v>
      </c>
      <c r="E121" s="39" t="s">
        <v>29</v>
      </c>
      <c r="F121" s="39" t="s">
        <v>30</v>
      </c>
      <c r="G121" s="17">
        <f>'FEBRERO-18'!I121</f>
        <v>176732.53</v>
      </c>
      <c r="H121" s="95">
        <f>SUM(H101:H120)</f>
        <v>19225.95</v>
      </c>
      <c r="I121" s="40">
        <f>G121-H121+J121-K121</f>
        <v>157506.57999999999</v>
      </c>
      <c r="J121" s="40"/>
      <c r="K121" s="40"/>
    </row>
    <row r="122" spans="1:11">
      <c r="A122" s="4">
        <v>51101</v>
      </c>
      <c r="B122" s="2" t="s">
        <v>180</v>
      </c>
      <c r="C122" s="2"/>
      <c r="D122" s="3" t="s">
        <v>94</v>
      </c>
      <c r="E122" s="3" t="s">
        <v>29</v>
      </c>
      <c r="F122" s="3" t="s">
        <v>106</v>
      </c>
      <c r="G122" s="17">
        <f>'FEBRERO-18'!I122</f>
        <v>72373.560000000012</v>
      </c>
      <c r="H122" s="51">
        <f>5372.98</f>
        <v>5372.98</v>
      </c>
      <c r="I122" s="17">
        <f t="shared" si="2"/>
        <v>67000.580000000016</v>
      </c>
      <c r="J122" s="30"/>
      <c r="K122" s="35"/>
    </row>
    <row r="123" spans="1:11">
      <c r="A123" s="4">
        <v>51103</v>
      </c>
      <c r="B123" s="2" t="s">
        <v>181</v>
      </c>
      <c r="C123" s="2"/>
      <c r="D123" s="3" t="s">
        <v>94</v>
      </c>
      <c r="E123" s="3" t="s">
        <v>29</v>
      </c>
      <c r="F123" s="3" t="s">
        <v>106</v>
      </c>
      <c r="G123" s="17">
        <f>'FEBRERO-18'!I123</f>
        <v>5128.9799999999996</v>
      </c>
      <c r="H123" s="51"/>
      <c r="I123" s="17">
        <f t="shared" si="2"/>
        <v>5128.9799999999996</v>
      </c>
      <c r="J123" s="30"/>
      <c r="K123" s="29"/>
    </row>
    <row r="124" spans="1:11">
      <c r="A124" s="4">
        <v>51201</v>
      </c>
      <c r="B124" s="2" t="s">
        <v>44</v>
      </c>
      <c r="C124" s="2"/>
      <c r="D124" s="3" t="s">
        <v>94</v>
      </c>
      <c r="E124" s="3" t="s">
        <v>29</v>
      </c>
      <c r="F124" s="3" t="s">
        <v>30</v>
      </c>
      <c r="G124" s="17">
        <f>'FEBRERO-18'!I124</f>
        <v>1000</v>
      </c>
      <c r="H124" s="51"/>
      <c r="I124" s="17">
        <f t="shared" si="2"/>
        <v>1000</v>
      </c>
      <c r="J124" s="30"/>
      <c r="K124" s="29"/>
    </row>
    <row r="125" spans="1:11">
      <c r="A125" s="4">
        <v>51301</v>
      </c>
      <c r="B125" s="2" t="s">
        <v>45</v>
      </c>
      <c r="C125" s="2"/>
      <c r="D125" s="3" t="s">
        <v>94</v>
      </c>
      <c r="E125" s="3" t="s">
        <v>29</v>
      </c>
      <c r="F125" s="3" t="s">
        <v>30</v>
      </c>
      <c r="G125" s="17">
        <f>'FEBRERO-18'!I125</f>
        <v>4636.72</v>
      </c>
      <c r="H125" s="51">
        <f>545.42+555.99</f>
        <v>1101.4099999999999</v>
      </c>
      <c r="I125" s="17">
        <f t="shared" si="2"/>
        <v>3535.3100000000004</v>
      </c>
      <c r="J125" s="30"/>
      <c r="K125" s="29"/>
    </row>
    <row r="126" spans="1:11">
      <c r="A126" s="4">
        <v>51999</v>
      </c>
      <c r="B126" s="2" t="s">
        <v>47</v>
      </c>
      <c r="C126" s="2"/>
      <c r="D126" s="3" t="s">
        <v>94</v>
      </c>
      <c r="E126" s="3" t="s">
        <v>29</v>
      </c>
      <c r="F126" s="3" t="s">
        <v>30</v>
      </c>
      <c r="G126" s="17">
        <f>'FEBRERO-18'!I126</f>
        <v>1500</v>
      </c>
      <c r="H126" s="51">
        <f>350+350</f>
        <v>700</v>
      </c>
      <c r="I126" s="17">
        <f t="shared" si="2"/>
        <v>800</v>
      </c>
      <c r="J126" s="30"/>
      <c r="K126" s="29"/>
    </row>
    <row r="127" spans="1:11" ht="25.5">
      <c r="A127" s="4">
        <v>51401</v>
      </c>
      <c r="B127" s="5" t="s">
        <v>138</v>
      </c>
      <c r="C127" s="2"/>
      <c r="D127" s="3" t="s">
        <v>94</v>
      </c>
      <c r="E127" s="3" t="s">
        <v>29</v>
      </c>
      <c r="F127" s="3" t="s">
        <v>106</v>
      </c>
      <c r="G127" s="17">
        <f>'FEBRERO-18'!I127</f>
        <v>2223.4699999999998</v>
      </c>
      <c r="H127" s="51">
        <f>374.63</f>
        <v>374.63</v>
      </c>
      <c r="I127" s="17">
        <f t="shared" si="2"/>
        <v>1848.8399999999997</v>
      </c>
      <c r="J127" s="35"/>
      <c r="K127" s="34"/>
    </row>
    <row r="128" spans="1:11" ht="36" customHeight="1">
      <c r="A128" s="4">
        <v>51501</v>
      </c>
      <c r="B128" s="5" t="s">
        <v>182</v>
      </c>
      <c r="C128" s="2"/>
      <c r="D128" s="3" t="s">
        <v>94</v>
      </c>
      <c r="E128" s="3" t="s">
        <v>29</v>
      </c>
      <c r="F128" s="3" t="s">
        <v>30</v>
      </c>
      <c r="G128" s="17">
        <f>'FEBRERO-18'!I128</f>
        <v>3063.08</v>
      </c>
      <c r="H128" s="51">
        <f>185.46+256.46</f>
        <v>441.91999999999996</v>
      </c>
      <c r="I128" s="17">
        <f t="shared" si="2"/>
        <v>2621.16</v>
      </c>
      <c r="J128" s="35"/>
      <c r="K128" s="27"/>
    </row>
    <row r="129" spans="1:11">
      <c r="A129" s="4">
        <v>54105</v>
      </c>
      <c r="B129" s="2" t="s">
        <v>116</v>
      </c>
      <c r="C129" s="2"/>
      <c r="D129" s="3" t="s">
        <v>94</v>
      </c>
      <c r="E129" s="3" t="s">
        <v>29</v>
      </c>
      <c r="F129" s="3" t="s">
        <v>30</v>
      </c>
      <c r="G129" s="17">
        <f>'FEBRERO-18'!I129</f>
        <v>5000</v>
      </c>
      <c r="H129" s="51"/>
      <c r="I129" s="17">
        <f t="shared" si="2"/>
        <v>5000</v>
      </c>
      <c r="J129" s="30"/>
      <c r="K129" s="29"/>
    </row>
    <row r="130" spans="1:11">
      <c r="A130" s="4">
        <v>54114</v>
      </c>
      <c r="B130" s="2" t="s">
        <v>56</v>
      </c>
      <c r="C130" s="2"/>
      <c r="D130" s="3" t="s">
        <v>94</v>
      </c>
      <c r="E130" s="3" t="s">
        <v>29</v>
      </c>
      <c r="F130" s="3" t="s">
        <v>30</v>
      </c>
      <c r="G130" s="17">
        <f>'FEBRERO-18'!I130</f>
        <v>4648.5</v>
      </c>
      <c r="H130" s="51"/>
      <c r="I130" s="17">
        <f t="shared" si="2"/>
        <v>4648.5</v>
      </c>
      <c r="J130" s="35"/>
      <c r="K130" s="35"/>
    </row>
    <row r="131" spans="1:11">
      <c r="A131" s="4">
        <v>54115</v>
      </c>
      <c r="B131" s="2" t="s">
        <v>57</v>
      </c>
      <c r="C131" s="2"/>
      <c r="D131" s="3" t="s">
        <v>94</v>
      </c>
      <c r="E131" s="3" t="s">
        <v>29</v>
      </c>
      <c r="F131" s="3" t="s">
        <v>30</v>
      </c>
      <c r="G131" s="17">
        <f>'FEBRERO-18'!I131</f>
        <v>7425.5</v>
      </c>
      <c r="H131" s="51"/>
      <c r="I131" s="17">
        <f t="shared" si="2"/>
        <v>7425.5</v>
      </c>
      <c r="J131" s="29"/>
      <c r="K131" s="28"/>
    </row>
    <row r="132" spans="1:11" ht="21">
      <c r="A132" s="38" t="s">
        <v>8</v>
      </c>
      <c r="B132" s="39" t="s">
        <v>117</v>
      </c>
      <c r="C132" s="39"/>
      <c r="D132" s="39" t="s">
        <v>94</v>
      </c>
      <c r="E132" s="39" t="s">
        <v>29</v>
      </c>
      <c r="F132" s="39" t="s">
        <v>30</v>
      </c>
      <c r="G132" s="17">
        <f>'FEBRERO-18'!I132</f>
        <v>106999.81000000003</v>
      </c>
      <c r="H132" s="95">
        <f>SUM(H122:H131)</f>
        <v>7990.94</v>
      </c>
      <c r="I132" s="40">
        <f>G132-H132+J132-K132</f>
        <v>99008.870000000024</v>
      </c>
      <c r="J132" s="40"/>
      <c r="K132" s="40"/>
    </row>
    <row r="133" spans="1:11">
      <c r="A133" s="4">
        <v>51101</v>
      </c>
      <c r="B133" s="2" t="s">
        <v>183</v>
      </c>
      <c r="C133" s="2"/>
      <c r="D133" s="3" t="s">
        <v>97</v>
      </c>
      <c r="E133" s="3" t="s">
        <v>29</v>
      </c>
      <c r="F133" s="3" t="s">
        <v>106</v>
      </c>
      <c r="G133" s="17">
        <f>'FEBRERO-18'!I133</f>
        <v>196997.15000000002</v>
      </c>
      <c r="H133" s="51">
        <f>18253.14</f>
        <v>18253.14</v>
      </c>
      <c r="I133" s="17">
        <f t="shared" si="2"/>
        <v>178744.01</v>
      </c>
      <c r="J133" s="30"/>
      <c r="K133" s="35"/>
    </row>
    <row r="134" spans="1:11">
      <c r="A134" s="4">
        <v>51103</v>
      </c>
      <c r="B134" s="2" t="s">
        <v>118</v>
      </c>
      <c r="C134" s="2"/>
      <c r="D134" s="3" t="s">
        <v>97</v>
      </c>
      <c r="E134" s="3" t="s">
        <v>29</v>
      </c>
      <c r="F134" s="3" t="s">
        <v>106</v>
      </c>
      <c r="G134" s="17">
        <f>'FEBRERO-18'!I134</f>
        <v>19385.310000000001</v>
      </c>
      <c r="H134" s="51"/>
      <c r="I134" s="248">
        <f>G134-H134+J134-K134</f>
        <v>19385.310000000001</v>
      </c>
      <c r="J134" s="30"/>
      <c r="K134" s="30"/>
    </row>
    <row r="135" spans="1:11">
      <c r="A135" s="4">
        <v>51107</v>
      </c>
      <c r="B135" s="2" t="s">
        <v>184</v>
      </c>
      <c r="C135" s="2"/>
      <c r="D135" s="3" t="s">
        <v>97</v>
      </c>
      <c r="E135" s="3" t="s">
        <v>29</v>
      </c>
      <c r="F135" s="3" t="s">
        <v>30</v>
      </c>
      <c r="G135" s="17">
        <f>'FEBRERO-18'!I135</f>
        <v>2000</v>
      </c>
      <c r="H135" s="51"/>
      <c r="I135" s="17">
        <f t="shared" si="2"/>
        <v>2000</v>
      </c>
      <c r="J135" s="30"/>
      <c r="K135" s="27"/>
    </row>
    <row r="136" spans="1:11">
      <c r="A136" s="4">
        <v>51201</v>
      </c>
      <c r="B136" s="2" t="s">
        <v>119</v>
      </c>
      <c r="C136" s="2"/>
      <c r="D136" s="3" t="s">
        <v>97</v>
      </c>
      <c r="E136" s="3" t="s">
        <v>29</v>
      </c>
      <c r="F136" s="3" t="s">
        <v>30</v>
      </c>
      <c r="G136" s="17">
        <f>'FEBRERO-18'!I136</f>
        <v>2000</v>
      </c>
      <c r="H136" s="51"/>
      <c r="I136" s="17">
        <f t="shared" si="2"/>
        <v>2000</v>
      </c>
      <c r="J136" s="30"/>
      <c r="K136" s="27"/>
    </row>
    <row r="137" spans="1:11">
      <c r="A137" s="4">
        <v>51301</v>
      </c>
      <c r="B137" s="2" t="s">
        <v>45</v>
      </c>
      <c r="C137" s="2"/>
      <c r="D137" s="3" t="s">
        <v>97</v>
      </c>
      <c r="E137" s="3" t="s">
        <v>29</v>
      </c>
      <c r="F137" s="3" t="s">
        <v>106</v>
      </c>
      <c r="G137" s="17">
        <f>'FEBRERO-18'!I137</f>
        <v>4583.8099999999995</v>
      </c>
      <c r="H137" s="51">
        <f>121.92+550+234+194.65+121.42+205.66+67.38+71.4</f>
        <v>1566.4300000000003</v>
      </c>
      <c r="I137" s="17">
        <f t="shared" si="2"/>
        <v>3017.3799999999992</v>
      </c>
      <c r="J137" s="20"/>
      <c r="K137" s="35"/>
    </row>
    <row r="138" spans="1:11" ht="34.5" customHeight="1">
      <c r="A138" s="4">
        <v>51401</v>
      </c>
      <c r="B138" s="5" t="s">
        <v>139</v>
      </c>
      <c r="C138" s="2"/>
      <c r="D138" s="3" t="s">
        <v>97</v>
      </c>
      <c r="E138" s="3" t="s">
        <v>29</v>
      </c>
      <c r="F138" s="3" t="s">
        <v>106</v>
      </c>
      <c r="G138" s="17">
        <f>'FEBRERO-18'!I138</f>
        <v>7937.18</v>
      </c>
      <c r="H138" s="51">
        <f>1255.76+42.9</f>
        <v>1298.6600000000001</v>
      </c>
      <c r="I138" s="17">
        <f t="shared" si="2"/>
        <v>6638.52</v>
      </c>
      <c r="J138" s="35"/>
      <c r="K138" s="35"/>
    </row>
    <row r="139" spans="1:11" ht="45" customHeight="1">
      <c r="A139" s="4">
        <v>51501</v>
      </c>
      <c r="B139" s="5" t="s">
        <v>185</v>
      </c>
      <c r="C139" s="2"/>
      <c r="D139" s="3" t="s">
        <v>97</v>
      </c>
      <c r="E139" s="3" t="s">
        <v>29</v>
      </c>
      <c r="F139" s="3" t="s">
        <v>106</v>
      </c>
      <c r="G139" s="17">
        <f>'FEBRERO-18'!I139</f>
        <v>8775.64</v>
      </c>
      <c r="H139" s="51">
        <f>458.94+768.81</f>
        <v>1227.75</v>
      </c>
      <c r="I139" s="17">
        <f t="shared" si="2"/>
        <v>7547.8899999999994</v>
      </c>
      <c r="J139" s="35"/>
      <c r="K139" s="35"/>
    </row>
    <row r="140" spans="1:11" ht="20.25" customHeight="1">
      <c r="A140" s="4">
        <v>54110</v>
      </c>
      <c r="B140" s="5" t="s">
        <v>108</v>
      </c>
      <c r="C140" s="2"/>
      <c r="D140" s="3" t="s">
        <v>97</v>
      </c>
      <c r="E140" s="3" t="s">
        <v>29</v>
      </c>
      <c r="F140" s="3" t="s">
        <v>106</v>
      </c>
      <c r="G140" s="17">
        <f>'FEBRERO-18'!I140</f>
        <v>1</v>
      </c>
      <c r="H140" s="51"/>
      <c r="I140" s="17">
        <f t="shared" si="2"/>
        <v>1</v>
      </c>
      <c r="J140" s="35"/>
      <c r="K140" s="35"/>
    </row>
    <row r="141" spans="1:11">
      <c r="A141" s="4">
        <v>54121</v>
      </c>
      <c r="B141" s="2" t="s">
        <v>120</v>
      </c>
      <c r="C141" s="2"/>
      <c r="D141" s="3" t="s">
        <v>97</v>
      </c>
      <c r="E141" s="3" t="s">
        <v>29</v>
      </c>
      <c r="F141" s="3" t="s">
        <v>106</v>
      </c>
      <c r="G141" s="17">
        <f>'FEBRERO-18'!I141</f>
        <v>857</v>
      </c>
      <c r="H141" s="51"/>
      <c r="I141" s="17">
        <f>G141-H141+J141-K141</f>
        <v>857</v>
      </c>
      <c r="J141" s="35"/>
      <c r="K141" s="29"/>
    </row>
    <row r="142" spans="1:11">
      <c r="A142" s="4">
        <v>54301</v>
      </c>
      <c r="B142" s="2" t="s">
        <v>140</v>
      </c>
      <c r="C142" s="2"/>
      <c r="D142" s="3" t="s">
        <v>97</v>
      </c>
      <c r="E142" s="3" t="s">
        <v>29</v>
      </c>
      <c r="F142" s="3" t="s">
        <v>106</v>
      </c>
      <c r="G142" s="17">
        <f>'FEBRERO-18'!I142</f>
        <v>1</v>
      </c>
      <c r="H142" s="51"/>
      <c r="I142" s="17">
        <f>G142-H142+J142-K142</f>
        <v>1</v>
      </c>
      <c r="J142" s="35"/>
      <c r="K142" s="29"/>
    </row>
    <row r="143" spans="1:11">
      <c r="A143" s="4">
        <v>54302</v>
      </c>
      <c r="B143" s="2" t="s">
        <v>121</v>
      </c>
      <c r="C143" s="2"/>
      <c r="D143" s="3" t="s">
        <v>122</v>
      </c>
      <c r="E143" s="3" t="s">
        <v>29</v>
      </c>
      <c r="F143" s="3" t="s">
        <v>30</v>
      </c>
      <c r="G143" s="17">
        <f>'FEBRERO-18'!I143</f>
        <v>1</v>
      </c>
      <c r="H143" s="51"/>
      <c r="I143" s="17">
        <f>G143-H143+J143-K143</f>
        <v>1</v>
      </c>
      <c r="J143" s="22"/>
      <c r="K143" s="29"/>
    </row>
    <row r="144" spans="1:11" ht="21">
      <c r="A144" s="38" t="s">
        <v>8</v>
      </c>
      <c r="B144" s="39" t="s">
        <v>123</v>
      </c>
      <c r="C144" s="39"/>
      <c r="D144" s="39" t="s">
        <v>97</v>
      </c>
      <c r="E144" s="39" t="s">
        <v>29</v>
      </c>
      <c r="F144" s="39" t="s">
        <v>30</v>
      </c>
      <c r="G144" s="17">
        <f>'FEBRERO-18'!I144</f>
        <v>242539.08999999997</v>
      </c>
      <c r="H144" s="95">
        <f>SUM(H133:H143)</f>
        <v>22345.98</v>
      </c>
      <c r="I144" s="40">
        <f>G144-H144+J144-K144</f>
        <v>220193.10999999996</v>
      </c>
      <c r="J144" s="40"/>
      <c r="K144" s="40"/>
    </row>
    <row r="145" spans="1:11">
      <c r="A145" s="1">
        <v>54305</v>
      </c>
      <c r="B145" s="2" t="s">
        <v>0</v>
      </c>
      <c r="C145" s="2"/>
      <c r="D145" s="3" t="s">
        <v>1</v>
      </c>
      <c r="E145" s="3" t="s">
        <v>25</v>
      </c>
      <c r="F145" s="3" t="s">
        <v>26</v>
      </c>
      <c r="G145" s="17">
        <f>'FEBRERO-18'!I145</f>
        <v>1500</v>
      </c>
      <c r="H145" s="51"/>
      <c r="I145" s="17">
        <f t="shared" ref="I145:I265" si="3">G145-H145+J145-K145</f>
        <v>1500</v>
      </c>
      <c r="J145" s="37"/>
      <c r="K145" s="36"/>
    </row>
    <row r="146" spans="1:11" ht="30.75" customHeight="1">
      <c r="A146" s="4">
        <v>54313</v>
      </c>
      <c r="B146" s="5" t="s">
        <v>2</v>
      </c>
      <c r="C146" s="5"/>
      <c r="D146" s="3" t="s">
        <v>1</v>
      </c>
      <c r="E146" s="3" t="s">
        <v>25</v>
      </c>
      <c r="F146" s="3" t="s">
        <v>26</v>
      </c>
      <c r="G146" s="17">
        <f>'FEBRERO-18'!I146</f>
        <v>1246.32</v>
      </c>
      <c r="H146" s="51"/>
      <c r="I146" s="17">
        <f t="shared" si="3"/>
        <v>1246.32</v>
      </c>
      <c r="J146" s="37"/>
      <c r="K146" s="36"/>
    </row>
    <row r="147" spans="1:11">
      <c r="A147" s="4">
        <v>54503</v>
      </c>
      <c r="B147" s="5" t="s">
        <v>3</v>
      </c>
      <c r="C147" s="2"/>
      <c r="D147" s="3" t="s">
        <v>1</v>
      </c>
      <c r="E147" s="3" t="s">
        <v>25</v>
      </c>
      <c r="F147" s="3" t="s">
        <v>26</v>
      </c>
      <c r="G147" s="17">
        <f>'FEBRERO-18'!I147</f>
        <v>2000</v>
      </c>
      <c r="H147" s="51"/>
      <c r="I147" s="17">
        <f t="shared" si="3"/>
        <v>2000</v>
      </c>
      <c r="J147" s="37"/>
      <c r="K147" s="36"/>
    </row>
    <row r="148" spans="1:11">
      <c r="A148" s="4">
        <v>54505</v>
      </c>
      <c r="B148" s="2" t="s">
        <v>4</v>
      </c>
      <c r="C148" s="2"/>
      <c r="D148" s="3" t="s">
        <v>1</v>
      </c>
      <c r="E148" s="3" t="s">
        <v>25</v>
      </c>
      <c r="F148" s="3" t="s">
        <v>27</v>
      </c>
      <c r="G148" s="17">
        <f>'FEBRERO-18'!I148</f>
        <v>2000</v>
      </c>
      <c r="H148" s="51"/>
      <c r="I148" s="17">
        <f t="shared" si="3"/>
        <v>2000</v>
      </c>
      <c r="J148" s="37"/>
      <c r="K148" s="36"/>
    </row>
    <row r="149" spans="1:11" ht="30">
      <c r="A149" s="11">
        <v>54599</v>
      </c>
      <c r="B149" s="54" t="s">
        <v>5</v>
      </c>
      <c r="C149" s="68"/>
      <c r="D149" s="14" t="s">
        <v>1</v>
      </c>
      <c r="E149" s="14" t="s">
        <v>25</v>
      </c>
      <c r="F149" s="14" t="s">
        <v>27</v>
      </c>
      <c r="G149" s="17">
        <f>'FEBRERO-18'!I149</f>
        <v>6167.61</v>
      </c>
      <c r="H149" s="51">
        <f>5800</f>
        <v>5800</v>
      </c>
      <c r="I149" s="17">
        <f t="shared" si="3"/>
        <v>367.60999999999967</v>
      </c>
      <c r="J149" s="62"/>
      <c r="K149" s="63"/>
    </row>
    <row r="150" spans="1:11">
      <c r="A150" s="11">
        <v>55603</v>
      </c>
      <c r="B150" s="54" t="s">
        <v>6</v>
      </c>
      <c r="C150" s="55"/>
      <c r="D150" s="14" t="s">
        <v>1</v>
      </c>
      <c r="E150" s="14" t="s">
        <v>25</v>
      </c>
      <c r="F150" s="14" t="s">
        <v>26</v>
      </c>
      <c r="G150" s="17">
        <f>'FEBRERO-18'!I150</f>
        <v>98.7</v>
      </c>
      <c r="H150" s="51"/>
      <c r="I150" s="17">
        <f t="shared" si="3"/>
        <v>98.7</v>
      </c>
      <c r="J150" s="64"/>
      <c r="K150" s="65"/>
    </row>
    <row r="151" spans="1:11" ht="26.25">
      <c r="A151" s="4">
        <v>61599</v>
      </c>
      <c r="B151" s="5" t="s">
        <v>7</v>
      </c>
      <c r="C151" s="5"/>
      <c r="D151" s="3" t="s">
        <v>1</v>
      </c>
      <c r="E151" s="3" t="s">
        <v>25</v>
      </c>
      <c r="F151" s="3" t="s">
        <v>26</v>
      </c>
      <c r="G151" s="17">
        <f>'FEBRERO-18'!I151</f>
        <v>3000</v>
      </c>
      <c r="H151" s="51">
        <f>1666.66</f>
        <v>1666.66</v>
      </c>
      <c r="I151" s="17">
        <f t="shared" si="3"/>
        <v>1333.34</v>
      </c>
      <c r="J151" s="37"/>
      <c r="K151" s="36"/>
    </row>
    <row r="152" spans="1:11" ht="21">
      <c r="A152" s="38" t="s">
        <v>8</v>
      </c>
      <c r="B152" s="39" t="s">
        <v>9</v>
      </c>
      <c r="C152" s="39"/>
      <c r="D152" s="39" t="s">
        <v>1</v>
      </c>
      <c r="E152" s="39" t="s">
        <v>25</v>
      </c>
      <c r="F152" s="39" t="s">
        <v>27</v>
      </c>
      <c r="G152" s="17">
        <f>'FEBRERO-18'!I152</f>
        <v>16012.63</v>
      </c>
      <c r="H152" s="95">
        <f>SUM(H145:H151)</f>
        <v>7466.66</v>
      </c>
      <c r="I152" s="40">
        <f>G152-H152+J152-K152</f>
        <v>8545.9699999999993</v>
      </c>
      <c r="J152" s="40"/>
      <c r="K152" s="40"/>
    </row>
    <row r="153" spans="1:11" ht="28.5" customHeight="1">
      <c r="A153" s="4">
        <v>54104</v>
      </c>
      <c r="B153" s="7" t="s">
        <v>186</v>
      </c>
      <c r="C153" s="6"/>
      <c r="D153" s="3" t="s">
        <v>11</v>
      </c>
      <c r="E153" s="3" t="s">
        <v>25</v>
      </c>
      <c r="F153" s="3" t="s">
        <v>26</v>
      </c>
      <c r="G153" s="17">
        <f>'FEBRERO-18'!I153</f>
        <v>3000</v>
      </c>
      <c r="H153" s="51"/>
      <c r="I153" s="17">
        <f t="shared" si="3"/>
        <v>3000</v>
      </c>
      <c r="J153" s="37"/>
      <c r="K153" s="36"/>
    </row>
    <row r="154" spans="1:11" ht="44.25" customHeight="1">
      <c r="A154" s="4">
        <v>54117</v>
      </c>
      <c r="B154" s="7" t="s">
        <v>187</v>
      </c>
      <c r="C154" s="6"/>
      <c r="D154" s="3" t="s">
        <v>11</v>
      </c>
      <c r="E154" s="3" t="s">
        <v>25</v>
      </c>
      <c r="F154" s="3" t="s">
        <v>26</v>
      </c>
      <c r="G154" s="17">
        <f>'FEBRERO-18'!I154</f>
        <v>1500</v>
      </c>
      <c r="H154" s="51"/>
      <c r="I154" s="17">
        <f t="shared" si="3"/>
        <v>1500</v>
      </c>
      <c r="J154" s="37"/>
      <c r="K154" s="36"/>
    </row>
    <row r="155" spans="1:11" ht="25.5">
      <c r="A155" s="4">
        <v>55603</v>
      </c>
      <c r="B155" s="5" t="s">
        <v>13</v>
      </c>
      <c r="C155" s="6"/>
      <c r="D155" s="3" t="s">
        <v>11</v>
      </c>
      <c r="E155" s="3" t="s">
        <v>25</v>
      </c>
      <c r="F155" s="3" t="s">
        <v>26</v>
      </c>
      <c r="G155" s="17">
        <f>'FEBRERO-18'!I155</f>
        <v>996.1</v>
      </c>
      <c r="H155" s="51">
        <f>1.3</f>
        <v>1.3</v>
      </c>
      <c r="I155" s="17">
        <f t="shared" si="3"/>
        <v>994.80000000000007</v>
      </c>
      <c r="J155" s="37"/>
      <c r="K155" s="36"/>
    </row>
    <row r="156" spans="1:11" ht="24" customHeight="1">
      <c r="A156" s="66" t="s">
        <v>14</v>
      </c>
      <c r="B156" s="67" t="s">
        <v>188</v>
      </c>
      <c r="C156" s="55"/>
      <c r="D156" s="14" t="s">
        <v>11</v>
      </c>
      <c r="E156" s="14" t="s">
        <v>25</v>
      </c>
      <c r="F156" s="50" t="s">
        <v>26</v>
      </c>
      <c r="G156" s="17">
        <f>'FEBRERO-18'!I156</f>
        <v>9500</v>
      </c>
      <c r="H156" s="51"/>
      <c r="I156" s="50">
        <f t="shared" si="3"/>
        <v>9500</v>
      </c>
      <c r="J156" s="65"/>
      <c r="K156" s="54"/>
    </row>
    <row r="157" spans="1:11" ht="36.75" customHeight="1">
      <c r="A157" s="11">
        <v>61104</v>
      </c>
      <c r="B157" s="54" t="s">
        <v>189</v>
      </c>
      <c r="C157" s="55"/>
      <c r="D157" s="14" t="s">
        <v>11</v>
      </c>
      <c r="E157" s="14" t="s">
        <v>25</v>
      </c>
      <c r="F157" s="14" t="s">
        <v>27</v>
      </c>
      <c r="G157" s="17">
        <f>'FEBRERO-18'!I157</f>
        <v>14884.25</v>
      </c>
      <c r="H157" s="51">
        <f>4800</f>
        <v>4800</v>
      </c>
      <c r="I157" s="17">
        <f t="shared" si="3"/>
        <v>10084.25</v>
      </c>
      <c r="J157" s="62"/>
      <c r="K157" s="63"/>
    </row>
    <row r="158" spans="1:11" ht="31.5" customHeight="1">
      <c r="A158" s="11">
        <v>61109</v>
      </c>
      <c r="B158" s="54" t="s">
        <v>190</v>
      </c>
      <c r="C158" s="55"/>
      <c r="D158" s="14" t="s">
        <v>11</v>
      </c>
      <c r="E158" s="14" t="s">
        <v>25</v>
      </c>
      <c r="F158" s="14" t="s">
        <v>26</v>
      </c>
      <c r="G158" s="17">
        <f>'FEBRERO-18'!I158</f>
        <v>10000</v>
      </c>
      <c r="H158" s="51"/>
      <c r="I158" s="17">
        <f t="shared" si="3"/>
        <v>10000</v>
      </c>
      <c r="J158" s="62"/>
      <c r="K158" s="63"/>
    </row>
    <row r="159" spans="1:11" ht="29.25" customHeight="1">
      <c r="A159" s="11" t="s">
        <v>160</v>
      </c>
      <c r="B159" s="54" t="s">
        <v>194</v>
      </c>
      <c r="C159" s="55"/>
      <c r="D159" s="14" t="s">
        <v>11</v>
      </c>
      <c r="E159" s="14" t="s">
        <v>25</v>
      </c>
      <c r="F159" s="14" t="s">
        <v>26</v>
      </c>
      <c r="G159" s="17">
        <f>'FEBRERO-18'!I159</f>
        <v>1500</v>
      </c>
      <c r="H159" s="51">
        <f>1500</f>
        <v>1500</v>
      </c>
      <c r="I159" s="17">
        <f t="shared" si="3"/>
        <v>0</v>
      </c>
      <c r="J159" s="62"/>
      <c r="K159" s="63"/>
    </row>
    <row r="160" spans="1:11" ht="27.75" customHeight="1">
      <c r="A160" s="11" t="s">
        <v>191</v>
      </c>
      <c r="B160" s="54" t="s">
        <v>195</v>
      </c>
      <c r="C160" s="55"/>
      <c r="D160" s="14" t="s">
        <v>11</v>
      </c>
      <c r="E160" s="14" t="s">
        <v>25</v>
      </c>
      <c r="F160" s="14" t="s">
        <v>26</v>
      </c>
      <c r="G160" s="17">
        <f>'FEBRERO-18'!I160</f>
        <v>15000</v>
      </c>
      <c r="H160" s="51"/>
      <c r="I160" s="17">
        <f t="shared" si="3"/>
        <v>15000</v>
      </c>
      <c r="J160" s="64"/>
      <c r="K160" s="65"/>
    </row>
    <row r="161" spans="1:11" ht="26.25" customHeight="1">
      <c r="A161" s="11" t="s">
        <v>192</v>
      </c>
      <c r="B161" s="53" t="s">
        <v>196</v>
      </c>
      <c r="C161" s="8"/>
      <c r="D161" s="3" t="s">
        <v>11</v>
      </c>
      <c r="E161" s="3" t="s">
        <v>25</v>
      </c>
      <c r="F161" s="3" t="s">
        <v>26</v>
      </c>
      <c r="G161" s="17">
        <f>'FEBRERO-18'!I161</f>
        <v>10000</v>
      </c>
      <c r="H161" s="51"/>
      <c r="I161" s="17">
        <f t="shared" si="3"/>
        <v>10000</v>
      </c>
      <c r="J161" s="45"/>
      <c r="K161" s="46"/>
    </row>
    <row r="162" spans="1:11" ht="40.5">
      <c r="A162" s="11" t="s">
        <v>193</v>
      </c>
      <c r="B162" s="53" t="s">
        <v>197</v>
      </c>
      <c r="C162" s="8"/>
      <c r="D162" s="3" t="s">
        <v>11</v>
      </c>
      <c r="E162" s="3" t="s">
        <v>25</v>
      </c>
      <c r="F162" s="3" t="s">
        <v>26</v>
      </c>
      <c r="G162" s="17">
        <f>'FEBRERO-18'!I162</f>
        <v>10000</v>
      </c>
      <c r="H162" s="51"/>
      <c r="I162" s="17">
        <f t="shared" si="3"/>
        <v>10000</v>
      </c>
      <c r="J162" s="45"/>
      <c r="K162" s="46"/>
    </row>
    <row r="163" spans="1:11" ht="42.75" customHeight="1">
      <c r="A163" s="11" t="s">
        <v>198</v>
      </c>
      <c r="B163" s="53" t="s">
        <v>1029</v>
      </c>
      <c r="C163" s="6"/>
      <c r="D163" s="3" t="s">
        <v>11</v>
      </c>
      <c r="E163" s="3" t="s">
        <v>25</v>
      </c>
      <c r="F163" s="3" t="s">
        <v>26</v>
      </c>
      <c r="G163" s="17">
        <f>'FEBRERO-18'!I163</f>
        <v>14000</v>
      </c>
      <c r="H163" s="51"/>
      <c r="I163" s="17">
        <f t="shared" si="3"/>
        <v>14000</v>
      </c>
      <c r="J163" s="45"/>
      <c r="K163" s="46"/>
    </row>
    <row r="164" spans="1:11" ht="85.5">
      <c r="A164" s="144" t="s">
        <v>200</v>
      </c>
      <c r="B164" s="54" t="s">
        <v>202</v>
      </c>
      <c r="C164" s="55"/>
      <c r="D164" s="14" t="s">
        <v>11</v>
      </c>
      <c r="E164" s="14" t="s">
        <v>25</v>
      </c>
      <c r="F164" s="14" t="s">
        <v>26</v>
      </c>
      <c r="G164" s="17">
        <f>'FEBRERO-18'!I164</f>
        <v>98.7</v>
      </c>
      <c r="H164" s="51"/>
      <c r="I164" s="17">
        <f t="shared" si="3"/>
        <v>0</v>
      </c>
      <c r="J164" s="64"/>
      <c r="K164" s="261">
        <v>98.7</v>
      </c>
    </row>
    <row r="165" spans="1:11" ht="36.75" customHeight="1">
      <c r="A165" s="11" t="s">
        <v>203</v>
      </c>
      <c r="B165" s="145" t="s">
        <v>1030</v>
      </c>
      <c r="C165" s="55"/>
      <c r="D165" s="14" t="s">
        <v>11</v>
      </c>
      <c r="E165" s="14" t="s">
        <v>25</v>
      </c>
      <c r="F165" s="14" t="s">
        <v>26</v>
      </c>
      <c r="G165" s="17">
        <f>G164</f>
        <v>98.7</v>
      </c>
      <c r="H165" s="51">
        <f>2488.84+2862.21</f>
        <v>5351.05</v>
      </c>
      <c r="I165" s="17">
        <f t="shared" si="3"/>
        <v>2747.6499999999996</v>
      </c>
      <c r="J165" s="108">
        <f>8000</f>
        <v>8000</v>
      </c>
      <c r="K165" s="65"/>
    </row>
    <row r="166" spans="1:11" ht="45.75" customHeight="1">
      <c r="A166" s="144" t="s">
        <v>1008</v>
      </c>
      <c r="B166" s="250" t="s">
        <v>1007</v>
      </c>
      <c r="C166" s="55"/>
      <c r="D166" s="14" t="s">
        <v>11</v>
      </c>
      <c r="E166" s="14" t="s">
        <v>25</v>
      </c>
      <c r="F166" s="14" t="s">
        <v>26</v>
      </c>
      <c r="G166" s="17"/>
      <c r="H166" s="51"/>
      <c r="I166" s="17">
        <f t="shared" si="3"/>
        <v>12000</v>
      </c>
      <c r="J166" s="108">
        <v>12000</v>
      </c>
      <c r="K166" s="65"/>
    </row>
    <row r="167" spans="1:11" ht="106.5">
      <c r="A167" s="144" t="s">
        <v>201</v>
      </c>
      <c r="B167" s="54" t="s">
        <v>204</v>
      </c>
      <c r="C167" s="55"/>
      <c r="D167" s="14" t="s">
        <v>11</v>
      </c>
      <c r="E167" s="14" t="s">
        <v>25</v>
      </c>
      <c r="F167" s="14" t="s">
        <v>26</v>
      </c>
      <c r="G167" s="17">
        <f>'FEBRERO-18'!I165</f>
        <v>0</v>
      </c>
      <c r="H167" s="51"/>
      <c r="I167" s="17">
        <f t="shared" si="3"/>
        <v>0</v>
      </c>
      <c r="J167" s="62"/>
      <c r="K167" s="63"/>
    </row>
    <row r="168" spans="1:11">
      <c r="A168" s="11" t="s">
        <v>203</v>
      </c>
      <c r="B168" s="145" t="s">
        <v>206</v>
      </c>
      <c r="C168" s="55"/>
      <c r="D168" s="14" t="s">
        <v>11</v>
      </c>
      <c r="E168" s="14" t="s">
        <v>25</v>
      </c>
      <c r="F168" s="14" t="s">
        <v>26</v>
      </c>
      <c r="G168" s="17">
        <f>'FEBRERO-18'!I166</f>
        <v>14000</v>
      </c>
      <c r="H168" s="51">
        <f>2613.3+2863.32</f>
        <v>5476.6200000000008</v>
      </c>
      <c r="I168" s="17">
        <f t="shared" si="3"/>
        <v>8523.3799999999992</v>
      </c>
      <c r="J168" s="64"/>
      <c r="K168" s="65"/>
    </row>
    <row r="169" spans="1:11">
      <c r="A169" s="11" t="s">
        <v>205</v>
      </c>
      <c r="B169" s="145" t="s">
        <v>207</v>
      </c>
      <c r="C169" s="55"/>
      <c r="D169" s="14" t="s">
        <v>11</v>
      </c>
      <c r="E169" s="14" t="s">
        <v>25</v>
      </c>
      <c r="F169" s="14" t="s">
        <v>26</v>
      </c>
      <c r="G169" s="17">
        <f>'FEBRERO-18'!I167</f>
        <v>200</v>
      </c>
      <c r="H169" s="51"/>
      <c r="I169" s="17">
        <f t="shared" si="3"/>
        <v>200</v>
      </c>
      <c r="J169" s="64"/>
      <c r="K169" s="65"/>
    </row>
    <row r="170" spans="1:11" ht="36">
      <c r="A170" s="11" t="s">
        <v>208</v>
      </c>
      <c r="B170" s="145" t="s">
        <v>209</v>
      </c>
      <c r="C170" s="55"/>
      <c r="D170" s="14" t="s">
        <v>11</v>
      </c>
      <c r="E170" s="14" t="s">
        <v>25</v>
      </c>
      <c r="F170" s="14" t="s">
        <v>26</v>
      </c>
      <c r="G170" s="17">
        <f>'FEBRERO-18'!I168</f>
        <v>34200</v>
      </c>
      <c r="H170" s="51"/>
      <c r="I170" s="17">
        <f t="shared" si="3"/>
        <v>34200</v>
      </c>
      <c r="J170" s="64"/>
      <c r="K170" s="65"/>
    </row>
    <row r="171" spans="1:11" ht="24">
      <c r="A171" s="11" t="s">
        <v>210</v>
      </c>
      <c r="B171" s="145" t="s">
        <v>211</v>
      </c>
      <c r="C171" s="55"/>
      <c r="D171" s="14" t="s">
        <v>11</v>
      </c>
      <c r="E171" s="14" t="s">
        <v>25</v>
      </c>
      <c r="F171" s="14" t="s">
        <v>26</v>
      </c>
      <c r="G171" s="17">
        <f>'FEBRERO-18'!I169</f>
        <v>600</v>
      </c>
      <c r="H171" s="51"/>
      <c r="I171" s="17">
        <f t="shared" si="3"/>
        <v>10600</v>
      </c>
      <c r="J171" s="108">
        <f>10000</f>
        <v>10000</v>
      </c>
      <c r="K171" s="65"/>
    </row>
    <row r="172" spans="1:11" ht="34.5" customHeight="1">
      <c r="A172" s="11" t="s">
        <v>212</v>
      </c>
      <c r="B172" s="145" t="s">
        <v>213</v>
      </c>
      <c r="C172" s="55"/>
      <c r="D172" s="3" t="s">
        <v>11</v>
      </c>
      <c r="E172" s="3" t="s">
        <v>25</v>
      </c>
      <c r="F172" s="3" t="s">
        <v>26</v>
      </c>
      <c r="G172" s="17">
        <f>'FEBRERO-18'!I170</f>
        <v>548.70000000000005</v>
      </c>
      <c r="H172" s="51"/>
      <c r="I172" s="17">
        <f t="shared" si="3"/>
        <v>548.70000000000005</v>
      </c>
      <c r="J172" s="45"/>
      <c r="K172" s="46"/>
    </row>
    <row r="173" spans="1:11" ht="28.5" customHeight="1">
      <c r="A173" s="11" t="s">
        <v>215</v>
      </c>
      <c r="B173" s="145" t="s">
        <v>214</v>
      </c>
      <c r="C173" s="55"/>
      <c r="D173" s="3" t="s">
        <v>11</v>
      </c>
      <c r="E173" s="3" t="s">
        <v>25</v>
      </c>
      <c r="F173" s="3" t="s">
        <v>26</v>
      </c>
      <c r="G173" s="17">
        <f>'FEBRERO-18'!I171</f>
        <v>5000</v>
      </c>
      <c r="H173" s="51"/>
      <c r="I173" s="17">
        <f t="shared" si="3"/>
        <v>5000</v>
      </c>
      <c r="J173" s="45"/>
      <c r="K173" s="46"/>
    </row>
    <row r="174" spans="1:11" ht="27.75" customHeight="1">
      <c r="A174" s="11" t="s">
        <v>216</v>
      </c>
      <c r="B174" s="145" t="s">
        <v>217</v>
      </c>
      <c r="C174" s="55"/>
      <c r="D174" s="3" t="s">
        <v>11</v>
      </c>
      <c r="E174" s="3" t="s">
        <v>25</v>
      </c>
      <c r="F174" s="3" t="s">
        <v>26</v>
      </c>
      <c r="G174" s="17">
        <f>'FEBRERO-18'!I172</f>
        <v>500</v>
      </c>
      <c r="H174" s="51"/>
      <c r="I174" s="17">
        <f t="shared" si="3"/>
        <v>10500</v>
      </c>
      <c r="J174" s="126">
        <f>10000</f>
        <v>10000</v>
      </c>
      <c r="K174" s="46"/>
    </row>
    <row r="175" spans="1:11" ht="36" customHeight="1">
      <c r="A175" s="11" t="s">
        <v>218</v>
      </c>
      <c r="B175" s="145" t="s">
        <v>219</v>
      </c>
      <c r="C175" s="55"/>
      <c r="D175" s="3" t="s">
        <v>11</v>
      </c>
      <c r="E175" s="3" t="s">
        <v>25</v>
      </c>
      <c r="F175" s="3" t="s">
        <v>26</v>
      </c>
      <c r="G175" s="17">
        <f>'FEBRERO-18'!I173</f>
        <v>50</v>
      </c>
      <c r="H175" s="51"/>
      <c r="I175" s="17">
        <f t="shared" si="3"/>
        <v>50</v>
      </c>
      <c r="J175" s="45"/>
      <c r="K175" s="46"/>
    </row>
    <row r="176" spans="1:11" ht="111.75" customHeight="1">
      <c r="A176" s="144" t="s">
        <v>220</v>
      </c>
      <c r="B176" s="54" t="s">
        <v>221</v>
      </c>
      <c r="C176" s="55"/>
      <c r="D176" s="3"/>
      <c r="E176" s="3"/>
      <c r="F176" s="3"/>
      <c r="G176" s="17">
        <f>'FEBRERO-18'!I174</f>
        <v>0</v>
      </c>
      <c r="H176" s="51"/>
      <c r="I176" s="17"/>
      <c r="J176" s="45"/>
      <c r="K176" s="46"/>
    </row>
    <row r="177" spans="1:11" ht="18" customHeight="1">
      <c r="A177" s="11" t="s">
        <v>222</v>
      </c>
      <c r="B177" s="145" t="s">
        <v>223</v>
      </c>
      <c r="C177" s="55"/>
      <c r="D177" s="3" t="s">
        <v>11</v>
      </c>
      <c r="E177" s="3" t="s">
        <v>25</v>
      </c>
      <c r="F177" s="3" t="s">
        <v>26</v>
      </c>
      <c r="G177" s="17">
        <f>'FEBRERO-18'!I175</f>
        <v>3000</v>
      </c>
      <c r="H177" s="51">
        <f>995.54+1384.44</f>
        <v>2379.98</v>
      </c>
      <c r="I177" s="17">
        <f t="shared" si="3"/>
        <v>10620.02</v>
      </c>
      <c r="J177" s="126">
        <f>10000</f>
        <v>10000</v>
      </c>
      <c r="K177" s="46"/>
    </row>
    <row r="178" spans="1:11" ht="15.75" customHeight="1">
      <c r="A178" s="11" t="s">
        <v>225</v>
      </c>
      <c r="B178" s="145" t="s">
        <v>224</v>
      </c>
      <c r="C178" s="55"/>
      <c r="D178" s="3" t="s">
        <v>11</v>
      </c>
      <c r="E178" s="3" t="s">
        <v>25</v>
      </c>
      <c r="F178" s="3" t="s">
        <v>26</v>
      </c>
      <c r="G178" s="17">
        <f>'FEBRERO-18'!I176</f>
        <v>100</v>
      </c>
      <c r="H178" s="51"/>
      <c r="I178" s="17">
        <f t="shared" si="3"/>
        <v>100</v>
      </c>
      <c r="J178" s="126"/>
      <c r="K178" s="46"/>
    </row>
    <row r="179" spans="1:11" ht="33.75" customHeight="1">
      <c r="A179" s="11" t="s">
        <v>226</v>
      </c>
      <c r="B179" s="145" t="s">
        <v>227</v>
      </c>
      <c r="C179" s="55"/>
      <c r="D179" s="3" t="s">
        <v>11</v>
      </c>
      <c r="E179" s="3" t="s">
        <v>25</v>
      </c>
      <c r="F179" s="3" t="s">
        <v>26</v>
      </c>
      <c r="G179" s="17">
        <f>'FEBRERO-18'!I177</f>
        <v>6000</v>
      </c>
      <c r="H179" s="51"/>
      <c r="I179" s="17">
        <f t="shared" si="3"/>
        <v>26000</v>
      </c>
      <c r="J179" s="126">
        <f>20000</f>
        <v>20000</v>
      </c>
      <c r="K179" s="46"/>
    </row>
    <row r="180" spans="1:11" ht="28.5" customHeight="1">
      <c r="A180" s="11" t="s">
        <v>228</v>
      </c>
      <c r="B180" s="145" t="s">
        <v>229</v>
      </c>
      <c r="C180" s="55"/>
      <c r="D180" s="3" t="s">
        <v>11</v>
      </c>
      <c r="E180" s="3" t="s">
        <v>25</v>
      </c>
      <c r="F180" s="3" t="s">
        <v>26</v>
      </c>
      <c r="G180" s="17">
        <f>'FEBRERO-18'!I178</f>
        <v>150</v>
      </c>
      <c r="H180" s="51"/>
      <c r="I180" s="17">
        <f t="shared" si="3"/>
        <v>20150</v>
      </c>
      <c r="J180" s="126">
        <f>20000</f>
        <v>20000</v>
      </c>
      <c r="K180" s="46"/>
    </row>
    <row r="181" spans="1:11" ht="26.25" customHeight="1">
      <c r="A181" s="11" t="s">
        <v>230</v>
      </c>
      <c r="B181" s="145" t="s">
        <v>231</v>
      </c>
      <c r="C181" s="55"/>
      <c r="D181" s="3" t="s">
        <v>11</v>
      </c>
      <c r="E181" s="3" t="s">
        <v>25</v>
      </c>
      <c r="F181" s="3" t="s">
        <v>26</v>
      </c>
      <c r="G181" s="17">
        <f>'FEBRERO-18'!I179</f>
        <v>100</v>
      </c>
      <c r="H181" s="51"/>
      <c r="I181" s="17">
        <f t="shared" si="3"/>
        <v>100</v>
      </c>
      <c r="J181" s="126"/>
      <c r="K181" s="46"/>
    </row>
    <row r="182" spans="1:11" ht="23.25" customHeight="1">
      <c r="A182" s="11" t="s">
        <v>232</v>
      </c>
      <c r="B182" s="145" t="s">
        <v>233</v>
      </c>
      <c r="C182" s="55"/>
      <c r="D182" s="3" t="s">
        <v>11</v>
      </c>
      <c r="E182" s="3" t="s">
        <v>25</v>
      </c>
      <c r="F182" s="3" t="s">
        <v>26</v>
      </c>
      <c r="G182" s="17">
        <f>'FEBRERO-18'!I180</f>
        <v>200</v>
      </c>
      <c r="H182" s="51"/>
      <c r="I182" s="17">
        <f t="shared" si="3"/>
        <v>20200</v>
      </c>
      <c r="J182" s="126">
        <f>20000</f>
        <v>20000</v>
      </c>
      <c r="K182" s="46"/>
    </row>
    <row r="183" spans="1:11" ht="28.5" customHeight="1">
      <c r="A183" s="11" t="s">
        <v>234</v>
      </c>
      <c r="B183" s="145" t="s">
        <v>237</v>
      </c>
      <c r="C183" s="55"/>
      <c r="D183" s="3" t="s">
        <v>11</v>
      </c>
      <c r="E183" s="3" t="s">
        <v>25</v>
      </c>
      <c r="F183" s="3" t="s">
        <v>26</v>
      </c>
      <c r="G183" s="17">
        <f>'FEBRERO-18'!I181</f>
        <v>500</v>
      </c>
      <c r="H183" s="51"/>
      <c r="I183" s="17">
        <f t="shared" si="3"/>
        <v>20500</v>
      </c>
      <c r="J183" s="126">
        <f>20000</f>
        <v>20000</v>
      </c>
      <c r="K183" s="46"/>
    </row>
    <row r="184" spans="1:11" ht="24" customHeight="1">
      <c r="A184" s="11" t="s">
        <v>235</v>
      </c>
      <c r="B184" s="145" t="s">
        <v>236</v>
      </c>
      <c r="C184" s="55"/>
      <c r="D184" s="3" t="s">
        <v>11</v>
      </c>
      <c r="E184" s="3" t="s">
        <v>25</v>
      </c>
      <c r="F184" s="3" t="s">
        <v>26</v>
      </c>
      <c r="G184" s="17">
        <f>'FEBRERO-18'!I182</f>
        <v>48.7</v>
      </c>
      <c r="H184" s="51"/>
      <c r="I184" s="17">
        <f t="shared" si="3"/>
        <v>48.7</v>
      </c>
      <c r="J184" s="45"/>
      <c r="K184" s="46"/>
    </row>
    <row r="185" spans="1:11" ht="87" customHeight="1">
      <c r="A185" s="144" t="s">
        <v>238</v>
      </c>
      <c r="B185" s="54" t="s">
        <v>239</v>
      </c>
      <c r="C185" s="55"/>
      <c r="D185" s="3"/>
      <c r="E185" s="3"/>
      <c r="F185" s="3"/>
      <c r="G185" s="17">
        <f>'FEBRERO-18'!I183</f>
        <v>0</v>
      </c>
      <c r="H185" s="51"/>
      <c r="I185" s="17"/>
      <c r="J185" s="45"/>
      <c r="K185" s="46"/>
    </row>
    <row r="186" spans="1:11" ht="24" customHeight="1">
      <c r="A186" s="11" t="s">
        <v>240</v>
      </c>
      <c r="B186" s="145" t="s">
        <v>243</v>
      </c>
      <c r="C186" s="55"/>
      <c r="D186" s="3" t="s">
        <v>11</v>
      </c>
      <c r="E186" s="3" t="s">
        <v>25</v>
      </c>
      <c r="F186" s="3" t="s">
        <v>26</v>
      </c>
      <c r="G186" s="17">
        <f>'FEBRERO-18'!I184</f>
        <v>2098.34</v>
      </c>
      <c r="H186" s="51"/>
      <c r="I186" s="17">
        <f t="shared" si="3"/>
        <v>2098.34</v>
      </c>
      <c r="J186" s="45"/>
      <c r="K186" s="46"/>
    </row>
    <row r="187" spans="1:11" ht="24" customHeight="1">
      <c r="A187" s="11" t="s">
        <v>241</v>
      </c>
      <c r="B187" s="145" t="s">
        <v>242</v>
      </c>
      <c r="C187" s="55"/>
      <c r="D187" s="3" t="s">
        <v>11</v>
      </c>
      <c r="E187" s="3" t="s">
        <v>25</v>
      </c>
      <c r="F187" s="3" t="s">
        <v>26</v>
      </c>
      <c r="G187" s="17">
        <f>'FEBRERO-18'!I185</f>
        <v>100</v>
      </c>
      <c r="H187" s="51"/>
      <c r="I187" s="17">
        <f t="shared" si="3"/>
        <v>100</v>
      </c>
      <c r="J187" s="45"/>
      <c r="K187" s="46"/>
    </row>
    <row r="188" spans="1:11" ht="40.5" customHeight="1">
      <c r="A188" s="11" t="s">
        <v>245</v>
      </c>
      <c r="B188" s="145" t="s">
        <v>244</v>
      </c>
      <c r="C188" s="55"/>
      <c r="D188" s="3" t="s">
        <v>11</v>
      </c>
      <c r="E188" s="3" t="s">
        <v>25</v>
      </c>
      <c r="F188" s="3" t="s">
        <v>26</v>
      </c>
      <c r="G188" s="17">
        <f>'FEBRERO-18'!I186</f>
        <v>2599.5</v>
      </c>
      <c r="H188" s="51"/>
      <c r="I188" s="17">
        <f t="shared" si="3"/>
        <v>2599.5</v>
      </c>
      <c r="J188" s="45"/>
      <c r="K188" s="46"/>
    </row>
    <row r="189" spans="1:11" ht="24" customHeight="1">
      <c r="A189" s="11" t="s">
        <v>246</v>
      </c>
      <c r="B189" s="145" t="s">
        <v>247</v>
      </c>
      <c r="C189" s="55"/>
      <c r="D189" s="3" t="s">
        <v>11</v>
      </c>
      <c r="E189" s="3" t="s">
        <v>25</v>
      </c>
      <c r="F189" s="3" t="s">
        <v>26</v>
      </c>
      <c r="G189" s="17">
        <f>'FEBRERO-18'!I187</f>
        <v>671.77</v>
      </c>
      <c r="H189" s="51"/>
      <c r="I189" s="17">
        <f t="shared" si="3"/>
        <v>671.77</v>
      </c>
      <c r="J189" s="45"/>
      <c r="K189" s="46"/>
    </row>
    <row r="190" spans="1:11" ht="24" customHeight="1">
      <c r="A190" s="11" t="s">
        <v>249</v>
      </c>
      <c r="B190" s="145" t="s">
        <v>248</v>
      </c>
      <c r="C190" s="55"/>
      <c r="D190" s="3" t="s">
        <v>11</v>
      </c>
      <c r="E190" s="3" t="s">
        <v>25</v>
      </c>
      <c r="F190" s="3" t="s">
        <v>26</v>
      </c>
      <c r="G190" s="17">
        <f>'FEBRERO-18'!I188</f>
        <v>700</v>
      </c>
      <c r="H190" s="51"/>
      <c r="I190" s="17">
        <f t="shared" si="3"/>
        <v>700</v>
      </c>
      <c r="J190" s="45"/>
      <c r="K190" s="46"/>
    </row>
    <row r="191" spans="1:11" ht="24" customHeight="1">
      <c r="A191" s="11" t="s">
        <v>251</v>
      </c>
      <c r="B191" s="145" t="s">
        <v>252</v>
      </c>
      <c r="C191" s="55"/>
      <c r="D191" s="3" t="s">
        <v>11</v>
      </c>
      <c r="E191" s="3" t="s">
        <v>25</v>
      </c>
      <c r="F191" s="3" t="s">
        <v>26</v>
      </c>
      <c r="G191" s="17">
        <f>'FEBRERO-18'!I189</f>
        <v>200</v>
      </c>
      <c r="H191" s="51"/>
      <c r="I191" s="17">
        <f t="shared" si="3"/>
        <v>200</v>
      </c>
      <c r="J191" s="45"/>
      <c r="K191" s="46"/>
    </row>
    <row r="192" spans="1:11" ht="24" customHeight="1">
      <c r="A192" s="11" t="s">
        <v>250</v>
      </c>
      <c r="B192" s="145" t="s">
        <v>253</v>
      </c>
      <c r="C192" s="55"/>
      <c r="D192" s="3" t="s">
        <v>11</v>
      </c>
      <c r="E192" s="3" t="s">
        <v>25</v>
      </c>
      <c r="F192" s="3" t="s">
        <v>26</v>
      </c>
      <c r="G192" s="17">
        <f>'FEBRERO-18'!I190</f>
        <v>58</v>
      </c>
      <c r="H192" s="51"/>
      <c r="I192" s="17">
        <f t="shared" si="3"/>
        <v>58</v>
      </c>
      <c r="J192" s="45"/>
      <c r="K192" s="46"/>
    </row>
    <row r="193" spans="1:11" ht="24" customHeight="1">
      <c r="A193" s="11" t="s">
        <v>255</v>
      </c>
      <c r="B193" s="145" t="s">
        <v>254</v>
      </c>
      <c r="C193" s="55"/>
      <c r="D193" s="3" t="s">
        <v>11</v>
      </c>
      <c r="E193" s="3" t="s">
        <v>25</v>
      </c>
      <c r="F193" s="3" t="s">
        <v>26</v>
      </c>
      <c r="G193" s="17">
        <f>'FEBRERO-18'!I191</f>
        <v>3.3</v>
      </c>
      <c r="H193" s="51"/>
      <c r="I193" s="17">
        <f t="shared" si="3"/>
        <v>3.3</v>
      </c>
      <c r="J193" s="45"/>
      <c r="K193" s="46"/>
    </row>
    <row r="194" spans="1:11" ht="87" customHeight="1">
      <c r="A194" s="144" t="s">
        <v>256</v>
      </c>
      <c r="B194" s="54" t="s">
        <v>257</v>
      </c>
      <c r="C194" s="55"/>
      <c r="D194" s="3"/>
      <c r="E194" s="3"/>
      <c r="F194" s="3"/>
      <c r="G194" s="17">
        <f>'FEBRERO-18'!I192</f>
        <v>0</v>
      </c>
      <c r="H194" s="51"/>
      <c r="I194" s="17"/>
      <c r="J194" s="45"/>
      <c r="K194" s="46"/>
    </row>
    <row r="195" spans="1:11" ht="24" customHeight="1">
      <c r="A195" s="11" t="s">
        <v>258</v>
      </c>
      <c r="B195" s="145" t="s">
        <v>263</v>
      </c>
      <c r="C195" s="55"/>
      <c r="D195" s="3" t="s">
        <v>11</v>
      </c>
      <c r="E195" s="3" t="s">
        <v>25</v>
      </c>
      <c r="F195" s="3" t="s">
        <v>26</v>
      </c>
      <c r="G195" s="17">
        <f>'FEBRERO-18'!I193</f>
        <v>100</v>
      </c>
      <c r="H195" s="51"/>
      <c r="I195" s="17">
        <f t="shared" si="3"/>
        <v>100</v>
      </c>
      <c r="J195" s="45"/>
      <c r="K195" s="46"/>
    </row>
    <row r="196" spans="1:11" ht="24" customHeight="1">
      <c r="A196" s="11" t="s">
        <v>259</v>
      </c>
      <c r="B196" s="145" t="s">
        <v>262</v>
      </c>
      <c r="C196" s="55"/>
      <c r="D196" s="3" t="s">
        <v>11</v>
      </c>
      <c r="E196" s="3" t="s">
        <v>25</v>
      </c>
      <c r="F196" s="3" t="s">
        <v>26</v>
      </c>
      <c r="G196" s="17">
        <f>'FEBRERO-18'!I194</f>
        <v>800</v>
      </c>
      <c r="H196" s="51"/>
      <c r="I196" s="17">
        <f t="shared" si="3"/>
        <v>800</v>
      </c>
      <c r="J196" s="45"/>
      <c r="K196" s="46"/>
    </row>
    <row r="197" spans="1:11" ht="24" customHeight="1">
      <c r="A197" s="11" t="s">
        <v>260</v>
      </c>
      <c r="B197" s="145" t="s">
        <v>261</v>
      </c>
      <c r="C197" s="55"/>
      <c r="D197" s="3" t="s">
        <v>11</v>
      </c>
      <c r="E197" s="3" t="s">
        <v>25</v>
      </c>
      <c r="F197" s="3" t="s">
        <v>26</v>
      </c>
      <c r="G197" s="17">
        <f>'FEBRERO-18'!I195</f>
        <v>624.22</v>
      </c>
      <c r="H197" s="51"/>
      <c r="I197" s="17">
        <f t="shared" si="3"/>
        <v>624.22</v>
      </c>
      <c r="J197" s="45"/>
      <c r="K197" s="46"/>
    </row>
    <row r="198" spans="1:11" ht="60" customHeight="1">
      <c r="A198" s="144" t="s">
        <v>264</v>
      </c>
      <c r="B198" s="54" t="s">
        <v>287</v>
      </c>
      <c r="C198" s="55"/>
      <c r="D198" s="3"/>
      <c r="E198" s="3"/>
      <c r="F198" s="3"/>
      <c r="G198" s="17">
        <f>'FEBRERO-18'!I196</f>
        <v>0</v>
      </c>
      <c r="H198" s="51"/>
      <c r="I198" s="17"/>
      <c r="J198" s="45"/>
      <c r="K198" s="46"/>
    </row>
    <row r="199" spans="1:11" ht="24" customHeight="1">
      <c r="A199" s="11" t="s">
        <v>265</v>
      </c>
      <c r="B199" s="145" t="s">
        <v>267</v>
      </c>
      <c r="C199" s="55"/>
      <c r="D199" s="3" t="s">
        <v>11</v>
      </c>
      <c r="E199" s="3" t="s">
        <v>25</v>
      </c>
      <c r="F199" s="3" t="s">
        <v>26</v>
      </c>
      <c r="G199" s="17">
        <f>'FEBRERO-18'!I197</f>
        <v>2000</v>
      </c>
      <c r="H199" s="51"/>
      <c r="I199" s="17">
        <f t="shared" si="3"/>
        <v>2000</v>
      </c>
      <c r="J199" s="45"/>
      <c r="K199" s="46"/>
    </row>
    <row r="200" spans="1:11" ht="24" customHeight="1">
      <c r="A200" s="11" t="s">
        <v>266</v>
      </c>
      <c r="B200" s="145" t="s">
        <v>268</v>
      </c>
      <c r="C200" s="55"/>
      <c r="D200" s="3" t="s">
        <v>11</v>
      </c>
      <c r="E200" s="3" t="s">
        <v>25</v>
      </c>
      <c r="F200" s="3" t="s">
        <v>26</v>
      </c>
      <c r="G200" s="17">
        <f>'FEBRERO-18'!I198</f>
        <v>3000</v>
      </c>
      <c r="H200" s="51"/>
      <c r="I200" s="17">
        <f t="shared" si="3"/>
        <v>3000</v>
      </c>
      <c r="J200" s="45"/>
      <c r="K200" s="46"/>
    </row>
    <row r="201" spans="1:11" ht="71.25" customHeight="1">
      <c r="A201" s="144" t="s">
        <v>269</v>
      </c>
      <c r="B201" s="54" t="s">
        <v>286</v>
      </c>
      <c r="C201" s="55"/>
      <c r="D201" s="3"/>
      <c r="E201" s="3"/>
      <c r="F201" s="3"/>
      <c r="G201" s="17">
        <f>'FEBRERO-18'!I199</f>
        <v>0</v>
      </c>
      <c r="H201" s="51"/>
      <c r="I201" s="17"/>
      <c r="J201" s="45"/>
      <c r="K201" s="46"/>
    </row>
    <row r="202" spans="1:11" ht="24" customHeight="1">
      <c r="A202" s="11" t="s">
        <v>273</v>
      </c>
      <c r="B202" s="145" t="s">
        <v>270</v>
      </c>
      <c r="C202" s="55"/>
      <c r="D202" s="3" t="s">
        <v>11</v>
      </c>
      <c r="E202" s="3" t="s">
        <v>25</v>
      </c>
      <c r="F202" s="3" t="s">
        <v>26</v>
      </c>
      <c r="G202" s="17">
        <f>'FEBRERO-18'!I200</f>
        <v>3000</v>
      </c>
      <c r="H202" s="51"/>
      <c r="I202" s="17">
        <f t="shared" si="3"/>
        <v>3000</v>
      </c>
      <c r="J202" s="45"/>
      <c r="K202" s="46"/>
    </row>
    <row r="203" spans="1:11" ht="24" customHeight="1">
      <c r="A203" s="11" t="s">
        <v>272</v>
      </c>
      <c r="B203" s="145" t="s">
        <v>271</v>
      </c>
      <c r="C203" s="55"/>
      <c r="D203" s="3" t="s">
        <v>11</v>
      </c>
      <c r="E203" s="3" t="s">
        <v>25</v>
      </c>
      <c r="F203" s="3" t="s">
        <v>26</v>
      </c>
      <c r="G203" s="17">
        <f>'FEBRERO-18'!I201</f>
        <v>28000</v>
      </c>
      <c r="H203" s="51">
        <f>156.75+1360+2100+3800+704</f>
        <v>8120.75</v>
      </c>
      <c r="I203" s="17">
        <f t="shared" si="3"/>
        <v>19879.25</v>
      </c>
      <c r="J203" s="45"/>
      <c r="K203" s="126"/>
    </row>
    <row r="204" spans="1:11" ht="24" customHeight="1">
      <c r="A204" s="11" t="s">
        <v>274</v>
      </c>
      <c r="B204" s="145" t="s">
        <v>275</v>
      </c>
      <c r="C204" s="55"/>
      <c r="D204" s="3" t="s">
        <v>11</v>
      </c>
      <c r="E204" s="3" t="s">
        <v>25</v>
      </c>
      <c r="F204" s="3" t="s">
        <v>26</v>
      </c>
      <c r="G204" s="17">
        <f>'FEBRERO-18'!I202</f>
        <v>3000</v>
      </c>
      <c r="H204" s="51">
        <f>229.5</f>
        <v>229.5</v>
      </c>
      <c r="I204" s="17">
        <f t="shared" si="3"/>
        <v>2770.5</v>
      </c>
      <c r="J204" s="45"/>
      <c r="K204" s="46"/>
    </row>
    <row r="205" spans="1:11" ht="24" customHeight="1">
      <c r="A205" s="11" t="s">
        <v>276</v>
      </c>
      <c r="B205" s="145" t="s">
        <v>277</v>
      </c>
      <c r="C205" s="55"/>
      <c r="D205" s="3" t="s">
        <v>11</v>
      </c>
      <c r="E205" s="3" t="s">
        <v>25</v>
      </c>
      <c r="F205" s="3" t="s">
        <v>26</v>
      </c>
      <c r="G205" s="17">
        <f>'FEBRERO-18'!I203</f>
        <v>20963</v>
      </c>
      <c r="H205" s="51">
        <f>1103.54</f>
        <v>1103.54</v>
      </c>
      <c r="I205" s="17">
        <f t="shared" si="3"/>
        <v>19859.46</v>
      </c>
      <c r="J205" s="45"/>
      <c r="K205" s="46"/>
    </row>
    <row r="206" spans="1:11" ht="24" customHeight="1">
      <c r="A206" s="11" t="s">
        <v>278</v>
      </c>
      <c r="B206" s="145" t="s">
        <v>279</v>
      </c>
      <c r="C206" s="55"/>
      <c r="D206" s="3" t="s">
        <v>11</v>
      </c>
      <c r="E206" s="3" t="s">
        <v>25</v>
      </c>
      <c r="F206" s="3" t="s">
        <v>26</v>
      </c>
      <c r="G206" s="17">
        <f>'FEBRERO-18'!I204</f>
        <v>980</v>
      </c>
      <c r="H206" s="51"/>
      <c r="I206" s="17">
        <f t="shared" si="3"/>
        <v>980</v>
      </c>
      <c r="J206" s="45"/>
      <c r="K206" s="46"/>
    </row>
    <row r="207" spans="1:11" ht="24" customHeight="1">
      <c r="A207" s="11" t="s">
        <v>280</v>
      </c>
      <c r="B207" s="145" t="s">
        <v>281</v>
      </c>
      <c r="C207" s="55"/>
      <c r="D207" s="3" t="s">
        <v>11</v>
      </c>
      <c r="E207" s="3" t="s">
        <v>25</v>
      </c>
      <c r="F207" s="3" t="s">
        <v>26</v>
      </c>
      <c r="G207" s="17">
        <f>'FEBRERO-18'!I205</f>
        <v>1000</v>
      </c>
      <c r="H207" s="51">
        <f>660</f>
        <v>660</v>
      </c>
      <c r="I207" s="17">
        <f t="shared" si="3"/>
        <v>340</v>
      </c>
      <c r="J207" s="45"/>
      <c r="K207" s="46"/>
    </row>
    <row r="208" spans="1:11" ht="24" customHeight="1">
      <c r="A208" s="11" t="s">
        <v>282</v>
      </c>
      <c r="B208" s="145" t="s">
        <v>283</v>
      </c>
      <c r="C208" s="55"/>
      <c r="D208" s="3" t="s">
        <v>11</v>
      </c>
      <c r="E208" s="3" t="s">
        <v>25</v>
      </c>
      <c r="F208" s="3" t="s">
        <v>26</v>
      </c>
      <c r="G208" s="17">
        <f>'FEBRERO-18'!I206</f>
        <v>1878.38</v>
      </c>
      <c r="H208" s="51">
        <f>150+166.66+68+200</f>
        <v>584.66</v>
      </c>
      <c r="I208" s="17">
        <f t="shared" si="3"/>
        <v>1293.7200000000003</v>
      </c>
      <c r="J208" s="126"/>
      <c r="K208" s="46"/>
    </row>
    <row r="209" spans="1:11" ht="24" customHeight="1">
      <c r="A209" s="11" t="s">
        <v>284</v>
      </c>
      <c r="B209" s="145" t="s">
        <v>285</v>
      </c>
      <c r="C209" s="55"/>
      <c r="D209" s="3" t="s">
        <v>11</v>
      </c>
      <c r="E209" s="3" t="s">
        <v>25</v>
      </c>
      <c r="F209" s="3" t="s">
        <v>26</v>
      </c>
      <c r="G209" s="17">
        <f>'FEBRERO-18'!I207</f>
        <v>17</v>
      </c>
      <c r="H209" s="51"/>
      <c r="I209" s="17">
        <f t="shared" si="3"/>
        <v>17</v>
      </c>
      <c r="J209" s="45"/>
      <c r="K209" s="46"/>
    </row>
    <row r="210" spans="1:11" ht="102" customHeight="1">
      <c r="A210" s="144" t="s">
        <v>289</v>
      </c>
      <c r="B210" s="54" t="s">
        <v>288</v>
      </c>
      <c r="C210" s="55"/>
      <c r="D210" s="3"/>
      <c r="E210" s="3"/>
      <c r="F210" s="3"/>
      <c r="G210" s="17">
        <f>'FEBRERO-18'!I208</f>
        <v>0</v>
      </c>
      <c r="H210" s="51"/>
      <c r="I210" s="17"/>
      <c r="J210" s="45"/>
      <c r="K210" s="46"/>
    </row>
    <row r="211" spans="1:11" ht="24" customHeight="1">
      <c r="A211" s="11" t="s">
        <v>290</v>
      </c>
      <c r="B211" s="145" t="s">
        <v>291</v>
      </c>
      <c r="C211" s="55"/>
      <c r="D211" s="3" t="s">
        <v>11</v>
      </c>
      <c r="E211" s="3" t="s">
        <v>25</v>
      </c>
      <c r="F211" s="3" t="s">
        <v>26</v>
      </c>
      <c r="G211" s="17">
        <f>'FEBRERO-18'!I209</f>
        <v>5500</v>
      </c>
      <c r="H211" s="51"/>
      <c r="I211" s="17">
        <f t="shared" si="3"/>
        <v>500</v>
      </c>
      <c r="J211" s="45"/>
      <c r="K211" s="283">
        <v>5000</v>
      </c>
    </row>
    <row r="212" spans="1:11" ht="24" customHeight="1">
      <c r="A212" s="11" t="s">
        <v>292</v>
      </c>
      <c r="B212" s="145" t="s">
        <v>293</v>
      </c>
      <c r="C212" s="55"/>
      <c r="D212" s="3" t="s">
        <v>11</v>
      </c>
      <c r="E212" s="3" t="s">
        <v>25</v>
      </c>
      <c r="F212" s="3" t="s">
        <v>26</v>
      </c>
      <c r="G212" s="17">
        <f>'FEBRERO-18'!I210</f>
        <v>3000</v>
      </c>
      <c r="H212" s="51"/>
      <c r="I212" s="17">
        <f t="shared" si="3"/>
        <v>0</v>
      </c>
      <c r="J212" s="45"/>
      <c r="K212" s="283">
        <v>3000</v>
      </c>
    </row>
    <row r="213" spans="1:11" ht="18" customHeight="1">
      <c r="A213" s="11" t="s">
        <v>294</v>
      </c>
      <c r="B213" s="145" t="s">
        <v>295</v>
      </c>
      <c r="C213" s="55"/>
      <c r="D213" s="3" t="s">
        <v>11</v>
      </c>
      <c r="E213" s="3" t="s">
        <v>25</v>
      </c>
      <c r="F213" s="3" t="s">
        <v>26</v>
      </c>
      <c r="G213" s="17">
        <f>'FEBRERO-18'!I211</f>
        <v>98.7</v>
      </c>
      <c r="H213" s="51"/>
      <c r="I213" s="17">
        <f t="shared" si="3"/>
        <v>98.7</v>
      </c>
      <c r="J213" s="45"/>
      <c r="K213" s="46"/>
    </row>
    <row r="214" spans="1:11" ht="19.5" customHeight="1">
      <c r="A214" s="11" t="s">
        <v>296</v>
      </c>
      <c r="B214" s="145" t="s">
        <v>297</v>
      </c>
      <c r="C214" s="55"/>
      <c r="D214" s="3" t="s">
        <v>11</v>
      </c>
      <c r="E214" s="3" t="s">
        <v>25</v>
      </c>
      <c r="F214" s="3" t="s">
        <v>26</v>
      </c>
      <c r="G214" s="17">
        <f>'FEBRERO-18'!I212</f>
        <v>50000</v>
      </c>
      <c r="H214" s="51">
        <f>4800+4800</f>
        <v>9600</v>
      </c>
      <c r="I214" s="17">
        <f t="shared" si="3"/>
        <v>40400</v>
      </c>
      <c r="J214" s="45"/>
      <c r="K214" s="46"/>
    </row>
    <row r="215" spans="1:11" ht="21" customHeight="1">
      <c r="A215" s="11" t="s">
        <v>298</v>
      </c>
      <c r="B215" s="145" t="s">
        <v>299</v>
      </c>
      <c r="C215" s="55"/>
      <c r="D215" s="3" t="s">
        <v>11</v>
      </c>
      <c r="E215" s="3" t="s">
        <v>25</v>
      </c>
      <c r="F215" s="3" t="s">
        <v>26</v>
      </c>
      <c r="G215" s="17">
        <f>'FEBRERO-18'!I213</f>
        <v>2000</v>
      </c>
      <c r="H215" s="51"/>
      <c r="I215" s="17">
        <f t="shared" si="3"/>
        <v>2000</v>
      </c>
      <c r="J215" s="45"/>
      <c r="K215" s="46"/>
    </row>
    <row r="216" spans="1:11" ht="75" customHeight="1">
      <c r="A216" s="144" t="s">
        <v>300</v>
      </c>
      <c r="B216" s="54" t="s">
        <v>301</v>
      </c>
      <c r="C216" s="55"/>
      <c r="D216" s="3"/>
      <c r="E216" s="3"/>
      <c r="F216" s="3"/>
      <c r="G216" s="17">
        <f>'FEBRERO-18'!I214</f>
        <v>0</v>
      </c>
      <c r="H216" s="51"/>
      <c r="I216" s="17"/>
      <c r="J216" s="45"/>
      <c r="K216" s="46"/>
    </row>
    <row r="217" spans="1:11" ht="18.75" customHeight="1">
      <c r="A217" s="11" t="s">
        <v>302</v>
      </c>
      <c r="B217" s="145" t="s">
        <v>309</v>
      </c>
      <c r="C217" s="55"/>
      <c r="D217" s="3" t="s">
        <v>11</v>
      </c>
      <c r="E217" s="3" t="s">
        <v>25</v>
      </c>
      <c r="F217" s="3" t="s">
        <v>26</v>
      </c>
      <c r="G217" s="17">
        <f>'FEBRERO-18'!I215</f>
        <v>4333.3599999999997</v>
      </c>
      <c r="H217" s="51">
        <f>333.33+333.33+333.33</f>
        <v>999.99</v>
      </c>
      <c r="I217" s="17">
        <f t="shared" si="3"/>
        <v>3333.37</v>
      </c>
      <c r="J217" s="45"/>
      <c r="K217" s="46"/>
    </row>
    <row r="218" spans="1:11" ht="34.5" customHeight="1">
      <c r="A218" s="11" t="s">
        <v>303</v>
      </c>
      <c r="B218" s="145" t="s">
        <v>310</v>
      </c>
      <c r="C218" s="55"/>
      <c r="D218" s="3" t="s">
        <v>11</v>
      </c>
      <c r="E218" s="3" t="s">
        <v>25</v>
      </c>
      <c r="F218" s="3" t="s">
        <v>26</v>
      </c>
      <c r="G218" s="17">
        <f>'FEBRERO-18'!I216</f>
        <v>5000</v>
      </c>
      <c r="H218" s="51"/>
      <c r="I218" s="17">
        <f t="shared" si="3"/>
        <v>5000</v>
      </c>
      <c r="J218" s="45"/>
      <c r="K218" s="46"/>
    </row>
    <row r="219" spans="1:11" ht="25.5" customHeight="1">
      <c r="A219" s="11" t="s">
        <v>304</v>
      </c>
      <c r="B219" s="145" t="s">
        <v>311</v>
      </c>
      <c r="C219" s="55"/>
      <c r="D219" s="3" t="s">
        <v>11</v>
      </c>
      <c r="E219" s="3" t="s">
        <v>25</v>
      </c>
      <c r="F219" s="3" t="s">
        <v>26</v>
      </c>
      <c r="G219" s="17">
        <f>'FEBRERO-18'!I217</f>
        <v>5000</v>
      </c>
      <c r="H219" s="51"/>
      <c r="I219" s="17">
        <f t="shared" si="3"/>
        <v>5000</v>
      </c>
      <c r="J219" s="45"/>
      <c r="K219" s="46"/>
    </row>
    <row r="220" spans="1:11" ht="27.75" customHeight="1">
      <c r="A220" s="11" t="s">
        <v>305</v>
      </c>
      <c r="B220" s="145" t="s">
        <v>312</v>
      </c>
      <c r="C220" s="55"/>
      <c r="D220" s="3" t="s">
        <v>11</v>
      </c>
      <c r="E220" s="3" t="s">
        <v>25</v>
      </c>
      <c r="F220" s="3" t="s">
        <v>26</v>
      </c>
      <c r="G220" s="17">
        <f>'FEBRERO-18'!I218</f>
        <v>1900</v>
      </c>
      <c r="H220" s="51">
        <f>473</f>
        <v>473</v>
      </c>
      <c r="I220" s="17">
        <f t="shared" si="3"/>
        <v>1427</v>
      </c>
      <c r="J220" s="45"/>
      <c r="K220" s="46"/>
    </row>
    <row r="221" spans="1:11" ht="21" customHeight="1">
      <c r="A221" s="11" t="s">
        <v>306</v>
      </c>
      <c r="B221" s="145" t="s">
        <v>313</v>
      </c>
      <c r="C221" s="55"/>
      <c r="D221" s="3" t="s">
        <v>11</v>
      </c>
      <c r="E221" s="3" t="s">
        <v>25</v>
      </c>
      <c r="F221" s="3" t="s">
        <v>26</v>
      </c>
      <c r="G221" s="17">
        <f>'FEBRERO-18'!I219</f>
        <v>6985</v>
      </c>
      <c r="H221" s="51"/>
      <c r="I221" s="17">
        <f t="shared" si="3"/>
        <v>6985</v>
      </c>
      <c r="J221" s="45"/>
      <c r="K221" s="46"/>
    </row>
    <row r="222" spans="1:11" ht="19.5" customHeight="1">
      <c r="A222" s="11" t="s">
        <v>307</v>
      </c>
      <c r="B222" s="145" t="s">
        <v>314</v>
      </c>
      <c r="C222" s="55"/>
      <c r="D222" s="3" t="s">
        <v>11</v>
      </c>
      <c r="E222" s="3" t="s">
        <v>25</v>
      </c>
      <c r="F222" s="3" t="s">
        <v>26</v>
      </c>
      <c r="G222" s="17">
        <f>'FEBRERO-18'!I220</f>
        <v>12</v>
      </c>
      <c r="H222" s="51"/>
      <c r="I222" s="17">
        <f t="shared" si="3"/>
        <v>12</v>
      </c>
      <c r="J222" s="45"/>
      <c r="K222" s="46"/>
    </row>
    <row r="223" spans="1:11" ht="32.25" customHeight="1">
      <c r="A223" s="11" t="s">
        <v>308</v>
      </c>
      <c r="B223" s="145" t="s">
        <v>315</v>
      </c>
      <c r="C223" s="55"/>
      <c r="D223" s="3" t="s">
        <v>11</v>
      </c>
      <c r="E223" s="3" t="s">
        <v>25</v>
      </c>
      <c r="F223" s="3" t="s">
        <v>26</v>
      </c>
      <c r="G223" s="17">
        <f>'FEBRERO-18'!I221</f>
        <v>1000</v>
      </c>
      <c r="H223" s="51"/>
      <c r="I223" s="17">
        <f t="shared" si="3"/>
        <v>1000</v>
      </c>
      <c r="J223" s="45"/>
      <c r="K223" s="46"/>
    </row>
    <row r="224" spans="1:11" ht="72.75" customHeight="1">
      <c r="A224" s="144" t="s">
        <v>316</v>
      </c>
      <c r="B224" s="54" t="s">
        <v>317</v>
      </c>
      <c r="C224" s="55"/>
      <c r="D224" s="3"/>
      <c r="E224" s="3"/>
      <c r="F224" s="3"/>
      <c r="G224" s="17">
        <f>'FEBRERO-18'!I222</f>
        <v>0</v>
      </c>
      <c r="H224" s="51"/>
      <c r="I224" s="17"/>
      <c r="J224" s="45"/>
      <c r="K224" s="46"/>
    </row>
    <row r="225" spans="1:11" ht="20.25" customHeight="1">
      <c r="A225" s="11" t="s">
        <v>318</v>
      </c>
      <c r="B225" s="145" t="s">
        <v>322</v>
      </c>
      <c r="C225" s="55"/>
      <c r="D225" s="3" t="s">
        <v>11</v>
      </c>
      <c r="E225" s="3" t="s">
        <v>25</v>
      </c>
      <c r="F225" s="3" t="s">
        <v>26</v>
      </c>
      <c r="G225" s="17">
        <f>'FEBRERO-18'!I223</f>
        <v>3000</v>
      </c>
      <c r="H225" s="51">
        <f>333.33</f>
        <v>333.33</v>
      </c>
      <c r="I225" s="17">
        <f t="shared" ref="I225:I259" si="4">G225-H225+J225-K225</f>
        <v>2666.67</v>
      </c>
      <c r="J225" s="45"/>
      <c r="K225" s="46"/>
    </row>
    <row r="226" spans="1:11" ht="36.75" customHeight="1">
      <c r="A226" s="11" t="s">
        <v>1009</v>
      </c>
      <c r="B226" s="145" t="s">
        <v>1011</v>
      </c>
      <c r="C226" s="55"/>
      <c r="D226" s="3" t="s">
        <v>11</v>
      </c>
      <c r="E226" s="3" t="s">
        <v>25</v>
      </c>
      <c r="F226" s="3" t="s">
        <v>26</v>
      </c>
      <c r="G226" s="17"/>
      <c r="H226" s="51">
        <v>600</v>
      </c>
      <c r="I226" s="17">
        <f t="shared" si="4"/>
        <v>400</v>
      </c>
      <c r="J226" s="126">
        <v>1000</v>
      </c>
      <c r="K226" s="46"/>
    </row>
    <row r="227" spans="1:11" ht="31.5" customHeight="1">
      <c r="A227" s="11" t="s">
        <v>319</v>
      </c>
      <c r="B227" s="145" t="s">
        <v>1010</v>
      </c>
      <c r="C227" s="55"/>
      <c r="D227" s="3" t="s">
        <v>11</v>
      </c>
      <c r="E227" s="3" t="s">
        <v>25</v>
      </c>
      <c r="F227" s="3" t="s">
        <v>26</v>
      </c>
      <c r="G227" s="17">
        <f>'FEBRERO-18'!I224</f>
        <v>3000</v>
      </c>
      <c r="H227" s="51"/>
      <c r="I227" s="17">
        <f t="shared" si="4"/>
        <v>2000</v>
      </c>
      <c r="J227" s="45"/>
      <c r="K227" s="260">
        <v>1000</v>
      </c>
    </row>
    <row r="228" spans="1:11" ht="20.25" customHeight="1">
      <c r="A228" s="11" t="s">
        <v>320</v>
      </c>
      <c r="B228" s="145" t="s">
        <v>324</v>
      </c>
      <c r="C228" s="55"/>
      <c r="D228" s="3" t="s">
        <v>11</v>
      </c>
      <c r="E228" s="3" t="s">
        <v>25</v>
      </c>
      <c r="F228" s="3" t="s">
        <v>26</v>
      </c>
      <c r="G228" s="17">
        <f>'FEBRERO-18'!I225</f>
        <v>18.7</v>
      </c>
      <c r="H228" s="51"/>
      <c r="I228" s="17">
        <f t="shared" si="4"/>
        <v>18.7</v>
      </c>
      <c r="J228" s="45"/>
      <c r="K228" s="46"/>
    </row>
    <row r="229" spans="1:11" ht="29.25" customHeight="1">
      <c r="A229" s="11" t="s">
        <v>321</v>
      </c>
      <c r="B229" s="145" t="s">
        <v>325</v>
      </c>
      <c r="C229" s="55"/>
      <c r="D229" s="3" t="s">
        <v>11</v>
      </c>
      <c r="E229" s="3" t="s">
        <v>25</v>
      </c>
      <c r="F229" s="3" t="s">
        <v>26</v>
      </c>
      <c r="G229" s="17">
        <f>'FEBRERO-18'!I226</f>
        <v>1980</v>
      </c>
      <c r="H229" s="51"/>
      <c r="I229" s="17">
        <f t="shared" si="4"/>
        <v>1980</v>
      </c>
      <c r="J229" s="45"/>
      <c r="K229" s="46"/>
    </row>
    <row r="230" spans="1:11" ht="66" customHeight="1">
      <c r="A230" s="144" t="s">
        <v>326</v>
      </c>
      <c r="B230" s="54" t="s">
        <v>327</v>
      </c>
      <c r="C230" s="55"/>
      <c r="D230" s="3"/>
      <c r="E230" s="3"/>
      <c r="F230" s="3"/>
      <c r="G230" s="17">
        <f>'FEBRERO-18'!I227</f>
        <v>0</v>
      </c>
      <c r="H230" s="51"/>
      <c r="I230" s="17"/>
      <c r="J230" s="45"/>
      <c r="K230" s="46"/>
    </row>
    <row r="231" spans="1:11" ht="23.25" customHeight="1">
      <c r="A231" s="11" t="s">
        <v>328</v>
      </c>
      <c r="B231" s="145" t="s">
        <v>329</v>
      </c>
      <c r="C231" s="55"/>
      <c r="D231" s="3" t="s">
        <v>11</v>
      </c>
      <c r="E231" s="3" t="s">
        <v>25</v>
      </c>
      <c r="F231" s="3" t="s">
        <v>26</v>
      </c>
      <c r="G231" s="17">
        <f>'FEBRERO-18'!I228</f>
        <v>3259.4</v>
      </c>
      <c r="H231" s="51"/>
      <c r="I231" s="17">
        <f t="shared" si="4"/>
        <v>3259.4</v>
      </c>
      <c r="J231" s="45"/>
      <c r="K231" s="46"/>
    </row>
    <row r="232" spans="1:11" ht="26.25" customHeight="1">
      <c r="A232" s="11" t="s">
        <v>330</v>
      </c>
      <c r="B232" s="145" t="s">
        <v>331</v>
      </c>
      <c r="C232" s="55"/>
      <c r="D232" s="3" t="s">
        <v>11</v>
      </c>
      <c r="E232" s="3" t="s">
        <v>25</v>
      </c>
      <c r="F232" s="3" t="s">
        <v>26</v>
      </c>
      <c r="G232" s="17">
        <f>'FEBRERO-18'!I229</f>
        <v>2000</v>
      </c>
      <c r="H232" s="51"/>
      <c r="I232" s="17">
        <f t="shared" si="4"/>
        <v>2000</v>
      </c>
      <c r="J232" s="45"/>
      <c r="K232" s="46"/>
    </row>
    <row r="233" spans="1:11" ht="18.75" customHeight="1">
      <c r="A233" s="11" t="s">
        <v>332</v>
      </c>
      <c r="B233" s="145" t="s">
        <v>333</v>
      </c>
      <c r="C233" s="55"/>
      <c r="D233" s="3" t="s">
        <v>11</v>
      </c>
      <c r="E233" s="3" t="s">
        <v>25</v>
      </c>
      <c r="F233" s="3" t="s">
        <v>26</v>
      </c>
      <c r="G233" s="17">
        <f>'FEBRERO-18'!I230</f>
        <v>20</v>
      </c>
      <c r="H233" s="51"/>
      <c r="I233" s="17">
        <f t="shared" si="4"/>
        <v>20</v>
      </c>
      <c r="J233" s="45"/>
      <c r="K233" s="46"/>
    </row>
    <row r="234" spans="1:11" ht="18" customHeight="1">
      <c r="A234" s="11" t="s">
        <v>334</v>
      </c>
      <c r="B234" s="145" t="s">
        <v>335</v>
      </c>
      <c r="C234" s="55"/>
      <c r="D234" s="3" t="s">
        <v>11</v>
      </c>
      <c r="E234" s="3" t="s">
        <v>25</v>
      </c>
      <c r="F234" s="3" t="s">
        <v>26</v>
      </c>
      <c r="G234" s="17">
        <f>'FEBRERO-18'!I231</f>
        <v>1720.6</v>
      </c>
      <c r="H234" s="51"/>
      <c r="I234" s="17">
        <f t="shared" si="4"/>
        <v>1720.6</v>
      </c>
      <c r="J234" s="45"/>
      <c r="K234" s="46"/>
    </row>
    <row r="235" spans="1:11" ht="24.75" customHeight="1">
      <c r="A235" s="11" t="s">
        <v>336</v>
      </c>
      <c r="B235" s="145" t="s">
        <v>337</v>
      </c>
      <c r="C235" s="55"/>
      <c r="D235" s="3" t="s">
        <v>11</v>
      </c>
      <c r="E235" s="3" t="s">
        <v>25</v>
      </c>
      <c r="F235" s="3" t="s">
        <v>26</v>
      </c>
      <c r="G235" s="17">
        <f>'FEBRERO-18'!I232</f>
        <v>3000</v>
      </c>
      <c r="H235" s="51"/>
      <c r="I235" s="17">
        <f t="shared" si="4"/>
        <v>3000</v>
      </c>
      <c r="J235" s="45"/>
      <c r="K235" s="46"/>
    </row>
    <row r="236" spans="1:11" ht="60.75" customHeight="1">
      <c r="A236" s="144" t="s">
        <v>338</v>
      </c>
      <c r="B236" s="54" t="s">
        <v>339</v>
      </c>
      <c r="C236" s="55"/>
      <c r="D236" s="3"/>
      <c r="E236" s="3"/>
      <c r="F236" s="3"/>
      <c r="G236" s="17">
        <f>'FEBRERO-18'!I233</f>
        <v>0</v>
      </c>
      <c r="H236" s="51"/>
      <c r="I236" s="17"/>
      <c r="J236" s="45"/>
      <c r="K236" s="46"/>
    </row>
    <row r="237" spans="1:11" ht="18.75" customHeight="1">
      <c r="A237" s="11" t="s">
        <v>340</v>
      </c>
      <c r="B237" s="145" t="s">
        <v>344</v>
      </c>
      <c r="C237" s="55"/>
      <c r="D237" s="3" t="s">
        <v>11</v>
      </c>
      <c r="E237" s="3" t="s">
        <v>25</v>
      </c>
      <c r="F237" s="3" t="s">
        <v>26</v>
      </c>
      <c r="G237" s="17">
        <f>'FEBRERO-18'!I234</f>
        <v>2450</v>
      </c>
      <c r="H237" s="51">
        <f>120+200</f>
        <v>320</v>
      </c>
      <c r="I237" s="17">
        <f t="shared" si="4"/>
        <v>2130</v>
      </c>
      <c r="J237" s="45"/>
      <c r="K237" s="46"/>
    </row>
    <row r="238" spans="1:11" ht="22.5" customHeight="1">
      <c r="A238" s="11" t="s">
        <v>341</v>
      </c>
      <c r="B238" s="145" t="s">
        <v>345</v>
      </c>
      <c r="C238" s="55"/>
      <c r="D238" s="3" t="s">
        <v>11</v>
      </c>
      <c r="E238" s="3" t="s">
        <v>25</v>
      </c>
      <c r="F238" s="3" t="s">
        <v>26</v>
      </c>
      <c r="G238" s="17">
        <f>'FEBRERO-18'!I235</f>
        <v>900</v>
      </c>
      <c r="H238" s="51"/>
      <c r="I238" s="17">
        <f t="shared" si="4"/>
        <v>900</v>
      </c>
      <c r="J238" s="45"/>
      <c r="K238" s="46"/>
    </row>
    <row r="239" spans="1:11" ht="20.25" customHeight="1">
      <c r="A239" s="11" t="s">
        <v>342</v>
      </c>
      <c r="B239" s="145" t="s">
        <v>346</v>
      </c>
      <c r="C239" s="55"/>
      <c r="D239" s="3" t="s">
        <v>11</v>
      </c>
      <c r="E239" s="3" t="s">
        <v>25</v>
      </c>
      <c r="F239" s="3" t="s">
        <v>26</v>
      </c>
      <c r="G239" s="17">
        <f>'FEBRERO-18'!I236</f>
        <v>17</v>
      </c>
      <c r="H239" s="51"/>
      <c r="I239" s="17">
        <f t="shared" si="4"/>
        <v>17</v>
      </c>
      <c r="J239" s="45"/>
      <c r="K239" s="46"/>
    </row>
    <row r="240" spans="1:11" ht="24" customHeight="1">
      <c r="A240" s="11" t="s">
        <v>343</v>
      </c>
      <c r="B240" s="145" t="s">
        <v>347</v>
      </c>
      <c r="C240" s="55"/>
      <c r="D240" s="3" t="s">
        <v>11</v>
      </c>
      <c r="E240" s="3" t="s">
        <v>25</v>
      </c>
      <c r="F240" s="3" t="s">
        <v>26</v>
      </c>
      <c r="G240" s="17">
        <f>'FEBRERO-18'!I237</f>
        <v>80</v>
      </c>
      <c r="H240" s="51"/>
      <c r="I240" s="17">
        <f t="shared" si="4"/>
        <v>80</v>
      </c>
      <c r="J240" s="45"/>
      <c r="K240" s="46"/>
    </row>
    <row r="241" spans="1:11" ht="70.5" customHeight="1">
      <c r="A241" s="144" t="s">
        <v>348</v>
      </c>
      <c r="B241" s="54" t="s">
        <v>349</v>
      </c>
      <c r="C241" s="55"/>
      <c r="D241" s="3"/>
      <c r="E241" s="3"/>
      <c r="F241" s="3"/>
      <c r="G241" s="17">
        <f>'FEBRERO-18'!I238</f>
        <v>0</v>
      </c>
      <c r="H241" s="51"/>
      <c r="I241" s="17"/>
      <c r="J241" s="45"/>
      <c r="K241" s="46"/>
    </row>
    <row r="242" spans="1:11" ht="23.25" customHeight="1">
      <c r="A242" s="11" t="s">
        <v>350</v>
      </c>
      <c r="B242" s="145" t="s">
        <v>355</v>
      </c>
      <c r="C242" s="55"/>
      <c r="D242" s="3" t="s">
        <v>11</v>
      </c>
      <c r="E242" s="3" t="s">
        <v>25</v>
      </c>
      <c r="F242" s="3" t="s">
        <v>26</v>
      </c>
      <c r="G242" s="17">
        <f>'FEBRERO-18'!I239</f>
        <v>7000</v>
      </c>
      <c r="H242" s="51"/>
      <c r="I242" s="17">
        <f t="shared" si="4"/>
        <v>7000</v>
      </c>
      <c r="J242" s="45"/>
      <c r="K242" s="46"/>
    </row>
    <row r="243" spans="1:11" ht="22.5" customHeight="1">
      <c r="A243" s="11" t="s">
        <v>351</v>
      </c>
      <c r="B243" s="145" t="s">
        <v>354</v>
      </c>
      <c r="C243" s="55"/>
      <c r="D243" s="3" t="s">
        <v>11</v>
      </c>
      <c r="E243" s="3" t="s">
        <v>25</v>
      </c>
      <c r="F243" s="3" t="s">
        <v>26</v>
      </c>
      <c r="G243" s="17">
        <f>'FEBRERO-18'!I240</f>
        <v>2000</v>
      </c>
      <c r="H243" s="51"/>
      <c r="I243" s="17">
        <f t="shared" si="4"/>
        <v>2000</v>
      </c>
      <c r="J243" s="45"/>
      <c r="K243" s="46"/>
    </row>
    <row r="244" spans="1:11" ht="24.75" customHeight="1">
      <c r="A244" s="11" t="s">
        <v>352</v>
      </c>
      <c r="B244" s="145" t="s">
        <v>356</v>
      </c>
      <c r="C244" s="55"/>
      <c r="D244" s="3" t="s">
        <v>11</v>
      </c>
      <c r="E244" s="3" t="s">
        <v>25</v>
      </c>
      <c r="F244" s="3" t="s">
        <v>26</v>
      </c>
      <c r="G244" s="17">
        <f>'FEBRERO-18'!I241</f>
        <v>18.7</v>
      </c>
      <c r="H244" s="51"/>
      <c r="I244" s="17">
        <f t="shared" si="4"/>
        <v>18.7</v>
      </c>
      <c r="J244" s="45"/>
      <c r="K244" s="46"/>
    </row>
    <row r="245" spans="1:11" ht="24.75" customHeight="1">
      <c r="A245" s="11" t="s">
        <v>353</v>
      </c>
      <c r="B245" s="145" t="s">
        <v>357</v>
      </c>
      <c r="C245" s="55"/>
      <c r="D245" s="3" t="s">
        <v>11</v>
      </c>
      <c r="E245" s="3" t="s">
        <v>25</v>
      </c>
      <c r="F245" s="3" t="s">
        <v>26</v>
      </c>
      <c r="G245" s="17">
        <f>'FEBRERO-18'!I242</f>
        <v>980</v>
      </c>
      <c r="H245" s="51"/>
      <c r="I245" s="17">
        <f t="shared" si="4"/>
        <v>980</v>
      </c>
      <c r="J245" s="45"/>
      <c r="K245" s="46"/>
    </row>
    <row r="246" spans="1:11" ht="59.25" customHeight="1">
      <c r="A246" s="144" t="s">
        <v>358</v>
      </c>
      <c r="B246" s="54" t="s">
        <v>359</v>
      </c>
      <c r="C246" s="55"/>
      <c r="D246" s="3"/>
      <c r="E246" s="3"/>
      <c r="F246" s="3"/>
      <c r="G246" s="17">
        <f>'FEBRERO-18'!I243</f>
        <v>0</v>
      </c>
      <c r="H246" s="51"/>
      <c r="I246" s="17"/>
      <c r="J246" s="45"/>
      <c r="K246" s="46"/>
    </row>
    <row r="247" spans="1:11" ht="18.75" customHeight="1">
      <c r="A247" s="11" t="s">
        <v>361</v>
      </c>
      <c r="B247" s="146" t="s">
        <v>360</v>
      </c>
      <c r="C247" s="55"/>
      <c r="D247" s="3" t="s">
        <v>11</v>
      </c>
      <c r="E247" s="3" t="s">
        <v>25</v>
      </c>
      <c r="F247" s="3" t="s">
        <v>26</v>
      </c>
      <c r="G247" s="17">
        <f>'FEBRERO-18'!I244</f>
        <v>3000</v>
      </c>
      <c r="H247" s="51"/>
      <c r="I247" s="17">
        <f t="shared" si="4"/>
        <v>3000</v>
      </c>
      <c r="J247" s="45"/>
      <c r="K247" s="46"/>
    </row>
    <row r="248" spans="1:11" ht="18.75" customHeight="1">
      <c r="A248" s="11" t="s">
        <v>362</v>
      </c>
      <c r="B248" s="145" t="s">
        <v>365</v>
      </c>
      <c r="C248" s="55"/>
      <c r="D248" s="3" t="s">
        <v>11</v>
      </c>
      <c r="E248" s="3" t="s">
        <v>25</v>
      </c>
      <c r="F248" s="3" t="s">
        <v>26</v>
      </c>
      <c r="G248" s="17">
        <f>'FEBRERO-18'!I245</f>
        <v>500</v>
      </c>
      <c r="H248" s="51"/>
      <c r="I248" s="17">
        <f t="shared" si="4"/>
        <v>500</v>
      </c>
      <c r="J248" s="45"/>
      <c r="K248" s="46"/>
    </row>
    <row r="249" spans="1:11" ht="24.75" customHeight="1">
      <c r="A249" s="11" t="s">
        <v>363</v>
      </c>
      <c r="B249" s="145" t="s">
        <v>366</v>
      </c>
      <c r="C249" s="55"/>
      <c r="D249" s="3" t="s">
        <v>11</v>
      </c>
      <c r="E249" s="3" t="s">
        <v>25</v>
      </c>
      <c r="F249" s="3" t="s">
        <v>26</v>
      </c>
      <c r="G249" s="17">
        <f>'FEBRERO-18'!I246</f>
        <v>200</v>
      </c>
      <c r="H249" s="51"/>
      <c r="I249" s="17">
        <f t="shared" si="4"/>
        <v>200</v>
      </c>
      <c r="J249" s="45"/>
      <c r="K249" s="46"/>
    </row>
    <row r="250" spans="1:11" ht="28.5" customHeight="1">
      <c r="A250" s="11" t="s">
        <v>364</v>
      </c>
      <c r="B250" s="146" t="s">
        <v>367</v>
      </c>
      <c r="C250" s="55"/>
      <c r="D250" s="3" t="s">
        <v>11</v>
      </c>
      <c r="E250" s="3" t="s">
        <v>25</v>
      </c>
      <c r="F250" s="3" t="s">
        <v>26</v>
      </c>
      <c r="G250" s="17">
        <f>'FEBRERO-18'!I247</f>
        <v>7280</v>
      </c>
      <c r="H250" s="51"/>
      <c r="I250" s="17">
        <f t="shared" si="4"/>
        <v>7280</v>
      </c>
      <c r="J250" s="45"/>
      <c r="K250" s="46"/>
    </row>
    <row r="251" spans="1:11" ht="27.75" customHeight="1">
      <c r="A251" s="11" t="s">
        <v>368</v>
      </c>
      <c r="B251" s="145" t="s">
        <v>369</v>
      </c>
      <c r="C251" s="55"/>
      <c r="D251" s="3" t="s">
        <v>11</v>
      </c>
      <c r="E251" s="3" t="s">
        <v>25</v>
      </c>
      <c r="F251" s="3" t="s">
        <v>26</v>
      </c>
      <c r="G251" s="17">
        <f>'FEBRERO-18'!I248</f>
        <v>3000</v>
      </c>
      <c r="H251" s="51"/>
      <c r="I251" s="17">
        <f t="shared" si="4"/>
        <v>3000</v>
      </c>
      <c r="J251" s="45"/>
      <c r="K251" s="46"/>
    </row>
    <row r="252" spans="1:11" ht="23.25" customHeight="1">
      <c r="A252" s="11" t="s">
        <v>370</v>
      </c>
      <c r="B252" s="145" t="s">
        <v>371</v>
      </c>
      <c r="C252" s="55"/>
      <c r="D252" s="3" t="s">
        <v>11</v>
      </c>
      <c r="E252" s="3" t="s">
        <v>25</v>
      </c>
      <c r="F252" s="3" t="s">
        <v>26</v>
      </c>
      <c r="G252" s="17">
        <f>'FEBRERO-18'!I249</f>
        <v>1000</v>
      </c>
      <c r="H252" s="51"/>
      <c r="I252" s="17">
        <f t="shared" si="4"/>
        <v>1000</v>
      </c>
      <c r="J252" s="45"/>
      <c r="K252" s="46"/>
    </row>
    <row r="253" spans="1:11" ht="24" customHeight="1">
      <c r="A253" s="11" t="s">
        <v>372</v>
      </c>
      <c r="B253" s="145" t="s">
        <v>373</v>
      </c>
      <c r="C253" s="55"/>
      <c r="D253" s="3" t="s">
        <v>11</v>
      </c>
      <c r="E253" s="3" t="s">
        <v>25</v>
      </c>
      <c r="F253" s="3" t="s">
        <v>26</v>
      </c>
      <c r="G253" s="17">
        <f>'FEBRERO-18'!I250</f>
        <v>20</v>
      </c>
      <c r="H253" s="51"/>
      <c r="I253" s="17">
        <f t="shared" si="4"/>
        <v>20</v>
      </c>
      <c r="J253" s="45"/>
      <c r="K253" s="46"/>
    </row>
    <row r="254" spans="1:11" ht="59.25" customHeight="1">
      <c r="A254" s="144" t="s">
        <v>374</v>
      </c>
      <c r="B254" s="54" t="s">
        <v>375</v>
      </c>
      <c r="C254" s="55"/>
      <c r="D254" s="3"/>
      <c r="E254" s="3"/>
      <c r="F254" s="3"/>
      <c r="G254" s="17">
        <f>'FEBRERO-18'!I251</f>
        <v>0</v>
      </c>
      <c r="H254" s="51"/>
      <c r="I254" s="17"/>
      <c r="J254" s="45"/>
      <c r="K254" s="46"/>
    </row>
    <row r="255" spans="1:11" ht="24" customHeight="1">
      <c r="A255" s="11" t="s">
        <v>376</v>
      </c>
      <c r="B255" s="146" t="s">
        <v>377</v>
      </c>
      <c r="C255" s="55"/>
      <c r="D255" s="3" t="s">
        <v>11</v>
      </c>
      <c r="E255" s="3" t="s">
        <v>25</v>
      </c>
      <c r="F255" s="3" t="s">
        <v>26</v>
      </c>
      <c r="G255" s="17">
        <f>'FEBRERO-18'!I252</f>
        <v>5000</v>
      </c>
      <c r="H255" s="51"/>
      <c r="I255" s="17">
        <f t="shared" si="4"/>
        <v>5000</v>
      </c>
      <c r="J255" s="45"/>
      <c r="K255" s="46"/>
    </row>
    <row r="256" spans="1:11" ht="24" customHeight="1">
      <c r="A256" s="11" t="s">
        <v>383</v>
      </c>
      <c r="B256" s="145" t="s">
        <v>378</v>
      </c>
      <c r="C256" s="55"/>
      <c r="D256" s="3" t="s">
        <v>11</v>
      </c>
      <c r="E256" s="3" t="s">
        <v>25</v>
      </c>
      <c r="F256" s="3" t="s">
        <v>26</v>
      </c>
      <c r="G256" s="17">
        <f>'FEBRERO-18'!I253</f>
        <v>200</v>
      </c>
      <c r="H256" s="51"/>
      <c r="I256" s="17">
        <f t="shared" si="4"/>
        <v>200</v>
      </c>
      <c r="J256" s="45"/>
      <c r="K256" s="46"/>
    </row>
    <row r="257" spans="1:11" ht="24" customHeight="1">
      <c r="A257" s="11" t="s">
        <v>384</v>
      </c>
      <c r="B257" s="146" t="s">
        <v>379</v>
      </c>
      <c r="C257" s="55"/>
      <c r="D257" s="3" t="s">
        <v>11</v>
      </c>
      <c r="E257" s="3" t="s">
        <v>25</v>
      </c>
      <c r="F257" s="3" t="s">
        <v>26</v>
      </c>
      <c r="G257" s="17">
        <f>'FEBRERO-18'!I254</f>
        <v>6000</v>
      </c>
      <c r="H257" s="51"/>
      <c r="I257" s="17">
        <f t="shared" si="4"/>
        <v>6000</v>
      </c>
      <c r="J257" s="45"/>
      <c r="K257" s="46"/>
    </row>
    <row r="258" spans="1:11" ht="24" customHeight="1">
      <c r="A258" s="11" t="s">
        <v>385</v>
      </c>
      <c r="B258" s="145" t="s">
        <v>380</v>
      </c>
      <c r="C258" s="55"/>
      <c r="D258" s="3" t="s">
        <v>11</v>
      </c>
      <c r="E258" s="3" t="s">
        <v>25</v>
      </c>
      <c r="F258" s="3" t="s">
        <v>26</v>
      </c>
      <c r="G258" s="17">
        <f>'FEBRERO-18'!I255</f>
        <v>2000</v>
      </c>
      <c r="H258" s="51"/>
      <c r="I258" s="17">
        <f t="shared" si="4"/>
        <v>2000</v>
      </c>
      <c r="J258" s="45"/>
      <c r="K258" s="46"/>
    </row>
    <row r="259" spans="1:11" ht="30" customHeight="1">
      <c r="A259" s="11" t="s">
        <v>386</v>
      </c>
      <c r="B259" s="145" t="s">
        <v>381</v>
      </c>
      <c r="C259" s="55"/>
      <c r="D259" s="3" t="s">
        <v>11</v>
      </c>
      <c r="E259" s="3" t="s">
        <v>25</v>
      </c>
      <c r="F259" s="3" t="s">
        <v>26</v>
      </c>
      <c r="G259" s="17">
        <f>'FEBRERO-18'!I256</f>
        <v>1780</v>
      </c>
      <c r="H259" s="51"/>
      <c r="I259" s="17">
        <f t="shared" si="4"/>
        <v>1780</v>
      </c>
      <c r="J259" s="45"/>
      <c r="K259" s="46"/>
    </row>
    <row r="260" spans="1:11" ht="27" customHeight="1">
      <c r="A260" s="11" t="s">
        <v>387</v>
      </c>
      <c r="B260" s="145" t="s">
        <v>382</v>
      </c>
      <c r="C260" s="6"/>
      <c r="D260" s="3" t="s">
        <v>11</v>
      </c>
      <c r="E260" s="3" t="s">
        <v>25</v>
      </c>
      <c r="F260" s="3" t="s">
        <v>26</v>
      </c>
      <c r="G260" s="17">
        <f>'FEBRERO-18'!I257</f>
        <v>20</v>
      </c>
      <c r="H260" s="51"/>
      <c r="I260" s="17">
        <f t="shared" si="3"/>
        <v>20</v>
      </c>
      <c r="J260" s="45"/>
      <c r="K260" s="46"/>
    </row>
    <row r="261" spans="1:11" ht="143.25" customHeight="1">
      <c r="A261" s="144" t="s">
        <v>388</v>
      </c>
      <c r="B261" s="54" t="s">
        <v>391</v>
      </c>
      <c r="C261" s="55"/>
      <c r="D261" s="14"/>
      <c r="E261" s="14"/>
      <c r="F261" s="14"/>
      <c r="G261" s="17">
        <f>'FEBRERO-18'!I258</f>
        <v>0</v>
      </c>
      <c r="H261" s="51"/>
      <c r="I261" s="17"/>
      <c r="J261" s="62"/>
      <c r="K261" s="63"/>
    </row>
    <row r="262" spans="1:11" ht="29.25">
      <c r="A262" s="11" t="s">
        <v>389</v>
      </c>
      <c r="B262" s="54" t="s">
        <v>390</v>
      </c>
      <c r="C262" s="55"/>
      <c r="D262" s="14" t="s">
        <v>11</v>
      </c>
      <c r="E262" s="14" t="s">
        <v>25</v>
      </c>
      <c r="F262" s="14" t="s">
        <v>26</v>
      </c>
      <c r="G262" s="17">
        <f>'FEBRERO-18'!I259</f>
        <v>10000</v>
      </c>
      <c r="H262" s="51"/>
      <c r="I262" s="17">
        <f t="shared" si="3"/>
        <v>10000</v>
      </c>
      <c r="J262" s="62"/>
      <c r="K262" s="63"/>
    </row>
    <row r="263" spans="1:11" ht="68.25" customHeight="1">
      <c r="A263" s="144" t="s">
        <v>392</v>
      </c>
      <c r="B263" s="54" t="s">
        <v>393</v>
      </c>
      <c r="C263" s="55"/>
      <c r="D263" s="14"/>
      <c r="E263" s="14"/>
      <c r="F263" s="14"/>
      <c r="G263" s="17">
        <f>'FEBRERO-18'!I260</f>
        <v>0</v>
      </c>
      <c r="H263" s="51"/>
      <c r="I263" s="17"/>
      <c r="J263" s="62"/>
      <c r="K263" s="63"/>
    </row>
    <row r="264" spans="1:11">
      <c r="A264" s="11">
        <v>51999</v>
      </c>
      <c r="B264" s="54" t="s">
        <v>394</v>
      </c>
      <c r="C264" s="55"/>
      <c r="D264" s="14" t="s">
        <v>11</v>
      </c>
      <c r="E264" s="14" t="s">
        <v>25</v>
      </c>
      <c r="F264" s="14" t="s">
        <v>26</v>
      </c>
      <c r="G264" s="17">
        <f>'FEBRERO-18'!I261</f>
        <v>1100</v>
      </c>
      <c r="H264" s="51"/>
      <c r="I264" s="17">
        <f t="shared" si="3"/>
        <v>1100</v>
      </c>
      <c r="J264" s="108"/>
      <c r="K264" s="63"/>
    </row>
    <row r="265" spans="1:11" ht="29.25">
      <c r="A265" s="11">
        <v>54112</v>
      </c>
      <c r="B265" s="54" t="s">
        <v>395</v>
      </c>
      <c r="C265" s="55"/>
      <c r="D265" s="14" t="s">
        <v>11</v>
      </c>
      <c r="E265" s="14" t="s">
        <v>25</v>
      </c>
      <c r="F265" s="14" t="s">
        <v>26</v>
      </c>
      <c r="G265" s="17">
        <f>'FEBRERO-18'!I262</f>
        <v>2000</v>
      </c>
      <c r="H265" s="51"/>
      <c r="I265" s="17">
        <f t="shared" si="3"/>
        <v>2000</v>
      </c>
      <c r="J265" s="62"/>
      <c r="K265" s="63"/>
    </row>
    <row r="266" spans="1:11" ht="29.25">
      <c r="A266" s="11">
        <v>54199</v>
      </c>
      <c r="B266" s="54" t="s">
        <v>396</v>
      </c>
      <c r="C266" s="55"/>
      <c r="D266" s="14" t="s">
        <v>11</v>
      </c>
      <c r="E266" s="14" t="s">
        <v>25</v>
      </c>
      <c r="F266" s="14" t="s">
        <v>26</v>
      </c>
      <c r="G266" s="17">
        <f>'FEBRERO-18'!I263</f>
        <v>1000</v>
      </c>
      <c r="H266" s="51"/>
      <c r="I266" s="17">
        <f t="shared" ref="I266:I320" si="5">G266-H266+J266-K266</f>
        <v>1000</v>
      </c>
      <c r="J266" s="62"/>
      <c r="K266" s="63"/>
    </row>
    <row r="267" spans="1:11">
      <c r="A267" s="11">
        <v>54305</v>
      </c>
      <c r="B267" s="54" t="s">
        <v>397</v>
      </c>
      <c r="C267" s="55"/>
      <c r="D267" s="14" t="s">
        <v>11</v>
      </c>
      <c r="E267" s="14" t="s">
        <v>25</v>
      </c>
      <c r="F267" s="14" t="s">
        <v>26</v>
      </c>
      <c r="G267" s="17">
        <f>'FEBRERO-18'!I264</f>
        <v>6980</v>
      </c>
      <c r="H267" s="51">
        <f>1888.8</f>
        <v>1888.8</v>
      </c>
      <c r="I267" s="17">
        <f t="shared" si="5"/>
        <v>5091.2</v>
      </c>
      <c r="J267" s="62"/>
      <c r="K267" s="108"/>
    </row>
    <row r="268" spans="1:11" ht="30">
      <c r="A268" s="11">
        <v>54313</v>
      </c>
      <c r="B268" s="54" t="s">
        <v>398</v>
      </c>
      <c r="C268" s="55"/>
      <c r="D268" s="14" t="s">
        <v>11</v>
      </c>
      <c r="E268" s="14" t="s">
        <v>25</v>
      </c>
      <c r="F268" s="14" t="s">
        <v>26</v>
      </c>
      <c r="G268" s="17">
        <f>'FEBRERO-18'!I265</f>
        <v>5000</v>
      </c>
      <c r="H268" s="51"/>
      <c r="I268" s="17">
        <f t="shared" si="5"/>
        <v>5000</v>
      </c>
      <c r="J268" s="62"/>
      <c r="K268" s="63"/>
    </row>
    <row r="269" spans="1:11" ht="30">
      <c r="A269" s="11">
        <v>54399</v>
      </c>
      <c r="B269" s="54" t="s">
        <v>399</v>
      </c>
      <c r="C269" s="55"/>
      <c r="D269" s="14" t="s">
        <v>11</v>
      </c>
      <c r="E269" s="14" t="s">
        <v>25</v>
      </c>
      <c r="F269" s="14" t="s">
        <v>26</v>
      </c>
      <c r="G269" s="17">
        <f>'FEBRERO-18'!I266</f>
        <v>2000</v>
      </c>
      <c r="H269" s="51"/>
      <c r="I269" s="17">
        <f t="shared" si="5"/>
        <v>2000</v>
      </c>
      <c r="J269" s="62"/>
      <c r="K269" s="63"/>
    </row>
    <row r="270" spans="1:11" ht="30">
      <c r="A270" s="11">
        <v>55603</v>
      </c>
      <c r="B270" s="54" t="s">
        <v>400</v>
      </c>
      <c r="C270" s="55"/>
      <c r="D270" s="14" t="s">
        <v>11</v>
      </c>
      <c r="E270" s="14" t="s">
        <v>25</v>
      </c>
      <c r="F270" s="14" t="s">
        <v>26</v>
      </c>
      <c r="G270" s="17">
        <f>'FEBRERO-18'!I267</f>
        <v>17</v>
      </c>
      <c r="H270" s="51"/>
      <c r="I270" s="17">
        <f t="shared" si="5"/>
        <v>17</v>
      </c>
      <c r="J270" s="62"/>
      <c r="K270" s="63"/>
    </row>
    <row r="271" spans="1:11" ht="75.75" customHeight="1">
      <c r="A271" s="144" t="s">
        <v>401</v>
      </c>
      <c r="B271" s="54" t="s">
        <v>402</v>
      </c>
      <c r="C271" s="55"/>
      <c r="D271" s="14"/>
      <c r="E271" s="14"/>
      <c r="F271" s="14"/>
      <c r="G271" s="17">
        <f>'FEBRERO-18'!I268</f>
        <v>0</v>
      </c>
      <c r="H271" s="51"/>
      <c r="I271" s="17"/>
      <c r="J271" s="62"/>
      <c r="K271" s="63"/>
    </row>
    <row r="272" spans="1:11" ht="20.25" customHeight="1">
      <c r="A272" s="147">
        <v>54119</v>
      </c>
      <c r="B272" s="145" t="s">
        <v>403</v>
      </c>
      <c r="C272" s="55"/>
      <c r="D272" s="14" t="s">
        <v>11</v>
      </c>
      <c r="E272" s="14" t="s">
        <v>25</v>
      </c>
      <c r="F272" s="14" t="s">
        <v>26</v>
      </c>
      <c r="G272" s="17">
        <f>'FEBRERO-18'!I269</f>
        <v>17990</v>
      </c>
      <c r="H272" s="51">
        <f>3840</f>
        <v>3840</v>
      </c>
      <c r="I272" s="17">
        <f t="shared" si="5"/>
        <v>14150</v>
      </c>
      <c r="J272" s="62"/>
      <c r="K272" s="63"/>
    </row>
    <row r="273" spans="1:11" ht="24">
      <c r="A273" s="147">
        <v>54112</v>
      </c>
      <c r="B273" s="145" t="s">
        <v>404</v>
      </c>
      <c r="C273" s="55"/>
      <c r="D273" s="14" t="s">
        <v>11</v>
      </c>
      <c r="E273" s="14" t="s">
        <v>25</v>
      </c>
      <c r="F273" s="14" t="s">
        <v>26</v>
      </c>
      <c r="G273" s="17">
        <f>'FEBRERO-18'!I270</f>
        <v>1000</v>
      </c>
      <c r="H273" s="51"/>
      <c r="I273" s="17">
        <f t="shared" si="5"/>
        <v>1000</v>
      </c>
      <c r="J273" s="62"/>
      <c r="K273" s="63"/>
    </row>
    <row r="274" spans="1:11" ht="22.5" customHeight="1">
      <c r="A274" s="147">
        <v>54199</v>
      </c>
      <c r="B274" s="145" t="s">
        <v>405</v>
      </c>
      <c r="C274" s="55"/>
      <c r="D274" s="14" t="s">
        <v>11</v>
      </c>
      <c r="E274" s="14" t="s">
        <v>25</v>
      </c>
      <c r="F274" s="14" t="s">
        <v>26</v>
      </c>
      <c r="G274" s="17">
        <f>'FEBRERO-18'!I271</f>
        <v>845</v>
      </c>
      <c r="H274" s="51"/>
      <c r="I274" s="17">
        <f t="shared" si="5"/>
        <v>845</v>
      </c>
      <c r="J274" s="62"/>
      <c r="K274" s="63"/>
    </row>
    <row r="275" spans="1:11" ht="24">
      <c r="A275" s="147">
        <v>54399</v>
      </c>
      <c r="B275" s="145" t="s">
        <v>406</v>
      </c>
      <c r="C275" s="55"/>
      <c r="D275" s="14" t="s">
        <v>11</v>
      </c>
      <c r="E275" s="14" t="s">
        <v>25</v>
      </c>
      <c r="F275" s="14" t="s">
        <v>26</v>
      </c>
      <c r="G275" s="17">
        <f>'FEBRERO-18'!I272</f>
        <v>5000</v>
      </c>
      <c r="H275" s="51">
        <v>165</v>
      </c>
      <c r="I275" s="17">
        <f t="shared" si="5"/>
        <v>4835</v>
      </c>
      <c r="J275" s="62"/>
      <c r="K275" s="63"/>
    </row>
    <row r="276" spans="1:11" ht="23.25" customHeight="1">
      <c r="A276" s="147">
        <v>55603</v>
      </c>
      <c r="B276" s="145" t="s">
        <v>407</v>
      </c>
      <c r="C276" s="55"/>
      <c r="D276" s="14" t="s">
        <v>11</v>
      </c>
      <c r="E276" s="14" t="s">
        <v>25</v>
      </c>
      <c r="F276" s="14" t="s">
        <v>26</v>
      </c>
      <c r="G276" s="17">
        <f>'FEBRERO-18'!I273</f>
        <v>8.6999999999999993</v>
      </c>
      <c r="H276" s="51"/>
      <c r="I276" s="17">
        <f t="shared" si="5"/>
        <v>8.6999999999999993</v>
      </c>
      <c r="J276" s="62"/>
      <c r="K276" s="63"/>
    </row>
    <row r="277" spans="1:11" s="213" customFormat="1" ht="58.5" customHeight="1">
      <c r="A277" s="144" t="s">
        <v>408</v>
      </c>
      <c r="B277" s="54" t="s">
        <v>409</v>
      </c>
      <c r="C277" s="55"/>
      <c r="D277" s="14"/>
      <c r="E277" s="14"/>
      <c r="F277" s="14"/>
      <c r="G277" s="17">
        <f>'FEBRERO-18'!I274</f>
        <v>0</v>
      </c>
      <c r="H277" s="51"/>
      <c r="I277" s="17"/>
      <c r="J277" s="62"/>
      <c r="K277" s="63"/>
    </row>
    <row r="278" spans="1:11" ht="29.25">
      <c r="A278" s="11">
        <v>51999</v>
      </c>
      <c r="B278" s="54" t="s">
        <v>410</v>
      </c>
      <c r="C278" s="55"/>
      <c r="D278" s="14" t="s">
        <v>11</v>
      </c>
      <c r="E278" s="14" t="s">
        <v>25</v>
      </c>
      <c r="F278" s="14" t="s">
        <v>26</v>
      </c>
      <c r="G278" s="17">
        <f>'FEBRERO-18'!I275</f>
        <v>5000</v>
      </c>
      <c r="H278" s="51"/>
      <c r="I278" s="17">
        <f t="shared" si="5"/>
        <v>4000</v>
      </c>
      <c r="J278" s="62"/>
      <c r="K278" s="284">
        <v>1000</v>
      </c>
    </row>
    <row r="279" spans="1:11" ht="29.25">
      <c r="A279" s="11">
        <v>54111</v>
      </c>
      <c r="B279" s="54" t="s">
        <v>411</v>
      </c>
      <c r="C279" s="55"/>
      <c r="D279" s="14" t="s">
        <v>11</v>
      </c>
      <c r="E279" s="14" t="s">
        <v>25</v>
      </c>
      <c r="F279" s="14" t="s">
        <v>26</v>
      </c>
      <c r="G279" s="17">
        <f>'FEBRERO-18'!I276</f>
        <v>2933.08</v>
      </c>
      <c r="H279" s="51"/>
      <c r="I279" s="17">
        <f t="shared" si="5"/>
        <v>2933.08</v>
      </c>
      <c r="J279" s="62"/>
      <c r="K279" s="284"/>
    </row>
    <row r="280" spans="1:11" ht="29.25">
      <c r="A280" s="11">
        <v>54112</v>
      </c>
      <c r="B280" s="54" t="s">
        <v>412</v>
      </c>
      <c r="C280" s="55"/>
      <c r="D280" s="14" t="s">
        <v>11</v>
      </c>
      <c r="E280" s="14" t="s">
        <v>25</v>
      </c>
      <c r="F280" s="14" t="s">
        <v>26</v>
      </c>
      <c r="G280" s="17">
        <f>'FEBRERO-18'!I277</f>
        <v>1969.55</v>
      </c>
      <c r="H280" s="51"/>
      <c r="I280" s="17">
        <f t="shared" si="5"/>
        <v>1969.55</v>
      </c>
      <c r="J280" s="62"/>
      <c r="K280" s="63"/>
    </row>
    <row r="281" spans="1:11" ht="30">
      <c r="A281" s="11">
        <v>54118</v>
      </c>
      <c r="B281" s="54" t="s">
        <v>413</v>
      </c>
      <c r="C281" s="55"/>
      <c r="D281" s="14" t="s">
        <v>11</v>
      </c>
      <c r="E281" s="14" t="s">
        <v>25</v>
      </c>
      <c r="F281" s="14" t="s">
        <v>26</v>
      </c>
      <c r="G281" s="17">
        <f>'FEBRERO-18'!I278</f>
        <v>3990</v>
      </c>
      <c r="H281" s="51">
        <f>21.94</f>
        <v>21.94</v>
      </c>
      <c r="I281" s="17">
        <f t="shared" si="5"/>
        <v>3968.06</v>
      </c>
      <c r="J281" s="62"/>
      <c r="K281" s="63"/>
    </row>
    <row r="282" spans="1:11" ht="29.25">
      <c r="A282" s="11">
        <v>54199</v>
      </c>
      <c r="B282" s="54" t="s">
        <v>414</v>
      </c>
      <c r="C282" s="55"/>
      <c r="D282" s="14" t="s">
        <v>11</v>
      </c>
      <c r="E282" s="14" t="s">
        <v>25</v>
      </c>
      <c r="F282" s="14" t="s">
        <v>26</v>
      </c>
      <c r="G282" s="17">
        <f>'FEBRERO-18'!I279</f>
        <v>1000</v>
      </c>
      <c r="H282" s="51">
        <f>13</f>
        <v>13</v>
      </c>
      <c r="I282" s="17">
        <f t="shared" si="5"/>
        <v>987</v>
      </c>
      <c r="J282" s="62"/>
      <c r="K282" s="63"/>
    </row>
    <row r="283" spans="1:11" ht="30">
      <c r="A283" s="11">
        <v>54301</v>
      </c>
      <c r="B283" s="54" t="s">
        <v>415</v>
      </c>
      <c r="C283" s="55"/>
      <c r="D283" s="14" t="s">
        <v>11</v>
      </c>
      <c r="E283" s="14" t="s">
        <v>25</v>
      </c>
      <c r="F283" s="14" t="s">
        <v>26</v>
      </c>
      <c r="G283" s="17">
        <f>'FEBRERO-18'!I280</f>
        <v>3000</v>
      </c>
      <c r="H283" s="51"/>
      <c r="I283" s="17">
        <f t="shared" si="5"/>
        <v>3000</v>
      </c>
      <c r="J283" s="62"/>
      <c r="K283" s="63"/>
    </row>
    <row r="284" spans="1:11" ht="30">
      <c r="A284" s="11">
        <v>54399</v>
      </c>
      <c r="B284" s="54" t="s">
        <v>416</v>
      </c>
      <c r="C284" s="55"/>
      <c r="D284" s="14" t="s">
        <v>11</v>
      </c>
      <c r="E284" s="14" t="s">
        <v>25</v>
      </c>
      <c r="F284" s="14" t="s">
        <v>26</v>
      </c>
      <c r="G284" s="17">
        <f>'FEBRERO-18'!I281</f>
        <v>2000</v>
      </c>
      <c r="H284" s="51">
        <f>186.5</f>
        <v>186.5</v>
      </c>
      <c r="I284" s="17">
        <f t="shared" si="5"/>
        <v>1813.5</v>
      </c>
      <c r="J284" s="62"/>
      <c r="K284" s="63"/>
    </row>
    <row r="285" spans="1:11" ht="29.25">
      <c r="A285" s="11">
        <v>55603</v>
      </c>
      <c r="B285" s="54" t="s">
        <v>417</v>
      </c>
      <c r="C285" s="55"/>
      <c r="D285" s="14" t="s">
        <v>11</v>
      </c>
      <c r="E285" s="14" t="s">
        <v>25</v>
      </c>
      <c r="F285" s="14" t="s">
        <v>26</v>
      </c>
      <c r="G285" s="17">
        <f>'FEBRERO-18'!I282</f>
        <v>8.6999999999999993</v>
      </c>
      <c r="H285" s="51"/>
      <c r="I285" s="17">
        <f t="shared" si="5"/>
        <v>8.6999999999999993</v>
      </c>
      <c r="J285" s="62"/>
      <c r="K285" s="63"/>
    </row>
    <row r="286" spans="1:11" ht="64.5" customHeight="1">
      <c r="A286" s="144" t="s">
        <v>418</v>
      </c>
      <c r="B286" s="54" t="s">
        <v>419</v>
      </c>
      <c r="C286" s="55"/>
      <c r="D286" s="14"/>
      <c r="E286" s="14"/>
      <c r="F286" s="14"/>
      <c r="G286" s="17">
        <f>'FEBRERO-18'!I283</f>
        <v>0</v>
      </c>
      <c r="H286" s="51"/>
      <c r="I286" s="17"/>
      <c r="J286" s="62"/>
      <c r="K286" s="63"/>
    </row>
    <row r="287" spans="1:11">
      <c r="A287" s="11">
        <v>51202</v>
      </c>
      <c r="B287" s="54" t="s">
        <v>420</v>
      </c>
      <c r="C287" s="55"/>
      <c r="D287" s="14" t="s">
        <v>11</v>
      </c>
      <c r="E287" s="14" t="s">
        <v>25</v>
      </c>
      <c r="F287" s="14" t="s">
        <v>26</v>
      </c>
      <c r="G287" s="17">
        <f>'FEBRERO-18'!I284</f>
        <v>10000</v>
      </c>
      <c r="H287" s="51"/>
      <c r="I287" s="17">
        <f t="shared" si="5"/>
        <v>10000</v>
      </c>
      <c r="J287" s="62"/>
      <c r="K287" s="63"/>
    </row>
    <row r="288" spans="1:11">
      <c r="A288" s="11">
        <v>54110</v>
      </c>
      <c r="B288" s="54" t="s">
        <v>421</v>
      </c>
      <c r="C288" s="55"/>
      <c r="D288" s="14" t="s">
        <v>11</v>
      </c>
      <c r="E288" s="14" t="s">
        <v>25</v>
      </c>
      <c r="F288" s="14" t="s">
        <v>26</v>
      </c>
      <c r="G288" s="17">
        <f>'FEBRERO-18'!I285</f>
        <v>5000</v>
      </c>
      <c r="H288" s="51"/>
      <c r="I288" s="17">
        <f t="shared" si="5"/>
        <v>5000</v>
      </c>
      <c r="J288" s="62"/>
      <c r="K288" s="63"/>
    </row>
    <row r="289" spans="1:11" ht="29.25">
      <c r="A289" s="11">
        <v>54111</v>
      </c>
      <c r="B289" s="54" t="s">
        <v>422</v>
      </c>
      <c r="C289" s="55"/>
      <c r="D289" s="14" t="s">
        <v>11</v>
      </c>
      <c r="E289" s="14" t="s">
        <v>25</v>
      </c>
      <c r="F289" s="14" t="s">
        <v>26</v>
      </c>
      <c r="G289" s="17">
        <f>'FEBRERO-18'!I286</f>
        <v>10500</v>
      </c>
      <c r="H289" s="51">
        <f>386+18390</f>
        <v>18776</v>
      </c>
      <c r="I289" s="17">
        <f t="shared" si="5"/>
        <v>6724</v>
      </c>
      <c r="J289" s="108">
        <v>15000</v>
      </c>
      <c r="K289" s="63"/>
    </row>
    <row r="290" spans="1:11" ht="29.25">
      <c r="A290" s="11">
        <v>54112</v>
      </c>
      <c r="B290" s="54" t="s">
        <v>423</v>
      </c>
      <c r="C290" s="55"/>
      <c r="D290" s="14" t="s">
        <v>11</v>
      </c>
      <c r="E290" s="14" t="s">
        <v>25</v>
      </c>
      <c r="F290" s="14" t="s">
        <v>26</v>
      </c>
      <c r="G290" s="17">
        <f>'FEBRERO-18'!I287</f>
        <v>10000</v>
      </c>
      <c r="H290" s="51">
        <f>18.75</f>
        <v>18.75</v>
      </c>
      <c r="I290" s="17">
        <f t="shared" si="5"/>
        <v>9981.25</v>
      </c>
      <c r="J290" s="62"/>
      <c r="K290" s="63"/>
    </row>
    <row r="291" spans="1:11" ht="29.25">
      <c r="A291" s="11">
        <v>54313</v>
      </c>
      <c r="B291" s="54" t="s">
        <v>424</v>
      </c>
      <c r="C291" s="55"/>
      <c r="D291" s="14" t="s">
        <v>11</v>
      </c>
      <c r="E291" s="14" t="s">
        <v>25</v>
      </c>
      <c r="F291" s="14" t="s">
        <v>26</v>
      </c>
      <c r="G291" s="17">
        <f>'FEBRERO-18'!I288</f>
        <v>490</v>
      </c>
      <c r="H291" s="51"/>
      <c r="I291" s="17">
        <f t="shared" si="5"/>
        <v>490</v>
      </c>
      <c r="J291" s="62"/>
      <c r="K291" s="63"/>
    </row>
    <row r="292" spans="1:11" ht="29.25">
      <c r="A292" s="11">
        <v>54316</v>
      </c>
      <c r="B292" s="54" t="s">
        <v>425</v>
      </c>
      <c r="C292" s="55"/>
      <c r="D292" s="14" t="s">
        <v>11</v>
      </c>
      <c r="E292" s="14" t="s">
        <v>25</v>
      </c>
      <c r="F292" s="14" t="s">
        <v>26</v>
      </c>
      <c r="G292" s="17">
        <f>'FEBRERO-18'!I289</f>
        <v>15000</v>
      </c>
      <c r="H292" s="51">
        <v>29580</v>
      </c>
      <c r="I292" s="17">
        <f t="shared" si="5"/>
        <v>420</v>
      </c>
      <c r="J292" s="108">
        <v>15000</v>
      </c>
      <c r="K292" s="63"/>
    </row>
    <row r="293" spans="1:11" ht="30">
      <c r="A293" s="11">
        <v>54399</v>
      </c>
      <c r="B293" s="54" t="s">
        <v>426</v>
      </c>
      <c r="C293" s="55"/>
      <c r="D293" s="14" t="s">
        <v>11</v>
      </c>
      <c r="E293" s="14" t="s">
        <v>25</v>
      </c>
      <c r="F293" s="14" t="s">
        <v>26</v>
      </c>
      <c r="G293" s="17">
        <f>'FEBRERO-18'!I290</f>
        <v>5000</v>
      </c>
      <c r="H293" s="51"/>
      <c r="I293" s="17">
        <f t="shared" si="5"/>
        <v>5000</v>
      </c>
      <c r="J293" s="62"/>
      <c r="K293" s="63"/>
    </row>
    <row r="294" spans="1:11">
      <c r="A294" s="11">
        <v>55603</v>
      </c>
      <c r="B294" s="54" t="s">
        <v>427</v>
      </c>
      <c r="C294" s="55"/>
      <c r="D294" s="14" t="s">
        <v>11</v>
      </c>
      <c r="E294" s="14" t="s">
        <v>25</v>
      </c>
      <c r="F294" s="14" t="s">
        <v>26</v>
      </c>
      <c r="G294" s="17">
        <f>'FEBRERO-18'!I291</f>
        <v>8.6999999999999993</v>
      </c>
      <c r="H294" s="51"/>
      <c r="I294" s="17">
        <f t="shared" si="5"/>
        <v>8.6999999999999993</v>
      </c>
      <c r="J294" s="62"/>
      <c r="K294" s="63"/>
    </row>
    <row r="295" spans="1:11" ht="20.25" customHeight="1">
      <c r="A295" s="11">
        <v>55799</v>
      </c>
      <c r="B295" s="54" t="s">
        <v>428</v>
      </c>
      <c r="C295" s="55"/>
      <c r="D295" s="14" t="s">
        <v>11</v>
      </c>
      <c r="E295" s="14" t="s">
        <v>25</v>
      </c>
      <c r="F295" s="14" t="s">
        <v>26</v>
      </c>
      <c r="G295" s="17">
        <f>'FEBRERO-18'!I292</f>
        <v>10000</v>
      </c>
      <c r="H295" s="51"/>
      <c r="I295" s="17">
        <f t="shared" si="5"/>
        <v>10000</v>
      </c>
      <c r="J295" s="62"/>
      <c r="K295" s="63"/>
    </row>
    <row r="296" spans="1:11" ht="77.25" customHeight="1">
      <c r="A296" s="144" t="s">
        <v>429</v>
      </c>
      <c r="B296" s="54" t="s">
        <v>430</v>
      </c>
      <c r="C296" s="55"/>
      <c r="D296" s="14"/>
      <c r="E296" s="14"/>
      <c r="F296" s="14"/>
      <c r="G296" s="17">
        <f>'FEBRERO-18'!I293</f>
        <v>0</v>
      </c>
      <c r="H296" s="51"/>
      <c r="I296" s="17"/>
      <c r="J296" s="62"/>
      <c r="K296" s="63"/>
    </row>
    <row r="297" spans="1:11" ht="33.75" customHeight="1">
      <c r="A297" s="148">
        <v>54199</v>
      </c>
      <c r="B297" s="54" t="s">
        <v>431</v>
      </c>
      <c r="C297" s="55"/>
      <c r="D297" s="14" t="s">
        <v>11</v>
      </c>
      <c r="E297" s="14" t="s">
        <v>25</v>
      </c>
      <c r="F297" s="14" t="s">
        <v>26</v>
      </c>
      <c r="G297" s="17">
        <f>'FEBRERO-18'!I294</f>
        <v>10000</v>
      </c>
      <c r="H297" s="51">
        <v>500</v>
      </c>
      <c r="I297" s="17">
        <f t="shared" si="5"/>
        <v>9500</v>
      </c>
      <c r="J297" s="62"/>
      <c r="K297" s="63"/>
    </row>
    <row r="298" spans="1:11" ht="30" customHeight="1">
      <c r="A298" s="148">
        <v>54314</v>
      </c>
      <c r="B298" s="54" t="s">
        <v>432</v>
      </c>
      <c r="C298" s="55"/>
      <c r="D298" s="14" t="s">
        <v>11</v>
      </c>
      <c r="E298" s="14" t="s">
        <v>25</v>
      </c>
      <c r="F298" s="14" t="s">
        <v>26</v>
      </c>
      <c r="G298" s="17">
        <f>'FEBRERO-18'!I295</f>
        <v>18600</v>
      </c>
      <c r="H298" s="51">
        <f>2000+200+200+200+400+1444.44+500+105+400+892+900</f>
        <v>7241.4400000000005</v>
      </c>
      <c r="I298" s="17">
        <f t="shared" si="5"/>
        <v>11358.56</v>
      </c>
      <c r="J298" s="62"/>
      <c r="K298" s="63"/>
    </row>
    <row r="299" spans="1:11" ht="30.75" customHeight="1">
      <c r="A299" s="148">
        <v>54399</v>
      </c>
      <c r="B299" s="54" t="s">
        <v>433</v>
      </c>
      <c r="C299" s="55"/>
      <c r="D299" s="14" t="s">
        <v>11</v>
      </c>
      <c r="E299" s="14" t="s">
        <v>25</v>
      </c>
      <c r="F299" s="14" t="s">
        <v>26</v>
      </c>
      <c r="G299" s="17">
        <f>'FEBRERO-18'!I296</f>
        <v>5000</v>
      </c>
      <c r="H299" s="51"/>
      <c r="I299" s="17">
        <f t="shared" si="5"/>
        <v>5000</v>
      </c>
      <c r="J299" s="62"/>
      <c r="K299" s="63"/>
    </row>
    <row r="300" spans="1:11" ht="33" customHeight="1">
      <c r="A300" s="148">
        <v>55603</v>
      </c>
      <c r="B300" s="54" t="s">
        <v>434</v>
      </c>
      <c r="C300" s="55"/>
      <c r="D300" s="14" t="s">
        <v>11</v>
      </c>
      <c r="E300" s="14" t="s">
        <v>25</v>
      </c>
      <c r="F300" s="14" t="s">
        <v>26</v>
      </c>
      <c r="G300" s="17">
        <f>'FEBRERO-18'!I297</f>
        <v>6.9999999999999991</v>
      </c>
      <c r="H300" s="51"/>
      <c r="I300" s="17">
        <f t="shared" si="5"/>
        <v>6.9999999999999991</v>
      </c>
      <c r="J300" s="62"/>
      <c r="K300" s="63"/>
    </row>
    <row r="301" spans="1:11" ht="31.5" customHeight="1">
      <c r="A301" s="148">
        <v>56303</v>
      </c>
      <c r="B301" s="54" t="s">
        <v>986</v>
      </c>
      <c r="C301" s="55"/>
      <c r="D301" s="14" t="s">
        <v>11</v>
      </c>
      <c r="E301" s="14" t="s">
        <v>25</v>
      </c>
      <c r="F301" s="14" t="s">
        <v>26</v>
      </c>
      <c r="G301" s="17">
        <f>'FEBRERO-18'!I298</f>
        <v>9990</v>
      </c>
      <c r="H301" s="51"/>
      <c r="I301" s="17">
        <f t="shared" si="5"/>
        <v>9990</v>
      </c>
      <c r="J301" s="62"/>
      <c r="K301" s="63"/>
    </row>
    <row r="302" spans="1:11" ht="77.25" customHeight="1">
      <c r="A302" s="144" t="s">
        <v>437</v>
      </c>
      <c r="B302" s="54" t="s">
        <v>436</v>
      </c>
      <c r="C302" s="55"/>
      <c r="D302" s="14" t="s">
        <v>11</v>
      </c>
      <c r="E302" s="14" t="s">
        <v>25</v>
      </c>
      <c r="F302" s="14" t="s">
        <v>26</v>
      </c>
      <c r="G302" s="17">
        <f>'FEBRERO-18'!I299</f>
        <v>0</v>
      </c>
      <c r="H302" s="51"/>
      <c r="I302" s="17"/>
      <c r="J302" s="62"/>
      <c r="K302" s="63"/>
    </row>
    <row r="303" spans="1:11" ht="28.5" customHeight="1">
      <c r="A303" s="148">
        <v>54199</v>
      </c>
      <c r="B303" s="54" t="s">
        <v>438</v>
      </c>
      <c r="C303" s="55"/>
      <c r="D303" s="14" t="s">
        <v>11</v>
      </c>
      <c r="E303" s="14" t="s">
        <v>25</v>
      </c>
      <c r="F303" s="14" t="s">
        <v>26</v>
      </c>
      <c r="G303" s="17">
        <f>'FEBRERO-18'!I300</f>
        <v>1790</v>
      </c>
      <c r="H303" s="51">
        <f>1065</f>
        <v>1065</v>
      </c>
      <c r="I303" s="17">
        <f t="shared" si="5"/>
        <v>725</v>
      </c>
      <c r="J303" s="62"/>
      <c r="K303" s="63"/>
    </row>
    <row r="304" spans="1:11" ht="15" customHeight="1">
      <c r="A304" s="148">
        <v>54314</v>
      </c>
      <c r="B304" s="54" t="s">
        <v>439</v>
      </c>
      <c r="C304" s="55"/>
      <c r="D304" s="14" t="s">
        <v>11</v>
      </c>
      <c r="E304" s="14" t="s">
        <v>25</v>
      </c>
      <c r="F304" s="14" t="s">
        <v>26</v>
      </c>
      <c r="G304" s="17">
        <f>'FEBRERO-18'!I301</f>
        <v>3000</v>
      </c>
      <c r="H304" s="51">
        <f>550+200+300+600+112.5+1000</f>
        <v>2762.5</v>
      </c>
      <c r="I304" s="17">
        <f t="shared" si="5"/>
        <v>237.5</v>
      </c>
      <c r="J304" s="62"/>
      <c r="K304" s="63"/>
    </row>
    <row r="305" spans="1:11" ht="27.75" customHeight="1">
      <c r="A305" s="148">
        <v>54399</v>
      </c>
      <c r="B305" s="54" t="s">
        <v>440</v>
      </c>
      <c r="C305" s="55"/>
      <c r="D305" s="14" t="s">
        <v>11</v>
      </c>
      <c r="E305" s="14" t="s">
        <v>25</v>
      </c>
      <c r="F305" s="14" t="s">
        <v>26</v>
      </c>
      <c r="G305" s="17">
        <f>'FEBRERO-18'!I302</f>
        <v>100</v>
      </c>
      <c r="H305" s="51"/>
      <c r="I305" s="17">
        <f t="shared" si="5"/>
        <v>100</v>
      </c>
      <c r="J305" s="62"/>
      <c r="K305" s="63"/>
    </row>
    <row r="306" spans="1:11" ht="29.25" customHeight="1">
      <c r="A306" s="148">
        <v>55603</v>
      </c>
      <c r="B306" s="54" t="s">
        <v>441</v>
      </c>
      <c r="C306" s="55"/>
      <c r="D306" s="14" t="s">
        <v>11</v>
      </c>
      <c r="E306" s="14" t="s">
        <v>25</v>
      </c>
      <c r="F306" s="14" t="s">
        <v>26</v>
      </c>
      <c r="G306" s="17">
        <f>'FEBRERO-18'!I303</f>
        <v>10</v>
      </c>
      <c r="H306" s="51">
        <f>1.3+1.7</f>
        <v>3</v>
      </c>
      <c r="I306" s="17">
        <f t="shared" si="5"/>
        <v>7</v>
      </c>
      <c r="J306" s="62"/>
      <c r="K306" s="63"/>
    </row>
    <row r="307" spans="1:11" ht="18" customHeight="1">
      <c r="A307" s="148">
        <v>55799</v>
      </c>
      <c r="B307" s="54" t="s">
        <v>442</v>
      </c>
      <c r="C307" s="55"/>
      <c r="D307" s="14" t="s">
        <v>11</v>
      </c>
      <c r="E307" s="14" t="s">
        <v>25</v>
      </c>
      <c r="F307" s="14" t="s">
        <v>26</v>
      </c>
      <c r="G307" s="17">
        <f>'FEBRERO-18'!I304</f>
        <v>100</v>
      </c>
      <c r="H307" s="51"/>
      <c r="I307" s="17">
        <f t="shared" si="5"/>
        <v>100</v>
      </c>
      <c r="J307" s="62"/>
      <c r="K307" s="63"/>
    </row>
    <row r="308" spans="1:11" ht="68.25" customHeight="1">
      <c r="A308" s="144" t="s">
        <v>443</v>
      </c>
      <c r="B308" s="54" t="s">
        <v>444</v>
      </c>
      <c r="C308" s="55"/>
      <c r="D308" s="14"/>
      <c r="E308" s="14"/>
      <c r="F308" s="14"/>
      <c r="G308" s="17">
        <f>'FEBRERO-18'!I305</f>
        <v>0</v>
      </c>
      <c r="H308" s="51"/>
      <c r="I308" s="17"/>
      <c r="J308" s="62"/>
      <c r="K308" s="63"/>
    </row>
    <row r="309" spans="1:11" ht="27.75" customHeight="1">
      <c r="A309" s="148">
        <v>54199</v>
      </c>
      <c r="B309" s="54" t="s">
        <v>445</v>
      </c>
      <c r="C309" s="55"/>
      <c r="D309" s="14" t="s">
        <v>11</v>
      </c>
      <c r="E309" s="14" t="s">
        <v>25</v>
      </c>
      <c r="F309" s="14" t="s">
        <v>26</v>
      </c>
      <c r="G309" s="17">
        <f>'FEBRERO-18'!I306</f>
        <v>6000</v>
      </c>
      <c r="H309" s="51"/>
      <c r="I309" s="17">
        <f t="shared" si="5"/>
        <v>6000</v>
      </c>
      <c r="J309" s="62"/>
      <c r="K309" s="63"/>
    </row>
    <row r="310" spans="1:11" ht="24.75" customHeight="1">
      <c r="A310" s="148">
        <v>54314</v>
      </c>
      <c r="B310" s="54" t="s">
        <v>446</v>
      </c>
      <c r="C310" s="55"/>
      <c r="D310" s="14" t="s">
        <v>11</v>
      </c>
      <c r="E310" s="14" t="s">
        <v>25</v>
      </c>
      <c r="F310" s="14" t="s">
        <v>26</v>
      </c>
      <c r="G310" s="17">
        <f>'FEBRERO-18'!I307</f>
        <v>30000</v>
      </c>
      <c r="H310" s="51"/>
      <c r="I310" s="17">
        <f t="shared" si="5"/>
        <v>30000</v>
      </c>
      <c r="J310" s="62"/>
      <c r="K310" s="63"/>
    </row>
    <row r="311" spans="1:11" ht="33.75" customHeight="1">
      <c r="A311" s="148">
        <v>54313</v>
      </c>
      <c r="B311" s="54" t="s">
        <v>447</v>
      </c>
      <c r="C311" s="55"/>
      <c r="D311" s="14" t="s">
        <v>11</v>
      </c>
      <c r="E311" s="14" t="s">
        <v>25</v>
      </c>
      <c r="F311" s="14" t="s">
        <v>26</v>
      </c>
      <c r="G311" s="17">
        <f>'FEBRERO-18'!I308</f>
        <v>2990</v>
      </c>
      <c r="H311" s="51"/>
      <c r="I311" s="17">
        <f t="shared" si="5"/>
        <v>2990</v>
      </c>
      <c r="J311" s="62"/>
      <c r="K311" s="63"/>
    </row>
    <row r="312" spans="1:11" ht="28.5" customHeight="1">
      <c r="A312" s="148">
        <v>55399</v>
      </c>
      <c r="B312" s="149" t="s">
        <v>450</v>
      </c>
      <c r="C312" s="55"/>
      <c r="D312" s="14" t="s">
        <v>11</v>
      </c>
      <c r="E312" s="14" t="s">
        <v>25</v>
      </c>
      <c r="F312" s="14" t="s">
        <v>26</v>
      </c>
      <c r="G312" s="17">
        <f>'FEBRERO-18'!I309</f>
        <v>1000</v>
      </c>
      <c r="H312" s="51"/>
      <c r="I312" s="17">
        <f t="shared" si="5"/>
        <v>1000</v>
      </c>
      <c r="J312" s="62"/>
      <c r="K312" s="63"/>
    </row>
    <row r="313" spans="1:11" ht="30.75" customHeight="1">
      <c r="A313" s="148">
        <v>55603</v>
      </c>
      <c r="B313" s="54" t="s">
        <v>448</v>
      </c>
      <c r="C313" s="55"/>
      <c r="D313" s="14" t="s">
        <v>11</v>
      </c>
      <c r="E313" s="14" t="s">
        <v>25</v>
      </c>
      <c r="F313" s="14" t="s">
        <v>26</v>
      </c>
      <c r="G313" s="17">
        <f>'FEBRERO-18'!I310</f>
        <v>10</v>
      </c>
      <c r="H313" s="51"/>
      <c r="I313" s="17">
        <f t="shared" si="5"/>
        <v>10</v>
      </c>
      <c r="J313" s="62"/>
      <c r="K313" s="63"/>
    </row>
    <row r="314" spans="1:11" ht="31.5" customHeight="1">
      <c r="A314" s="148">
        <v>56603</v>
      </c>
      <c r="B314" s="54" t="s">
        <v>449</v>
      </c>
      <c r="C314" s="55"/>
      <c r="D314" s="14" t="s">
        <v>11</v>
      </c>
      <c r="E314" s="14" t="s">
        <v>25</v>
      </c>
      <c r="F314" s="14" t="s">
        <v>26</v>
      </c>
      <c r="G314" s="17">
        <f>'FEBRERO-18'!I311</f>
        <v>5000</v>
      </c>
      <c r="H314" s="51"/>
      <c r="I314" s="17">
        <f t="shared" si="5"/>
        <v>5000</v>
      </c>
      <c r="J314" s="62"/>
      <c r="K314" s="63"/>
    </row>
    <row r="315" spans="1:11" ht="74.25" customHeight="1">
      <c r="A315" s="144" t="s">
        <v>451</v>
      </c>
      <c r="B315" s="54" t="s">
        <v>452</v>
      </c>
      <c r="C315" s="55"/>
      <c r="D315" s="14"/>
      <c r="E315" s="14"/>
      <c r="F315" s="14"/>
      <c r="G315" s="17">
        <f>'FEBRERO-18'!I312</f>
        <v>0</v>
      </c>
      <c r="H315" s="51"/>
      <c r="I315" s="17"/>
      <c r="J315" s="52"/>
      <c r="K315" s="52"/>
    </row>
    <row r="316" spans="1:11" ht="30.75" customHeight="1">
      <c r="A316" s="4">
        <v>54199</v>
      </c>
      <c r="B316" s="5" t="s">
        <v>453</v>
      </c>
      <c r="C316" s="10"/>
      <c r="D316" s="14" t="s">
        <v>11</v>
      </c>
      <c r="E316" s="14" t="s">
        <v>25</v>
      </c>
      <c r="F316" s="14" t="s">
        <v>26</v>
      </c>
      <c r="G316" s="17">
        <f>'FEBRERO-18'!I313</f>
        <v>3000</v>
      </c>
      <c r="H316" s="51"/>
      <c r="I316" s="17">
        <f t="shared" si="5"/>
        <v>3000</v>
      </c>
      <c r="J316" s="44"/>
      <c r="K316" s="44"/>
    </row>
    <row r="317" spans="1:11" ht="40.5" customHeight="1">
      <c r="A317" s="11">
        <v>54314</v>
      </c>
      <c r="B317" s="150" t="s">
        <v>454</v>
      </c>
      <c r="C317" s="55"/>
      <c r="D317" s="14" t="s">
        <v>11</v>
      </c>
      <c r="E317" s="14" t="s">
        <v>25</v>
      </c>
      <c r="F317" s="14" t="s">
        <v>26</v>
      </c>
      <c r="G317" s="17">
        <f>'FEBRERO-18'!I314</f>
        <v>6000</v>
      </c>
      <c r="H317" s="51"/>
      <c r="I317" s="17">
        <f t="shared" si="5"/>
        <v>6000</v>
      </c>
      <c r="J317" s="62"/>
      <c r="K317" s="63"/>
    </row>
    <row r="318" spans="1:11" ht="43.5" customHeight="1">
      <c r="A318" s="11">
        <v>54399</v>
      </c>
      <c r="B318" s="150" t="s">
        <v>455</v>
      </c>
      <c r="C318" s="13"/>
      <c r="D318" s="14" t="s">
        <v>11</v>
      </c>
      <c r="E318" s="14" t="s">
        <v>25</v>
      </c>
      <c r="F318" s="14" t="s">
        <v>26</v>
      </c>
      <c r="G318" s="17">
        <f>'FEBRERO-18'!I315</f>
        <v>0</v>
      </c>
      <c r="H318" s="51"/>
      <c r="I318" s="17">
        <f t="shared" si="5"/>
        <v>0</v>
      </c>
      <c r="J318" s="52"/>
      <c r="K318" s="52"/>
    </row>
    <row r="319" spans="1:11" ht="29.25">
      <c r="A319" s="4">
        <v>55603</v>
      </c>
      <c r="B319" s="150" t="s">
        <v>456</v>
      </c>
      <c r="C319" s="9"/>
      <c r="D319" s="14" t="s">
        <v>11</v>
      </c>
      <c r="E319" s="14" t="s">
        <v>25</v>
      </c>
      <c r="F319" s="14" t="s">
        <v>26</v>
      </c>
      <c r="G319" s="17">
        <f>'FEBRERO-18'!I316</f>
        <v>10</v>
      </c>
      <c r="H319" s="51"/>
      <c r="I319" s="17">
        <f t="shared" si="5"/>
        <v>10</v>
      </c>
      <c r="J319" s="44"/>
      <c r="K319" s="44"/>
    </row>
    <row r="320" spans="1:11" ht="37.5" customHeight="1">
      <c r="A320" s="4">
        <v>55799</v>
      </c>
      <c r="B320" s="150" t="s">
        <v>457</v>
      </c>
      <c r="C320" s="9"/>
      <c r="D320" s="14" t="s">
        <v>11</v>
      </c>
      <c r="E320" s="14" t="s">
        <v>25</v>
      </c>
      <c r="F320" s="14" t="s">
        <v>26</v>
      </c>
      <c r="G320" s="17">
        <f>'FEBRERO-18'!I317</f>
        <v>1269.74</v>
      </c>
      <c r="H320" s="51"/>
      <c r="I320" s="17">
        <f t="shared" si="5"/>
        <v>1269.74</v>
      </c>
      <c r="J320" s="44"/>
      <c r="K320" s="44"/>
    </row>
    <row r="321" spans="1:11" ht="68.25" customHeight="1">
      <c r="A321" s="144" t="s">
        <v>459</v>
      </c>
      <c r="B321" s="54" t="s">
        <v>458</v>
      </c>
      <c r="C321" s="9"/>
      <c r="D321" s="3"/>
      <c r="E321" s="3"/>
      <c r="F321" s="3"/>
      <c r="G321" s="17">
        <f>'FEBRERO-18'!I318</f>
        <v>0</v>
      </c>
      <c r="H321" s="51"/>
      <c r="I321" s="17"/>
      <c r="J321" s="44"/>
      <c r="K321" s="44"/>
    </row>
    <row r="322" spans="1:11" ht="25.5" customHeight="1">
      <c r="A322" s="4">
        <v>54314</v>
      </c>
      <c r="B322" s="70" t="s">
        <v>460</v>
      </c>
      <c r="C322" s="5"/>
      <c r="D322" s="14" t="s">
        <v>11</v>
      </c>
      <c r="E322" s="14" t="s">
        <v>25</v>
      </c>
      <c r="F322" s="14" t="s">
        <v>26</v>
      </c>
      <c r="G322" s="17">
        <f>'FEBRERO-18'!I319</f>
        <v>1949.81</v>
      </c>
      <c r="H322" s="51"/>
      <c r="I322" s="17">
        <f>G322-H322+J322-K322</f>
        <v>1949.81</v>
      </c>
      <c r="J322" s="44"/>
      <c r="K322" s="44"/>
    </row>
    <row r="323" spans="1:11" ht="63.75" customHeight="1">
      <c r="A323" s="144" t="s">
        <v>461</v>
      </c>
      <c r="B323" s="54" t="s">
        <v>470</v>
      </c>
      <c r="C323" s="55"/>
      <c r="D323" s="14"/>
      <c r="E323" s="14"/>
      <c r="F323" s="14"/>
      <c r="G323" s="17">
        <f>'FEBRERO-18'!I320</f>
        <v>0</v>
      </c>
      <c r="H323" s="51"/>
      <c r="I323" s="17"/>
      <c r="J323" s="62"/>
      <c r="K323" s="63"/>
    </row>
    <row r="324" spans="1:11" ht="33" customHeight="1">
      <c r="A324" s="11">
        <v>54199</v>
      </c>
      <c r="B324" s="70" t="s">
        <v>462</v>
      </c>
      <c r="C324" s="55"/>
      <c r="D324" s="14" t="s">
        <v>11</v>
      </c>
      <c r="E324" s="14" t="s">
        <v>25</v>
      </c>
      <c r="F324" s="14" t="s">
        <v>26</v>
      </c>
      <c r="G324" s="17">
        <f>'FEBRERO-18'!I321</f>
        <v>2000</v>
      </c>
      <c r="H324" s="51"/>
      <c r="I324" s="17">
        <f>G324-H324+J324-K324</f>
        <v>2000</v>
      </c>
      <c r="J324" s="62"/>
      <c r="K324" s="63"/>
    </row>
    <row r="325" spans="1:11" ht="36.75" customHeight="1">
      <c r="A325" s="11">
        <v>54314</v>
      </c>
      <c r="B325" s="151" t="s">
        <v>463</v>
      </c>
      <c r="C325" s="55"/>
      <c r="D325" s="14" t="s">
        <v>11</v>
      </c>
      <c r="E325" s="14" t="s">
        <v>25</v>
      </c>
      <c r="F325" s="14" t="s">
        <v>26</v>
      </c>
      <c r="G325" s="17">
        <f>'FEBRERO-18'!I322</f>
        <v>22000</v>
      </c>
      <c r="H325" s="51"/>
      <c r="I325" s="17">
        <f t="shared" ref="I325:I391" si="6">G325-H325+J325-K325</f>
        <v>22000</v>
      </c>
      <c r="J325" s="62"/>
      <c r="K325" s="63"/>
    </row>
    <row r="326" spans="1:11" ht="39" customHeight="1">
      <c r="A326" s="11">
        <v>54313</v>
      </c>
      <c r="B326" s="151" t="s">
        <v>464</v>
      </c>
      <c r="C326" s="55"/>
      <c r="D326" s="14" t="s">
        <v>11</v>
      </c>
      <c r="E326" s="14" t="s">
        <v>25</v>
      </c>
      <c r="F326" s="14" t="s">
        <v>26</v>
      </c>
      <c r="G326" s="17">
        <f>'FEBRERO-18'!I323</f>
        <v>5000</v>
      </c>
      <c r="H326" s="51"/>
      <c r="I326" s="17">
        <f t="shared" si="6"/>
        <v>5000</v>
      </c>
      <c r="J326" s="62"/>
      <c r="K326" s="63"/>
    </row>
    <row r="327" spans="1:11" ht="33.75" customHeight="1">
      <c r="A327" s="11">
        <v>54399</v>
      </c>
      <c r="B327" s="151" t="s">
        <v>465</v>
      </c>
      <c r="C327" s="13"/>
      <c r="D327" s="14" t="s">
        <v>11</v>
      </c>
      <c r="E327" s="14" t="s">
        <v>25</v>
      </c>
      <c r="F327" s="14" t="s">
        <v>26</v>
      </c>
      <c r="G327" s="17">
        <f>'FEBRERO-18'!I324</f>
        <v>990</v>
      </c>
      <c r="H327" s="51"/>
      <c r="I327" s="17">
        <f t="shared" si="6"/>
        <v>990</v>
      </c>
      <c r="J327" s="52"/>
      <c r="K327" s="52"/>
    </row>
    <row r="328" spans="1:11" ht="35.25" customHeight="1">
      <c r="A328" s="11">
        <v>55603</v>
      </c>
      <c r="B328" s="151" t="s">
        <v>466</v>
      </c>
      <c r="C328" s="13"/>
      <c r="D328" s="14" t="s">
        <v>11</v>
      </c>
      <c r="E328" s="14" t="s">
        <v>25</v>
      </c>
      <c r="F328" s="14" t="s">
        <v>26</v>
      </c>
      <c r="G328" s="17">
        <f>'FEBRERO-18'!I325</f>
        <v>10</v>
      </c>
      <c r="H328" s="51"/>
      <c r="I328" s="17">
        <f t="shared" si="6"/>
        <v>10</v>
      </c>
      <c r="J328" s="52"/>
      <c r="K328" s="52"/>
    </row>
    <row r="329" spans="1:11" ht="34.5" customHeight="1">
      <c r="A329" s="11">
        <v>56603</v>
      </c>
      <c r="B329" s="151" t="s">
        <v>467</v>
      </c>
      <c r="C329" s="61"/>
      <c r="D329" s="14" t="s">
        <v>11</v>
      </c>
      <c r="E329" s="14" t="s">
        <v>25</v>
      </c>
      <c r="F329" s="14" t="s">
        <v>26</v>
      </c>
      <c r="G329" s="17">
        <f>'FEBRERO-18'!I326</f>
        <v>5000</v>
      </c>
      <c r="H329" s="51"/>
      <c r="I329" s="17">
        <f t="shared" si="6"/>
        <v>5000</v>
      </c>
      <c r="J329" s="11"/>
      <c r="K329" s="54"/>
    </row>
    <row r="330" spans="1:11" ht="81" customHeight="1">
      <c r="A330" s="144" t="s">
        <v>468</v>
      </c>
      <c r="B330" s="54" t="s">
        <v>987</v>
      </c>
      <c r="C330" s="61"/>
      <c r="D330" s="14"/>
      <c r="E330" s="14"/>
      <c r="F330" s="14"/>
      <c r="G330" s="17">
        <f>'FEBRERO-18'!I327</f>
        <v>0</v>
      </c>
      <c r="H330" s="51"/>
      <c r="I330" s="17"/>
      <c r="J330" s="52"/>
      <c r="K330" s="52"/>
    </row>
    <row r="331" spans="1:11" ht="33" customHeight="1">
      <c r="A331" s="11">
        <v>51202</v>
      </c>
      <c r="B331" s="70" t="s">
        <v>471</v>
      </c>
      <c r="C331" s="61"/>
      <c r="D331" s="14" t="s">
        <v>11</v>
      </c>
      <c r="E331" s="14" t="s">
        <v>25</v>
      </c>
      <c r="F331" s="14" t="s">
        <v>26</v>
      </c>
      <c r="G331" s="17">
        <f>'FEBRERO-18'!I328</f>
        <v>2612.23</v>
      </c>
      <c r="H331" s="51">
        <f>233.33+186.67+124.44+124.44+233.33+186.67+26.67+88.89+124.44+233.33+186.67+124.44+124.44</f>
        <v>1997.7600000000004</v>
      </c>
      <c r="I331" s="17">
        <f t="shared" si="6"/>
        <v>614.46999999999957</v>
      </c>
      <c r="J331" s="52"/>
      <c r="K331" s="52"/>
    </row>
    <row r="332" spans="1:11" ht="34.5" customHeight="1">
      <c r="A332" s="11">
        <v>54111</v>
      </c>
      <c r="B332" s="70" t="s">
        <v>472</v>
      </c>
      <c r="C332" s="12"/>
      <c r="D332" s="14" t="s">
        <v>11</v>
      </c>
      <c r="E332" s="14" t="s">
        <v>25</v>
      </c>
      <c r="F332" s="14" t="s">
        <v>26</v>
      </c>
      <c r="G332" s="17">
        <f>'FEBRERO-18'!I329</f>
        <v>3000</v>
      </c>
      <c r="H332" s="51">
        <f>874.5+971.5+195.52+74.58</f>
        <v>2116.1</v>
      </c>
      <c r="I332" s="17">
        <f t="shared" si="6"/>
        <v>883.90000000000009</v>
      </c>
      <c r="J332" s="44"/>
      <c r="K332" s="44"/>
    </row>
    <row r="333" spans="1:11" ht="41.25" customHeight="1">
      <c r="A333" s="11">
        <v>54112</v>
      </c>
      <c r="B333" s="70" t="s">
        <v>473</v>
      </c>
      <c r="C333" s="12"/>
      <c r="D333" s="14" t="s">
        <v>11</v>
      </c>
      <c r="E333" s="14" t="s">
        <v>25</v>
      </c>
      <c r="F333" s="14" t="s">
        <v>26</v>
      </c>
      <c r="G333" s="17">
        <f>'FEBRERO-18'!I330</f>
        <v>800</v>
      </c>
      <c r="H333" s="51">
        <f>0.85</f>
        <v>0.85</v>
      </c>
      <c r="I333" s="17">
        <f t="shared" si="6"/>
        <v>799.15</v>
      </c>
      <c r="J333" s="44"/>
      <c r="K333" s="44"/>
    </row>
    <row r="334" spans="1:11" ht="29.25">
      <c r="A334" s="11">
        <v>54118</v>
      </c>
      <c r="B334" s="151" t="s">
        <v>474</v>
      </c>
      <c r="C334" s="12"/>
      <c r="D334" s="14" t="s">
        <v>11</v>
      </c>
      <c r="E334" s="14" t="s">
        <v>25</v>
      </c>
      <c r="F334" s="14" t="s">
        <v>26</v>
      </c>
      <c r="G334" s="17">
        <f>'FEBRERO-18'!I331</f>
        <v>1760</v>
      </c>
      <c r="H334" s="51">
        <f>198.25+26.5+57.6</f>
        <v>282.35000000000002</v>
      </c>
      <c r="I334" s="17">
        <f t="shared" si="6"/>
        <v>1477.65</v>
      </c>
      <c r="J334" s="44"/>
      <c r="K334" s="44"/>
    </row>
    <row r="335" spans="1:11" ht="29.25">
      <c r="A335" s="11">
        <v>54313</v>
      </c>
      <c r="B335" s="151" t="s">
        <v>475</v>
      </c>
      <c r="C335" s="12"/>
      <c r="D335" s="14" t="s">
        <v>11</v>
      </c>
      <c r="E335" s="14" t="s">
        <v>25</v>
      </c>
      <c r="F335" s="14" t="s">
        <v>26</v>
      </c>
      <c r="G335" s="17">
        <f>'FEBRERO-18'!I332</f>
        <v>250</v>
      </c>
      <c r="H335" s="51"/>
      <c r="I335" s="17">
        <f t="shared" si="6"/>
        <v>250</v>
      </c>
      <c r="J335" s="44"/>
      <c r="K335" s="44"/>
    </row>
    <row r="336" spans="1:11" ht="29.25">
      <c r="A336" s="152">
        <v>55603</v>
      </c>
      <c r="B336" s="151" t="s">
        <v>476</v>
      </c>
      <c r="C336" s="154"/>
      <c r="D336" s="14" t="s">
        <v>11</v>
      </c>
      <c r="E336" s="14" t="s">
        <v>25</v>
      </c>
      <c r="F336" s="14" t="s">
        <v>26</v>
      </c>
      <c r="G336" s="17">
        <f>'FEBRERO-18'!I333</f>
        <v>7</v>
      </c>
      <c r="H336" s="157"/>
      <c r="I336" s="17">
        <f t="shared" si="6"/>
        <v>7</v>
      </c>
      <c r="J336" s="159"/>
      <c r="K336" s="159"/>
    </row>
    <row r="337" spans="1:11" ht="85.5">
      <c r="A337" s="144" t="s">
        <v>477</v>
      </c>
      <c r="B337" s="54" t="s">
        <v>478</v>
      </c>
      <c r="C337" s="154"/>
      <c r="D337" s="155"/>
      <c r="E337" s="155"/>
      <c r="F337" s="155"/>
      <c r="G337" s="17">
        <f>'FEBRERO-18'!I334</f>
        <v>0</v>
      </c>
      <c r="H337" s="157"/>
      <c r="I337" s="158"/>
      <c r="J337" s="159"/>
      <c r="K337" s="159"/>
    </row>
    <row r="338" spans="1:11" ht="29.25">
      <c r="A338" s="152">
        <v>51202</v>
      </c>
      <c r="B338" s="164" t="s">
        <v>479</v>
      </c>
      <c r="C338" s="154"/>
      <c r="D338" s="14" t="s">
        <v>11</v>
      </c>
      <c r="E338" s="14" t="s">
        <v>25</v>
      </c>
      <c r="F338" s="14" t="s">
        <v>26</v>
      </c>
      <c r="G338" s="17">
        <f>'FEBRERO-18'!I335</f>
        <v>4000</v>
      </c>
      <c r="H338" s="157"/>
      <c r="I338" s="17">
        <f t="shared" si="6"/>
        <v>4000</v>
      </c>
      <c r="J338" s="159"/>
      <c r="K338" s="159"/>
    </row>
    <row r="339" spans="1:11" ht="44.25">
      <c r="A339" s="152">
        <v>54111</v>
      </c>
      <c r="B339" s="164" t="s">
        <v>480</v>
      </c>
      <c r="C339" s="154"/>
      <c r="D339" s="14" t="s">
        <v>11</v>
      </c>
      <c r="E339" s="14" t="s">
        <v>25</v>
      </c>
      <c r="F339" s="14" t="s">
        <v>26</v>
      </c>
      <c r="G339" s="17">
        <f>'FEBRERO-18'!I336</f>
        <v>4000</v>
      </c>
      <c r="H339" s="157"/>
      <c r="I339" s="17">
        <f t="shared" si="6"/>
        <v>4000</v>
      </c>
      <c r="J339" s="159"/>
      <c r="K339" s="159"/>
    </row>
    <row r="340" spans="1:11" ht="30">
      <c r="A340" s="152">
        <v>54112</v>
      </c>
      <c r="B340" s="164" t="s">
        <v>481</v>
      </c>
      <c r="C340" s="154"/>
      <c r="D340" s="14" t="s">
        <v>11</v>
      </c>
      <c r="E340" s="14" t="s">
        <v>25</v>
      </c>
      <c r="F340" s="14" t="s">
        <v>26</v>
      </c>
      <c r="G340" s="17">
        <f>'FEBRERO-18'!I337</f>
        <v>2000</v>
      </c>
      <c r="H340" s="157"/>
      <c r="I340" s="17">
        <f t="shared" si="6"/>
        <v>2000</v>
      </c>
      <c r="J340" s="159"/>
      <c r="K340" s="159"/>
    </row>
    <row r="341" spans="1:11" ht="29.25">
      <c r="A341" s="152">
        <v>54118</v>
      </c>
      <c r="B341" s="164" t="s">
        <v>482</v>
      </c>
      <c r="C341" s="154"/>
      <c r="D341" s="14" t="s">
        <v>11</v>
      </c>
      <c r="E341" s="14" t="s">
        <v>25</v>
      </c>
      <c r="F341" s="14" t="s">
        <v>26</v>
      </c>
      <c r="G341" s="17">
        <f>'FEBRERO-18'!I338</f>
        <v>700</v>
      </c>
      <c r="H341" s="157"/>
      <c r="I341" s="17">
        <f t="shared" si="6"/>
        <v>700</v>
      </c>
      <c r="J341" s="159"/>
      <c r="K341" s="159"/>
    </row>
    <row r="342" spans="1:11" ht="30">
      <c r="A342" s="152">
        <v>54313</v>
      </c>
      <c r="B342" s="164" t="s">
        <v>483</v>
      </c>
      <c r="C342" s="154"/>
      <c r="D342" s="14" t="s">
        <v>11</v>
      </c>
      <c r="E342" s="14" t="s">
        <v>25</v>
      </c>
      <c r="F342" s="14" t="s">
        <v>26</v>
      </c>
      <c r="G342" s="17">
        <f>'FEBRERO-18'!I339</f>
        <v>300</v>
      </c>
      <c r="H342" s="157"/>
      <c r="I342" s="17">
        <f t="shared" si="6"/>
        <v>300</v>
      </c>
      <c r="J342" s="159"/>
      <c r="K342" s="159"/>
    </row>
    <row r="343" spans="1:11" ht="30">
      <c r="A343" s="152">
        <v>54399</v>
      </c>
      <c r="B343" s="164" t="s">
        <v>484</v>
      </c>
      <c r="C343" s="154"/>
      <c r="D343" s="14" t="s">
        <v>11</v>
      </c>
      <c r="E343" s="14" t="s">
        <v>25</v>
      </c>
      <c r="F343" s="14" t="s">
        <v>26</v>
      </c>
      <c r="G343" s="17">
        <f>'FEBRERO-18'!I340</f>
        <v>990</v>
      </c>
      <c r="H343" s="157"/>
      <c r="I343" s="17">
        <f t="shared" si="6"/>
        <v>990</v>
      </c>
      <c r="J343" s="159"/>
      <c r="K343" s="159"/>
    </row>
    <row r="344" spans="1:11" ht="29.25">
      <c r="A344" s="152">
        <v>55603</v>
      </c>
      <c r="B344" s="164" t="s">
        <v>485</v>
      </c>
      <c r="C344" s="154"/>
      <c r="D344" s="14" t="s">
        <v>11</v>
      </c>
      <c r="E344" s="14" t="s">
        <v>25</v>
      </c>
      <c r="F344" s="14" t="s">
        <v>26</v>
      </c>
      <c r="G344" s="17">
        <f>'FEBRERO-18'!I341</f>
        <v>10</v>
      </c>
      <c r="H344" s="157"/>
      <c r="I344" s="17">
        <f t="shared" si="6"/>
        <v>10</v>
      </c>
      <c r="J344" s="159"/>
      <c r="K344" s="159"/>
    </row>
    <row r="345" spans="1:11" ht="80.25" customHeight="1">
      <c r="A345" s="144" t="s">
        <v>486</v>
      </c>
      <c r="B345" s="54" t="s">
        <v>487</v>
      </c>
      <c r="C345" s="154"/>
      <c r="D345" s="155"/>
      <c r="E345" s="155"/>
      <c r="F345" s="155"/>
      <c r="G345" s="17">
        <f>'FEBRERO-18'!I342</f>
        <v>0</v>
      </c>
      <c r="H345" s="157"/>
      <c r="I345" s="158"/>
      <c r="J345" s="159"/>
      <c r="K345" s="159"/>
    </row>
    <row r="346" spans="1:11" ht="29.25">
      <c r="A346" s="152">
        <v>51202</v>
      </c>
      <c r="B346" s="164" t="s">
        <v>488</v>
      </c>
      <c r="C346" s="154"/>
      <c r="D346" s="14" t="s">
        <v>11</v>
      </c>
      <c r="E346" s="14" t="s">
        <v>25</v>
      </c>
      <c r="F346" s="14" t="s">
        <v>26</v>
      </c>
      <c r="G346" s="17">
        <f>'FEBRERO-18'!I343</f>
        <v>10000</v>
      </c>
      <c r="H346" s="157"/>
      <c r="I346" s="17">
        <f t="shared" si="6"/>
        <v>10000</v>
      </c>
      <c r="J346" s="159"/>
      <c r="K346" s="159"/>
    </row>
    <row r="347" spans="1:11" ht="29.25">
      <c r="A347" s="152">
        <v>51999</v>
      </c>
      <c r="B347" s="164" t="s">
        <v>489</v>
      </c>
      <c r="C347" s="154"/>
      <c r="D347" s="14" t="s">
        <v>11</v>
      </c>
      <c r="E347" s="14" t="s">
        <v>25</v>
      </c>
      <c r="F347" s="14" t="s">
        <v>26</v>
      </c>
      <c r="G347" s="17">
        <f>'FEBRERO-18'!I344</f>
        <v>5000</v>
      </c>
      <c r="H347" s="157"/>
      <c r="I347" s="17">
        <f t="shared" si="6"/>
        <v>5000</v>
      </c>
      <c r="J347" s="159"/>
      <c r="K347" s="159"/>
    </row>
    <row r="348" spans="1:11" ht="29.25">
      <c r="A348" s="152">
        <v>54111</v>
      </c>
      <c r="B348" s="164" t="s">
        <v>490</v>
      </c>
      <c r="C348" s="154"/>
      <c r="D348" s="14" t="s">
        <v>11</v>
      </c>
      <c r="E348" s="14" t="s">
        <v>25</v>
      </c>
      <c r="F348" s="14" t="s">
        <v>26</v>
      </c>
      <c r="G348" s="17">
        <f>'FEBRERO-18'!I345</f>
        <v>11000</v>
      </c>
      <c r="H348" s="157"/>
      <c r="I348" s="17">
        <f t="shared" si="6"/>
        <v>11000</v>
      </c>
      <c r="J348" s="159"/>
      <c r="K348" s="159"/>
    </row>
    <row r="349" spans="1:11" ht="29.25">
      <c r="A349" s="152">
        <v>54112</v>
      </c>
      <c r="B349" s="164" t="s">
        <v>491</v>
      </c>
      <c r="C349" s="154"/>
      <c r="D349" s="14" t="s">
        <v>11</v>
      </c>
      <c r="E349" s="14" t="s">
        <v>25</v>
      </c>
      <c r="F349" s="14" t="s">
        <v>26</v>
      </c>
      <c r="G349" s="17">
        <f>'FEBRERO-18'!I346</f>
        <v>5000</v>
      </c>
      <c r="H349" s="157"/>
      <c r="I349" s="17">
        <f t="shared" si="6"/>
        <v>5000</v>
      </c>
      <c r="J349" s="159"/>
      <c r="K349" s="159"/>
    </row>
    <row r="350" spans="1:11" ht="29.25">
      <c r="A350" s="152">
        <v>54118</v>
      </c>
      <c r="B350" s="164" t="s">
        <v>492</v>
      </c>
      <c r="C350" s="154"/>
      <c r="D350" s="14" t="s">
        <v>11</v>
      </c>
      <c r="E350" s="14" t="s">
        <v>25</v>
      </c>
      <c r="F350" s="14" t="s">
        <v>26</v>
      </c>
      <c r="G350" s="17">
        <f>'FEBRERO-18'!I347</f>
        <v>5000</v>
      </c>
      <c r="H350" s="157">
        <f>11.84</f>
        <v>11.84</v>
      </c>
      <c r="I350" s="17">
        <f t="shared" si="6"/>
        <v>4988.16</v>
      </c>
      <c r="J350" s="159"/>
      <c r="K350" s="159"/>
    </row>
    <row r="351" spans="1:11" ht="29.25">
      <c r="A351" s="152">
        <v>54199</v>
      </c>
      <c r="B351" s="164" t="s">
        <v>493</v>
      </c>
      <c r="C351" s="154"/>
      <c r="D351" s="14" t="s">
        <v>11</v>
      </c>
      <c r="E351" s="14" t="s">
        <v>25</v>
      </c>
      <c r="F351" s="14" t="s">
        <v>26</v>
      </c>
      <c r="G351" s="17">
        <f>'FEBRERO-18'!I348</f>
        <v>990</v>
      </c>
      <c r="H351" s="157"/>
      <c r="I351" s="17">
        <f t="shared" si="6"/>
        <v>990</v>
      </c>
      <c r="J351" s="159"/>
      <c r="K351" s="159"/>
    </row>
    <row r="352" spans="1:11" ht="29.25">
      <c r="A352" s="152">
        <v>54399</v>
      </c>
      <c r="B352" s="164" t="s">
        <v>494</v>
      </c>
      <c r="C352" s="154"/>
      <c r="D352" s="14" t="s">
        <v>11</v>
      </c>
      <c r="E352" s="14" t="s">
        <v>25</v>
      </c>
      <c r="F352" s="14" t="s">
        <v>26</v>
      </c>
      <c r="G352" s="17">
        <f>'FEBRERO-18'!I349</f>
        <v>3000</v>
      </c>
      <c r="H352" s="157"/>
      <c r="I352" s="17">
        <f t="shared" si="6"/>
        <v>3000</v>
      </c>
      <c r="J352" s="159"/>
      <c r="K352" s="159"/>
    </row>
    <row r="353" spans="1:11" ht="29.25">
      <c r="A353" s="152">
        <v>55603</v>
      </c>
      <c r="B353" s="164" t="s">
        <v>495</v>
      </c>
      <c r="C353" s="154"/>
      <c r="D353" s="14" t="s">
        <v>11</v>
      </c>
      <c r="E353" s="14" t="s">
        <v>25</v>
      </c>
      <c r="F353" s="14" t="s">
        <v>26</v>
      </c>
      <c r="G353" s="17">
        <f>'FEBRERO-18'!I350</f>
        <v>10</v>
      </c>
      <c r="H353" s="157"/>
      <c r="I353" s="17">
        <f t="shared" si="6"/>
        <v>10</v>
      </c>
      <c r="J353" s="159"/>
      <c r="K353" s="159"/>
    </row>
    <row r="354" spans="1:11" ht="55.5">
      <c r="A354" s="144" t="s">
        <v>504</v>
      </c>
      <c r="B354" s="54" t="s">
        <v>496</v>
      </c>
      <c r="C354" s="154"/>
      <c r="D354" s="155"/>
      <c r="E354" s="155"/>
      <c r="F354" s="155"/>
      <c r="G354" s="17">
        <f>'FEBRERO-18'!I351</f>
        <v>0</v>
      </c>
      <c r="H354" s="157"/>
      <c r="I354" s="158"/>
      <c r="J354" s="159"/>
      <c r="K354" s="159"/>
    </row>
    <row r="355" spans="1:11" ht="29.25">
      <c r="A355" s="152">
        <v>51202</v>
      </c>
      <c r="B355" s="164" t="s">
        <v>500</v>
      </c>
      <c r="C355" s="154"/>
      <c r="D355" s="14" t="s">
        <v>11</v>
      </c>
      <c r="E355" s="14" t="s">
        <v>25</v>
      </c>
      <c r="F355" s="14" t="s">
        <v>26</v>
      </c>
      <c r="G355" s="17">
        <f>'FEBRERO-18'!I352</f>
        <v>5000</v>
      </c>
      <c r="H355" s="157"/>
      <c r="I355" s="17">
        <f t="shared" si="6"/>
        <v>5000</v>
      </c>
      <c r="J355" s="159"/>
      <c r="K355" s="159"/>
    </row>
    <row r="356" spans="1:11" ht="29.25">
      <c r="A356" s="152">
        <v>54111</v>
      </c>
      <c r="B356" s="164" t="s">
        <v>499</v>
      </c>
      <c r="C356" s="154"/>
      <c r="D356" s="14" t="s">
        <v>11</v>
      </c>
      <c r="E356" s="14" t="s">
        <v>25</v>
      </c>
      <c r="F356" s="14" t="s">
        <v>26</v>
      </c>
      <c r="G356" s="17">
        <f>'FEBRERO-18'!I353</f>
        <v>6000</v>
      </c>
      <c r="H356" s="157"/>
      <c r="I356" s="17">
        <f t="shared" si="6"/>
        <v>6000</v>
      </c>
      <c r="J356" s="159"/>
      <c r="K356" s="159"/>
    </row>
    <row r="357" spans="1:11" ht="29.25">
      <c r="A357" s="152">
        <v>54112</v>
      </c>
      <c r="B357" s="164" t="s">
        <v>497</v>
      </c>
      <c r="C357" s="154"/>
      <c r="D357" s="14" t="s">
        <v>11</v>
      </c>
      <c r="E357" s="14" t="s">
        <v>25</v>
      </c>
      <c r="F357" s="14" t="s">
        <v>26</v>
      </c>
      <c r="G357" s="17">
        <f>'FEBRERO-18'!I354</f>
        <v>6000</v>
      </c>
      <c r="H357" s="157">
        <f>231.6+37.5</f>
        <v>269.10000000000002</v>
      </c>
      <c r="I357" s="17">
        <f t="shared" si="6"/>
        <v>5730.9</v>
      </c>
      <c r="J357" s="159"/>
      <c r="K357" s="159"/>
    </row>
    <row r="358" spans="1:11" ht="29.25">
      <c r="A358" s="152">
        <v>54118</v>
      </c>
      <c r="B358" s="164" t="s">
        <v>498</v>
      </c>
      <c r="C358" s="154"/>
      <c r="D358" s="14" t="s">
        <v>11</v>
      </c>
      <c r="E358" s="14" t="s">
        <v>25</v>
      </c>
      <c r="F358" s="14" t="s">
        <v>26</v>
      </c>
      <c r="G358" s="17">
        <f>'FEBRERO-18'!I355</f>
        <v>1700</v>
      </c>
      <c r="H358" s="157"/>
      <c r="I358" s="17">
        <f t="shared" si="6"/>
        <v>1700</v>
      </c>
      <c r="J358" s="159"/>
      <c r="K358" s="159"/>
    </row>
    <row r="359" spans="1:11" ht="29.25">
      <c r="A359" s="152">
        <v>54313</v>
      </c>
      <c r="B359" s="164" t="s">
        <v>501</v>
      </c>
      <c r="C359" s="154"/>
      <c r="D359" s="14" t="s">
        <v>11</v>
      </c>
      <c r="E359" s="14" t="s">
        <v>25</v>
      </c>
      <c r="F359" s="14" t="s">
        <v>26</v>
      </c>
      <c r="G359" s="17">
        <f>'FEBRERO-18'!I356</f>
        <v>300</v>
      </c>
      <c r="H359" s="157"/>
      <c r="I359" s="17">
        <f t="shared" si="6"/>
        <v>300</v>
      </c>
      <c r="J359" s="159"/>
      <c r="K359" s="159"/>
    </row>
    <row r="360" spans="1:11" ht="29.25">
      <c r="A360" s="152">
        <v>54399</v>
      </c>
      <c r="B360" s="164" t="s">
        <v>502</v>
      </c>
      <c r="C360" s="154"/>
      <c r="D360" s="14" t="s">
        <v>11</v>
      </c>
      <c r="E360" s="14" t="s">
        <v>25</v>
      </c>
      <c r="F360" s="14" t="s">
        <v>26</v>
      </c>
      <c r="G360" s="17">
        <f>'FEBRERO-18'!I357</f>
        <v>990</v>
      </c>
      <c r="H360" s="157"/>
      <c r="I360" s="17">
        <f t="shared" si="6"/>
        <v>990</v>
      </c>
      <c r="J360" s="159"/>
      <c r="K360" s="159"/>
    </row>
    <row r="361" spans="1:11" ht="29.25">
      <c r="A361" s="152">
        <v>55603</v>
      </c>
      <c r="B361" s="164" t="s">
        <v>503</v>
      </c>
      <c r="C361" s="154"/>
      <c r="D361" s="14" t="s">
        <v>11</v>
      </c>
      <c r="E361" s="14" t="s">
        <v>25</v>
      </c>
      <c r="F361" s="14" t="s">
        <v>26</v>
      </c>
      <c r="G361" s="17">
        <f>'FEBRERO-18'!I358</f>
        <v>6.9999999999999991</v>
      </c>
      <c r="H361" s="157"/>
      <c r="I361" s="17">
        <f t="shared" si="6"/>
        <v>6.9999999999999991</v>
      </c>
      <c r="J361" s="159"/>
      <c r="K361" s="159"/>
    </row>
    <row r="362" spans="1:11" ht="84.75">
      <c r="A362" s="144" t="s">
        <v>505</v>
      </c>
      <c r="B362" s="53" t="s">
        <v>510</v>
      </c>
      <c r="C362" s="154"/>
      <c r="D362" s="155"/>
      <c r="E362" s="155"/>
      <c r="F362" s="155"/>
      <c r="G362" s="17">
        <f>'FEBRERO-18'!I359</f>
        <v>0</v>
      </c>
      <c r="H362" s="157"/>
      <c r="I362" s="158"/>
      <c r="J362" s="159"/>
      <c r="K362" s="159"/>
    </row>
    <row r="363" spans="1:11" ht="29.25">
      <c r="A363" s="152">
        <v>51999</v>
      </c>
      <c r="B363" s="153" t="s">
        <v>506</v>
      </c>
      <c r="C363" s="154"/>
      <c r="D363" s="14" t="s">
        <v>11</v>
      </c>
      <c r="E363" s="14" t="s">
        <v>25</v>
      </c>
      <c r="F363" s="14" t="s">
        <v>26</v>
      </c>
      <c r="G363" s="17">
        <f>'FEBRERO-18'!I360</f>
        <v>1500</v>
      </c>
      <c r="H363" s="157"/>
      <c r="I363" s="17">
        <f t="shared" si="6"/>
        <v>1500</v>
      </c>
      <c r="J363" s="159"/>
      <c r="K363" s="159"/>
    </row>
    <row r="364" spans="1:11" ht="29.25">
      <c r="A364" s="152">
        <v>54199</v>
      </c>
      <c r="B364" s="153" t="s">
        <v>507</v>
      </c>
      <c r="C364" s="154"/>
      <c r="D364" s="14" t="s">
        <v>11</v>
      </c>
      <c r="E364" s="14" t="s">
        <v>25</v>
      </c>
      <c r="F364" s="14" t="s">
        <v>26</v>
      </c>
      <c r="G364" s="17">
        <f>'FEBRERO-18'!I361</f>
        <v>990</v>
      </c>
      <c r="H364" s="157"/>
      <c r="I364" s="17">
        <f t="shared" si="6"/>
        <v>990</v>
      </c>
      <c r="J364" s="159"/>
      <c r="K364" s="159"/>
    </row>
    <row r="365" spans="1:11" ht="43.5">
      <c r="A365" s="152">
        <v>54399</v>
      </c>
      <c r="B365" s="153" t="s">
        <v>508</v>
      </c>
      <c r="C365" s="154"/>
      <c r="D365" s="14" t="s">
        <v>11</v>
      </c>
      <c r="E365" s="14" t="s">
        <v>25</v>
      </c>
      <c r="F365" s="14" t="s">
        <v>26</v>
      </c>
      <c r="G365" s="17">
        <f>'FEBRERO-18'!I362</f>
        <v>500</v>
      </c>
      <c r="H365" s="157"/>
      <c r="I365" s="17">
        <f t="shared" si="6"/>
        <v>500</v>
      </c>
      <c r="J365" s="159"/>
      <c r="K365" s="159"/>
    </row>
    <row r="366" spans="1:11" ht="29.25">
      <c r="A366" s="152">
        <v>55603</v>
      </c>
      <c r="B366" s="153" t="s">
        <v>509</v>
      </c>
      <c r="C366" s="154"/>
      <c r="D366" s="14" t="s">
        <v>11</v>
      </c>
      <c r="E366" s="14" t="s">
        <v>25</v>
      </c>
      <c r="F366" s="14" t="s">
        <v>26</v>
      </c>
      <c r="G366" s="17">
        <f>'FEBRERO-18'!I363</f>
        <v>10</v>
      </c>
      <c r="H366" s="157"/>
      <c r="I366" s="17">
        <f t="shared" si="6"/>
        <v>10</v>
      </c>
      <c r="J366" s="159"/>
      <c r="K366" s="159"/>
    </row>
    <row r="367" spans="1:11" ht="94.5" customHeight="1">
      <c r="A367" s="144" t="s">
        <v>511</v>
      </c>
      <c r="B367" s="53" t="s">
        <v>512</v>
      </c>
      <c r="C367" s="154"/>
      <c r="D367" s="155"/>
      <c r="E367" s="155"/>
      <c r="F367" s="155"/>
      <c r="G367" s="17">
        <f>'FEBRERO-18'!I364</f>
        <v>0</v>
      </c>
      <c r="H367" s="157"/>
      <c r="I367" s="158"/>
      <c r="J367" s="159"/>
      <c r="K367" s="159"/>
    </row>
    <row r="368" spans="1:11" ht="29.25">
      <c r="A368" s="152">
        <v>51999</v>
      </c>
      <c r="B368" s="164" t="s">
        <v>513</v>
      </c>
      <c r="C368" s="154"/>
      <c r="D368" s="14" t="s">
        <v>11</v>
      </c>
      <c r="E368" s="14" t="s">
        <v>25</v>
      </c>
      <c r="F368" s="14" t="s">
        <v>26</v>
      </c>
      <c r="G368" s="17">
        <f>'FEBRERO-18'!I365</f>
        <v>1000</v>
      </c>
      <c r="H368" s="157"/>
      <c r="I368" s="17">
        <f t="shared" si="6"/>
        <v>1000</v>
      </c>
      <c r="J368" s="159"/>
      <c r="K368" s="159"/>
    </row>
    <row r="369" spans="1:11" ht="29.25">
      <c r="A369" s="152">
        <v>54115</v>
      </c>
      <c r="B369" s="164" t="s">
        <v>514</v>
      </c>
      <c r="C369" s="154"/>
      <c r="D369" s="14" t="s">
        <v>11</v>
      </c>
      <c r="E369" s="14" t="s">
        <v>25</v>
      </c>
      <c r="F369" s="14" t="s">
        <v>26</v>
      </c>
      <c r="G369" s="17">
        <f>'FEBRERO-18'!I366</f>
        <v>1990</v>
      </c>
      <c r="H369" s="157"/>
      <c r="I369" s="17">
        <f t="shared" si="6"/>
        <v>1990</v>
      </c>
      <c r="J369" s="159"/>
      <c r="K369" s="159"/>
    </row>
    <row r="370" spans="1:11" ht="29.25">
      <c r="A370" s="152">
        <v>61104</v>
      </c>
      <c r="B370" s="164" t="s">
        <v>515</v>
      </c>
      <c r="C370" s="154"/>
      <c r="D370" s="14" t="s">
        <v>11</v>
      </c>
      <c r="E370" s="14" t="s">
        <v>25</v>
      </c>
      <c r="F370" s="14" t="s">
        <v>26</v>
      </c>
      <c r="G370" s="17">
        <f>'FEBRERO-18'!I367</f>
        <v>2000</v>
      </c>
      <c r="H370" s="157"/>
      <c r="I370" s="17">
        <f t="shared" si="6"/>
        <v>2000</v>
      </c>
      <c r="J370" s="159"/>
      <c r="K370" s="159"/>
    </row>
    <row r="371" spans="1:11" ht="29.25">
      <c r="A371" s="152">
        <v>55603</v>
      </c>
      <c r="B371" s="164" t="s">
        <v>516</v>
      </c>
      <c r="C371" s="154"/>
      <c r="D371" s="14" t="s">
        <v>11</v>
      </c>
      <c r="E371" s="14" t="s">
        <v>25</v>
      </c>
      <c r="F371" s="14" t="s">
        <v>26</v>
      </c>
      <c r="G371" s="17">
        <f>'FEBRERO-18'!I368</f>
        <v>10</v>
      </c>
      <c r="H371" s="157"/>
      <c r="I371" s="17">
        <f t="shared" si="6"/>
        <v>10</v>
      </c>
      <c r="J371" s="159"/>
      <c r="K371" s="159"/>
    </row>
    <row r="372" spans="1:11" ht="63" customHeight="1">
      <c r="A372" s="144" t="s">
        <v>517</v>
      </c>
      <c r="B372" s="53" t="s">
        <v>518</v>
      </c>
      <c r="C372" s="154"/>
      <c r="D372" s="155"/>
      <c r="E372" s="155"/>
      <c r="F372" s="155"/>
      <c r="G372" s="17">
        <f>'FEBRERO-18'!I369</f>
        <v>0</v>
      </c>
      <c r="H372" s="157"/>
      <c r="I372" s="158"/>
      <c r="J372" s="159"/>
      <c r="K372" s="159"/>
    </row>
    <row r="373" spans="1:11" ht="29.25">
      <c r="A373" s="152">
        <v>51999</v>
      </c>
      <c r="B373" s="164" t="s">
        <v>519</v>
      </c>
      <c r="C373" s="154"/>
      <c r="D373" s="14" t="s">
        <v>11</v>
      </c>
      <c r="E373" s="14" t="s">
        <v>25</v>
      </c>
      <c r="F373" s="14" t="s">
        <v>26</v>
      </c>
      <c r="G373" s="17">
        <f>'FEBRERO-18'!I370</f>
        <v>10000</v>
      </c>
      <c r="H373" s="157"/>
      <c r="I373" s="17">
        <f t="shared" si="6"/>
        <v>10000</v>
      </c>
      <c r="J373" s="159"/>
      <c r="K373" s="159"/>
    </row>
    <row r="374" spans="1:11" ht="30">
      <c r="A374" s="152">
        <v>54313</v>
      </c>
      <c r="B374" s="164" t="s">
        <v>520</v>
      </c>
      <c r="C374" s="154"/>
      <c r="D374" s="14" t="s">
        <v>11</v>
      </c>
      <c r="E374" s="14" t="s">
        <v>25</v>
      </c>
      <c r="F374" s="14" t="s">
        <v>26</v>
      </c>
      <c r="G374" s="17">
        <f>'FEBRERO-18'!I371</f>
        <v>500</v>
      </c>
      <c r="H374" s="157"/>
      <c r="I374" s="17">
        <f t="shared" si="6"/>
        <v>500</v>
      </c>
      <c r="J374" s="159"/>
      <c r="K374" s="159"/>
    </row>
    <row r="375" spans="1:11" ht="30">
      <c r="A375" s="152">
        <v>54399</v>
      </c>
      <c r="B375" s="164" t="s">
        <v>521</v>
      </c>
      <c r="C375" s="154"/>
      <c r="D375" s="14" t="s">
        <v>11</v>
      </c>
      <c r="E375" s="14" t="s">
        <v>25</v>
      </c>
      <c r="F375" s="14" t="s">
        <v>26</v>
      </c>
      <c r="G375" s="17">
        <f>'FEBRERO-18'!I372</f>
        <v>990</v>
      </c>
      <c r="H375" s="157"/>
      <c r="I375" s="17">
        <f t="shared" si="6"/>
        <v>990</v>
      </c>
      <c r="J375" s="159"/>
      <c r="K375" s="159"/>
    </row>
    <row r="376" spans="1:11" ht="29.25">
      <c r="A376" s="152">
        <v>54599</v>
      </c>
      <c r="B376" s="164" t="s">
        <v>522</v>
      </c>
      <c r="C376" s="154"/>
      <c r="D376" s="14" t="s">
        <v>11</v>
      </c>
      <c r="E376" s="14" t="s">
        <v>25</v>
      </c>
      <c r="F376" s="14" t="s">
        <v>26</v>
      </c>
      <c r="G376" s="17">
        <f>'FEBRERO-18'!I373</f>
        <v>13500</v>
      </c>
      <c r="H376" s="157"/>
      <c r="I376" s="17">
        <f t="shared" si="6"/>
        <v>13500</v>
      </c>
      <c r="J376" s="159"/>
      <c r="K376" s="159"/>
    </row>
    <row r="377" spans="1:11" ht="29.25">
      <c r="A377" s="152">
        <v>55603</v>
      </c>
      <c r="B377" s="164" t="s">
        <v>523</v>
      </c>
      <c r="C377" s="154"/>
      <c r="D377" s="14" t="s">
        <v>11</v>
      </c>
      <c r="E377" s="14" t="s">
        <v>25</v>
      </c>
      <c r="F377" s="14" t="s">
        <v>26</v>
      </c>
      <c r="G377" s="17">
        <f>'FEBRERO-18'!I374</f>
        <v>10</v>
      </c>
      <c r="H377" s="157"/>
      <c r="I377" s="17">
        <f t="shared" si="6"/>
        <v>10</v>
      </c>
      <c r="J377" s="159"/>
      <c r="K377" s="159"/>
    </row>
    <row r="378" spans="1:11" ht="69.75">
      <c r="A378" s="144" t="s">
        <v>524</v>
      </c>
      <c r="B378" s="53" t="s">
        <v>525</v>
      </c>
      <c r="C378" s="154"/>
      <c r="D378" s="14" t="s">
        <v>11</v>
      </c>
      <c r="E378" s="14" t="s">
        <v>25</v>
      </c>
      <c r="F378" s="14" t="s">
        <v>26</v>
      </c>
      <c r="G378" s="17">
        <f>'FEBRERO-18'!I375</f>
        <v>5504.86</v>
      </c>
      <c r="H378" s="157"/>
      <c r="I378" s="158">
        <f t="shared" si="6"/>
        <v>5504.86</v>
      </c>
      <c r="J378" s="159"/>
      <c r="K378" s="159"/>
    </row>
    <row r="379" spans="1:11" ht="44.25">
      <c r="A379" s="144" t="s">
        <v>526</v>
      </c>
      <c r="B379" s="53" t="s">
        <v>527</v>
      </c>
      <c r="C379" s="154"/>
      <c r="D379" s="14" t="s">
        <v>11</v>
      </c>
      <c r="E379" s="14" t="s">
        <v>25</v>
      </c>
      <c r="F379" s="14" t="s">
        <v>26</v>
      </c>
      <c r="G379" s="17">
        <f>'FEBRERO-18'!I376</f>
        <v>15000</v>
      </c>
      <c r="H379" s="157"/>
      <c r="I379" s="158">
        <f t="shared" si="6"/>
        <v>15000</v>
      </c>
      <c r="J379" s="159"/>
      <c r="K379" s="159"/>
    </row>
    <row r="380" spans="1:11" ht="39.75">
      <c r="A380" s="144" t="s">
        <v>528</v>
      </c>
      <c r="B380" s="53" t="s">
        <v>529</v>
      </c>
      <c r="C380" s="154"/>
      <c r="D380" s="14" t="s">
        <v>11</v>
      </c>
      <c r="E380" s="14" t="s">
        <v>25</v>
      </c>
      <c r="F380" s="14" t="s">
        <v>26</v>
      </c>
      <c r="G380" s="17">
        <f>'FEBRERO-18'!I377</f>
        <v>8000</v>
      </c>
      <c r="H380" s="157"/>
      <c r="I380" s="158">
        <f t="shared" si="6"/>
        <v>8000</v>
      </c>
      <c r="J380" s="159"/>
      <c r="K380" s="159"/>
    </row>
    <row r="381" spans="1:11" ht="39.75">
      <c r="A381" s="144" t="s">
        <v>530</v>
      </c>
      <c r="B381" s="53" t="s">
        <v>531</v>
      </c>
      <c r="C381" s="154"/>
      <c r="D381" s="14" t="s">
        <v>11</v>
      </c>
      <c r="E381" s="14" t="s">
        <v>25</v>
      </c>
      <c r="F381" s="14" t="s">
        <v>26</v>
      </c>
      <c r="G381" s="17">
        <f>'FEBRERO-18'!I378</f>
        <v>15000</v>
      </c>
      <c r="H381" s="157"/>
      <c r="I381" s="158">
        <f t="shared" si="6"/>
        <v>15000</v>
      </c>
      <c r="J381" s="159"/>
      <c r="K381" s="159"/>
    </row>
    <row r="382" spans="1:11" ht="55.5">
      <c r="A382" s="144" t="s">
        <v>532</v>
      </c>
      <c r="B382" s="53" t="s">
        <v>533</v>
      </c>
      <c r="C382" s="154"/>
      <c r="D382" s="155"/>
      <c r="E382" s="155"/>
      <c r="F382" s="155"/>
      <c r="G382" s="17">
        <f>'FEBRERO-18'!I379</f>
        <v>0</v>
      </c>
      <c r="H382" s="157"/>
      <c r="I382" s="158"/>
      <c r="J382" s="159"/>
      <c r="K382" s="159"/>
    </row>
    <row r="383" spans="1:11">
      <c r="A383" s="152">
        <v>51202</v>
      </c>
      <c r="B383" s="153" t="s">
        <v>534</v>
      </c>
      <c r="C383" s="154"/>
      <c r="D383" s="14" t="s">
        <v>11</v>
      </c>
      <c r="E383" s="14" t="s">
        <v>25</v>
      </c>
      <c r="F383" s="14" t="s">
        <v>26</v>
      </c>
      <c r="G383" s="17">
        <f>'FEBRERO-18'!I380</f>
        <v>8000</v>
      </c>
      <c r="H383" s="157"/>
      <c r="I383" s="158">
        <f t="shared" si="6"/>
        <v>8000</v>
      </c>
      <c r="J383" s="159"/>
      <c r="K383" s="159"/>
    </row>
    <row r="384" spans="1:11" ht="29.25">
      <c r="A384" s="152">
        <v>54111</v>
      </c>
      <c r="B384" s="153" t="s">
        <v>535</v>
      </c>
      <c r="C384" s="154"/>
      <c r="D384" s="14" t="s">
        <v>11</v>
      </c>
      <c r="E384" s="14" t="s">
        <v>25</v>
      </c>
      <c r="F384" s="14" t="s">
        <v>26</v>
      </c>
      <c r="G384" s="17">
        <f>'FEBRERO-18'!I381</f>
        <v>5500</v>
      </c>
      <c r="H384" s="157"/>
      <c r="I384" s="158">
        <f t="shared" si="6"/>
        <v>5500</v>
      </c>
      <c r="J384" s="159"/>
      <c r="K384" s="159"/>
    </row>
    <row r="385" spans="1:27" ht="29.25">
      <c r="A385" s="152">
        <v>54112</v>
      </c>
      <c r="B385" s="153" t="s">
        <v>536</v>
      </c>
      <c r="C385" s="154"/>
      <c r="D385" s="14" t="s">
        <v>11</v>
      </c>
      <c r="E385" s="14" t="s">
        <v>25</v>
      </c>
      <c r="F385" s="14" t="s">
        <v>26</v>
      </c>
      <c r="G385" s="17">
        <f>'FEBRERO-18'!I382</f>
        <v>5000</v>
      </c>
      <c r="H385" s="157"/>
      <c r="I385" s="158">
        <f t="shared" si="6"/>
        <v>5000</v>
      </c>
      <c r="J385" s="159"/>
      <c r="K385" s="159"/>
    </row>
    <row r="386" spans="1:27" ht="30">
      <c r="A386" s="152">
        <v>54313</v>
      </c>
      <c r="B386" s="153" t="s">
        <v>537</v>
      </c>
      <c r="C386" s="154"/>
      <c r="D386" s="14" t="s">
        <v>11</v>
      </c>
      <c r="E386" s="14" t="s">
        <v>25</v>
      </c>
      <c r="F386" s="14" t="s">
        <v>26</v>
      </c>
      <c r="G386" s="17">
        <f>'FEBRERO-18'!I383</f>
        <v>500</v>
      </c>
      <c r="H386" s="157"/>
      <c r="I386" s="158">
        <f t="shared" si="6"/>
        <v>500</v>
      </c>
      <c r="J386" s="159"/>
      <c r="K386" s="159"/>
    </row>
    <row r="387" spans="1:27" ht="30">
      <c r="A387" s="152">
        <v>54399</v>
      </c>
      <c r="B387" s="153" t="s">
        <v>538</v>
      </c>
      <c r="C387" s="154"/>
      <c r="D387" s="14" t="s">
        <v>11</v>
      </c>
      <c r="E387" s="14" t="s">
        <v>25</v>
      </c>
      <c r="F387" s="14" t="s">
        <v>26</v>
      </c>
      <c r="G387" s="17">
        <f>'FEBRERO-18'!I384</f>
        <v>990</v>
      </c>
      <c r="H387" s="157"/>
      <c r="I387" s="158">
        <f t="shared" si="6"/>
        <v>990</v>
      </c>
      <c r="J387" s="159"/>
      <c r="K387" s="159"/>
    </row>
    <row r="388" spans="1:27" ht="29.25">
      <c r="A388" s="152">
        <v>55603</v>
      </c>
      <c r="B388" s="153" t="s">
        <v>539</v>
      </c>
      <c r="C388" s="154"/>
      <c r="D388" s="14" t="s">
        <v>11</v>
      </c>
      <c r="E388" s="14" t="s">
        <v>25</v>
      </c>
      <c r="F388" s="14" t="s">
        <v>26</v>
      </c>
      <c r="G388" s="17">
        <f>'FEBRERO-18'!I385</f>
        <v>10</v>
      </c>
      <c r="H388" s="157"/>
      <c r="I388" s="158">
        <f t="shared" si="6"/>
        <v>10</v>
      </c>
      <c r="J388" s="159"/>
      <c r="K388" s="159"/>
    </row>
    <row r="389" spans="1:27" ht="55.5">
      <c r="A389" s="144" t="s">
        <v>540</v>
      </c>
      <c r="B389" s="53" t="s">
        <v>541</v>
      </c>
      <c r="C389" s="154"/>
      <c r="D389" s="155"/>
      <c r="E389" s="155"/>
      <c r="F389" s="155"/>
      <c r="G389" s="17">
        <f>'FEBRERO-18'!I386</f>
        <v>0</v>
      </c>
      <c r="H389" s="157"/>
      <c r="I389" s="158"/>
      <c r="J389" s="159"/>
      <c r="K389" s="159"/>
    </row>
    <row r="390" spans="1:27" ht="29.25">
      <c r="A390" s="152">
        <v>51202</v>
      </c>
      <c r="B390" s="153" t="s">
        <v>542</v>
      </c>
      <c r="C390" s="154"/>
      <c r="D390" s="14" t="s">
        <v>11</v>
      </c>
      <c r="E390" s="14" t="s">
        <v>25</v>
      </c>
      <c r="F390" s="14" t="s">
        <v>26</v>
      </c>
      <c r="G390" s="17">
        <f>'FEBRERO-18'!I387</f>
        <v>5000</v>
      </c>
      <c r="H390" s="157"/>
      <c r="I390" s="158">
        <f t="shared" si="6"/>
        <v>5000</v>
      </c>
      <c r="J390" s="159"/>
      <c r="K390" s="159"/>
    </row>
    <row r="391" spans="1:27" ht="39.75" customHeight="1">
      <c r="A391" s="152">
        <v>54111</v>
      </c>
      <c r="B391" s="153" t="s">
        <v>543</v>
      </c>
      <c r="C391" s="154"/>
      <c r="D391" s="14" t="s">
        <v>11</v>
      </c>
      <c r="E391" s="14" t="s">
        <v>25</v>
      </c>
      <c r="F391" s="14" t="s">
        <v>26</v>
      </c>
      <c r="G391" s="17">
        <f>'FEBRERO-18'!I388</f>
        <v>5500</v>
      </c>
      <c r="H391" s="157"/>
      <c r="I391" s="158">
        <f t="shared" si="6"/>
        <v>5500</v>
      </c>
      <c r="J391" s="159"/>
      <c r="K391" s="159"/>
    </row>
    <row r="392" spans="1:27" ht="35.25" customHeight="1">
      <c r="A392" s="152">
        <v>54112</v>
      </c>
      <c r="B392" s="153" t="s">
        <v>544</v>
      </c>
      <c r="C392" s="154"/>
      <c r="D392" s="14" t="s">
        <v>11</v>
      </c>
      <c r="E392" s="14" t="s">
        <v>25</v>
      </c>
      <c r="F392" s="14" t="s">
        <v>26</v>
      </c>
      <c r="G392" s="17">
        <f>'FEBRERO-18'!I389</f>
        <v>3000</v>
      </c>
      <c r="H392" s="157"/>
      <c r="I392" s="158">
        <f t="shared" ref="I392:I400" si="7">G392-H392+J392-K392</f>
        <v>3000</v>
      </c>
      <c r="J392" s="159"/>
      <c r="K392" s="159"/>
    </row>
    <row r="393" spans="1:27" ht="36.75" customHeight="1">
      <c r="A393" s="152">
        <v>54313</v>
      </c>
      <c r="B393" s="153" t="s">
        <v>545</v>
      </c>
      <c r="C393" s="154"/>
      <c r="D393" s="14" t="s">
        <v>11</v>
      </c>
      <c r="E393" s="14" t="s">
        <v>25</v>
      </c>
      <c r="F393" s="14" t="s">
        <v>26</v>
      </c>
      <c r="G393" s="17">
        <f>'FEBRERO-18'!I390</f>
        <v>500</v>
      </c>
      <c r="H393" s="157"/>
      <c r="I393" s="158">
        <f t="shared" si="7"/>
        <v>500</v>
      </c>
      <c r="J393" s="159"/>
      <c r="K393" s="159"/>
      <c r="M393" s="167"/>
      <c r="N393" s="167"/>
      <c r="O393" s="167"/>
      <c r="P393" s="167"/>
      <c r="Q393" s="167"/>
    </row>
    <row r="394" spans="1:27" ht="34.5" customHeight="1">
      <c r="A394" s="152">
        <v>54399</v>
      </c>
      <c r="B394" s="153" t="s">
        <v>546</v>
      </c>
      <c r="C394" s="154"/>
      <c r="D394" s="14" t="s">
        <v>11</v>
      </c>
      <c r="E394" s="14" t="s">
        <v>25</v>
      </c>
      <c r="F394" s="14" t="s">
        <v>26</v>
      </c>
      <c r="G394" s="17">
        <f>'FEBRERO-18'!I391</f>
        <v>990</v>
      </c>
      <c r="H394" s="157"/>
      <c r="I394" s="158">
        <f t="shared" si="7"/>
        <v>990</v>
      </c>
      <c r="J394" s="159"/>
      <c r="K394" s="159"/>
      <c r="M394" s="167"/>
      <c r="N394" s="167"/>
      <c r="O394" s="167"/>
      <c r="P394" s="167"/>
      <c r="Q394" s="167"/>
    </row>
    <row r="395" spans="1:27" s="47" customFormat="1" ht="29.25">
      <c r="A395" s="11">
        <v>55603</v>
      </c>
      <c r="B395" s="153" t="s">
        <v>547</v>
      </c>
      <c r="C395" s="12"/>
      <c r="D395" s="14" t="s">
        <v>11</v>
      </c>
      <c r="E395" s="14" t="s">
        <v>25</v>
      </c>
      <c r="F395" s="14" t="s">
        <v>26</v>
      </c>
      <c r="G395" s="17">
        <f>'FEBRERO-18'!I392</f>
        <v>10</v>
      </c>
      <c r="H395" s="51"/>
      <c r="I395" s="158">
        <f t="shared" si="7"/>
        <v>10</v>
      </c>
      <c r="J395" s="44"/>
      <c r="K395" s="44"/>
      <c r="L395" s="165"/>
      <c r="M395" s="167"/>
      <c r="N395" s="167"/>
      <c r="O395" s="167"/>
      <c r="P395" s="167"/>
      <c r="Q395" s="167"/>
      <c r="R395" s="167"/>
      <c r="S395" s="167"/>
      <c r="T395" s="167"/>
      <c r="U395" s="167"/>
      <c r="V395" s="167"/>
      <c r="W395" s="167"/>
      <c r="X395" s="167"/>
      <c r="Y395" s="167"/>
      <c r="Z395" s="167"/>
      <c r="AA395" s="166"/>
    </row>
    <row r="396" spans="1:27" s="47" customFormat="1" ht="28.5">
      <c r="A396" s="144" t="s">
        <v>548</v>
      </c>
      <c r="B396" s="53" t="s">
        <v>549</v>
      </c>
      <c r="C396" s="12"/>
      <c r="D396" s="14" t="s">
        <v>11</v>
      </c>
      <c r="E396" s="14" t="s">
        <v>25</v>
      </c>
      <c r="F396" s="14" t="s">
        <v>26</v>
      </c>
      <c r="G396" s="17">
        <f>'FEBRERO-18'!I393</f>
        <v>5000</v>
      </c>
      <c r="H396" s="51"/>
      <c r="I396" s="17">
        <f t="shared" si="7"/>
        <v>5000</v>
      </c>
      <c r="J396" s="44"/>
      <c r="K396" s="44"/>
      <c r="L396" s="165"/>
      <c r="M396" s="167"/>
      <c r="N396" s="167"/>
      <c r="O396" s="167"/>
      <c r="P396" s="167"/>
      <c r="Q396" s="167"/>
      <c r="R396" s="167"/>
      <c r="S396" s="167"/>
      <c r="T396" s="167"/>
      <c r="U396" s="167"/>
      <c r="V396" s="167"/>
      <c r="W396" s="167"/>
      <c r="X396" s="167"/>
      <c r="Y396" s="167"/>
      <c r="Z396" s="167"/>
      <c r="AA396" s="166"/>
    </row>
    <row r="397" spans="1:27" s="47" customFormat="1" ht="40.5">
      <c r="A397" s="144" t="s">
        <v>550</v>
      </c>
      <c r="B397" s="53" t="s">
        <v>1026</v>
      </c>
      <c r="C397" s="12"/>
      <c r="D397" s="3"/>
      <c r="E397" s="3"/>
      <c r="F397" s="3"/>
      <c r="G397" s="17">
        <f>'FEBRERO-18'!I394</f>
        <v>0</v>
      </c>
      <c r="H397" s="51"/>
      <c r="I397" s="17"/>
      <c r="J397" s="44"/>
      <c r="K397" s="44"/>
      <c r="L397" s="165"/>
      <c r="M397" s="167"/>
      <c r="N397" s="167"/>
      <c r="O397" s="167"/>
      <c r="P397" s="167"/>
      <c r="Q397" s="167"/>
      <c r="R397" s="167"/>
      <c r="S397" s="167"/>
      <c r="T397" s="167"/>
      <c r="U397" s="167"/>
      <c r="V397" s="167"/>
      <c r="W397" s="167"/>
      <c r="X397" s="167"/>
      <c r="Y397" s="167"/>
      <c r="Z397" s="167"/>
      <c r="AA397" s="166"/>
    </row>
    <row r="398" spans="1:27" s="47" customFormat="1" ht="20.25" customHeight="1">
      <c r="A398" s="11">
        <v>51999</v>
      </c>
      <c r="B398" s="70" t="s">
        <v>552</v>
      </c>
      <c r="C398" s="12"/>
      <c r="D398" s="14" t="s">
        <v>11</v>
      </c>
      <c r="E398" s="14" t="s">
        <v>25</v>
      </c>
      <c r="F398" s="14" t="s">
        <v>26</v>
      </c>
      <c r="G398" s="17">
        <f>'FEBRERO-18'!I395</f>
        <v>5000</v>
      </c>
      <c r="H398" s="51"/>
      <c r="I398" s="17">
        <f t="shared" si="7"/>
        <v>0</v>
      </c>
      <c r="J398" s="44"/>
      <c r="K398" s="258">
        <v>5000</v>
      </c>
      <c r="L398" s="165"/>
      <c r="M398" s="167"/>
      <c r="N398" s="167"/>
      <c r="O398" s="167"/>
      <c r="P398" s="167"/>
      <c r="Q398" s="167"/>
      <c r="R398" s="167"/>
      <c r="S398" s="167"/>
      <c r="T398" s="167"/>
      <c r="U398" s="167"/>
      <c r="V398" s="167"/>
      <c r="W398" s="167"/>
      <c r="X398" s="167"/>
      <c r="Y398" s="167"/>
      <c r="Z398" s="167"/>
    </row>
    <row r="399" spans="1:27" s="47" customFormat="1" ht="23.25" customHeight="1">
      <c r="A399" s="11">
        <v>54399</v>
      </c>
      <c r="B399" s="70" t="s">
        <v>553</v>
      </c>
      <c r="C399" s="12"/>
      <c r="D399" s="14" t="s">
        <v>11</v>
      </c>
      <c r="E399" s="14" t="s">
        <v>25</v>
      </c>
      <c r="F399" s="14" t="s">
        <v>26</v>
      </c>
      <c r="G399" s="17">
        <f>'FEBRERO-18'!I396</f>
        <v>5000</v>
      </c>
      <c r="H399" s="51"/>
      <c r="I399" s="17">
        <f t="shared" si="7"/>
        <v>0</v>
      </c>
      <c r="J399" s="44"/>
      <c r="K399" s="258">
        <v>5000</v>
      </c>
      <c r="L399" s="165"/>
      <c r="M399" s="167"/>
      <c r="N399" s="167"/>
      <c r="O399" s="167"/>
      <c r="P399" s="167"/>
      <c r="Q399" s="167"/>
      <c r="R399" s="167"/>
      <c r="S399" s="167"/>
      <c r="T399" s="167"/>
      <c r="U399" s="167"/>
      <c r="V399" s="167"/>
      <c r="W399" s="167"/>
      <c r="X399" s="167"/>
      <c r="Y399" s="167"/>
      <c r="Z399" s="167"/>
    </row>
    <row r="400" spans="1:27" s="47" customFormat="1" ht="20.25" customHeight="1">
      <c r="A400" s="11">
        <v>54599</v>
      </c>
      <c r="B400" s="70" t="s">
        <v>554</v>
      </c>
      <c r="C400" s="12"/>
      <c r="D400" s="14" t="s">
        <v>11</v>
      </c>
      <c r="E400" s="14" t="s">
        <v>25</v>
      </c>
      <c r="F400" s="14" t="s">
        <v>26</v>
      </c>
      <c r="G400" s="17">
        <f>'FEBRERO-18'!I397</f>
        <v>26180</v>
      </c>
      <c r="H400" s="51"/>
      <c r="I400" s="17">
        <f t="shared" si="7"/>
        <v>0</v>
      </c>
      <c r="J400" s="44"/>
      <c r="K400" s="258">
        <v>26180</v>
      </c>
      <c r="L400" s="165"/>
      <c r="M400" s="167"/>
      <c r="N400" s="167"/>
      <c r="O400" s="167"/>
      <c r="P400" s="167"/>
      <c r="Q400" s="167"/>
      <c r="R400" s="167"/>
      <c r="S400" s="167"/>
      <c r="T400" s="167"/>
      <c r="U400" s="167"/>
      <c r="V400" s="167"/>
      <c r="W400" s="167"/>
      <c r="X400" s="167"/>
      <c r="Y400" s="167"/>
      <c r="Z400" s="167"/>
    </row>
    <row r="401" spans="1:26" s="47" customFormat="1">
      <c r="B401" s="5"/>
      <c r="C401" s="12"/>
      <c r="D401" s="3"/>
      <c r="E401" s="3"/>
      <c r="F401" s="3"/>
      <c r="G401" s="17">
        <f>'FEBRERO-18'!I398</f>
        <v>0</v>
      </c>
      <c r="H401" s="51"/>
      <c r="I401" s="17"/>
      <c r="J401" s="44"/>
      <c r="K401" s="44"/>
      <c r="L401" s="165"/>
      <c r="M401" s="167"/>
      <c r="N401" s="167"/>
      <c r="O401" s="167"/>
      <c r="P401" s="167"/>
      <c r="Q401" s="167"/>
      <c r="R401" s="167"/>
      <c r="S401" s="167"/>
      <c r="T401" s="167"/>
      <c r="U401" s="167"/>
      <c r="V401" s="167"/>
      <c r="W401" s="167"/>
      <c r="X401" s="167"/>
      <c r="Y401" s="167"/>
      <c r="Z401" s="167"/>
    </row>
    <row r="402" spans="1:26" s="47" customFormat="1">
      <c r="A402" s="11"/>
      <c r="B402" s="5"/>
      <c r="C402" s="12"/>
      <c r="D402" s="3"/>
      <c r="E402" s="3"/>
      <c r="F402" s="3"/>
      <c r="G402" s="17">
        <f>'FEBRERO-18'!I399</f>
        <v>0</v>
      </c>
      <c r="H402" s="51"/>
      <c r="I402" s="17"/>
      <c r="J402" s="44"/>
      <c r="K402" s="44"/>
      <c r="L402" s="165"/>
      <c r="M402" s="167"/>
      <c r="N402" s="167"/>
      <c r="O402" s="167"/>
      <c r="P402" s="167"/>
      <c r="Q402" s="167"/>
      <c r="R402" s="167"/>
      <c r="S402" s="167"/>
      <c r="T402" s="167"/>
      <c r="U402" s="167"/>
      <c r="V402" s="167"/>
      <c r="W402" s="167"/>
      <c r="X402" s="167"/>
      <c r="Y402" s="167"/>
      <c r="Z402" s="167"/>
    </row>
    <row r="403" spans="1:26">
      <c r="A403" s="160"/>
      <c r="B403" s="161" t="s">
        <v>17</v>
      </c>
      <c r="C403" s="161"/>
      <c r="D403" s="161"/>
      <c r="E403" s="161"/>
      <c r="F403" s="161"/>
      <c r="G403" s="17">
        <f>'FEBRERO-18'!I400</f>
        <v>886521.79000000015</v>
      </c>
      <c r="H403" s="163">
        <f>SUM(H153:H402)</f>
        <v>113273.65000000002</v>
      </c>
      <c r="I403" s="162">
        <f>SUM(I153:I402)</f>
        <v>888068.14000000025</v>
      </c>
      <c r="J403" s="162">
        <f>SUM(J153:J402)</f>
        <v>161000</v>
      </c>
      <c r="K403" s="162">
        <f>SUM(K203:K402)</f>
        <v>46180</v>
      </c>
      <c r="M403" s="167"/>
      <c r="N403" s="167"/>
      <c r="O403" s="167"/>
      <c r="P403" s="167"/>
      <c r="Q403" s="167"/>
      <c r="R403" s="167"/>
      <c r="S403" s="167"/>
      <c r="T403" s="167"/>
      <c r="U403" s="167"/>
      <c r="V403" s="167"/>
      <c r="W403" s="167"/>
      <c r="X403" s="167"/>
      <c r="Y403" s="167"/>
      <c r="Z403" s="167"/>
    </row>
    <row r="404" spans="1:26" ht="58.5">
      <c r="A404" s="11" t="s">
        <v>555</v>
      </c>
      <c r="B404" s="57" t="s">
        <v>557</v>
      </c>
      <c r="C404" s="58"/>
      <c r="D404" s="14" t="s">
        <v>18</v>
      </c>
      <c r="E404" s="14" t="s">
        <v>28</v>
      </c>
      <c r="F404" s="14" t="s">
        <v>26</v>
      </c>
      <c r="G404" s="17">
        <f>'FEBRERO-18'!I401</f>
        <v>1000</v>
      </c>
      <c r="H404" s="51"/>
      <c r="I404" s="17">
        <f t="shared" ref="I404:I471" si="8">G404-H404+J404-K404</f>
        <v>1000</v>
      </c>
      <c r="J404" s="52"/>
      <c r="K404" s="52"/>
      <c r="M404" s="167"/>
      <c r="N404" s="167"/>
      <c r="O404" s="167"/>
      <c r="P404" s="167"/>
      <c r="Q404" s="167"/>
      <c r="R404" s="167"/>
      <c r="S404" s="167"/>
      <c r="T404" s="167"/>
      <c r="U404" s="167"/>
      <c r="V404" s="167"/>
      <c r="W404" s="167"/>
      <c r="X404" s="167"/>
      <c r="Y404" s="167"/>
      <c r="Z404" s="167"/>
    </row>
    <row r="405" spans="1:26" ht="58.5">
      <c r="A405" s="11" t="s">
        <v>556</v>
      </c>
      <c r="B405" s="57" t="s">
        <v>558</v>
      </c>
      <c r="C405" s="58"/>
      <c r="D405" s="14" t="s">
        <v>18</v>
      </c>
      <c r="E405" s="14" t="s">
        <v>28</v>
      </c>
      <c r="F405" s="14" t="s">
        <v>26</v>
      </c>
      <c r="G405" s="17">
        <f>'FEBRERO-18'!I402</f>
        <v>7000</v>
      </c>
      <c r="H405" s="51"/>
      <c r="I405" s="17">
        <f t="shared" si="8"/>
        <v>7000</v>
      </c>
      <c r="J405" s="52"/>
      <c r="K405" s="52"/>
      <c r="M405" s="167"/>
      <c r="N405" s="167"/>
      <c r="O405" s="167"/>
      <c r="P405" s="167"/>
      <c r="Q405" s="167"/>
    </row>
    <row r="406" spans="1:26" ht="72.75">
      <c r="A406" s="11" t="s">
        <v>560</v>
      </c>
      <c r="B406" s="57" t="s">
        <v>559</v>
      </c>
      <c r="C406" s="59"/>
      <c r="D406" s="14" t="s">
        <v>18</v>
      </c>
      <c r="E406" s="14" t="s">
        <v>28</v>
      </c>
      <c r="F406" s="14" t="s">
        <v>26</v>
      </c>
      <c r="G406" s="17">
        <f>'FEBRERO-18'!I403</f>
        <v>2000</v>
      </c>
      <c r="H406" s="51"/>
      <c r="I406" s="17">
        <f t="shared" si="8"/>
        <v>2000</v>
      </c>
      <c r="J406" s="52"/>
      <c r="K406" s="52"/>
    </row>
    <row r="407" spans="1:26" ht="72.75">
      <c r="A407" s="11" t="s">
        <v>561</v>
      </c>
      <c r="B407" s="57" t="s">
        <v>562</v>
      </c>
      <c r="C407" s="59"/>
      <c r="D407" s="14" t="s">
        <v>18</v>
      </c>
      <c r="E407" s="14" t="s">
        <v>28</v>
      </c>
      <c r="F407" s="14" t="s">
        <v>26</v>
      </c>
      <c r="G407" s="17">
        <f>'FEBRERO-18'!I404</f>
        <v>1990</v>
      </c>
      <c r="H407" s="51"/>
      <c r="I407" s="17">
        <f t="shared" si="8"/>
        <v>1990</v>
      </c>
      <c r="J407" s="56"/>
      <c r="K407" s="56"/>
    </row>
    <row r="408" spans="1:26" ht="72.75">
      <c r="A408" s="11" t="s">
        <v>564</v>
      </c>
      <c r="B408" s="57" t="s">
        <v>563</v>
      </c>
      <c r="C408" s="59"/>
      <c r="D408" s="14" t="s">
        <v>18</v>
      </c>
      <c r="E408" s="14" t="s">
        <v>28</v>
      </c>
      <c r="F408" s="14" t="s">
        <v>26</v>
      </c>
      <c r="G408" s="17">
        <f>'FEBRERO-18'!I405</f>
        <v>3000</v>
      </c>
      <c r="H408" s="51"/>
      <c r="I408" s="17">
        <f t="shared" si="8"/>
        <v>3000</v>
      </c>
      <c r="J408" s="52"/>
      <c r="K408" s="52"/>
    </row>
    <row r="409" spans="1:26" ht="72.75">
      <c r="A409" s="11" t="s">
        <v>566</v>
      </c>
      <c r="B409" s="57" t="s">
        <v>567</v>
      </c>
      <c r="C409" s="59"/>
      <c r="D409" s="14" t="s">
        <v>18</v>
      </c>
      <c r="E409" s="14" t="s">
        <v>28</v>
      </c>
      <c r="F409" s="14" t="s">
        <v>26</v>
      </c>
      <c r="G409" s="17">
        <f>'FEBRERO-18'!I406</f>
        <v>30000</v>
      </c>
      <c r="H409" s="51">
        <f>3443+315</f>
        <v>3758</v>
      </c>
      <c r="I409" s="17">
        <f t="shared" si="8"/>
        <v>36242</v>
      </c>
      <c r="J409" s="137">
        <f>10000</f>
        <v>10000</v>
      </c>
      <c r="K409" s="52"/>
    </row>
    <row r="410" spans="1:26" ht="72.75">
      <c r="A410" s="11" t="s">
        <v>565</v>
      </c>
      <c r="B410" s="57" t="s">
        <v>568</v>
      </c>
      <c r="C410" s="59"/>
      <c r="D410" s="14" t="s">
        <v>18</v>
      </c>
      <c r="E410" s="14" t="s">
        <v>28</v>
      </c>
      <c r="F410" s="14" t="s">
        <v>26</v>
      </c>
      <c r="G410" s="17">
        <f>'FEBRERO-18'!I407</f>
        <v>4472.03</v>
      </c>
      <c r="H410" s="51">
        <f>325</f>
        <v>325</v>
      </c>
      <c r="I410" s="17">
        <f t="shared" si="8"/>
        <v>4147.03</v>
      </c>
      <c r="J410" s="52"/>
      <c r="K410" s="52"/>
    </row>
    <row r="411" spans="1:26" ht="72.75">
      <c r="A411" s="11" t="s">
        <v>569</v>
      </c>
      <c r="B411" s="57" t="s">
        <v>570</v>
      </c>
      <c r="C411" s="59"/>
      <c r="D411" s="14" t="s">
        <v>18</v>
      </c>
      <c r="E411" s="14" t="s">
        <v>28</v>
      </c>
      <c r="F411" s="14" t="s">
        <v>26</v>
      </c>
      <c r="G411" s="17">
        <f>'FEBRERO-18'!I408</f>
        <v>10000</v>
      </c>
      <c r="H411" s="51">
        <f>400</f>
        <v>400</v>
      </c>
      <c r="I411" s="17">
        <f t="shared" si="8"/>
        <v>9600</v>
      </c>
      <c r="J411" s="52"/>
      <c r="K411" s="52"/>
    </row>
    <row r="412" spans="1:26" ht="72.75">
      <c r="A412" s="11" t="s">
        <v>571</v>
      </c>
      <c r="B412" s="57" t="s">
        <v>572</v>
      </c>
      <c r="C412" s="59"/>
      <c r="D412" s="14" t="s">
        <v>18</v>
      </c>
      <c r="E412" s="14" t="s">
        <v>28</v>
      </c>
      <c r="F412" s="14" t="s">
        <v>26</v>
      </c>
      <c r="G412" s="17">
        <f>'FEBRERO-18'!I409</f>
        <v>15000</v>
      </c>
      <c r="H412" s="51"/>
      <c r="I412" s="17">
        <f t="shared" si="8"/>
        <v>25000</v>
      </c>
      <c r="J412" s="137">
        <f>10000</f>
        <v>10000</v>
      </c>
      <c r="K412" s="52"/>
    </row>
    <row r="413" spans="1:26" ht="72.75">
      <c r="A413" s="11" t="s">
        <v>969</v>
      </c>
      <c r="B413" s="57" t="s">
        <v>970</v>
      </c>
      <c r="C413" s="59"/>
      <c r="D413" s="14" t="s">
        <v>18</v>
      </c>
      <c r="E413" s="14" t="s">
        <v>28</v>
      </c>
      <c r="F413" s="14" t="s">
        <v>26</v>
      </c>
      <c r="G413" s="17">
        <f>'FEBRERO-18'!I410</f>
        <v>6.9999999999999991</v>
      </c>
      <c r="H413" s="51"/>
      <c r="I413" s="17">
        <f t="shared" si="8"/>
        <v>6.9999999999999991</v>
      </c>
      <c r="J413" s="52"/>
      <c r="K413" s="52"/>
    </row>
    <row r="414" spans="1:26" ht="31.5" customHeight="1">
      <c r="A414" s="11">
        <v>54109</v>
      </c>
      <c r="B414" s="54" t="s">
        <v>1012</v>
      </c>
      <c r="C414" s="13"/>
      <c r="D414" s="14" t="s">
        <v>18</v>
      </c>
      <c r="E414" s="14" t="s">
        <v>28</v>
      </c>
      <c r="F414" s="14" t="s">
        <v>26</v>
      </c>
      <c r="G414" s="17">
        <f>'FEBRERO-18'!I411</f>
        <v>7990</v>
      </c>
      <c r="H414" s="51">
        <f>5650.02</f>
        <v>5650.02</v>
      </c>
      <c r="I414" s="17">
        <f t="shared" si="8"/>
        <v>2339.9799999999996</v>
      </c>
      <c r="J414" s="52"/>
      <c r="K414" s="52"/>
    </row>
    <row r="415" spans="1:26" ht="60">
      <c r="A415" s="11" t="s">
        <v>574</v>
      </c>
      <c r="B415" s="54" t="s">
        <v>575</v>
      </c>
      <c r="C415" s="13"/>
      <c r="D415" s="14" t="s">
        <v>18</v>
      </c>
      <c r="E415" s="14" t="s">
        <v>28</v>
      </c>
      <c r="F415" s="14" t="s">
        <v>26</v>
      </c>
      <c r="G415" s="17">
        <f>'FEBRERO-18'!I412</f>
        <v>5182.1000000000004</v>
      </c>
      <c r="H415" s="51"/>
      <c r="I415" s="17">
        <f t="shared" si="8"/>
        <v>5182.1000000000004</v>
      </c>
      <c r="J415" s="52"/>
      <c r="K415" s="52"/>
    </row>
    <row r="416" spans="1:26" ht="75">
      <c r="A416" s="11" t="s">
        <v>212</v>
      </c>
      <c r="B416" s="54" t="s">
        <v>576</v>
      </c>
      <c r="C416" s="13"/>
      <c r="D416" s="14" t="s">
        <v>18</v>
      </c>
      <c r="E416" s="14" t="s">
        <v>28</v>
      </c>
      <c r="F416" s="14" t="s">
        <v>26</v>
      </c>
      <c r="G416" s="17">
        <f>'FEBRERO-18'!I413</f>
        <v>15839</v>
      </c>
      <c r="H416" s="51">
        <f>1738.08+2258.17+87.8+170</f>
        <v>4254.05</v>
      </c>
      <c r="I416" s="17">
        <f t="shared" si="8"/>
        <v>11584.95</v>
      </c>
      <c r="J416" s="52"/>
      <c r="K416" s="52"/>
    </row>
    <row r="417" spans="1:11" ht="74.25">
      <c r="A417" s="11" t="s">
        <v>577</v>
      </c>
      <c r="B417" s="54" t="s">
        <v>578</v>
      </c>
      <c r="C417" s="13"/>
      <c r="D417" s="14" t="s">
        <v>18</v>
      </c>
      <c r="E417" s="14" t="s">
        <v>28</v>
      </c>
      <c r="F417" s="14" t="s">
        <v>26</v>
      </c>
      <c r="G417" s="17">
        <f>'FEBRERO-18'!I414</f>
        <v>15000</v>
      </c>
      <c r="H417" s="51">
        <f>75+400.92</f>
        <v>475.92</v>
      </c>
      <c r="I417" s="17">
        <f t="shared" si="8"/>
        <v>14524.08</v>
      </c>
      <c r="J417" s="56"/>
      <c r="K417" s="56"/>
    </row>
    <row r="418" spans="1:11" s="220" customFormat="1" ht="30">
      <c r="A418" s="11" t="s">
        <v>218</v>
      </c>
      <c r="B418" s="54" t="s">
        <v>579</v>
      </c>
      <c r="C418" s="13"/>
      <c r="D418" s="14" t="s">
        <v>18</v>
      </c>
      <c r="E418" s="14" t="s">
        <v>28</v>
      </c>
      <c r="F418" s="14" t="s">
        <v>26</v>
      </c>
      <c r="G418" s="17">
        <f>'FEBRERO-18'!I415</f>
        <v>7</v>
      </c>
      <c r="H418" s="51"/>
      <c r="I418" s="17">
        <f t="shared" si="8"/>
        <v>7</v>
      </c>
      <c r="J418" s="56"/>
      <c r="K418" s="56"/>
    </row>
    <row r="419" spans="1:11" s="229" customFormat="1" ht="9.75" customHeight="1">
      <c r="A419" s="221"/>
      <c r="B419" s="222"/>
      <c r="C419" s="223"/>
      <c r="D419" s="224"/>
      <c r="E419" s="224"/>
      <c r="F419" s="224"/>
      <c r="G419" s="17">
        <f>'FEBRERO-18'!I416</f>
        <v>0</v>
      </c>
      <c r="H419" s="226"/>
      <c r="I419" s="227"/>
      <c r="J419" s="228"/>
      <c r="K419" s="228"/>
    </row>
    <row r="420" spans="1:11" ht="44.25">
      <c r="A420" s="214" t="s">
        <v>988</v>
      </c>
      <c r="B420" s="215" t="s">
        <v>581</v>
      </c>
      <c r="C420" s="216"/>
      <c r="D420" s="187" t="s">
        <v>18</v>
      </c>
      <c r="E420" s="187" t="s">
        <v>28</v>
      </c>
      <c r="F420" s="187" t="s">
        <v>27</v>
      </c>
      <c r="G420" s="17">
        <f>'FEBRERO-18'!I417</f>
        <v>20061.990000000002</v>
      </c>
      <c r="H420" s="218">
        <f>796.64+837.41</f>
        <v>1634.05</v>
      </c>
      <c r="I420" s="189">
        <f t="shared" si="8"/>
        <v>18427.940000000002</v>
      </c>
      <c r="J420" s="219"/>
      <c r="K420" s="219"/>
    </row>
    <row r="421" spans="1:11" ht="30">
      <c r="A421" s="11" t="s">
        <v>235</v>
      </c>
      <c r="B421" s="54" t="s">
        <v>582</v>
      </c>
      <c r="C421" s="13"/>
      <c r="D421" s="14" t="s">
        <v>18</v>
      </c>
      <c r="E421" s="14" t="s">
        <v>28</v>
      </c>
      <c r="F421" s="14" t="s">
        <v>27</v>
      </c>
      <c r="G421" s="17">
        <f>'FEBRERO-18'!I418</f>
        <v>6.9999999999999991</v>
      </c>
      <c r="H421" s="51"/>
      <c r="I421" s="17">
        <f t="shared" si="8"/>
        <v>6.9999999999999991</v>
      </c>
      <c r="J421" s="56"/>
      <c r="K421" s="56"/>
    </row>
    <row r="422" spans="1:11" ht="96" customHeight="1">
      <c r="A422" s="11" t="s">
        <v>200</v>
      </c>
      <c r="B422" s="53" t="s">
        <v>584</v>
      </c>
      <c r="C422" s="13" t="s">
        <v>995</v>
      </c>
      <c r="D422" s="14"/>
      <c r="E422" s="14"/>
      <c r="F422" s="14"/>
      <c r="G422" s="17">
        <f>'FEBRERO-18'!I419</f>
        <v>0</v>
      </c>
      <c r="H422" s="51"/>
      <c r="I422" s="17"/>
      <c r="J422" s="56"/>
      <c r="K422" s="56"/>
    </row>
    <row r="423" spans="1:11" ht="30">
      <c r="A423" s="11">
        <v>54111</v>
      </c>
      <c r="B423" s="54" t="s">
        <v>583</v>
      </c>
      <c r="C423" s="13"/>
      <c r="D423" s="14" t="s">
        <v>18</v>
      </c>
      <c r="E423" s="14" t="s">
        <v>28</v>
      </c>
      <c r="F423" s="14" t="s">
        <v>27</v>
      </c>
      <c r="G423" s="17">
        <f>'FEBRERO-18'!I420</f>
        <v>139.35</v>
      </c>
      <c r="H423" s="51"/>
      <c r="I423" s="17">
        <f t="shared" si="8"/>
        <v>139.35</v>
      </c>
      <c r="J423" s="56"/>
      <c r="K423" s="56"/>
    </row>
    <row r="424" spans="1:11" ht="75">
      <c r="A424" s="141" t="s">
        <v>201</v>
      </c>
      <c r="B424" s="53" t="s">
        <v>585</v>
      </c>
      <c r="C424" s="13"/>
      <c r="D424" s="14"/>
      <c r="E424" s="14"/>
      <c r="F424" s="14"/>
      <c r="G424" s="17">
        <f>'FEBRERO-18'!I421</f>
        <v>0</v>
      </c>
      <c r="H424" s="51"/>
      <c r="I424" s="17"/>
      <c r="J424" s="56"/>
      <c r="K424" s="56"/>
    </row>
    <row r="425" spans="1:11" ht="29.25">
      <c r="A425" s="11">
        <v>54110</v>
      </c>
      <c r="B425" s="54" t="s">
        <v>586</v>
      </c>
      <c r="C425" s="13"/>
      <c r="D425" s="14" t="s">
        <v>18</v>
      </c>
      <c r="E425" s="14" t="s">
        <v>28</v>
      </c>
      <c r="F425" s="14" t="s">
        <v>27</v>
      </c>
      <c r="G425" s="17">
        <f>'FEBRERO-18'!I422</f>
        <v>30</v>
      </c>
      <c r="H425" s="51"/>
      <c r="I425" s="17">
        <f t="shared" si="8"/>
        <v>30</v>
      </c>
      <c r="J425" s="56"/>
      <c r="K425" s="56"/>
    </row>
    <row r="426" spans="1:11" ht="30">
      <c r="A426" s="11">
        <v>54111</v>
      </c>
      <c r="B426" s="54" t="s">
        <v>587</v>
      </c>
      <c r="C426" s="13"/>
      <c r="D426" s="14" t="s">
        <v>18</v>
      </c>
      <c r="E426" s="14" t="s">
        <v>28</v>
      </c>
      <c r="F426" s="14" t="s">
        <v>27</v>
      </c>
      <c r="G426" s="17">
        <f>'FEBRERO-18'!I423</f>
        <v>107.15999999999994</v>
      </c>
      <c r="H426" s="51"/>
      <c r="I426" s="17">
        <f t="shared" si="8"/>
        <v>107.15999999999994</v>
      </c>
      <c r="J426" s="56"/>
      <c r="K426" s="56"/>
    </row>
    <row r="427" spans="1:11" ht="29.25">
      <c r="A427" s="11">
        <v>54112</v>
      </c>
      <c r="B427" s="54" t="s">
        <v>588</v>
      </c>
      <c r="C427" s="59"/>
      <c r="D427" s="14" t="s">
        <v>18</v>
      </c>
      <c r="E427" s="14" t="s">
        <v>28</v>
      </c>
      <c r="F427" s="14" t="s">
        <v>27</v>
      </c>
      <c r="G427" s="17">
        <f>'FEBRERO-18'!I424</f>
        <v>0</v>
      </c>
      <c r="H427" s="51"/>
      <c r="I427" s="17">
        <f t="shared" si="8"/>
        <v>0</v>
      </c>
      <c r="J427" s="56"/>
      <c r="K427" s="56"/>
    </row>
    <row r="428" spans="1:11" ht="29.25">
      <c r="A428" s="11">
        <v>55603</v>
      </c>
      <c r="B428" s="54" t="s">
        <v>974</v>
      </c>
      <c r="C428" s="55"/>
      <c r="D428" s="14" t="s">
        <v>18</v>
      </c>
      <c r="E428" s="14" t="s">
        <v>28</v>
      </c>
      <c r="F428" s="14" t="s">
        <v>27</v>
      </c>
      <c r="G428" s="17">
        <f>'FEBRERO-18'!I425</f>
        <v>0.30000000000000004</v>
      </c>
      <c r="H428" s="51"/>
      <c r="I428" s="17">
        <f t="shared" si="8"/>
        <v>0.30000000000000004</v>
      </c>
      <c r="J428" s="11"/>
      <c r="K428" s="54"/>
    </row>
    <row r="429" spans="1:11" ht="90">
      <c r="A429" s="11" t="s">
        <v>220</v>
      </c>
      <c r="B429" s="53" t="s">
        <v>966</v>
      </c>
      <c r="C429" s="55"/>
      <c r="D429" s="14"/>
      <c r="E429" s="14"/>
      <c r="F429" s="14"/>
      <c r="G429" s="17">
        <f>'FEBRERO-18'!I426</f>
        <v>0</v>
      </c>
      <c r="H429" s="51"/>
      <c r="I429" s="17"/>
      <c r="J429" s="11"/>
      <c r="K429" s="54"/>
    </row>
    <row r="430" spans="1:11" ht="29.25">
      <c r="A430" s="11">
        <v>51202</v>
      </c>
      <c r="B430" s="54" t="s">
        <v>589</v>
      </c>
      <c r="C430" s="55"/>
      <c r="D430" s="14" t="s">
        <v>18</v>
      </c>
      <c r="E430" s="14" t="s">
        <v>28</v>
      </c>
      <c r="F430" s="14" t="s">
        <v>27</v>
      </c>
      <c r="G430" s="17">
        <f>'FEBRERO-18'!I427</f>
        <v>200</v>
      </c>
      <c r="H430" s="51"/>
      <c r="I430" s="17">
        <f t="shared" si="8"/>
        <v>0</v>
      </c>
      <c r="J430" s="11"/>
      <c r="K430" s="251">
        <v>200</v>
      </c>
    </row>
    <row r="431" spans="1:11" ht="29.25" customHeight="1">
      <c r="A431" s="11">
        <v>54110</v>
      </c>
      <c r="B431" s="54" t="s">
        <v>590</v>
      </c>
      <c r="C431" s="55"/>
      <c r="D431" s="14" t="s">
        <v>18</v>
      </c>
      <c r="E431" s="14" t="s">
        <v>28</v>
      </c>
      <c r="F431" s="14" t="s">
        <v>27</v>
      </c>
      <c r="G431" s="17">
        <f>'FEBRERO-18'!I428</f>
        <v>175</v>
      </c>
      <c r="H431" s="51"/>
      <c r="I431" s="17">
        <f t="shared" si="8"/>
        <v>0</v>
      </c>
      <c r="J431" s="11"/>
      <c r="K431" s="251">
        <v>175</v>
      </c>
    </row>
    <row r="432" spans="1:11" ht="30">
      <c r="A432" s="11">
        <v>54111</v>
      </c>
      <c r="B432" s="54" t="s">
        <v>591</v>
      </c>
      <c r="C432" s="55"/>
      <c r="D432" s="14" t="s">
        <v>18</v>
      </c>
      <c r="E432" s="14" t="s">
        <v>28</v>
      </c>
      <c r="F432" s="14" t="s">
        <v>27</v>
      </c>
      <c r="G432" s="17">
        <f>'FEBRERO-18'!I429</f>
        <v>215.07</v>
      </c>
      <c r="H432" s="51">
        <f>825</f>
        <v>825</v>
      </c>
      <c r="I432" s="17">
        <f t="shared" si="8"/>
        <v>1.3199999999999363</v>
      </c>
      <c r="J432" s="252">
        <v>611.25</v>
      </c>
      <c r="K432" s="251"/>
    </row>
    <row r="433" spans="1:11" ht="29.25">
      <c r="A433" s="11">
        <v>54112</v>
      </c>
      <c r="B433" s="54" t="s">
        <v>592</v>
      </c>
      <c r="C433" s="55"/>
      <c r="D433" s="14" t="s">
        <v>18</v>
      </c>
      <c r="E433" s="14" t="s">
        <v>28</v>
      </c>
      <c r="F433" s="14" t="s">
        <v>27</v>
      </c>
      <c r="G433" s="17">
        <f>'FEBRERO-18'!I430</f>
        <v>100</v>
      </c>
      <c r="H433" s="51">
        <f>18.75</f>
        <v>18.75</v>
      </c>
      <c r="I433" s="17">
        <f t="shared" si="8"/>
        <v>0</v>
      </c>
      <c r="J433" s="11"/>
      <c r="K433" s="251">
        <v>81.25</v>
      </c>
    </row>
    <row r="434" spans="1:11" ht="29.25">
      <c r="A434" s="11">
        <v>54313</v>
      </c>
      <c r="B434" s="54" t="s">
        <v>593</v>
      </c>
      <c r="C434" s="55"/>
      <c r="D434" s="14" t="s">
        <v>18</v>
      </c>
      <c r="E434" s="14" t="s">
        <v>28</v>
      </c>
      <c r="F434" s="14" t="s">
        <v>27</v>
      </c>
      <c r="G434" s="17">
        <f>'FEBRERO-18'!I431</f>
        <v>58</v>
      </c>
      <c r="H434" s="51"/>
      <c r="I434" s="17">
        <f t="shared" si="8"/>
        <v>0</v>
      </c>
      <c r="J434" s="11"/>
      <c r="K434" s="251">
        <v>58</v>
      </c>
    </row>
    <row r="435" spans="1:11" ht="100.5" customHeight="1">
      <c r="A435" s="11" t="s">
        <v>238</v>
      </c>
      <c r="B435" s="53" t="s">
        <v>595</v>
      </c>
      <c r="C435" s="55"/>
      <c r="D435" s="14"/>
      <c r="E435" s="14"/>
      <c r="F435" s="14"/>
      <c r="G435" s="17">
        <f>'FEBRERO-18'!I432</f>
        <v>0</v>
      </c>
      <c r="H435" s="51"/>
      <c r="I435" s="17"/>
      <c r="J435" s="11"/>
      <c r="K435" s="54"/>
    </row>
    <row r="436" spans="1:11" ht="29.25">
      <c r="A436" s="11">
        <v>51202</v>
      </c>
      <c r="B436" s="54" t="s">
        <v>594</v>
      </c>
      <c r="C436" s="55"/>
      <c r="D436" s="14" t="s">
        <v>18</v>
      </c>
      <c r="E436" s="14" t="s">
        <v>28</v>
      </c>
      <c r="F436" s="14" t="s">
        <v>27</v>
      </c>
      <c r="G436" s="17">
        <f>'FEBRERO-18'!I433</f>
        <v>5913.33</v>
      </c>
      <c r="H436" s="51">
        <f>233.33+186.67+186.67+120+124.44+233.33+186.67+186.67+124.44</f>
        <v>1582.22</v>
      </c>
      <c r="I436" s="17">
        <f t="shared" si="8"/>
        <v>4331.1099999999997</v>
      </c>
      <c r="J436" s="11"/>
      <c r="K436" s="54"/>
    </row>
    <row r="437" spans="1:11" ht="29.25">
      <c r="A437" s="11">
        <v>54110</v>
      </c>
      <c r="B437" s="54" t="s">
        <v>596</v>
      </c>
      <c r="C437" s="55"/>
      <c r="D437" s="14" t="s">
        <v>18</v>
      </c>
      <c r="E437" s="14" t="s">
        <v>28</v>
      </c>
      <c r="F437" s="14" t="s">
        <v>27</v>
      </c>
      <c r="G437" s="17">
        <f>'FEBRERO-18'!I434</f>
        <v>452.8</v>
      </c>
      <c r="H437" s="51"/>
      <c r="I437" s="17">
        <f t="shared" si="8"/>
        <v>452.8</v>
      </c>
      <c r="J437" s="11"/>
      <c r="K437" s="54"/>
    </row>
    <row r="438" spans="1:11" ht="29.25">
      <c r="A438" s="11">
        <v>54111</v>
      </c>
      <c r="B438" s="54" t="s">
        <v>597</v>
      </c>
      <c r="C438" s="55"/>
      <c r="D438" s="14" t="s">
        <v>18</v>
      </c>
      <c r="E438" s="14" t="s">
        <v>28</v>
      </c>
      <c r="F438" s="14" t="s">
        <v>27</v>
      </c>
      <c r="G438" s="17">
        <f>'FEBRERO-18'!I435</f>
        <v>8838.9</v>
      </c>
      <c r="H438" s="51">
        <f>3825+800+623.76+152.5+1953+1345</f>
        <v>8699.26</v>
      </c>
      <c r="I438" s="17">
        <f t="shared" si="8"/>
        <v>139.63999999999942</v>
      </c>
      <c r="J438" s="11"/>
      <c r="K438" s="54"/>
    </row>
    <row r="439" spans="1:11" ht="29.25">
      <c r="A439" s="11">
        <v>54112</v>
      </c>
      <c r="B439" s="54" t="s">
        <v>598</v>
      </c>
      <c r="C439" s="55"/>
      <c r="D439" s="14" t="s">
        <v>18</v>
      </c>
      <c r="E439" s="14" t="s">
        <v>28</v>
      </c>
      <c r="F439" s="14" t="s">
        <v>27</v>
      </c>
      <c r="G439" s="17">
        <f>'FEBRERO-18'!I436</f>
        <v>5000</v>
      </c>
      <c r="H439" s="51">
        <f>35</f>
        <v>35</v>
      </c>
      <c r="I439" s="17">
        <f t="shared" si="8"/>
        <v>4965</v>
      </c>
      <c r="J439" s="11"/>
      <c r="K439" s="54"/>
    </row>
    <row r="440" spans="1:11" ht="29.25">
      <c r="A440" s="11">
        <v>54118</v>
      </c>
      <c r="B440" s="54" t="s">
        <v>599</v>
      </c>
      <c r="C440" s="55"/>
      <c r="D440" s="14" t="s">
        <v>18</v>
      </c>
      <c r="E440" s="14" t="s">
        <v>28</v>
      </c>
      <c r="F440" s="14" t="s">
        <v>27</v>
      </c>
      <c r="G440" s="17">
        <f>'FEBRERO-18'!I437</f>
        <v>5689.25</v>
      </c>
      <c r="H440" s="51"/>
      <c r="I440" s="17">
        <f t="shared" si="8"/>
        <v>5689.25</v>
      </c>
      <c r="J440" s="56"/>
      <c r="K440" s="56"/>
    </row>
    <row r="441" spans="1:11" ht="29.25">
      <c r="A441" s="11">
        <v>54304</v>
      </c>
      <c r="B441" s="54" t="s">
        <v>600</v>
      </c>
      <c r="C441" s="55"/>
      <c r="D441" s="14" t="s">
        <v>18</v>
      </c>
      <c r="E441" s="14" t="s">
        <v>28</v>
      </c>
      <c r="F441" s="14" t="s">
        <v>27</v>
      </c>
      <c r="G441" s="17">
        <f>'FEBRERO-18'!I438</f>
        <v>4500</v>
      </c>
      <c r="H441" s="51"/>
      <c r="I441" s="17">
        <f t="shared" si="8"/>
        <v>4500</v>
      </c>
      <c r="J441" s="56"/>
      <c r="K441" s="56"/>
    </row>
    <row r="442" spans="1:11" ht="29.25">
      <c r="A442" s="11">
        <v>54313</v>
      </c>
      <c r="B442" s="54" t="s">
        <v>601</v>
      </c>
      <c r="C442" s="55"/>
      <c r="D442" s="14" t="s">
        <v>18</v>
      </c>
      <c r="E442" s="14" t="s">
        <v>28</v>
      </c>
      <c r="F442" s="14" t="s">
        <v>27</v>
      </c>
      <c r="G442" s="17">
        <f>'FEBRERO-18'!I439</f>
        <v>300</v>
      </c>
      <c r="H442" s="51">
        <f>190</f>
        <v>190</v>
      </c>
      <c r="I442" s="17">
        <f t="shared" si="8"/>
        <v>13</v>
      </c>
      <c r="J442" s="56"/>
      <c r="K442" s="237">
        <v>97</v>
      </c>
    </row>
    <row r="443" spans="1:11" ht="29.25">
      <c r="A443" s="11">
        <v>54399</v>
      </c>
      <c r="B443" s="54" t="s">
        <v>602</v>
      </c>
      <c r="C443" s="13"/>
      <c r="D443" s="14" t="s">
        <v>18</v>
      </c>
      <c r="E443" s="14" t="s">
        <v>28</v>
      </c>
      <c r="F443" s="14" t="s">
        <v>27</v>
      </c>
      <c r="G443" s="17">
        <f>'FEBRERO-18'!I440</f>
        <v>500</v>
      </c>
      <c r="H443" s="51"/>
      <c r="I443" s="17">
        <f t="shared" si="8"/>
        <v>500</v>
      </c>
      <c r="J443" s="56"/>
      <c r="K443" s="56"/>
    </row>
    <row r="444" spans="1:11" ht="29.25">
      <c r="A444" s="11">
        <v>55603</v>
      </c>
      <c r="B444" s="54" t="s">
        <v>603</v>
      </c>
      <c r="C444" s="55"/>
      <c r="D444" s="14" t="s">
        <v>18</v>
      </c>
      <c r="E444" s="14" t="s">
        <v>28</v>
      </c>
      <c r="F444" s="14" t="s">
        <v>27</v>
      </c>
      <c r="G444" s="17">
        <f>'FEBRERO-18'!I441</f>
        <v>10</v>
      </c>
      <c r="H444" s="51">
        <f>1.7</f>
        <v>1.7</v>
      </c>
      <c r="I444" s="17">
        <f t="shared" si="8"/>
        <v>8.3000000000000007</v>
      </c>
      <c r="J444" s="56"/>
      <c r="K444" s="56"/>
    </row>
    <row r="445" spans="1:11" ht="102.75" customHeight="1">
      <c r="A445" s="141" t="s">
        <v>256</v>
      </c>
      <c r="B445" s="53" t="s">
        <v>982</v>
      </c>
      <c r="C445" s="13"/>
      <c r="D445" s="14"/>
      <c r="E445" s="14"/>
      <c r="F445" s="14"/>
      <c r="G445" s="17">
        <f>'FEBRERO-18'!I442</f>
        <v>0</v>
      </c>
      <c r="H445" s="51"/>
      <c r="I445" s="17"/>
      <c r="J445" s="56"/>
      <c r="K445" s="56"/>
    </row>
    <row r="446" spans="1:11" ht="29.25">
      <c r="A446" s="11">
        <v>51202</v>
      </c>
      <c r="B446" s="53" t="s">
        <v>605</v>
      </c>
      <c r="C446" s="13"/>
      <c r="D446" s="14" t="s">
        <v>18</v>
      </c>
      <c r="E446" s="14" t="s">
        <v>28</v>
      </c>
      <c r="F446" s="14" t="s">
        <v>27</v>
      </c>
      <c r="G446" s="17">
        <f>'FEBRERO-18'!I443</f>
        <v>1928.8999999999996</v>
      </c>
      <c r="H446" s="51"/>
      <c r="I446" s="17">
        <f t="shared" si="8"/>
        <v>1628.8999999999996</v>
      </c>
      <c r="J446" s="237"/>
      <c r="K446" s="237">
        <v>300</v>
      </c>
    </row>
    <row r="447" spans="1:11" ht="29.25">
      <c r="A447" s="11">
        <v>54110</v>
      </c>
      <c r="B447" s="53" t="s">
        <v>606</v>
      </c>
      <c r="C447" s="13"/>
      <c r="D447" s="14" t="s">
        <v>18</v>
      </c>
      <c r="E447" s="14" t="s">
        <v>28</v>
      </c>
      <c r="F447" s="14" t="s">
        <v>27</v>
      </c>
      <c r="G447" s="17">
        <f>'FEBRERO-18'!I444</f>
        <v>257.45</v>
      </c>
      <c r="H447" s="51">
        <f>21.03</f>
        <v>21.03</v>
      </c>
      <c r="I447" s="17">
        <f t="shared" si="8"/>
        <v>236.42</v>
      </c>
      <c r="J447" s="237"/>
      <c r="K447" s="237"/>
    </row>
    <row r="448" spans="1:11" ht="30">
      <c r="A448" s="11">
        <v>54111</v>
      </c>
      <c r="B448" s="53" t="s">
        <v>607</v>
      </c>
      <c r="C448" s="13"/>
      <c r="D448" s="14" t="s">
        <v>18</v>
      </c>
      <c r="E448" s="14" t="s">
        <v>28</v>
      </c>
      <c r="F448" s="14" t="s">
        <v>27</v>
      </c>
      <c r="G448" s="17">
        <f>'FEBRERO-18'!I445</f>
        <v>83.540000000000873</v>
      </c>
      <c r="H448" s="212">
        <f>140+1077.5</f>
        <v>1217.5</v>
      </c>
      <c r="I448" s="17">
        <f t="shared" si="8"/>
        <v>1166.0400000000009</v>
      </c>
      <c r="J448" s="253">
        <f>1000+1300</f>
        <v>2300</v>
      </c>
      <c r="K448" s="237"/>
    </row>
    <row r="449" spans="1:11" ht="29.25">
      <c r="A449" s="11">
        <v>54112</v>
      </c>
      <c r="B449" s="53" t="s">
        <v>608</v>
      </c>
      <c r="C449" s="13"/>
      <c r="D449" s="14" t="s">
        <v>18</v>
      </c>
      <c r="E449" s="14" t="s">
        <v>28</v>
      </c>
      <c r="F449" s="14" t="s">
        <v>27</v>
      </c>
      <c r="G449" s="17">
        <f>'FEBRERO-18'!I446</f>
        <v>0</v>
      </c>
      <c r="H449" s="51"/>
      <c r="I449" s="17">
        <f t="shared" si="8"/>
        <v>0</v>
      </c>
      <c r="J449" s="237"/>
      <c r="K449" s="253"/>
    </row>
    <row r="450" spans="1:11" ht="29.25">
      <c r="A450" s="11">
        <v>54118</v>
      </c>
      <c r="B450" s="53" t="s">
        <v>609</v>
      </c>
      <c r="C450" s="13"/>
      <c r="D450" s="14" t="s">
        <v>18</v>
      </c>
      <c r="E450" s="14" t="s">
        <v>28</v>
      </c>
      <c r="F450" s="14" t="s">
        <v>27</v>
      </c>
      <c r="G450" s="17">
        <f>'FEBRERO-18'!I447</f>
        <v>1000</v>
      </c>
      <c r="H450" s="51"/>
      <c r="I450" s="17">
        <f t="shared" si="8"/>
        <v>0</v>
      </c>
      <c r="J450" s="237"/>
      <c r="K450" s="237">
        <v>1000</v>
      </c>
    </row>
    <row r="451" spans="1:11" ht="29.25">
      <c r="A451" s="11">
        <v>54304</v>
      </c>
      <c r="B451" s="53" t="s">
        <v>610</v>
      </c>
      <c r="C451" s="13"/>
      <c r="D451" s="14" t="s">
        <v>18</v>
      </c>
      <c r="E451" s="14" t="s">
        <v>28</v>
      </c>
      <c r="F451" s="14" t="s">
        <v>27</v>
      </c>
      <c r="G451" s="17">
        <f>'FEBRERO-18'!I448</f>
        <v>200</v>
      </c>
      <c r="H451" s="51"/>
      <c r="I451" s="17">
        <f t="shared" si="8"/>
        <v>200</v>
      </c>
      <c r="J451" s="56"/>
      <c r="K451" s="56"/>
    </row>
    <row r="452" spans="1:11" ht="29.25">
      <c r="A452" s="11">
        <v>54313</v>
      </c>
      <c r="B452" s="53" t="s">
        <v>611</v>
      </c>
      <c r="C452" s="13"/>
      <c r="D452" s="14" t="s">
        <v>18</v>
      </c>
      <c r="E452" s="14" t="s">
        <v>28</v>
      </c>
      <c r="F452" s="14" t="s">
        <v>27</v>
      </c>
      <c r="G452" s="17">
        <f>'FEBRERO-18'!I449</f>
        <v>300</v>
      </c>
      <c r="H452" s="51">
        <f>190</f>
        <v>190</v>
      </c>
      <c r="I452" s="17">
        <f t="shared" si="8"/>
        <v>110</v>
      </c>
      <c r="J452" s="56"/>
      <c r="K452" s="56"/>
    </row>
    <row r="453" spans="1:11" ht="105">
      <c r="A453" s="141" t="s">
        <v>264</v>
      </c>
      <c r="B453" s="53" t="s">
        <v>981</v>
      </c>
      <c r="C453" s="13"/>
      <c r="D453" s="14"/>
      <c r="E453" s="14"/>
      <c r="F453" s="14"/>
      <c r="G453" s="17">
        <f>'FEBRERO-18'!I450</f>
        <v>0</v>
      </c>
      <c r="H453" s="51"/>
      <c r="I453" s="17"/>
      <c r="J453" s="56"/>
      <c r="K453" s="56"/>
    </row>
    <row r="454" spans="1:11" ht="29.25">
      <c r="A454" s="11">
        <v>51202</v>
      </c>
      <c r="B454" s="53" t="s">
        <v>613</v>
      </c>
      <c r="C454" s="13"/>
      <c r="D454" s="14" t="s">
        <v>18</v>
      </c>
      <c r="E454" s="14" t="s">
        <v>28</v>
      </c>
      <c r="F454" s="14" t="s">
        <v>27</v>
      </c>
      <c r="G454" s="17">
        <f>'FEBRERO-18'!I451</f>
        <v>746.66</v>
      </c>
      <c r="H454" s="51"/>
      <c r="I454" s="17">
        <f t="shared" si="8"/>
        <v>746.66</v>
      </c>
      <c r="J454" s="56"/>
      <c r="K454" s="56"/>
    </row>
    <row r="455" spans="1:11" ht="29.25">
      <c r="A455" s="11">
        <v>54110</v>
      </c>
      <c r="B455" s="53" t="s">
        <v>614</v>
      </c>
      <c r="C455" s="13"/>
      <c r="D455" s="14" t="s">
        <v>18</v>
      </c>
      <c r="E455" s="14" t="s">
        <v>28</v>
      </c>
      <c r="F455" s="14" t="s">
        <v>27</v>
      </c>
      <c r="G455" s="17">
        <f>'FEBRERO-18'!I452</f>
        <v>26.909999999999997</v>
      </c>
      <c r="H455" s="51"/>
      <c r="I455" s="17">
        <f t="shared" si="8"/>
        <v>26.909999999999997</v>
      </c>
      <c r="J455" s="56"/>
      <c r="K455" s="127"/>
    </row>
    <row r="456" spans="1:11" ht="43.5">
      <c r="A456" s="11">
        <v>54111</v>
      </c>
      <c r="B456" s="53" t="s">
        <v>615</v>
      </c>
      <c r="C456" s="13"/>
      <c r="D456" s="14" t="s">
        <v>18</v>
      </c>
      <c r="E456" s="14" t="s">
        <v>28</v>
      </c>
      <c r="F456" s="14" t="s">
        <v>27</v>
      </c>
      <c r="G456" s="17">
        <f>'FEBRERO-18'!I453</f>
        <v>697.25</v>
      </c>
      <c r="H456" s="51"/>
      <c r="I456" s="17">
        <f t="shared" si="8"/>
        <v>682.25</v>
      </c>
      <c r="J456" s="239"/>
      <c r="K456" s="237">
        <v>15</v>
      </c>
    </row>
    <row r="457" spans="1:11" ht="43.5">
      <c r="A457" s="11">
        <v>54112</v>
      </c>
      <c r="B457" s="53" t="s">
        <v>616</v>
      </c>
      <c r="C457" s="13"/>
      <c r="D457" s="14" t="s">
        <v>18</v>
      </c>
      <c r="E457" s="14" t="s">
        <v>28</v>
      </c>
      <c r="F457" s="14" t="s">
        <v>27</v>
      </c>
      <c r="G457" s="17">
        <f>'FEBRERO-18'!I454</f>
        <v>0</v>
      </c>
      <c r="H457" s="51"/>
      <c r="I457" s="17">
        <f t="shared" si="8"/>
        <v>0</v>
      </c>
      <c r="J457" s="56"/>
      <c r="K457" s="127"/>
    </row>
    <row r="458" spans="1:11" ht="43.5">
      <c r="A458" s="11">
        <v>54118</v>
      </c>
      <c r="B458" s="53" t="s">
        <v>617</v>
      </c>
      <c r="C458" s="13"/>
      <c r="D458" s="14" t="s">
        <v>18</v>
      </c>
      <c r="E458" s="14" t="s">
        <v>28</v>
      </c>
      <c r="F458" s="14" t="s">
        <v>27</v>
      </c>
      <c r="G458" s="17">
        <f>'FEBRERO-18'!I455</f>
        <v>0.62999999999999901</v>
      </c>
      <c r="H458" s="51"/>
      <c r="I458" s="17">
        <f t="shared" si="8"/>
        <v>0.62999999999999901</v>
      </c>
      <c r="J458" s="56"/>
      <c r="K458" s="137"/>
    </row>
    <row r="459" spans="1:11" ht="43.5">
      <c r="A459" s="11">
        <v>54304</v>
      </c>
      <c r="B459" s="53" t="s">
        <v>618</v>
      </c>
      <c r="C459" s="13"/>
      <c r="D459" s="14" t="s">
        <v>18</v>
      </c>
      <c r="E459" s="14" t="s">
        <v>28</v>
      </c>
      <c r="F459" s="14" t="s">
        <v>27</v>
      </c>
      <c r="G459" s="17">
        <f>'FEBRERO-18'!I456</f>
        <v>0</v>
      </c>
      <c r="H459" s="51"/>
      <c r="I459" s="17">
        <f t="shared" si="8"/>
        <v>0</v>
      </c>
      <c r="J459" s="56"/>
      <c r="K459" s="142"/>
    </row>
    <row r="460" spans="1:11" ht="43.5">
      <c r="A460" s="11">
        <v>54313</v>
      </c>
      <c r="B460" s="53" t="s">
        <v>619</v>
      </c>
      <c r="C460" s="13"/>
      <c r="D460" s="14" t="s">
        <v>18</v>
      </c>
      <c r="E460" s="14" t="s">
        <v>28</v>
      </c>
      <c r="F460" s="14" t="s">
        <v>27</v>
      </c>
      <c r="G460" s="17">
        <f>'FEBRERO-18'!I457</f>
        <v>175</v>
      </c>
      <c r="H460" s="51">
        <f>190</f>
        <v>190</v>
      </c>
      <c r="I460" s="17">
        <f t="shared" si="8"/>
        <v>0</v>
      </c>
      <c r="J460" s="237">
        <v>15</v>
      </c>
      <c r="K460" s="137"/>
    </row>
    <row r="461" spans="1:11" ht="105">
      <c r="A461" s="144" t="s">
        <v>269</v>
      </c>
      <c r="B461" s="53" t="s">
        <v>983</v>
      </c>
      <c r="C461" s="13"/>
      <c r="D461" s="14"/>
      <c r="E461" s="14"/>
      <c r="F461" s="14"/>
      <c r="G461" s="17">
        <f>'FEBRERO-18'!I458</f>
        <v>0</v>
      </c>
      <c r="H461" s="51"/>
      <c r="I461" s="17"/>
      <c r="J461" s="56"/>
      <c r="K461" s="56"/>
    </row>
    <row r="462" spans="1:11" ht="29.25">
      <c r="A462" s="11">
        <v>51202</v>
      </c>
      <c r="B462" s="54" t="s">
        <v>620</v>
      </c>
      <c r="C462" s="13"/>
      <c r="D462" s="14" t="s">
        <v>18</v>
      </c>
      <c r="E462" s="14" t="s">
        <v>28</v>
      </c>
      <c r="F462" s="14" t="s">
        <v>27</v>
      </c>
      <c r="G462" s="17">
        <f>'FEBRERO-18'!I459</f>
        <v>6000</v>
      </c>
      <c r="H462" s="51"/>
      <c r="I462" s="17">
        <f t="shared" si="8"/>
        <v>6000</v>
      </c>
      <c r="J462" s="56"/>
      <c r="K462" s="56"/>
    </row>
    <row r="463" spans="1:11" ht="35.25" customHeight="1">
      <c r="A463" s="11">
        <v>54110</v>
      </c>
      <c r="B463" s="54" t="s">
        <v>622</v>
      </c>
      <c r="C463" s="13"/>
      <c r="D463" s="14" t="s">
        <v>18</v>
      </c>
      <c r="E463" s="14" t="s">
        <v>28</v>
      </c>
      <c r="F463" s="14" t="s">
        <v>27</v>
      </c>
      <c r="G463" s="17">
        <f>'FEBRERO-18'!I460</f>
        <v>300</v>
      </c>
      <c r="H463" s="51"/>
      <c r="I463" s="17">
        <f t="shared" si="8"/>
        <v>300</v>
      </c>
      <c r="J463" s="56"/>
      <c r="K463" s="56"/>
    </row>
    <row r="464" spans="1:11" ht="43.5">
      <c r="A464" s="11">
        <v>54111</v>
      </c>
      <c r="B464" s="54" t="s">
        <v>621</v>
      </c>
      <c r="C464" s="13"/>
      <c r="D464" s="14" t="s">
        <v>18</v>
      </c>
      <c r="E464" s="14" t="s">
        <v>28</v>
      </c>
      <c r="F464" s="14" t="s">
        <v>27</v>
      </c>
      <c r="G464" s="17">
        <f>'FEBRERO-18'!I461</f>
        <v>10000</v>
      </c>
      <c r="H464" s="51"/>
      <c r="I464" s="17">
        <f t="shared" si="8"/>
        <v>10000</v>
      </c>
      <c r="J464" s="56"/>
      <c r="K464" s="56"/>
    </row>
    <row r="465" spans="1:11" ht="43.5">
      <c r="A465" s="11">
        <v>54112</v>
      </c>
      <c r="B465" s="54" t="s">
        <v>623</v>
      </c>
      <c r="C465" s="13"/>
      <c r="D465" s="14" t="s">
        <v>18</v>
      </c>
      <c r="E465" s="14" t="s">
        <v>28</v>
      </c>
      <c r="F465" s="14" t="s">
        <v>27</v>
      </c>
      <c r="G465" s="17">
        <f>'FEBRERO-18'!I462</f>
        <v>2695.87</v>
      </c>
      <c r="H465" s="51"/>
      <c r="I465" s="17">
        <f t="shared" si="8"/>
        <v>2695.87</v>
      </c>
      <c r="J465" s="56"/>
      <c r="K465" s="56"/>
    </row>
    <row r="466" spans="1:11" ht="43.5">
      <c r="A466" s="11">
        <v>54118</v>
      </c>
      <c r="B466" s="54" t="s">
        <v>624</v>
      </c>
      <c r="C466" s="13"/>
      <c r="D466" s="14" t="s">
        <v>18</v>
      </c>
      <c r="E466" s="14" t="s">
        <v>28</v>
      </c>
      <c r="F466" s="14" t="s">
        <v>27</v>
      </c>
      <c r="G466" s="17">
        <f>'FEBRERO-18'!I463</f>
        <v>200</v>
      </c>
      <c r="H466" s="51"/>
      <c r="I466" s="17">
        <f t="shared" si="8"/>
        <v>200</v>
      </c>
      <c r="J466" s="56"/>
      <c r="K466" s="56"/>
    </row>
    <row r="467" spans="1:11" ht="43.5">
      <c r="A467" s="11">
        <v>54304</v>
      </c>
      <c r="B467" s="54" t="s">
        <v>625</v>
      </c>
      <c r="C467" s="13"/>
      <c r="D467" s="14" t="s">
        <v>18</v>
      </c>
      <c r="E467" s="14" t="s">
        <v>28</v>
      </c>
      <c r="F467" s="14" t="s">
        <v>27</v>
      </c>
      <c r="G467" s="17">
        <f>'FEBRERO-18'!I464</f>
        <v>500</v>
      </c>
      <c r="H467" s="51"/>
      <c r="I467" s="17">
        <f t="shared" si="8"/>
        <v>500</v>
      </c>
      <c r="J467" s="56"/>
      <c r="K467" s="56"/>
    </row>
    <row r="468" spans="1:11" ht="43.5">
      <c r="A468" s="11">
        <v>54313</v>
      </c>
      <c r="B468" s="54" t="s">
        <v>626</v>
      </c>
      <c r="C468" s="13"/>
      <c r="D468" s="14" t="s">
        <v>18</v>
      </c>
      <c r="E468" s="14" t="s">
        <v>28</v>
      </c>
      <c r="F468" s="14" t="s">
        <v>27</v>
      </c>
      <c r="G468" s="17">
        <f>'FEBRERO-18'!I465</f>
        <v>300</v>
      </c>
      <c r="H468" s="51"/>
      <c r="I468" s="17">
        <f t="shared" si="8"/>
        <v>300</v>
      </c>
      <c r="J468" s="56"/>
      <c r="K468" s="56"/>
    </row>
    <row r="469" spans="1:11" ht="105">
      <c r="A469" s="144" t="s">
        <v>289</v>
      </c>
      <c r="B469" s="53" t="s">
        <v>984</v>
      </c>
      <c r="C469" s="13"/>
      <c r="D469" s="14"/>
      <c r="E469" s="14"/>
      <c r="F469" s="14"/>
      <c r="G469" s="17">
        <f>'FEBRERO-18'!I466</f>
        <v>0</v>
      </c>
      <c r="H469" s="51"/>
      <c r="I469" s="17"/>
      <c r="J469" s="56"/>
      <c r="K469" s="56"/>
    </row>
    <row r="470" spans="1:11" ht="29.25">
      <c r="A470" s="11">
        <v>51202</v>
      </c>
      <c r="B470" s="53" t="s">
        <v>628</v>
      </c>
      <c r="C470" s="13"/>
      <c r="D470" s="14" t="s">
        <v>18</v>
      </c>
      <c r="E470" s="14" t="s">
        <v>28</v>
      </c>
      <c r="F470" s="14" t="s">
        <v>27</v>
      </c>
      <c r="G470" s="17">
        <f>'FEBRERO-18'!I467</f>
        <v>1218.3599999999999</v>
      </c>
      <c r="H470" s="108"/>
      <c r="I470" s="17">
        <f t="shared" si="8"/>
        <v>0</v>
      </c>
      <c r="J470" s="56"/>
      <c r="K470" s="142">
        <f>500+718.36</f>
        <v>1218.3600000000001</v>
      </c>
    </row>
    <row r="471" spans="1:11" ht="29.25">
      <c r="A471" s="11">
        <v>54110</v>
      </c>
      <c r="B471" s="53" t="s">
        <v>629</v>
      </c>
      <c r="C471" s="13"/>
      <c r="D471" s="14" t="s">
        <v>18</v>
      </c>
      <c r="E471" s="14" t="s">
        <v>28</v>
      </c>
      <c r="F471" s="14" t="s">
        <v>27</v>
      </c>
      <c r="G471" s="17">
        <f>'FEBRERO-18'!I468</f>
        <v>130.69999999999999</v>
      </c>
      <c r="H471" s="51"/>
      <c r="I471" s="17">
        <f t="shared" si="8"/>
        <v>0</v>
      </c>
      <c r="J471" s="56"/>
      <c r="K471" s="142">
        <f>130.7</f>
        <v>130.69999999999999</v>
      </c>
    </row>
    <row r="472" spans="1:11" ht="29.25">
      <c r="A472" s="11">
        <v>54111</v>
      </c>
      <c r="B472" s="53" t="s">
        <v>630</v>
      </c>
      <c r="C472" s="13"/>
      <c r="D472" s="14" t="s">
        <v>18</v>
      </c>
      <c r="E472" s="14" t="s">
        <v>28</v>
      </c>
      <c r="F472" s="14" t="s">
        <v>27</v>
      </c>
      <c r="G472" s="17">
        <f>'FEBRERO-18'!I469</f>
        <v>862</v>
      </c>
      <c r="H472" s="51">
        <f>552+637.5</f>
        <v>1189.5</v>
      </c>
      <c r="I472" s="17">
        <f t="shared" ref="I472:I535" si="9">G472-H472+J472-K472</f>
        <v>172.5</v>
      </c>
      <c r="J472" s="142">
        <f>500</f>
        <v>500</v>
      </c>
      <c r="K472" s="142"/>
    </row>
    <row r="473" spans="1:11" ht="29.25">
      <c r="A473" s="11">
        <v>54112</v>
      </c>
      <c r="B473" s="53" t="s">
        <v>631</v>
      </c>
      <c r="C473" s="13"/>
      <c r="D473" s="14" t="s">
        <v>18</v>
      </c>
      <c r="E473" s="14" t="s">
        <v>28</v>
      </c>
      <c r="F473" s="14" t="s">
        <v>27</v>
      </c>
      <c r="G473" s="17">
        <f>'FEBRERO-18'!I470</f>
        <v>89.5</v>
      </c>
      <c r="H473" s="51"/>
      <c r="I473" s="17">
        <f t="shared" si="9"/>
        <v>0</v>
      </c>
      <c r="J473" s="56"/>
      <c r="K473" s="142">
        <f>89.5</f>
        <v>89.5</v>
      </c>
    </row>
    <row r="474" spans="1:11" ht="29.25">
      <c r="A474" s="11">
        <v>54118</v>
      </c>
      <c r="B474" s="53" t="s">
        <v>632</v>
      </c>
      <c r="C474" s="13"/>
      <c r="D474" s="14" t="s">
        <v>18</v>
      </c>
      <c r="E474" s="14" t="s">
        <v>28</v>
      </c>
      <c r="F474" s="14" t="s">
        <v>27</v>
      </c>
      <c r="G474" s="17">
        <f>'FEBRERO-18'!I471</f>
        <v>100</v>
      </c>
      <c r="H474" s="51"/>
      <c r="I474" s="17">
        <f t="shared" si="9"/>
        <v>0</v>
      </c>
      <c r="J474" s="56"/>
      <c r="K474" s="137">
        <f>100</f>
        <v>100</v>
      </c>
    </row>
    <row r="475" spans="1:11" ht="29.25">
      <c r="A475" s="11">
        <v>54304</v>
      </c>
      <c r="B475" s="53" t="s">
        <v>633</v>
      </c>
      <c r="C475" s="13"/>
      <c r="D475" s="14" t="s">
        <v>18</v>
      </c>
      <c r="E475" s="14" t="s">
        <v>28</v>
      </c>
      <c r="F475" s="14" t="s">
        <v>27</v>
      </c>
      <c r="G475" s="17">
        <f>'FEBRERO-18'!I472</f>
        <v>500</v>
      </c>
      <c r="H475" s="51"/>
      <c r="I475" s="17">
        <f t="shared" si="9"/>
        <v>0</v>
      </c>
      <c r="J475" s="56"/>
      <c r="K475" s="137">
        <f>500</f>
        <v>500</v>
      </c>
    </row>
    <row r="476" spans="1:11" ht="29.25">
      <c r="A476" s="11">
        <v>54313</v>
      </c>
      <c r="B476" s="53" t="s">
        <v>634</v>
      </c>
      <c r="C476" s="13"/>
      <c r="D476" s="14" t="s">
        <v>18</v>
      </c>
      <c r="E476" s="14" t="s">
        <v>28</v>
      </c>
      <c r="F476" s="14" t="s">
        <v>27</v>
      </c>
      <c r="G476" s="17">
        <f>'FEBRERO-18'!I473</f>
        <v>300</v>
      </c>
      <c r="H476" s="51">
        <f>190</f>
        <v>190</v>
      </c>
      <c r="I476" s="17">
        <f t="shared" si="9"/>
        <v>10</v>
      </c>
      <c r="J476" s="56"/>
      <c r="K476" s="142">
        <f>100</f>
        <v>100</v>
      </c>
    </row>
    <row r="477" spans="1:11" ht="90">
      <c r="A477" s="141" t="s">
        <v>300</v>
      </c>
      <c r="B477" s="53" t="s">
        <v>635</v>
      </c>
      <c r="C477" s="13"/>
      <c r="D477" s="14"/>
      <c r="E477" s="14"/>
      <c r="F477" s="14"/>
      <c r="G477" s="17">
        <f>'FEBRERO-18'!I474</f>
        <v>0</v>
      </c>
      <c r="H477" s="51"/>
      <c r="I477" s="17"/>
      <c r="J477" s="56"/>
      <c r="K477" s="56"/>
    </row>
    <row r="478" spans="1:11" ht="29.25">
      <c r="A478" s="11">
        <v>51202</v>
      </c>
      <c r="B478" s="53" t="s">
        <v>636</v>
      </c>
      <c r="C478" s="13"/>
      <c r="D478" s="14" t="s">
        <v>18</v>
      </c>
      <c r="E478" s="14" t="s">
        <v>28</v>
      </c>
      <c r="F478" s="14" t="s">
        <v>27</v>
      </c>
      <c r="G478" s="17">
        <f>'FEBRERO-18'!I475</f>
        <v>0</v>
      </c>
      <c r="H478" s="51"/>
      <c r="I478" s="17">
        <f t="shared" si="9"/>
        <v>0</v>
      </c>
      <c r="J478" s="56"/>
      <c r="K478" s="142"/>
    </row>
    <row r="479" spans="1:11" ht="29.25">
      <c r="A479" s="11">
        <v>54110</v>
      </c>
      <c r="B479" s="53" t="s">
        <v>637</v>
      </c>
      <c r="C479" s="13"/>
      <c r="D479" s="14" t="s">
        <v>18</v>
      </c>
      <c r="E479" s="14" t="s">
        <v>28</v>
      </c>
      <c r="F479" s="14" t="s">
        <v>27</v>
      </c>
      <c r="G479" s="17">
        <f>'FEBRERO-18'!I476</f>
        <v>0</v>
      </c>
      <c r="H479" s="51"/>
      <c r="I479" s="17">
        <f t="shared" si="9"/>
        <v>0</v>
      </c>
      <c r="J479" s="56"/>
      <c r="K479" s="142"/>
    </row>
    <row r="480" spans="1:11" ht="29.25">
      <c r="A480" s="11">
        <v>54111</v>
      </c>
      <c r="B480" s="53" t="s">
        <v>638</v>
      </c>
      <c r="C480" s="13"/>
      <c r="D480" s="14" t="s">
        <v>18</v>
      </c>
      <c r="E480" s="14" t="s">
        <v>28</v>
      </c>
      <c r="F480" s="14" t="s">
        <v>27</v>
      </c>
      <c r="G480" s="17">
        <f>'FEBRERO-18'!I477</f>
        <v>321.55000000000018</v>
      </c>
      <c r="H480" s="211">
        <f>529</f>
        <v>529</v>
      </c>
      <c r="I480" s="17">
        <f t="shared" si="9"/>
        <v>1.8207657603852567E-13</v>
      </c>
      <c r="J480" s="142">
        <f>110+100</f>
        <v>210</v>
      </c>
      <c r="K480" s="137">
        <f>2.55</f>
        <v>2.5499999999999998</v>
      </c>
    </row>
    <row r="481" spans="1:11" ht="29.25">
      <c r="A481" s="11">
        <v>54304</v>
      </c>
      <c r="B481" s="53" t="s">
        <v>639</v>
      </c>
      <c r="C481" s="55"/>
      <c r="D481" s="14" t="s">
        <v>18</v>
      </c>
      <c r="E481" s="14" t="s">
        <v>28</v>
      </c>
      <c r="F481" s="14" t="s">
        <v>27</v>
      </c>
      <c r="G481" s="17">
        <f>'FEBRERO-18'!I478</f>
        <v>0</v>
      </c>
      <c r="H481" s="51"/>
      <c r="I481" s="17">
        <f t="shared" si="9"/>
        <v>0</v>
      </c>
      <c r="J481" s="56"/>
      <c r="K481" s="142"/>
    </row>
    <row r="482" spans="1:11" ht="38.25" customHeight="1">
      <c r="A482" s="11">
        <v>54313</v>
      </c>
      <c r="B482" s="53" t="s">
        <v>640</v>
      </c>
      <c r="C482" s="60"/>
      <c r="D482" s="14" t="s">
        <v>18</v>
      </c>
      <c r="E482" s="14" t="s">
        <v>28</v>
      </c>
      <c r="F482" s="14" t="s">
        <v>27</v>
      </c>
      <c r="G482" s="17">
        <f>'FEBRERO-18'!I479</f>
        <v>300</v>
      </c>
      <c r="H482" s="51">
        <f>190</f>
        <v>190</v>
      </c>
      <c r="I482" s="17">
        <f t="shared" si="9"/>
        <v>0</v>
      </c>
      <c r="J482" s="56"/>
      <c r="K482" s="142">
        <f>110</f>
        <v>110</v>
      </c>
    </row>
    <row r="483" spans="1:11" ht="91.5" customHeight="1">
      <c r="A483" s="141" t="s">
        <v>316</v>
      </c>
      <c r="B483" s="53" t="s">
        <v>641</v>
      </c>
      <c r="C483" s="60" t="s">
        <v>1013</v>
      </c>
      <c r="D483" s="14"/>
      <c r="E483" s="14"/>
      <c r="F483" s="14"/>
      <c r="G483" s="17">
        <f>'FEBRERO-18'!I480</f>
        <v>0</v>
      </c>
      <c r="H483" s="51"/>
      <c r="I483" s="17"/>
      <c r="J483" s="56"/>
      <c r="K483" s="56"/>
    </row>
    <row r="484" spans="1:11" ht="38.25" customHeight="1">
      <c r="A484" s="11">
        <v>51202</v>
      </c>
      <c r="B484" s="53" t="s">
        <v>642</v>
      </c>
      <c r="C484" s="60"/>
      <c r="D484" s="14" t="s">
        <v>18</v>
      </c>
      <c r="E484" s="14" t="s">
        <v>28</v>
      </c>
      <c r="F484" s="14" t="s">
        <v>27</v>
      </c>
      <c r="G484" s="17">
        <f>'FEBRERO-18'!I481</f>
        <v>6.6700000000000728</v>
      </c>
      <c r="H484" s="51"/>
      <c r="I484" s="17">
        <f t="shared" si="9"/>
        <v>7.2830630415410269E-14</v>
      </c>
      <c r="J484" s="56"/>
      <c r="K484" s="142">
        <f>6.67</f>
        <v>6.67</v>
      </c>
    </row>
    <row r="485" spans="1:11" ht="38.25" customHeight="1">
      <c r="A485" s="11">
        <v>54110</v>
      </c>
      <c r="B485" s="53" t="s">
        <v>643</v>
      </c>
      <c r="C485" s="60"/>
      <c r="D485" s="14" t="s">
        <v>18</v>
      </c>
      <c r="E485" s="14" t="s">
        <v>28</v>
      </c>
      <c r="F485" s="14" t="s">
        <v>27</v>
      </c>
      <c r="G485" s="17">
        <f>'FEBRERO-18'!I482</f>
        <v>252</v>
      </c>
      <c r="H485" s="51"/>
      <c r="I485" s="17">
        <f t="shared" si="9"/>
        <v>0</v>
      </c>
      <c r="J485" s="56"/>
      <c r="K485" s="142">
        <f>252</f>
        <v>252</v>
      </c>
    </row>
    <row r="486" spans="1:11" ht="38.25" customHeight="1">
      <c r="A486" s="11">
        <v>54111</v>
      </c>
      <c r="B486" s="53" t="s">
        <v>644</v>
      </c>
      <c r="C486" s="60"/>
      <c r="D486" s="14" t="s">
        <v>18</v>
      </c>
      <c r="E486" s="14" t="s">
        <v>28</v>
      </c>
      <c r="F486" s="14" t="s">
        <v>27</v>
      </c>
      <c r="G486" s="17">
        <f>'FEBRERO-18'!I483</f>
        <v>849.82000000000039</v>
      </c>
      <c r="H486" s="51">
        <f>2807</f>
        <v>2807</v>
      </c>
      <c r="I486" s="17">
        <f t="shared" si="9"/>
        <v>2.2737367544323206E-13</v>
      </c>
      <c r="J486" s="137">
        <f>1000+957.18</f>
        <v>1957.1799999999998</v>
      </c>
      <c r="K486" s="142"/>
    </row>
    <row r="487" spans="1:11" ht="38.25" customHeight="1">
      <c r="A487" s="11">
        <v>54304</v>
      </c>
      <c r="B487" s="53" t="s">
        <v>645</v>
      </c>
      <c r="C487" s="60"/>
      <c r="D487" s="14" t="s">
        <v>18</v>
      </c>
      <c r="E487" s="14" t="s">
        <v>28</v>
      </c>
      <c r="F487" s="14" t="s">
        <v>27</v>
      </c>
      <c r="G487" s="17">
        <f>'FEBRERO-18'!I484</f>
        <v>100</v>
      </c>
      <c r="H487" s="51"/>
      <c r="I487" s="17">
        <f t="shared" si="9"/>
        <v>0</v>
      </c>
      <c r="J487" s="56"/>
      <c r="K487" s="142">
        <f>100</f>
        <v>100</v>
      </c>
    </row>
    <row r="488" spans="1:11" ht="38.25" customHeight="1">
      <c r="A488" s="11">
        <v>54313</v>
      </c>
      <c r="B488" s="53" t="s">
        <v>646</v>
      </c>
      <c r="C488" s="60"/>
      <c r="D488" s="14" t="s">
        <v>18</v>
      </c>
      <c r="E488" s="14" t="s">
        <v>28</v>
      </c>
      <c r="F488" s="14" t="s">
        <v>27</v>
      </c>
      <c r="G488" s="17">
        <f>'FEBRERO-18'!I485</f>
        <v>300</v>
      </c>
      <c r="H488" s="51"/>
      <c r="I488" s="17">
        <f t="shared" si="9"/>
        <v>300</v>
      </c>
      <c r="J488" s="56"/>
      <c r="K488" s="142"/>
    </row>
    <row r="489" spans="1:11" ht="93.75" customHeight="1">
      <c r="A489" s="240" t="s">
        <v>326</v>
      </c>
      <c r="B489" s="53" t="s">
        <v>647</v>
      </c>
      <c r="C489" s="60" t="s">
        <v>162</v>
      </c>
      <c r="D489" s="14"/>
      <c r="E489" s="14"/>
      <c r="F489" s="14"/>
      <c r="G489" s="17">
        <f>'FEBRERO-18'!I486</f>
        <v>0</v>
      </c>
      <c r="H489" s="51"/>
      <c r="I489" s="17"/>
      <c r="J489" s="56"/>
      <c r="K489" s="56"/>
    </row>
    <row r="490" spans="1:11" ht="38.25" customHeight="1">
      <c r="A490" s="11">
        <v>51202</v>
      </c>
      <c r="B490" s="53" t="s">
        <v>648</v>
      </c>
      <c r="C490" s="60"/>
      <c r="D490" s="14" t="s">
        <v>18</v>
      </c>
      <c r="E490" s="14" t="s">
        <v>28</v>
      </c>
      <c r="F490" s="14" t="s">
        <v>27</v>
      </c>
      <c r="G490" s="17">
        <f>'FEBRERO-18'!I487</f>
        <v>7731.1299999999992</v>
      </c>
      <c r="H490" s="51">
        <f>233.33+186.67+186.67+124.44+124.44+233.33+186.67+186.67+124.44+186.67+124.44</f>
        <v>1897.7700000000002</v>
      </c>
      <c r="I490" s="17">
        <f t="shared" si="9"/>
        <v>5833.3599999999988</v>
      </c>
      <c r="J490" s="56"/>
      <c r="K490" s="56"/>
    </row>
    <row r="491" spans="1:11" ht="38.25" customHeight="1">
      <c r="A491" s="11">
        <v>54110</v>
      </c>
      <c r="B491" s="53" t="s">
        <v>649</v>
      </c>
      <c r="C491" s="60"/>
      <c r="D491" s="14" t="s">
        <v>18</v>
      </c>
      <c r="E491" s="14" t="s">
        <v>28</v>
      </c>
      <c r="F491" s="14" t="s">
        <v>27</v>
      </c>
      <c r="G491" s="17">
        <f>'FEBRERO-18'!I488</f>
        <v>269.2</v>
      </c>
      <c r="H491" s="51"/>
      <c r="I491" s="17">
        <f t="shared" si="9"/>
        <v>269.2</v>
      </c>
      <c r="J491" s="56"/>
      <c r="K491" s="56"/>
    </row>
    <row r="492" spans="1:11" ht="38.25" customHeight="1">
      <c r="A492" s="11">
        <v>54111</v>
      </c>
      <c r="B492" s="53" t="s">
        <v>650</v>
      </c>
      <c r="C492" s="60"/>
      <c r="D492" s="14" t="s">
        <v>18</v>
      </c>
      <c r="E492" s="14" t="s">
        <v>28</v>
      </c>
      <c r="F492" s="14" t="s">
        <v>27</v>
      </c>
      <c r="G492" s="17">
        <f>'FEBRERO-18'!I489</f>
        <v>6620.5</v>
      </c>
      <c r="H492" s="51">
        <f>800+941.25+1356</f>
        <v>3097.25</v>
      </c>
      <c r="I492" s="17">
        <f t="shared" si="9"/>
        <v>3523.25</v>
      </c>
      <c r="J492" s="56"/>
      <c r="K492" s="56"/>
    </row>
    <row r="493" spans="1:11" ht="29.25">
      <c r="A493" s="11">
        <v>54112</v>
      </c>
      <c r="B493" s="53" t="s">
        <v>651</v>
      </c>
      <c r="C493" s="13"/>
      <c r="D493" s="14" t="s">
        <v>18</v>
      </c>
      <c r="E493" s="14" t="s">
        <v>28</v>
      </c>
      <c r="F493" s="14" t="s">
        <v>27</v>
      </c>
      <c r="G493" s="17">
        <f>'FEBRERO-18'!I490</f>
        <v>3000</v>
      </c>
      <c r="H493" s="51"/>
      <c r="I493" s="17">
        <f t="shared" si="9"/>
        <v>3000</v>
      </c>
      <c r="J493" s="56"/>
      <c r="K493" s="56"/>
    </row>
    <row r="494" spans="1:11" ht="29.25">
      <c r="A494" s="11">
        <v>54118</v>
      </c>
      <c r="B494" s="53" t="s">
        <v>652</v>
      </c>
      <c r="C494" s="13"/>
      <c r="D494" s="14" t="s">
        <v>18</v>
      </c>
      <c r="E494" s="14" t="s">
        <v>28</v>
      </c>
      <c r="F494" s="14" t="s">
        <v>27</v>
      </c>
      <c r="G494" s="17">
        <f>'FEBRERO-18'!I491</f>
        <v>1687.55</v>
      </c>
      <c r="H494" s="51"/>
      <c r="I494" s="17">
        <f t="shared" si="9"/>
        <v>1687.55</v>
      </c>
      <c r="J494" s="56"/>
      <c r="K494" s="56"/>
    </row>
    <row r="495" spans="1:11" ht="29.25">
      <c r="A495" s="11">
        <v>54304</v>
      </c>
      <c r="B495" s="53" t="s">
        <v>653</v>
      </c>
      <c r="C495" s="13"/>
      <c r="D495" s="14" t="s">
        <v>18</v>
      </c>
      <c r="E495" s="14" t="s">
        <v>28</v>
      </c>
      <c r="F495" s="14" t="s">
        <v>27</v>
      </c>
      <c r="G495" s="17">
        <f>'FEBRERO-18'!I492</f>
        <v>1395.87</v>
      </c>
      <c r="H495" s="51"/>
      <c r="I495" s="17">
        <f t="shared" si="9"/>
        <v>1395.87</v>
      </c>
      <c r="J495" s="56"/>
      <c r="K495" s="56"/>
    </row>
    <row r="496" spans="1:11" ht="29.25">
      <c r="A496" s="11">
        <v>54313</v>
      </c>
      <c r="B496" s="53" t="s">
        <v>654</v>
      </c>
      <c r="C496" s="13"/>
      <c r="D496" s="14" t="s">
        <v>18</v>
      </c>
      <c r="E496" s="14" t="s">
        <v>28</v>
      </c>
      <c r="F496" s="14" t="s">
        <v>27</v>
      </c>
      <c r="G496" s="17">
        <f>'FEBRERO-18'!I493</f>
        <v>300</v>
      </c>
      <c r="H496" s="51"/>
      <c r="I496" s="17">
        <f t="shared" si="9"/>
        <v>300</v>
      </c>
      <c r="J496" s="56"/>
      <c r="K496" s="56"/>
    </row>
    <row r="497" spans="1:11" ht="29.25">
      <c r="A497" s="11">
        <v>54399</v>
      </c>
      <c r="B497" s="53" t="s">
        <v>655</v>
      </c>
      <c r="C497" s="13"/>
      <c r="D497" s="14" t="s">
        <v>18</v>
      </c>
      <c r="E497" s="14" t="s">
        <v>28</v>
      </c>
      <c r="F497" s="14" t="s">
        <v>27</v>
      </c>
      <c r="G497" s="17">
        <f>'FEBRERO-18'!I494</f>
        <v>200</v>
      </c>
      <c r="H497" s="51"/>
      <c r="I497" s="17">
        <f t="shared" si="9"/>
        <v>200</v>
      </c>
      <c r="J497" s="56"/>
      <c r="K497" s="56"/>
    </row>
    <row r="498" spans="1:11" ht="75">
      <c r="A498" s="141" t="s">
        <v>338</v>
      </c>
      <c r="B498" s="53" t="s">
        <v>656</v>
      </c>
      <c r="C498" s="13"/>
      <c r="D498" s="14"/>
      <c r="E498" s="14"/>
      <c r="F498" s="14"/>
      <c r="G498" s="17">
        <f>'FEBRERO-18'!I495</f>
        <v>0</v>
      </c>
      <c r="H498" s="51"/>
      <c r="I498" s="17"/>
      <c r="J498" s="56"/>
      <c r="K498" s="56"/>
    </row>
    <row r="499" spans="1:11" ht="29.25">
      <c r="A499" s="11">
        <v>51202</v>
      </c>
      <c r="B499" s="54" t="s">
        <v>657</v>
      </c>
      <c r="C499" s="13"/>
      <c r="D499" s="14" t="s">
        <v>18</v>
      </c>
      <c r="E499" s="14" t="s">
        <v>28</v>
      </c>
      <c r="F499" s="14" t="s">
        <v>27</v>
      </c>
      <c r="G499" s="17">
        <f>'FEBRERO-18'!I496</f>
        <v>6290</v>
      </c>
      <c r="H499" s="51"/>
      <c r="I499" s="17">
        <f t="shared" si="9"/>
        <v>0</v>
      </c>
      <c r="J499" s="56"/>
      <c r="K499" s="137">
        <v>6290</v>
      </c>
    </row>
    <row r="500" spans="1:11" ht="29.25">
      <c r="A500" s="11">
        <v>54110</v>
      </c>
      <c r="B500" s="54" t="s">
        <v>658</v>
      </c>
      <c r="C500" s="13"/>
      <c r="D500" s="14" t="s">
        <v>18</v>
      </c>
      <c r="E500" s="14" t="s">
        <v>28</v>
      </c>
      <c r="F500" s="14" t="s">
        <v>27</v>
      </c>
      <c r="G500" s="17">
        <f>'FEBRERO-18'!I497</f>
        <v>300</v>
      </c>
      <c r="H500" s="51"/>
      <c r="I500" s="17">
        <f t="shared" si="9"/>
        <v>0</v>
      </c>
      <c r="J500" s="56"/>
      <c r="K500" s="137">
        <v>300</v>
      </c>
    </row>
    <row r="501" spans="1:11" ht="44.25">
      <c r="A501" s="11">
        <v>54111</v>
      </c>
      <c r="B501" s="54" t="s">
        <v>659</v>
      </c>
      <c r="C501" s="13"/>
      <c r="D501" s="14" t="s">
        <v>18</v>
      </c>
      <c r="E501" s="14" t="s">
        <v>28</v>
      </c>
      <c r="F501" s="14" t="s">
        <v>27</v>
      </c>
      <c r="G501" s="17">
        <f>'FEBRERO-18'!I498</f>
        <v>10000</v>
      </c>
      <c r="H501" s="51"/>
      <c r="I501" s="17">
        <f t="shared" si="9"/>
        <v>0</v>
      </c>
      <c r="J501" s="56"/>
      <c r="K501" s="137">
        <v>10000</v>
      </c>
    </row>
    <row r="502" spans="1:11" ht="44.25">
      <c r="A502" s="11">
        <v>54112</v>
      </c>
      <c r="B502" s="54" t="s">
        <v>660</v>
      </c>
      <c r="C502" s="13"/>
      <c r="D502" s="14" t="s">
        <v>18</v>
      </c>
      <c r="E502" s="14" t="s">
        <v>28</v>
      </c>
      <c r="F502" s="14" t="s">
        <v>27</v>
      </c>
      <c r="G502" s="17">
        <f>'FEBRERO-18'!I499</f>
        <v>2000</v>
      </c>
      <c r="H502" s="51"/>
      <c r="I502" s="17">
        <f t="shared" si="9"/>
        <v>0</v>
      </c>
      <c r="J502" s="56"/>
      <c r="K502" s="137">
        <v>2000</v>
      </c>
    </row>
    <row r="503" spans="1:11" ht="44.25">
      <c r="A503" s="11">
        <v>54304</v>
      </c>
      <c r="B503" s="54" t="s">
        <v>661</v>
      </c>
      <c r="C503" s="13"/>
      <c r="D503" s="14" t="s">
        <v>18</v>
      </c>
      <c r="E503" s="14" t="s">
        <v>28</v>
      </c>
      <c r="F503" s="14" t="s">
        <v>27</v>
      </c>
      <c r="G503" s="17">
        <f>'FEBRERO-18'!I500</f>
        <v>1000</v>
      </c>
      <c r="H503" s="51"/>
      <c r="I503" s="17">
        <f t="shared" si="9"/>
        <v>0</v>
      </c>
      <c r="J503" s="56"/>
      <c r="K503" s="137">
        <v>1000</v>
      </c>
    </row>
    <row r="504" spans="1:11" ht="44.25">
      <c r="A504" s="11">
        <v>54313</v>
      </c>
      <c r="B504" s="54" t="s">
        <v>662</v>
      </c>
      <c r="C504" s="13"/>
      <c r="D504" s="14" t="s">
        <v>18</v>
      </c>
      <c r="E504" s="14" t="s">
        <v>28</v>
      </c>
      <c r="F504" s="14" t="s">
        <v>27</v>
      </c>
      <c r="G504" s="17">
        <f>'FEBRERO-18'!I501</f>
        <v>300</v>
      </c>
      <c r="H504" s="51"/>
      <c r="I504" s="17">
        <f t="shared" si="9"/>
        <v>0</v>
      </c>
      <c r="J504" s="56"/>
      <c r="K504" s="137">
        <v>300</v>
      </c>
    </row>
    <row r="505" spans="1:11" ht="44.25">
      <c r="A505" s="11">
        <v>54399</v>
      </c>
      <c r="B505" s="54" t="s">
        <v>663</v>
      </c>
      <c r="C505" s="13"/>
      <c r="D505" s="14" t="s">
        <v>18</v>
      </c>
      <c r="E505" s="14" t="s">
        <v>28</v>
      </c>
      <c r="F505" s="14" t="s">
        <v>27</v>
      </c>
      <c r="G505" s="17">
        <f>'FEBRERO-18'!I502</f>
        <v>100</v>
      </c>
      <c r="H505" s="51"/>
      <c r="I505" s="17">
        <f t="shared" si="9"/>
        <v>0</v>
      </c>
      <c r="J505" s="56"/>
      <c r="K505" s="137">
        <v>100</v>
      </c>
    </row>
    <row r="506" spans="1:11" ht="29.25">
      <c r="A506" s="11">
        <v>55603</v>
      </c>
      <c r="B506" s="54" t="s">
        <v>664</v>
      </c>
      <c r="C506" s="13"/>
      <c r="D506" s="14" t="s">
        <v>18</v>
      </c>
      <c r="E506" s="14" t="s">
        <v>28</v>
      </c>
      <c r="F506" s="14" t="s">
        <v>27</v>
      </c>
      <c r="G506" s="17">
        <f>'FEBRERO-18'!I503</f>
        <v>10</v>
      </c>
      <c r="H506" s="51"/>
      <c r="I506" s="17">
        <f t="shared" si="9"/>
        <v>0</v>
      </c>
      <c r="J506" s="56"/>
      <c r="K506" s="137">
        <v>10</v>
      </c>
    </row>
    <row r="507" spans="1:11" ht="90">
      <c r="A507" s="141" t="s">
        <v>348</v>
      </c>
      <c r="B507" s="53" t="s">
        <v>665</v>
      </c>
      <c r="C507" s="13"/>
      <c r="D507" s="14"/>
      <c r="E507" s="14"/>
      <c r="F507" s="14"/>
      <c r="G507" s="17">
        <f>'FEBRERO-18'!I504</f>
        <v>0</v>
      </c>
      <c r="H507" s="51"/>
      <c r="I507" s="17"/>
      <c r="J507" s="56"/>
      <c r="K507" s="56"/>
    </row>
    <row r="508" spans="1:11" ht="29.25">
      <c r="A508" s="11">
        <v>51202</v>
      </c>
      <c r="B508" s="54" t="s">
        <v>666</v>
      </c>
      <c r="C508" s="13"/>
      <c r="D508" s="14" t="s">
        <v>18</v>
      </c>
      <c r="E508" s="14" t="s">
        <v>28</v>
      </c>
      <c r="F508" s="14" t="s">
        <v>27</v>
      </c>
      <c r="G508" s="17">
        <f>'FEBRERO-18'!I505</f>
        <v>3790</v>
      </c>
      <c r="H508" s="51"/>
      <c r="I508" s="17">
        <f t="shared" si="9"/>
        <v>3790</v>
      </c>
      <c r="J508" s="56"/>
      <c r="K508" s="56"/>
    </row>
    <row r="509" spans="1:11" ht="29.25">
      <c r="A509" s="11">
        <v>54110</v>
      </c>
      <c r="B509" s="54" t="s">
        <v>667</v>
      </c>
      <c r="C509" s="13"/>
      <c r="D509" s="14" t="s">
        <v>18</v>
      </c>
      <c r="E509" s="14" t="s">
        <v>28</v>
      </c>
      <c r="F509" s="14" t="s">
        <v>27</v>
      </c>
      <c r="G509" s="17">
        <f>'FEBRERO-18'!I506</f>
        <v>200</v>
      </c>
      <c r="H509" s="51"/>
      <c r="I509" s="17">
        <f t="shared" si="9"/>
        <v>200</v>
      </c>
      <c r="J509" s="56"/>
      <c r="K509" s="56"/>
    </row>
    <row r="510" spans="1:11" ht="44.25">
      <c r="A510" s="11">
        <v>54111</v>
      </c>
      <c r="B510" s="54" t="s">
        <v>668</v>
      </c>
      <c r="C510" s="13"/>
      <c r="D510" s="14" t="s">
        <v>18</v>
      </c>
      <c r="E510" s="14" t="s">
        <v>28</v>
      </c>
      <c r="F510" s="14" t="s">
        <v>27</v>
      </c>
      <c r="G510" s="17">
        <f>'FEBRERO-18'!I507</f>
        <v>5200</v>
      </c>
      <c r="H510" s="51"/>
      <c r="I510" s="17">
        <f t="shared" si="9"/>
        <v>5200</v>
      </c>
      <c r="J510" s="56"/>
      <c r="K510" s="56"/>
    </row>
    <row r="511" spans="1:11" ht="44.25">
      <c r="A511" s="11">
        <v>54112</v>
      </c>
      <c r="B511" s="54" t="s">
        <v>669</v>
      </c>
      <c r="C511" s="13"/>
      <c r="D511" s="14" t="s">
        <v>18</v>
      </c>
      <c r="E511" s="14" t="s">
        <v>28</v>
      </c>
      <c r="F511" s="14" t="s">
        <v>27</v>
      </c>
      <c r="G511" s="17">
        <f>'FEBRERO-18'!I508</f>
        <v>200</v>
      </c>
      <c r="H511" s="51"/>
      <c r="I511" s="17">
        <f t="shared" si="9"/>
        <v>200</v>
      </c>
      <c r="J511" s="56"/>
      <c r="K511" s="56"/>
    </row>
    <row r="512" spans="1:11" ht="44.25">
      <c r="A512" s="11">
        <v>54313</v>
      </c>
      <c r="B512" s="54" t="s">
        <v>670</v>
      </c>
      <c r="C512" s="13"/>
      <c r="D512" s="14" t="s">
        <v>18</v>
      </c>
      <c r="E512" s="14" t="s">
        <v>28</v>
      </c>
      <c r="F512" s="14" t="s">
        <v>27</v>
      </c>
      <c r="G512" s="17">
        <f>'FEBRERO-18'!I509</f>
        <v>300</v>
      </c>
      <c r="H512" s="51"/>
      <c r="I512" s="17">
        <f t="shared" si="9"/>
        <v>300</v>
      </c>
      <c r="J512" s="56"/>
      <c r="K512" s="56"/>
    </row>
    <row r="513" spans="1:11" ht="44.25">
      <c r="A513" s="11">
        <v>54399</v>
      </c>
      <c r="B513" s="54" t="s">
        <v>671</v>
      </c>
      <c r="C513" s="13"/>
      <c r="D513" s="14" t="s">
        <v>18</v>
      </c>
      <c r="E513" s="14" t="s">
        <v>28</v>
      </c>
      <c r="F513" s="14" t="s">
        <v>27</v>
      </c>
      <c r="G513" s="17">
        <f>'FEBRERO-18'!I510</f>
        <v>300</v>
      </c>
      <c r="H513" s="51"/>
      <c r="I513" s="17">
        <f t="shared" si="9"/>
        <v>300</v>
      </c>
      <c r="J513" s="56"/>
      <c r="K513" s="56"/>
    </row>
    <row r="514" spans="1:11" ht="29.25">
      <c r="A514" s="11">
        <v>55603</v>
      </c>
      <c r="B514" s="54" t="s">
        <v>672</v>
      </c>
      <c r="C514" s="13"/>
      <c r="D514" s="14" t="s">
        <v>18</v>
      </c>
      <c r="E514" s="14" t="s">
        <v>28</v>
      </c>
      <c r="F514" s="14" t="s">
        <v>27</v>
      </c>
      <c r="G514" s="17">
        <f>'FEBRERO-18'!I511</f>
        <v>10</v>
      </c>
      <c r="H514" s="51"/>
      <c r="I514" s="17">
        <f t="shared" si="9"/>
        <v>10</v>
      </c>
      <c r="J514" s="56"/>
      <c r="K514" s="56"/>
    </row>
    <row r="515" spans="1:11" ht="119.25" customHeight="1">
      <c r="A515" s="141" t="s">
        <v>358</v>
      </c>
      <c r="B515" s="53" t="s">
        <v>673</v>
      </c>
      <c r="C515" s="13"/>
      <c r="D515" s="14"/>
      <c r="E515" s="14"/>
      <c r="F515" s="14"/>
      <c r="G515" s="17">
        <f>'FEBRERO-18'!I512</f>
        <v>0</v>
      </c>
      <c r="H515" s="51"/>
      <c r="I515" s="17"/>
      <c r="J515" s="56"/>
      <c r="K515" s="56"/>
    </row>
    <row r="516" spans="1:11" ht="29.25">
      <c r="A516" s="11">
        <v>51202</v>
      </c>
      <c r="B516" s="54" t="s">
        <v>674</v>
      </c>
      <c r="C516" s="13"/>
      <c r="D516" s="14" t="s">
        <v>18</v>
      </c>
      <c r="E516" s="14" t="s">
        <v>28</v>
      </c>
      <c r="F516" s="14" t="s">
        <v>27</v>
      </c>
      <c r="G516" s="17">
        <f>'FEBRERO-18'!I513</f>
        <v>8000</v>
      </c>
      <c r="H516" s="51"/>
      <c r="I516" s="17">
        <f t="shared" si="9"/>
        <v>8000</v>
      </c>
      <c r="J516" s="56"/>
      <c r="K516" s="56"/>
    </row>
    <row r="517" spans="1:11" ht="29.25">
      <c r="A517" s="11">
        <v>54110</v>
      </c>
      <c r="B517" s="54" t="s">
        <v>675</v>
      </c>
      <c r="C517" s="13"/>
      <c r="D517" s="14" t="s">
        <v>18</v>
      </c>
      <c r="E517" s="14" t="s">
        <v>28</v>
      </c>
      <c r="F517" s="14" t="s">
        <v>27</v>
      </c>
      <c r="G517" s="17">
        <f>'FEBRERO-18'!I514</f>
        <v>300</v>
      </c>
      <c r="H517" s="51"/>
      <c r="I517" s="17">
        <f t="shared" si="9"/>
        <v>300</v>
      </c>
      <c r="J517" s="56"/>
      <c r="K517" s="56"/>
    </row>
    <row r="518" spans="1:11" ht="29.25">
      <c r="A518" s="11">
        <v>54111</v>
      </c>
      <c r="B518" s="54" t="s">
        <v>677</v>
      </c>
      <c r="C518" s="13"/>
      <c r="D518" s="14" t="s">
        <v>18</v>
      </c>
      <c r="E518" s="14" t="s">
        <v>28</v>
      </c>
      <c r="F518" s="14" t="s">
        <v>27</v>
      </c>
      <c r="G518" s="17">
        <f>'FEBRERO-18'!I515</f>
        <v>10000</v>
      </c>
      <c r="H518" s="51"/>
      <c r="I518" s="17">
        <f t="shared" si="9"/>
        <v>10000</v>
      </c>
      <c r="J518" s="56"/>
      <c r="K518" s="56"/>
    </row>
    <row r="519" spans="1:11" ht="29.25">
      <c r="A519" s="11">
        <v>54112</v>
      </c>
      <c r="B519" s="54" t="s">
        <v>676</v>
      </c>
      <c r="C519" s="13"/>
      <c r="D519" s="14" t="s">
        <v>18</v>
      </c>
      <c r="E519" s="14" t="s">
        <v>28</v>
      </c>
      <c r="F519" s="14" t="s">
        <v>27</v>
      </c>
      <c r="G519" s="17">
        <f>'FEBRERO-18'!I516</f>
        <v>2000</v>
      </c>
      <c r="H519" s="51"/>
      <c r="I519" s="17">
        <f t="shared" si="9"/>
        <v>2000</v>
      </c>
      <c r="J519" s="56"/>
      <c r="K519" s="56"/>
    </row>
    <row r="520" spans="1:11" ht="29.25">
      <c r="A520" s="11">
        <v>54118</v>
      </c>
      <c r="B520" s="54" t="s">
        <v>678</v>
      </c>
      <c r="C520" s="13"/>
      <c r="D520" s="14" t="s">
        <v>18</v>
      </c>
      <c r="E520" s="14" t="s">
        <v>28</v>
      </c>
      <c r="F520" s="14" t="s">
        <v>27</v>
      </c>
      <c r="G520" s="17">
        <f>'FEBRERO-18'!I517</f>
        <v>1290</v>
      </c>
      <c r="H520" s="51"/>
      <c r="I520" s="17">
        <f t="shared" si="9"/>
        <v>1290</v>
      </c>
      <c r="J520" s="56"/>
      <c r="K520" s="56"/>
    </row>
    <row r="521" spans="1:11" ht="29.25">
      <c r="A521" s="11">
        <v>54313</v>
      </c>
      <c r="B521" s="54" t="s">
        <v>679</v>
      </c>
      <c r="C521" s="13"/>
      <c r="D521" s="14" t="s">
        <v>18</v>
      </c>
      <c r="E521" s="14" t="s">
        <v>28</v>
      </c>
      <c r="F521" s="14" t="s">
        <v>27</v>
      </c>
      <c r="G521" s="17">
        <f>'FEBRERO-18'!I518</f>
        <v>300</v>
      </c>
      <c r="H521" s="51"/>
      <c r="I521" s="17">
        <f t="shared" si="9"/>
        <v>300</v>
      </c>
      <c r="J521" s="56"/>
      <c r="K521" s="56"/>
    </row>
    <row r="522" spans="1:11" ht="36.75" customHeight="1">
      <c r="A522" s="11">
        <v>54399</v>
      </c>
      <c r="B522" s="54" t="s">
        <v>680</v>
      </c>
      <c r="C522" s="13"/>
      <c r="D522" s="14" t="s">
        <v>18</v>
      </c>
      <c r="E522" s="14" t="s">
        <v>28</v>
      </c>
      <c r="F522" s="14" t="s">
        <v>27</v>
      </c>
      <c r="G522" s="17">
        <f>'FEBRERO-18'!I519</f>
        <v>200</v>
      </c>
      <c r="H522" s="51"/>
      <c r="I522" s="17">
        <f t="shared" si="9"/>
        <v>200</v>
      </c>
      <c r="J522" s="56"/>
      <c r="K522" s="56"/>
    </row>
    <row r="523" spans="1:11" ht="29.25">
      <c r="A523" s="11">
        <v>55603</v>
      </c>
      <c r="B523" s="54" t="s">
        <v>681</v>
      </c>
      <c r="C523" s="13"/>
      <c r="D523" s="14" t="s">
        <v>18</v>
      </c>
      <c r="E523" s="14" t="s">
        <v>28</v>
      </c>
      <c r="F523" s="14" t="s">
        <v>27</v>
      </c>
      <c r="G523" s="17">
        <f>'FEBRERO-18'!I520</f>
        <v>10</v>
      </c>
      <c r="H523" s="51"/>
      <c r="I523" s="17">
        <f t="shared" si="9"/>
        <v>10</v>
      </c>
      <c r="J523" s="56"/>
      <c r="K523" s="56"/>
    </row>
    <row r="524" spans="1:11" ht="74.25">
      <c r="A524" s="141" t="s">
        <v>374</v>
      </c>
      <c r="B524" s="53" t="s">
        <v>690</v>
      </c>
      <c r="C524" s="13"/>
      <c r="D524" s="14"/>
      <c r="E524" s="14"/>
      <c r="F524" s="14"/>
      <c r="G524" s="17">
        <f>'FEBRERO-18'!I521</f>
        <v>0</v>
      </c>
      <c r="H524" s="51"/>
      <c r="I524" s="17"/>
      <c r="J524" s="56"/>
      <c r="K524" s="56"/>
    </row>
    <row r="525" spans="1:11">
      <c r="A525" s="11">
        <v>51202</v>
      </c>
      <c r="B525" s="54" t="s">
        <v>682</v>
      </c>
      <c r="C525" s="13"/>
      <c r="D525" s="14" t="s">
        <v>18</v>
      </c>
      <c r="E525" s="14" t="s">
        <v>28</v>
      </c>
      <c r="F525" s="14" t="s">
        <v>27</v>
      </c>
      <c r="G525" s="17">
        <f>'FEBRERO-18'!I522</f>
        <v>8900</v>
      </c>
      <c r="H525" s="51"/>
      <c r="I525" s="17">
        <f t="shared" si="9"/>
        <v>8900</v>
      </c>
      <c r="J525" s="56"/>
      <c r="K525" s="56"/>
    </row>
    <row r="526" spans="1:11" ht="29.25">
      <c r="A526" s="11">
        <v>54110</v>
      </c>
      <c r="B526" s="54" t="s">
        <v>683</v>
      </c>
      <c r="C526" s="13"/>
      <c r="D526" s="14" t="s">
        <v>18</v>
      </c>
      <c r="E526" s="14" t="s">
        <v>28</v>
      </c>
      <c r="F526" s="14" t="s">
        <v>27</v>
      </c>
      <c r="G526" s="17">
        <f>'FEBRERO-18'!I523</f>
        <v>300</v>
      </c>
      <c r="H526" s="51"/>
      <c r="I526" s="17">
        <f t="shared" si="9"/>
        <v>300</v>
      </c>
      <c r="J526" s="56"/>
      <c r="K526" s="56"/>
    </row>
    <row r="527" spans="1:11" ht="30">
      <c r="A527" s="11">
        <v>54111</v>
      </c>
      <c r="B527" s="53" t="s">
        <v>689</v>
      </c>
      <c r="C527" s="13"/>
      <c r="D527" s="14" t="s">
        <v>18</v>
      </c>
      <c r="E527" s="14" t="s">
        <v>28</v>
      </c>
      <c r="F527" s="14" t="s">
        <v>27</v>
      </c>
      <c r="G527" s="17">
        <f>'FEBRERO-18'!I524</f>
        <v>12000</v>
      </c>
      <c r="H527" s="51"/>
      <c r="I527" s="17">
        <f t="shared" si="9"/>
        <v>12000</v>
      </c>
      <c r="J527" s="56"/>
      <c r="K527" s="56"/>
    </row>
    <row r="528" spans="1:11" ht="29.25">
      <c r="A528" s="11">
        <v>54112</v>
      </c>
      <c r="B528" s="53" t="s">
        <v>684</v>
      </c>
      <c r="C528" s="13"/>
      <c r="D528" s="14" t="s">
        <v>18</v>
      </c>
      <c r="E528" s="14" t="s">
        <v>28</v>
      </c>
      <c r="F528" s="14" t="s">
        <v>27</v>
      </c>
      <c r="G528" s="17">
        <f>'FEBRERO-18'!I525</f>
        <v>2000</v>
      </c>
      <c r="H528" s="51"/>
      <c r="I528" s="17">
        <f t="shared" si="9"/>
        <v>2000</v>
      </c>
      <c r="J528" s="56"/>
      <c r="K528" s="56"/>
    </row>
    <row r="529" spans="1:11" ht="29.25">
      <c r="A529" s="11">
        <v>54118</v>
      </c>
      <c r="B529" s="53" t="s">
        <v>685</v>
      </c>
      <c r="C529" s="13"/>
      <c r="D529" s="14" t="s">
        <v>18</v>
      </c>
      <c r="E529" s="14" t="s">
        <v>28</v>
      </c>
      <c r="F529" s="14" t="s">
        <v>27</v>
      </c>
      <c r="G529" s="17">
        <f>'FEBRERO-18'!I526</f>
        <v>1290</v>
      </c>
      <c r="H529" s="51"/>
      <c r="I529" s="17">
        <f t="shared" si="9"/>
        <v>1290</v>
      </c>
      <c r="J529" s="56"/>
      <c r="K529" s="56"/>
    </row>
    <row r="530" spans="1:11" ht="29.25">
      <c r="A530" s="11">
        <v>54313</v>
      </c>
      <c r="B530" s="53" t="s">
        <v>686</v>
      </c>
      <c r="C530" s="13"/>
      <c r="D530" s="14" t="s">
        <v>18</v>
      </c>
      <c r="E530" s="14" t="s">
        <v>28</v>
      </c>
      <c r="F530" s="14" t="s">
        <v>27</v>
      </c>
      <c r="G530" s="17">
        <f>'FEBRERO-18'!I527</f>
        <v>300</v>
      </c>
      <c r="H530" s="51"/>
      <c r="I530" s="17">
        <f t="shared" si="9"/>
        <v>300</v>
      </c>
      <c r="J530" s="56"/>
      <c r="K530" s="56"/>
    </row>
    <row r="531" spans="1:11" ht="29.25">
      <c r="A531" s="11">
        <v>54399</v>
      </c>
      <c r="B531" s="54" t="s">
        <v>687</v>
      </c>
      <c r="C531" s="13"/>
      <c r="D531" s="14" t="s">
        <v>18</v>
      </c>
      <c r="E531" s="14" t="s">
        <v>28</v>
      </c>
      <c r="F531" s="14" t="s">
        <v>27</v>
      </c>
      <c r="G531" s="17">
        <f>'FEBRERO-18'!I528</f>
        <v>200</v>
      </c>
      <c r="H531" s="51"/>
      <c r="I531" s="17">
        <f t="shared" si="9"/>
        <v>200</v>
      </c>
      <c r="J531" s="56"/>
      <c r="K531" s="56"/>
    </row>
    <row r="532" spans="1:11" ht="29.25">
      <c r="A532" s="11">
        <v>55603</v>
      </c>
      <c r="B532" s="53" t="s">
        <v>688</v>
      </c>
      <c r="C532" s="13"/>
      <c r="D532" s="14" t="s">
        <v>18</v>
      </c>
      <c r="E532" s="14" t="s">
        <v>28</v>
      </c>
      <c r="F532" s="14" t="s">
        <v>27</v>
      </c>
      <c r="G532" s="17">
        <f>'FEBRERO-18'!I529</f>
        <v>10</v>
      </c>
      <c r="H532" s="51"/>
      <c r="I532" s="17">
        <f t="shared" si="9"/>
        <v>10</v>
      </c>
      <c r="J532" s="56"/>
      <c r="K532" s="56"/>
    </row>
    <row r="533" spans="1:11" ht="60">
      <c r="A533" s="141" t="s">
        <v>388</v>
      </c>
      <c r="B533" s="53" t="s">
        <v>699</v>
      </c>
      <c r="C533" s="13"/>
      <c r="D533" s="14"/>
      <c r="E533" s="14"/>
      <c r="F533" s="14"/>
      <c r="G533" s="17">
        <f>'FEBRERO-18'!I530</f>
        <v>0</v>
      </c>
      <c r="H533" s="51"/>
      <c r="I533" s="17"/>
      <c r="J533" s="56"/>
      <c r="K533" s="56"/>
    </row>
    <row r="534" spans="1:11" ht="29.25">
      <c r="A534" s="11">
        <v>51202</v>
      </c>
      <c r="B534" s="54" t="s">
        <v>691</v>
      </c>
      <c r="C534" s="13"/>
      <c r="D534" s="14" t="s">
        <v>18</v>
      </c>
      <c r="E534" s="14" t="s">
        <v>28</v>
      </c>
      <c r="F534" s="14" t="s">
        <v>27</v>
      </c>
      <c r="G534" s="17">
        <f>'FEBRERO-18'!I531</f>
        <v>8900</v>
      </c>
      <c r="H534" s="51"/>
      <c r="I534" s="17">
        <f t="shared" si="9"/>
        <v>8900</v>
      </c>
      <c r="J534" s="56"/>
      <c r="K534" s="56"/>
    </row>
    <row r="535" spans="1:11" ht="29.25">
      <c r="A535" s="11">
        <v>54110</v>
      </c>
      <c r="B535" s="54" t="s">
        <v>692</v>
      </c>
      <c r="C535" s="13"/>
      <c r="D535" s="14" t="s">
        <v>18</v>
      </c>
      <c r="E535" s="14" t="s">
        <v>28</v>
      </c>
      <c r="F535" s="14" t="s">
        <v>27</v>
      </c>
      <c r="G535" s="17">
        <f>'FEBRERO-18'!I532</f>
        <v>300</v>
      </c>
      <c r="H535" s="51"/>
      <c r="I535" s="17">
        <f t="shared" si="9"/>
        <v>300</v>
      </c>
      <c r="J535" s="56"/>
      <c r="K535" s="56"/>
    </row>
    <row r="536" spans="1:11" ht="44.25">
      <c r="A536" s="11">
        <v>54111</v>
      </c>
      <c r="B536" s="53" t="s">
        <v>693</v>
      </c>
      <c r="C536" s="13"/>
      <c r="D536" s="14" t="s">
        <v>18</v>
      </c>
      <c r="E536" s="14" t="s">
        <v>28</v>
      </c>
      <c r="F536" s="14" t="s">
        <v>27</v>
      </c>
      <c r="G536" s="17">
        <f>'FEBRERO-18'!I533</f>
        <v>12000</v>
      </c>
      <c r="H536" s="51"/>
      <c r="I536" s="17">
        <f t="shared" ref="I536:I546" si="10">G536-H536+J536-K536</f>
        <v>12000</v>
      </c>
      <c r="J536" s="56"/>
      <c r="K536" s="56"/>
    </row>
    <row r="537" spans="1:11" ht="29.25">
      <c r="A537" s="11">
        <v>54112</v>
      </c>
      <c r="B537" s="54" t="s">
        <v>694</v>
      </c>
      <c r="C537" s="13"/>
      <c r="D537" s="14" t="s">
        <v>18</v>
      </c>
      <c r="E537" s="14" t="s">
        <v>28</v>
      </c>
      <c r="F537" s="14" t="s">
        <v>27</v>
      </c>
      <c r="G537" s="17">
        <f>'FEBRERO-18'!I534</f>
        <v>2000</v>
      </c>
      <c r="H537" s="51"/>
      <c r="I537" s="17">
        <f t="shared" si="10"/>
        <v>2000</v>
      </c>
      <c r="J537" s="56"/>
      <c r="K537" s="56"/>
    </row>
    <row r="538" spans="1:11" ht="29.25">
      <c r="A538" s="11">
        <v>54118</v>
      </c>
      <c r="B538" s="54" t="s">
        <v>695</v>
      </c>
      <c r="C538" s="13"/>
      <c r="D538" s="14" t="s">
        <v>18</v>
      </c>
      <c r="E538" s="14" t="s">
        <v>28</v>
      </c>
      <c r="F538" s="14" t="s">
        <v>27</v>
      </c>
      <c r="G538" s="17">
        <f>'FEBRERO-18'!I535</f>
        <v>1290</v>
      </c>
      <c r="H538" s="51"/>
      <c r="I538" s="17">
        <f t="shared" si="10"/>
        <v>1290</v>
      </c>
      <c r="J538" s="56"/>
      <c r="K538" s="56"/>
    </row>
    <row r="539" spans="1:11" ht="44.25">
      <c r="A539" s="11">
        <v>54313</v>
      </c>
      <c r="B539" s="53" t="s">
        <v>696</v>
      </c>
      <c r="C539" s="13"/>
      <c r="D539" s="14" t="s">
        <v>18</v>
      </c>
      <c r="E539" s="14" t="s">
        <v>28</v>
      </c>
      <c r="F539" s="14" t="s">
        <v>27</v>
      </c>
      <c r="G539" s="17">
        <f>'FEBRERO-18'!I536</f>
        <v>300</v>
      </c>
      <c r="H539" s="51"/>
      <c r="I539" s="17">
        <f t="shared" si="10"/>
        <v>300</v>
      </c>
      <c r="J539" s="56"/>
      <c r="K539" s="56"/>
    </row>
    <row r="540" spans="1:11" ht="29.25">
      <c r="A540" s="11">
        <v>54399</v>
      </c>
      <c r="B540" s="54" t="s">
        <v>697</v>
      </c>
      <c r="C540" s="13"/>
      <c r="D540" s="14" t="s">
        <v>18</v>
      </c>
      <c r="E540" s="14" t="s">
        <v>28</v>
      </c>
      <c r="F540" s="14" t="s">
        <v>27</v>
      </c>
      <c r="G540" s="17">
        <f>'FEBRERO-18'!I537</f>
        <v>200</v>
      </c>
      <c r="H540" s="51"/>
      <c r="I540" s="17">
        <f t="shared" si="10"/>
        <v>200</v>
      </c>
      <c r="J540" s="56"/>
      <c r="K540" s="56"/>
    </row>
    <row r="541" spans="1:11" ht="29.25">
      <c r="A541" s="11">
        <v>55603</v>
      </c>
      <c r="B541" s="54" t="s">
        <v>698</v>
      </c>
      <c r="C541" s="13"/>
      <c r="D541" s="14" t="s">
        <v>18</v>
      </c>
      <c r="E541" s="14" t="s">
        <v>28</v>
      </c>
      <c r="F541" s="14" t="s">
        <v>27</v>
      </c>
      <c r="G541" s="17">
        <f>'FEBRERO-18'!I538</f>
        <v>10</v>
      </c>
      <c r="H541" s="51"/>
      <c r="I541" s="17">
        <f t="shared" si="10"/>
        <v>10</v>
      </c>
      <c r="J541" s="56"/>
      <c r="K541" s="56"/>
    </row>
    <row r="542" spans="1:11" ht="60">
      <c r="A542" s="141" t="s">
        <v>392</v>
      </c>
      <c r="B542" s="53" t="s">
        <v>700</v>
      </c>
      <c r="C542" s="13"/>
      <c r="D542" s="14"/>
      <c r="E542" s="14"/>
      <c r="F542" s="14"/>
      <c r="G542" s="17">
        <f>'FEBRERO-18'!I539</f>
        <v>0</v>
      </c>
      <c r="H542" s="51"/>
      <c r="I542" s="17"/>
      <c r="J542" s="56"/>
      <c r="K542" s="56"/>
    </row>
    <row r="543" spans="1:11" ht="29.25">
      <c r="A543" s="11">
        <v>51202</v>
      </c>
      <c r="B543" s="54" t="s">
        <v>701</v>
      </c>
      <c r="C543" s="13"/>
      <c r="D543" s="14" t="s">
        <v>18</v>
      </c>
      <c r="E543" s="14" t="s">
        <v>28</v>
      </c>
      <c r="F543" s="14" t="s">
        <v>27</v>
      </c>
      <c r="G543" s="17">
        <f>'FEBRERO-18'!I540</f>
        <v>4640</v>
      </c>
      <c r="H543" s="51"/>
      <c r="I543" s="17">
        <f t="shared" si="10"/>
        <v>4640</v>
      </c>
      <c r="J543" s="56"/>
      <c r="K543" s="56"/>
    </row>
    <row r="544" spans="1:11" ht="29.25">
      <c r="A544" s="11">
        <v>54110</v>
      </c>
      <c r="B544" s="53" t="s">
        <v>702</v>
      </c>
      <c r="C544" s="13"/>
      <c r="D544" s="14" t="s">
        <v>18</v>
      </c>
      <c r="E544" s="14" t="s">
        <v>28</v>
      </c>
      <c r="F544" s="14" t="s">
        <v>27</v>
      </c>
      <c r="G544" s="17">
        <f>'FEBRERO-18'!I541</f>
        <v>100</v>
      </c>
      <c r="H544" s="51"/>
      <c r="I544" s="17">
        <f t="shared" si="10"/>
        <v>100</v>
      </c>
      <c r="J544" s="56"/>
      <c r="K544" s="56"/>
    </row>
    <row r="545" spans="1:11" ht="44.25">
      <c r="A545" s="11">
        <v>54111</v>
      </c>
      <c r="B545" s="53" t="s">
        <v>703</v>
      </c>
      <c r="C545" s="13"/>
      <c r="D545" s="14" t="s">
        <v>18</v>
      </c>
      <c r="E545" s="14" t="s">
        <v>28</v>
      </c>
      <c r="F545" s="14" t="s">
        <v>27</v>
      </c>
      <c r="G545" s="17">
        <f>'FEBRERO-18'!I542</f>
        <v>5000</v>
      </c>
      <c r="H545" s="51"/>
      <c r="I545" s="17">
        <f t="shared" si="10"/>
        <v>5000</v>
      </c>
      <c r="J545" s="56"/>
      <c r="K545" s="56"/>
    </row>
    <row r="546" spans="1:11" ht="44.25">
      <c r="A546" s="11">
        <v>54313</v>
      </c>
      <c r="B546" s="53" t="s">
        <v>704</v>
      </c>
      <c r="C546" s="13"/>
      <c r="D546" s="14" t="s">
        <v>18</v>
      </c>
      <c r="E546" s="14" t="s">
        <v>28</v>
      </c>
      <c r="F546" s="14" t="s">
        <v>27</v>
      </c>
      <c r="G546" s="17">
        <f>'FEBRERO-18'!I543</f>
        <v>250</v>
      </c>
      <c r="H546" s="51"/>
      <c r="I546" s="17">
        <f t="shared" si="10"/>
        <v>250</v>
      </c>
      <c r="J546" s="56"/>
      <c r="K546" s="56"/>
    </row>
    <row r="547" spans="1:11" ht="29.25">
      <c r="A547" s="11">
        <v>55603</v>
      </c>
      <c r="B547" s="53" t="s">
        <v>705</v>
      </c>
      <c r="C547" s="13"/>
      <c r="D547" s="14" t="s">
        <v>18</v>
      </c>
      <c r="E547" s="14" t="s">
        <v>28</v>
      </c>
      <c r="F547" s="14" t="s">
        <v>27</v>
      </c>
      <c r="G547" s="17">
        <f>'FEBRERO-18'!I544</f>
        <v>10</v>
      </c>
      <c r="H547" s="51"/>
      <c r="I547" s="17">
        <f>G547-H547+J547-K547</f>
        <v>10</v>
      </c>
      <c r="J547" s="56"/>
      <c r="K547" s="56"/>
    </row>
    <row r="548" spans="1:11" ht="105">
      <c r="A548" s="141" t="s">
        <v>401</v>
      </c>
      <c r="B548" s="53" t="s">
        <v>706</v>
      </c>
      <c r="C548" s="13"/>
      <c r="D548" s="14"/>
      <c r="E548" s="14"/>
      <c r="F548" s="14"/>
      <c r="G548" s="17">
        <f>'FEBRERO-18'!I545</f>
        <v>0</v>
      </c>
      <c r="H548" s="51"/>
      <c r="I548" s="17"/>
      <c r="J548" s="56"/>
      <c r="K548" s="56"/>
    </row>
    <row r="549" spans="1:11" ht="29.25">
      <c r="A549" s="11">
        <v>51202</v>
      </c>
      <c r="B549" s="54" t="s">
        <v>707</v>
      </c>
      <c r="C549" s="13"/>
      <c r="D549" s="14" t="s">
        <v>18</v>
      </c>
      <c r="E549" s="14" t="s">
        <v>28</v>
      </c>
      <c r="F549" s="14" t="s">
        <v>27</v>
      </c>
      <c r="G549" s="17">
        <f>'FEBRERO-18'!I546</f>
        <v>7000</v>
      </c>
      <c r="H549" s="51"/>
      <c r="I549" s="17">
        <f>G549-H549+J549-K549</f>
        <v>7000</v>
      </c>
      <c r="J549" s="56"/>
      <c r="K549" s="56"/>
    </row>
    <row r="550" spans="1:11" ht="43.5">
      <c r="A550" s="11">
        <v>54110</v>
      </c>
      <c r="B550" s="54" t="s">
        <v>708</v>
      </c>
      <c r="C550" s="13"/>
      <c r="D550" s="14" t="s">
        <v>18</v>
      </c>
      <c r="E550" s="14" t="s">
        <v>28</v>
      </c>
      <c r="F550" s="14" t="s">
        <v>27</v>
      </c>
      <c r="G550" s="17">
        <f>'FEBRERO-18'!I547</f>
        <v>200</v>
      </c>
      <c r="H550" s="51"/>
      <c r="I550" s="17">
        <f t="shared" ref="I550:I590" si="11">G550-H550+J550-K550</f>
        <v>200</v>
      </c>
      <c r="J550" s="56"/>
      <c r="K550" s="56"/>
    </row>
    <row r="551" spans="1:11" ht="44.25">
      <c r="A551" s="11">
        <v>54111</v>
      </c>
      <c r="B551" s="54" t="s">
        <v>709</v>
      </c>
      <c r="C551" s="13"/>
      <c r="D551" s="14" t="s">
        <v>18</v>
      </c>
      <c r="E551" s="14" t="s">
        <v>28</v>
      </c>
      <c r="F551" s="14" t="s">
        <v>27</v>
      </c>
      <c r="G551" s="17">
        <f>'FEBRERO-18'!I548</f>
        <v>9290</v>
      </c>
      <c r="H551" s="51"/>
      <c r="I551" s="17">
        <f t="shared" si="11"/>
        <v>9290</v>
      </c>
      <c r="J551" s="56"/>
      <c r="K551" s="56"/>
    </row>
    <row r="552" spans="1:11" ht="43.5">
      <c r="A552" s="11">
        <v>54118</v>
      </c>
      <c r="B552" s="54" t="s">
        <v>710</v>
      </c>
      <c r="C552" s="13"/>
      <c r="D552" s="14" t="s">
        <v>18</v>
      </c>
      <c r="E552" s="14" t="s">
        <v>28</v>
      </c>
      <c r="F552" s="14" t="s">
        <v>27</v>
      </c>
      <c r="G552" s="17">
        <f>'FEBRERO-18'!I549</f>
        <v>3000</v>
      </c>
      <c r="H552" s="51"/>
      <c r="I552" s="17">
        <f t="shared" si="11"/>
        <v>3000</v>
      </c>
      <c r="J552" s="56"/>
      <c r="K552" s="56"/>
    </row>
    <row r="553" spans="1:11" ht="43.5">
      <c r="A553" s="11">
        <v>54313</v>
      </c>
      <c r="B553" s="54" t="s">
        <v>711</v>
      </c>
      <c r="C553" s="13"/>
      <c r="D553" s="14" t="s">
        <v>18</v>
      </c>
      <c r="E553" s="14" t="s">
        <v>28</v>
      </c>
      <c r="F553" s="14" t="s">
        <v>27</v>
      </c>
      <c r="G553" s="17">
        <f>'FEBRERO-18'!I550</f>
        <v>300</v>
      </c>
      <c r="H553" s="51"/>
      <c r="I553" s="17">
        <f t="shared" si="11"/>
        <v>300</v>
      </c>
      <c r="J553" s="56"/>
      <c r="K553" s="56"/>
    </row>
    <row r="554" spans="1:11" ht="44.25">
      <c r="A554" s="11">
        <v>54399</v>
      </c>
      <c r="B554" s="54" t="s">
        <v>712</v>
      </c>
      <c r="C554" s="13"/>
      <c r="D554" s="14" t="s">
        <v>18</v>
      </c>
      <c r="E554" s="14" t="s">
        <v>28</v>
      </c>
      <c r="F554" s="14" t="s">
        <v>27</v>
      </c>
      <c r="G554" s="17">
        <f>'FEBRERO-18'!I551</f>
        <v>200</v>
      </c>
      <c r="H554" s="51"/>
      <c r="I554" s="17">
        <f t="shared" si="11"/>
        <v>200</v>
      </c>
      <c r="J554" s="56"/>
      <c r="K554" s="56"/>
    </row>
    <row r="555" spans="1:11" ht="43.5">
      <c r="A555" s="11">
        <v>55603</v>
      </c>
      <c r="B555" s="53" t="s">
        <v>713</v>
      </c>
      <c r="C555" s="13"/>
      <c r="D555" s="14" t="s">
        <v>18</v>
      </c>
      <c r="E555" s="14" t="s">
        <v>28</v>
      </c>
      <c r="F555" s="14" t="s">
        <v>27</v>
      </c>
      <c r="G555" s="17">
        <f>'FEBRERO-18'!I552</f>
        <v>10</v>
      </c>
      <c r="H555" s="51"/>
      <c r="I555" s="17">
        <f t="shared" si="11"/>
        <v>10</v>
      </c>
      <c r="J555" s="56"/>
      <c r="K555" s="56"/>
    </row>
    <row r="556" spans="1:11" ht="59.25">
      <c r="A556" s="141" t="s">
        <v>408</v>
      </c>
      <c r="B556" s="53" t="s">
        <v>714</v>
      </c>
      <c r="C556" s="13"/>
      <c r="D556" s="14"/>
      <c r="E556" s="14"/>
      <c r="F556" s="14"/>
      <c r="G556" s="17">
        <f>'FEBRERO-18'!I553</f>
        <v>0</v>
      </c>
      <c r="H556" s="51"/>
      <c r="I556" s="17"/>
      <c r="J556" s="56"/>
      <c r="K556" s="56"/>
    </row>
    <row r="557" spans="1:11" ht="29.25">
      <c r="A557" s="11">
        <v>51202</v>
      </c>
      <c r="B557" s="54" t="s">
        <v>715</v>
      </c>
      <c r="C557" s="13"/>
      <c r="D557" s="14" t="s">
        <v>18</v>
      </c>
      <c r="E557" s="14" t="s">
        <v>28</v>
      </c>
      <c r="F557" s="14" t="s">
        <v>27</v>
      </c>
      <c r="G557" s="17">
        <f>'FEBRERO-18'!I554</f>
        <v>6190</v>
      </c>
      <c r="H557" s="51"/>
      <c r="I557" s="17">
        <f t="shared" si="11"/>
        <v>6190</v>
      </c>
      <c r="J557" s="56"/>
      <c r="K557" s="56"/>
    </row>
    <row r="558" spans="1:11" ht="29.25">
      <c r="A558" s="11">
        <v>54110</v>
      </c>
      <c r="B558" s="54" t="s">
        <v>716</v>
      </c>
      <c r="C558" s="13"/>
      <c r="D558" s="14" t="s">
        <v>18</v>
      </c>
      <c r="E558" s="14" t="s">
        <v>28</v>
      </c>
      <c r="F558" s="14" t="s">
        <v>27</v>
      </c>
      <c r="G558" s="17">
        <f>'FEBRERO-18'!I555</f>
        <v>300</v>
      </c>
      <c r="H558" s="51"/>
      <c r="I558" s="17">
        <f t="shared" si="11"/>
        <v>300</v>
      </c>
      <c r="J558" s="56"/>
      <c r="K558" s="56"/>
    </row>
    <row r="559" spans="1:11" ht="44.25">
      <c r="A559" s="11">
        <v>54111</v>
      </c>
      <c r="B559" s="54" t="s">
        <v>717</v>
      </c>
      <c r="C559" s="13"/>
      <c r="D559" s="14" t="s">
        <v>18</v>
      </c>
      <c r="E559" s="14" t="s">
        <v>28</v>
      </c>
      <c r="F559" s="14" t="s">
        <v>27</v>
      </c>
      <c r="G559" s="17">
        <f>'FEBRERO-18'!I556</f>
        <v>10000</v>
      </c>
      <c r="H559" s="51"/>
      <c r="I559" s="17">
        <f t="shared" si="11"/>
        <v>10000</v>
      </c>
      <c r="J559" s="56"/>
      <c r="K559" s="56"/>
    </row>
    <row r="560" spans="1:11" ht="43.5">
      <c r="A560" s="11">
        <v>54112</v>
      </c>
      <c r="B560" s="53" t="s">
        <v>718</v>
      </c>
      <c r="C560" s="13"/>
      <c r="D560" s="14" t="s">
        <v>18</v>
      </c>
      <c r="E560" s="14" t="s">
        <v>28</v>
      </c>
      <c r="F560" s="14" t="s">
        <v>27</v>
      </c>
      <c r="G560" s="17">
        <f>'FEBRERO-18'!I557</f>
        <v>2000</v>
      </c>
      <c r="H560" s="51"/>
      <c r="I560" s="17">
        <f t="shared" si="11"/>
        <v>2000</v>
      </c>
      <c r="J560" s="56"/>
      <c r="K560" s="56"/>
    </row>
    <row r="561" spans="1:11" ht="29.25">
      <c r="A561" s="11">
        <v>54118</v>
      </c>
      <c r="B561" s="54" t="s">
        <v>719</v>
      </c>
      <c r="C561" s="13"/>
      <c r="D561" s="14" t="s">
        <v>18</v>
      </c>
      <c r="E561" s="14" t="s">
        <v>28</v>
      </c>
      <c r="F561" s="14" t="s">
        <v>27</v>
      </c>
      <c r="G561" s="17">
        <f>'FEBRERO-18'!I558</f>
        <v>1000</v>
      </c>
      <c r="H561" s="51"/>
      <c r="I561" s="17">
        <f t="shared" si="11"/>
        <v>1000</v>
      </c>
      <c r="J561" s="56"/>
      <c r="K561" s="56"/>
    </row>
    <row r="562" spans="1:11" ht="44.25">
      <c r="A562" s="11">
        <v>54313</v>
      </c>
      <c r="B562" s="54" t="s">
        <v>720</v>
      </c>
      <c r="C562" s="13"/>
      <c r="D562" s="14" t="s">
        <v>18</v>
      </c>
      <c r="E562" s="14" t="s">
        <v>28</v>
      </c>
      <c r="F562" s="14" t="s">
        <v>27</v>
      </c>
      <c r="G562" s="17">
        <f>'FEBRERO-18'!I559</f>
        <v>300</v>
      </c>
      <c r="H562" s="51"/>
      <c r="I562" s="17">
        <f t="shared" si="11"/>
        <v>300</v>
      </c>
      <c r="J562" s="56"/>
      <c r="K562" s="56"/>
    </row>
    <row r="563" spans="1:11" ht="44.25">
      <c r="A563" s="11">
        <v>54399</v>
      </c>
      <c r="B563" s="53" t="s">
        <v>721</v>
      </c>
      <c r="C563" s="13"/>
      <c r="D563" s="14" t="s">
        <v>18</v>
      </c>
      <c r="E563" s="14" t="s">
        <v>28</v>
      </c>
      <c r="F563" s="14" t="s">
        <v>27</v>
      </c>
      <c r="G563" s="17">
        <f>'FEBRERO-18'!I560</f>
        <v>200</v>
      </c>
      <c r="H563" s="51"/>
      <c r="I563" s="17">
        <f t="shared" si="11"/>
        <v>200</v>
      </c>
      <c r="J563" s="56"/>
      <c r="K563" s="56"/>
    </row>
    <row r="564" spans="1:11" ht="29.25">
      <c r="A564" s="11">
        <v>55603</v>
      </c>
      <c r="B564" s="53" t="s">
        <v>722</v>
      </c>
      <c r="C564" s="13"/>
      <c r="D564" s="14" t="s">
        <v>18</v>
      </c>
      <c r="E564" s="14" t="s">
        <v>28</v>
      </c>
      <c r="F564" s="14" t="s">
        <v>27</v>
      </c>
      <c r="G564" s="17">
        <f>'FEBRERO-18'!I561</f>
        <v>10</v>
      </c>
      <c r="H564" s="51"/>
      <c r="I564" s="17">
        <f t="shared" si="11"/>
        <v>10</v>
      </c>
      <c r="J564" s="56"/>
      <c r="K564" s="56"/>
    </row>
    <row r="565" spans="1:11" ht="89.25">
      <c r="A565" s="141" t="s">
        <v>418</v>
      </c>
      <c r="B565" s="53" t="s">
        <v>723</v>
      </c>
      <c r="C565" s="13"/>
      <c r="D565" s="14"/>
      <c r="E565" s="14"/>
      <c r="F565" s="14"/>
      <c r="G565" s="17">
        <f>'FEBRERO-18'!I562</f>
        <v>0</v>
      </c>
      <c r="H565" s="51"/>
      <c r="I565" s="17"/>
      <c r="J565" s="56"/>
      <c r="K565" s="56"/>
    </row>
    <row r="566" spans="1:11" ht="29.25">
      <c r="A566" s="11">
        <v>51202</v>
      </c>
      <c r="B566" s="53" t="s">
        <v>724</v>
      </c>
      <c r="C566" s="13"/>
      <c r="D566" s="14" t="s">
        <v>18</v>
      </c>
      <c r="E566" s="14" t="s">
        <v>28</v>
      </c>
      <c r="F566" s="14" t="s">
        <v>27</v>
      </c>
      <c r="G566" s="17">
        <f>'FEBRERO-18'!I563</f>
        <v>7000</v>
      </c>
      <c r="H566" s="51"/>
      <c r="I566" s="17">
        <f t="shared" si="11"/>
        <v>7000</v>
      </c>
      <c r="J566" s="56"/>
      <c r="K566" s="56"/>
    </row>
    <row r="567" spans="1:11" ht="29.25">
      <c r="A567" s="11">
        <v>54110</v>
      </c>
      <c r="B567" s="53" t="s">
        <v>725</v>
      </c>
      <c r="C567" s="13"/>
      <c r="D567" s="14" t="s">
        <v>18</v>
      </c>
      <c r="E567" s="14" t="s">
        <v>28</v>
      </c>
      <c r="F567" s="14" t="s">
        <v>27</v>
      </c>
      <c r="G567" s="17">
        <f>'FEBRERO-18'!I564</f>
        <v>200</v>
      </c>
      <c r="H567" s="51"/>
      <c r="I567" s="17">
        <f t="shared" si="11"/>
        <v>200</v>
      </c>
      <c r="J567" s="56"/>
      <c r="K567" s="56"/>
    </row>
    <row r="568" spans="1:11" ht="29.25">
      <c r="A568" s="11">
        <v>54111</v>
      </c>
      <c r="B568" s="53" t="s">
        <v>726</v>
      </c>
      <c r="C568" s="13"/>
      <c r="D568" s="14" t="s">
        <v>18</v>
      </c>
      <c r="E568" s="14" t="s">
        <v>28</v>
      </c>
      <c r="F568" s="14" t="s">
        <v>27</v>
      </c>
      <c r="G568" s="17">
        <f>'FEBRERO-18'!I565</f>
        <v>9290</v>
      </c>
      <c r="H568" s="51"/>
      <c r="I568" s="17">
        <f t="shared" si="11"/>
        <v>9290</v>
      </c>
      <c r="J568" s="56"/>
      <c r="K568" s="56"/>
    </row>
    <row r="569" spans="1:11" ht="29.25">
      <c r="A569" s="11">
        <v>54118</v>
      </c>
      <c r="B569" s="53" t="s">
        <v>727</v>
      </c>
      <c r="C569" s="13"/>
      <c r="D569" s="14" t="s">
        <v>18</v>
      </c>
      <c r="E569" s="14" t="s">
        <v>28</v>
      </c>
      <c r="F569" s="14" t="s">
        <v>27</v>
      </c>
      <c r="G569" s="17">
        <f>'FEBRERO-18'!I566</f>
        <v>3000</v>
      </c>
      <c r="H569" s="51"/>
      <c r="I569" s="17">
        <f t="shared" si="11"/>
        <v>3000</v>
      </c>
      <c r="J569" s="56"/>
      <c r="K569" s="56"/>
    </row>
    <row r="570" spans="1:11" ht="29.25">
      <c r="A570" s="11">
        <v>54313</v>
      </c>
      <c r="B570" s="53" t="s">
        <v>728</v>
      </c>
      <c r="C570" s="13"/>
      <c r="D570" s="14" t="s">
        <v>18</v>
      </c>
      <c r="E570" s="14" t="s">
        <v>28</v>
      </c>
      <c r="F570" s="14" t="s">
        <v>27</v>
      </c>
      <c r="G570" s="17">
        <f>'FEBRERO-18'!I567</f>
        <v>300</v>
      </c>
      <c r="H570" s="51"/>
      <c r="I570" s="17">
        <f t="shared" si="11"/>
        <v>300</v>
      </c>
      <c r="J570" s="56"/>
      <c r="K570" s="56"/>
    </row>
    <row r="571" spans="1:11" ht="30">
      <c r="A571" s="11">
        <v>54399</v>
      </c>
      <c r="B571" s="53" t="s">
        <v>729</v>
      </c>
      <c r="C571" s="13"/>
      <c r="D571" s="14" t="s">
        <v>18</v>
      </c>
      <c r="E571" s="14" t="s">
        <v>28</v>
      </c>
      <c r="F571" s="14" t="s">
        <v>27</v>
      </c>
      <c r="G571" s="17">
        <f>'FEBRERO-18'!I568</f>
        <v>200</v>
      </c>
      <c r="H571" s="51"/>
      <c r="I571" s="17">
        <f t="shared" si="11"/>
        <v>200</v>
      </c>
      <c r="J571" s="56"/>
      <c r="K571" s="56"/>
    </row>
    <row r="572" spans="1:11" ht="29.25">
      <c r="A572" s="11">
        <v>55603</v>
      </c>
      <c r="B572" s="53" t="s">
        <v>730</v>
      </c>
      <c r="C572" s="13"/>
      <c r="D572" s="14" t="s">
        <v>18</v>
      </c>
      <c r="E572" s="14" t="s">
        <v>28</v>
      </c>
      <c r="F572" s="14" t="s">
        <v>27</v>
      </c>
      <c r="G572" s="17">
        <f>'FEBRERO-18'!I569</f>
        <v>10</v>
      </c>
      <c r="H572" s="51"/>
      <c r="I572" s="17">
        <f t="shared" si="11"/>
        <v>10</v>
      </c>
      <c r="J572" s="56"/>
      <c r="K572" s="56"/>
    </row>
    <row r="573" spans="1:11" ht="90">
      <c r="A573" s="141" t="s">
        <v>429</v>
      </c>
      <c r="B573" s="53" t="s">
        <v>731</v>
      </c>
      <c r="C573" s="13"/>
      <c r="D573" s="14"/>
      <c r="E573" s="14"/>
      <c r="F573" s="14"/>
      <c r="G573" s="17">
        <f>'FEBRERO-18'!I570</f>
        <v>0</v>
      </c>
      <c r="H573" s="51"/>
      <c r="I573" s="17"/>
      <c r="J573" s="56"/>
      <c r="K573" s="56"/>
    </row>
    <row r="574" spans="1:11">
      <c r="A574" s="11">
        <v>51202</v>
      </c>
      <c r="B574" s="53" t="s">
        <v>732</v>
      </c>
      <c r="C574" s="13"/>
      <c r="D574" s="14" t="s">
        <v>18</v>
      </c>
      <c r="E574" s="14" t="s">
        <v>28</v>
      </c>
      <c r="F574" s="14" t="s">
        <v>27</v>
      </c>
      <c r="G574" s="17">
        <f>'FEBRERO-18'!I571</f>
        <v>12190</v>
      </c>
      <c r="H574" s="51"/>
      <c r="I574" s="17">
        <f t="shared" si="11"/>
        <v>12190</v>
      </c>
      <c r="J574" s="56"/>
      <c r="K574" s="56"/>
    </row>
    <row r="575" spans="1:11" ht="29.25">
      <c r="A575" s="11">
        <v>54110</v>
      </c>
      <c r="B575" s="53" t="s">
        <v>733</v>
      </c>
      <c r="C575" s="13"/>
      <c r="D575" s="14" t="s">
        <v>18</v>
      </c>
      <c r="E575" s="14" t="s">
        <v>28</v>
      </c>
      <c r="F575" s="14" t="s">
        <v>27</v>
      </c>
      <c r="G575" s="17">
        <f>'FEBRERO-18'!I572</f>
        <v>300</v>
      </c>
      <c r="H575" s="51"/>
      <c r="I575" s="17">
        <f t="shared" si="11"/>
        <v>300</v>
      </c>
      <c r="J575" s="56"/>
      <c r="K575" s="56"/>
    </row>
    <row r="576" spans="1:11" ht="29.25">
      <c r="A576" s="11">
        <v>54111</v>
      </c>
      <c r="B576" s="53" t="s">
        <v>734</v>
      </c>
      <c r="C576" s="13"/>
      <c r="D576" s="14" t="s">
        <v>18</v>
      </c>
      <c r="E576" s="14" t="s">
        <v>28</v>
      </c>
      <c r="F576" s="14" t="s">
        <v>27</v>
      </c>
      <c r="G576" s="17">
        <f>'FEBRERO-18'!I573</f>
        <v>15000</v>
      </c>
      <c r="H576" s="51"/>
      <c r="I576" s="17">
        <f t="shared" si="11"/>
        <v>15000</v>
      </c>
      <c r="J576" s="56"/>
      <c r="K576" s="56"/>
    </row>
    <row r="577" spans="1:11" ht="29.25">
      <c r="A577" s="11">
        <v>54112</v>
      </c>
      <c r="B577" s="53" t="s">
        <v>735</v>
      </c>
      <c r="C577" s="13"/>
      <c r="D577" s="14" t="s">
        <v>18</v>
      </c>
      <c r="E577" s="14" t="s">
        <v>28</v>
      </c>
      <c r="F577" s="14" t="s">
        <v>27</v>
      </c>
      <c r="G577" s="17">
        <f>'FEBRERO-18'!I574</f>
        <v>8000</v>
      </c>
      <c r="H577" s="51"/>
      <c r="I577" s="17">
        <f t="shared" si="11"/>
        <v>8000</v>
      </c>
      <c r="J577" s="56"/>
      <c r="K577" s="56"/>
    </row>
    <row r="578" spans="1:11" ht="29.25">
      <c r="A578" s="11">
        <v>54118</v>
      </c>
      <c r="B578" s="53" t="s">
        <v>736</v>
      </c>
      <c r="C578" s="13"/>
      <c r="D578" s="14" t="s">
        <v>18</v>
      </c>
      <c r="E578" s="14" t="s">
        <v>28</v>
      </c>
      <c r="F578" s="14" t="s">
        <v>27</v>
      </c>
      <c r="G578" s="17">
        <f>'FEBRERO-18'!I575</f>
        <v>7000</v>
      </c>
      <c r="H578" s="51"/>
      <c r="I578" s="17">
        <f t="shared" si="11"/>
        <v>7000</v>
      </c>
      <c r="J578" s="56"/>
      <c r="K578" s="56"/>
    </row>
    <row r="579" spans="1:11" ht="29.25">
      <c r="A579" s="11">
        <v>54304</v>
      </c>
      <c r="B579" s="53" t="s">
        <v>737</v>
      </c>
      <c r="C579" s="13"/>
      <c r="D579" s="14" t="s">
        <v>18</v>
      </c>
      <c r="E579" s="14" t="s">
        <v>28</v>
      </c>
      <c r="F579" s="14" t="s">
        <v>27</v>
      </c>
      <c r="G579" s="17">
        <f>'FEBRERO-18'!I576</f>
        <v>2000</v>
      </c>
      <c r="H579" s="51"/>
      <c r="I579" s="17">
        <f t="shared" si="11"/>
        <v>2000</v>
      </c>
      <c r="J579" s="56"/>
      <c r="K579" s="56"/>
    </row>
    <row r="580" spans="1:11" ht="30">
      <c r="A580" s="11">
        <v>54313</v>
      </c>
      <c r="B580" s="53" t="s">
        <v>738</v>
      </c>
      <c r="C580" s="13"/>
      <c r="D580" s="14" t="s">
        <v>18</v>
      </c>
      <c r="E580" s="14" t="s">
        <v>28</v>
      </c>
      <c r="F580" s="14" t="s">
        <v>27</v>
      </c>
      <c r="G580" s="17">
        <f>'FEBRERO-18'!I577</f>
        <v>300</v>
      </c>
      <c r="H580" s="51"/>
      <c r="I580" s="17">
        <f t="shared" si="11"/>
        <v>300</v>
      </c>
      <c r="J580" s="56"/>
      <c r="K580" s="56"/>
    </row>
    <row r="581" spans="1:11" ht="29.25">
      <c r="A581" s="11">
        <v>54399</v>
      </c>
      <c r="B581" s="53" t="s">
        <v>739</v>
      </c>
      <c r="C581" s="13"/>
      <c r="D581" s="14" t="s">
        <v>18</v>
      </c>
      <c r="E581" s="14" t="s">
        <v>28</v>
      </c>
      <c r="F581" s="14" t="s">
        <v>27</v>
      </c>
      <c r="G581" s="17">
        <f>'FEBRERO-18'!I578</f>
        <v>200</v>
      </c>
      <c r="H581" s="51"/>
      <c r="I581" s="17">
        <f t="shared" si="11"/>
        <v>200</v>
      </c>
      <c r="J581" s="56"/>
      <c r="K581" s="56"/>
    </row>
    <row r="582" spans="1:11" ht="29.25">
      <c r="A582" s="11">
        <v>55603</v>
      </c>
      <c r="B582" s="53" t="s">
        <v>740</v>
      </c>
      <c r="C582" s="13"/>
      <c r="D582" s="14" t="s">
        <v>18</v>
      </c>
      <c r="E582" s="14" t="s">
        <v>28</v>
      </c>
      <c r="F582" s="14" t="s">
        <v>27</v>
      </c>
      <c r="G582" s="17">
        <f>'FEBRERO-18'!I579</f>
        <v>10</v>
      </c>
      <c r="H582" s="51"/>
      <c r="I582" s="17">
        <f t="shared" si="11"/>
        <v>10</v>
      </c>
      <c r="J582" s="56"/>
      <c r="K582" s="56"/>
    </row>
    <row r="583" spans="1:11" ht="75">
      <c r="A583" s="144" t="s">
        <v>437</v>
      </c>
      <c r="B583" s="53" t="s">
        <v>742</v>
      </c>
      <c r="C583" s="13"/>
      <c r="D583" s="14"/>
      <c r="E583" s="14"/>
      <c r="F583" s="14"/>
      <c r="G583" s="17">
        <f>'FEBRERO-18'!I580</f>
        <v>0</v>
      </c>
      <c r="H583" s="51"/>
      <c r="I583" s="17"/>
      <c r="J583" s="56"/>
      <c r="K583" s="56"/>
    </row>
    <row r="584" spans="1:11" ht="29.25">
      <c r="A584" s="11">
        <v>51202</v>
      </c>
      <c r="B584" s="53" t="s">
        <v>743</v>
      </c>
      <c r="C584" s="13"/>
      <c r="D584" s="14" t="s">
        <v>18</v>
      </c>
      <c r="E584" s="14" t="s">
        <v>28</v>
      </c>
      <c r="F584" s="14" t="s">
        <v>27</v>
      </c>
      <c r="G584" s="17">
        <f>'FEBRERO-18'!I581</f>
        <v>7000</v>
      </c>
      <c r="H584" s="51"/>
      <c r="I584" s="17">
        <f t="shared" si="11"/>
        <v>7000</v>
      </c>
      <c r="J584" s="56"/>
      <c r="K584" s="56"/>
    </row>
    <row r="585" spans="1:11" ht="29.25">
      <c r="A585" s="11">
        <v>54110</v>
      </c>
      <c r="B585" s="53" t="s">
        <v>744</v>
      </c>
      <c r="C585" s="13"/>
      <c r="D585" s="14" t="s">
        <v>18</v>
      </c>
      <c r="E585" s="14" t="s">
        <v>28</v>
      </c>
      <c r="F585" s="14" t="s">
        <v>27</v>
      </c>
      <c r="G585" s="17">
        <f>'FEBRERO-18'!I582</f>
        <v>200</v>
      </c>
      <c r="H585" s="51"/>
      <c r="I585" s="17">
        <f t="shared" si="11"/>
        <v>200</v>
      </c>
      <c r="J585" s="56"/>
      <c r="K585" s="56"/>
    </row>
    <row r="586" spans="1:11" ht="43.5">
      <c r="A586" s="11">
        <v>54111</v>
      </c>
      <c r="B586" s="53" t="s">
        <v>745</v>
      </c>
      <c r="C586" s="13"/>
      <c r="D586" s="14" t="s">
        <v>18</v>
      </c>
      <c r="E586" s="14" t="s">
        <v>28</v>
      </c>
      <c r="F586" s="14" t="s">
        <v>27</v>
      </c>
      <c r="G586" s="17">
        <f>'FEBRERO-18'!I583</f>
        <v>9290</v>
      </c>
      <c r="H586" s="51"/>
      <c r="I586" s="17">
        <f t="shared" si="11"/>
        <v>9290</v>
      </c>
      <c r="J586" s="56"/>
      <c r="K586" s="56"/>
    </row>
    <row r="587" spans="1:11" ht="43.5">
      <c r="A587" s="11">
        <v>54118</v>
      </c>
      <c r="B587" s="53" t="s">
        <v>746</v>
      </c>
      <c r="C587" s="13"/>
      <c r="D587" s="14" t="s">
        <v>18</v>
      </c>
      <c r="E587" s="14" t="s">
        <v>28</v>
      </c>
      <c r="F587" s="14" t="s">
        <v>27</v>
      </c>
      <c r="G587" s="17">
        <f>'FEBRERO-18'!I584</f>
        <v>3000</v>
      </c>
      <c r="H587" s="51"/>
      <c r="I587" s="17">
        <f t="shared" si="11"/>
        <v>3000</v>
      </c>
      <c r="J587" s="56"/>
      <c r="K587" s="56"/>
    </row>
    <row r="588" spans="1:11" ht="43.5">
      <c r="A588" s="11">
        <v>54313</v>
      </c>
      <c r="B588" s="53" t="s">
        <v>747</v>
      </c>
      <c r="C588" s="13"/>
      <c r="D588" s="14" t="s">
        <v>18</v>
      </c>
      <c r="E588" s="14" t="s">
        <v>28</v>
      </c>
      <c r="F588" s="14" t="s">
        <v>27</v>
      </c>
      <c r="G588" s="17">
        <f>'FEBRERO-18'!I585</f>
        <v>300</v>
      </c>
      <c r="H588" s="51"/>
      <c r="I588" s="17">
        <f t="shared" si="11"/>
        <v>300</v>
      </c>
      <c r="J588" s="56"/>
      <c r="K588" s="56"/>
    </row>
    <row r="589" spans="1:11" ht="44.25">
      <c r="A589" s="11">
        <v>54399</v>
      </c>
      <c r="B589" s="53" t="s">
        <v>748</v>
      </c>
      <c r="C589" s="13"/>
      <c r="D589" s="14" t="s">
        <v>18</v>
      </c>
      <c r="E589" s="14" t="s">
        <v>28</v>
      </c>
      <c r="F589" s="14" t="s">
        <v>27</v>
      </c>
      <c r="G589" s="17">
        <f>'FEBRERO-18'!I586</f>
        <v>200</v>
      </c>
      <c r="H589" s="51"/>
      <c r="I589" s="17">
        <f t="shared" si="11"/>
        <v>200</v>
      </c>
      <c r="J589" s="56"/>
      <c r="K589" s="56"/>
    </row>
    <row r="590" spans="1:11" ht="29.25">
      <c r="A590" s="11">
        <v>55603</v>
      </c>
      <c r="B590" s="53" t="s">
        <v>749</v>
      </c>
      <c r="C590" s="13"/>
      <c r="D590" s="14" t="s">
        <v>18</v>
      </c>
      <c r="E590" s="14" t="s">
        <v>28</v>
      </c>
      <c r="F590" s="14" t="s">
        <v>27</v>
      </c>
      <c r="G590" s="17">
        <f>'FEBRERO-18'!I587</f>
        <v>10</v>
      </c>
      <c r="H590" s="51"/>
      <c r="I590" s="17">
        <f t="shared" si="11"/>
        <v>10</v>
      </c>
      <c r="J590" s="56"/>
      <c r="K590" s="56"/>
    </row>
    <row r="591" spans="1:11">
      <c r="A591" s="11"/>
      <c r="B591" s="54"/>
      <c r="C591" s="13"/>
      <c r="D591" s="14"/>
      <c r="E591" s="14"/>
      <c r="F591" s="14"/>
      <c r="G591" s="17">
        <f>'FEBRERO-18'!I588</f>
        <v>0</v>
      </c>
      <c r="H591" s="51"/>
      <c r="I591" s="17"/>
      <c r="J591" s="56"/>
      <c r="K591" s="56"/>
    </row>
    <row r="592" spans="1:11" ht="60">
      <c r="A592" s="141" t="s">
        <v>443</v>
      </c>
      <c r="B592" s="53" t="s">
        <v>750</v>
      </c>
      <c r="C592" s="13"/>
      <c r="D592" s="14"/>
      <c r="E592" s="14"/>
      <c r="F592" s="14"/>
      <c r="G592" s="17">
        <f>'FEBRERO-18'!I589</f>
        <v>0</v>
      </c>
      <c r="H592" s="51"/>
      <c r="I592" s="17"/>
      <c r="J592" s="56"/>
      <c r="K592" s="56"/>
    </row>
    <row r="593" spans="1:11" ht="29.25">
      <c r="A593" s="11">
        <v>51202</v>
      </c>
      <c r="B593" s="53" t="s">
        <v>741</v>
      </c>
      <c r="C593" s="13"/>
      <c r="D593" s="14" t="s">
        <v>18</v>
      </c>
      <c r="E593" s="14" t="s">
        <v>28</v>
      </c>
      <c r="F593" s="14" t="s">
        <v>27</v>
      </c>
      <c r="G593" s="17">
        <f>'FEBRERO-18'!I590</f>
        <v>3000</v>
      </c>
      <c r="H593" s="51"/>
      <c r="I593" s="17">
        <f t="shared" ref="I593:I659" si="12">G593-H593+J593-K593</f>
        <v>3000</v>
      </c>
      <c r="J593" s="56"/>
      <c r="K593" s="56"/>
    </row>
    <row r="594" spans="1:11" ht="29.25">
      <c r="A594" s="11">
        <v>54110</v>
      </c>
      <c r="B594" s="53" t="s">
        <v>751</v>
      </c>
      <c r="C594" s="13"/>
      <c r="D594" s="14" t="s">
        <v>18</v>
      </c>
      <c r="E594" s="14" t="s">
        <v>28</v>
      </c>
      <c r="F594" s="14" t="s">
        <v>27</v>
      </c>
      <c r="G594" s="17">
        <f>'FEBRERO-18'!I591</f>
        <v>100</v>
      </c>
      <c r="H594" s="51"/>
      <c r="I594" s="17">
        <f t="shared" si="12"/>
        <v>100</v>
      </c>
      <c r="J594" s="56"/>
      <c r="K594" s="56"/>
    </row>
    <row r="595" spans="1:11" ht="43.5">
      <c r="A595" s="11">
        <v>54111</v>
      </c>
      <c r="B595" s="53" t="s">
        <v>752</v>
      </c>
      <c r="C595" s="13"/>
      <c r="D595" s="14" t="s">
        <v>18</v>
      </c>
      <c r="E595" s="14" t="s">
        <v>28</v>
      </c>
      <c r="F595" s="14" t="s">
        <v>27</v>
      </c>
      <c r="G595" s="17">
        <f>'FEBRERO-18'!I592</f>
        <v>2000</v>
      </c>
      <c r="H595" s="51"/>
      <c r="I595" s="17">
        <f t="shared" si="12"/>
        <v>2000</v>
      </c>
      <c r="J595" s="56"/>
      <c r="K595" s="56"/>
    </row>
    <row r="596" spans="1:11" ht="29.25">
      <c r="A596" s="11">
        <v>54118</v>
      </c>
      <c r="B596" s="53" t="s">
        <v>753</v>
      </c>
      <c r="C596" s="13"/>
      <c r="D596" s="14" t="s">
        <v>18</v>
      </c>
      <c r="E596" s="14" t="s">
        <v>28</v>
      </c>
      <c r="F596" s="14" t="s">
        <v>27</v>
      </c>
      <c r="G596" s="17">
        <f>'FEBRERO-18'!I593</f>
        <v>290</v>
      </c>
      <c r="H596" s="51"/>
      <c r="I596" s="17">
        <f t="shared" si="12"/>
        <v>290</v>
      </c>
      <c r="J596" s="56"/>
      <c r="K596" s="56"/>
    </row>
    <row r="597" spans="1:11" ht="29.25">
      <c r="A597" s="11">
        <v>54304</v>
      </c>
      <c r="B597" s="53" t="s">
        <v>754</v>
      </c>
      <c r="C597" s="13"/>
      <c r="D597" s="14" t="s">
        <v>18</v>
      </c>
      <c r="E597" s="14" t="s">
        <v>28</v>
      </c>
      <c r="F597" s="14" t="s">
        <v>27</v>
      </c>
      <c r="G597" s="17">
        <f>'FEBRERO-18'!I594</f>
        <v>100</v>
      </c>
      <c r="H597" s="51"/>
      <c r="I597" s="17">
        <f t="shared" si="12"/>
        <v>100</v>
      </c>
      <c r="J597" s="56"/>
      <c r="K597" s="56"/>
    </row>
    <row r="598" spans="1:11" ht="29.25">
      <c r="A598" s="11">
        <v>54313</v>
      </c>
      <c r="B598" s="53" t="s">
        <v>755</v>
      </c>
      <c r="C598" s="13"/>
      <c r="D598" s="14" t="s">
        <v>18</v>
      </c>
      <c r="E598" s="14" t="s">
        <v>28</v>
      </c>
      <c r="F598" s="14" t="s">
        <v>27</v>
      </c>
      <c r="G598" s="17">
        <f>'FEBRERO-18'!I595</f>
        <v>300</v>
      </c>
      <c r="H598" s="17"/>
      <c r="I598" s="17">
        <f t="shared" si="12"/>
        <v>300</v>
      </c>
      <c r="J598" s="56"/>
      <c r="K598" s="56"/>
    </row>
    <row r="599" spans="1:11" ht="43.5">
      <c r="A599" s="11">
        <v>54399</v>
      </c>
      <c r="B599" s="53" t="s">
        <v>756</v>
      </c>
      <c r="C599" s="13"/>
      <c r="D599" s="14" t="s">
        <v>18</v>
      </c>
      <c r="E599" s="14" t="s">
        <v>28</v>
      </c>
      <c r="F599" s="14" t="s">
        <v>27</v>
      </c>
      <c r="G599" s="17">
        <f>'FEBRERO-18'!I596</f>
        <v>200</v>
      </c>
      <c r="H599" s="51"/>
      <c r="I599" s="17">
        <f t="shared" si="12"/>
        <v>200</v>
      </c>
      <c r="J599" s="56"/>
      <c r="K599" s="56"/>
    </row>
    <row r="600" spans="1:11" ht="29.25">
      <c r="A600" s="11">
        <v>55603</v>
      </c>
      <c r="B600" s="53" t="s">
        <v>757</v>
      </c>
      <c r="C600" s="13"/>
      <c r="D600" s="14" t="s">
        <v>18</v>
      </c>
      <c r="E600" s="14" t="s">
        <v>28</v>
      </c>
      <c r="F600" s="14" t="s">
        <v>27</v>
      </c>
      <c r="G600" s="17">
        <f>'FEBRERO-18'!I597</f>
        <v>10</v>
      </c>
      <c r="H600" s="51"/>
      <c r="I600" s="17">
        <f t="shared" si="12"/>
        <v>10</v>
      </c>
      <c r="J600" s="56"/>
      <c r="K600" s="56"/>
    </row>
    <row r="601" spans="1:11" ht="60">
      <c r="A601" s="141" t="s">
        <v>451</v>
      </c>
      <c r="B601" s="53" t="s">
        <v>758</v>
      </c>
      <c r="C601" s="13"/>
      <c r="D601" s="14"/>
      <c r="E601" s="14"/>
      <c r="F601" s="14"/>
      <c r="G601" s="17">
        <f>'FEBRERO-18'!I598</f>
        <v>0</v>
      </c>
      <c r="H601" s="51"/>
      <c r="I601" s="17"/>
      <c r="J601" s="56"/>
      <c r="K601" s="56"/>
    </row>
    <row r="602" spans="1:11" ht="29.25">
      <c r="A602" s="11">
        <v>51202</v>
      </c>
      <c r="B602" s="54" t="s">
        <v>759</v>
      </c>
      <c r="C602" s="13"/>
      <c r="D602" s="14" t="s">
        <v>18</v>
      </c>
      <c r="E602" s="14" t="s">
        <v>28</v>
      </c>
      <c r="F602" s="14" t="s">
        <v>27</v>
      </c>
      <c r="G602" s="17">
        <f>'FEBRERO-18'!I599</f>
        <v>5000</v>
      </c>
      <c r="H602" s="51"/>
      <c r="I602" s="17">
        <f t="shared" si="12"/>
        <v>0</v>
      </c>
      <c r="J602" s="56"/>
      <c r="K602" s="142">
        <v>5000</v>
      </c>
    </row>
    <row r="603" spans="1:11" ht="29.25">
      <c r="A603" s="11">
        <v>54110</v>
      </c>
      <c r="B603" s="54" t="s">
        <v>760</v>
      </c>
      <c r="C603" s="13"/>
      <c r="D603" s="14" t="s">
        <v>18</v>
      </c>
      <c r="E603" s="14" t="s">
        <v>28</v>
      </c>
      <c r="F603" s="14" t="s">
        <v>27</v>
      </c>
      <c r="G603" s="17">
        <f>'FEBRERO-18'!I600</f>
        <v>200</v>
      </c>
      <c r="H603" s="51"/>
      <c r="I603" s="17">
        <f t="shared" si="12"/>
        <v>0</v>
      </c>
      <c r="J603" s="56"/>
      <c r="K603" s="142">
        <v>200</v>
      </c>
    </row>
    <row r="604" spans="1:11" ht="41.25" customHeight="1">
      <c r="A604" s="11">
        <v>54111</v>
      </c>
      <c r="B604" s="54" t="s">
        <v>761</v>
      </c>
      <c r="C604" s="13"/>
      <c r="D604" s="14" t="s">
        <v>18</v>
      </c>
      <c r="E604" s="14" t="s">
        <v>28</v>
      </c>
      <c r="F604" s="14" t="s">
        <v>27</v>
      </c>
      <c r="G604" s="17">
        <f>'FEBRERO-18'!I601</f>
        <v>7290</v>
      </c>
      <c r="H604" s="51"/>
      <c r="I604" s="17">
        <f t="shared" si="12"/>
        <v>0</v>
      </c>
      <c r="J604" s="56"/>
      <c r="K604" s="142">
        <v>7290</v>
      </c>
    </row>
    <row r="605" spans="1:11" ht="30" customHeight="1">
      <c r="A605" s="11">
        <v>54118</v>
      </c>
      <c r="B605" s="54" t="s">
        <v>762</v>
      </c>
      <c r="C605" s="13"/>
      <c r="D605" s="14" t="s">
        <v>18</v>
      </c>
      <c r="E605" s="14" t="s">
        <v>28</v>
      </c>
      <c r="F605" s="14" t="s">
        <v>27</v>
      </c>
      <c r="G605" s="17">
        <f>'FEBRERO-18'!I602</f>
        <v>2000</v>
      </c>
      <c r="H605" s="51"/>
      <c r="I605" s="17">
        <f t="shared" si="12"/>
        <v>0</v>
      </c>
      <c r="J605" s="56"/>
      <c r="K605" s="142">
        <v>2000</v>
      </c>
    </row>
    <row r="606" spans="1:11" ht="29.25">
      <c r="A606" s="11">
        <v>54313</v>
      </c>
      <c r="B606" s="54" t="s">
        <v>763</v>
      </c>
      <c r="C606" s="13"/>
      <c r="D606" s="14" t="s">
        <v>18</v>
      </c>
      <c r="E606" s="14" t="s">
        <v>28</v>
      </c>
      <c r="F606" s="14" t="s">
        <v>27</v>
      </c>
      <c r="G606" s="17">
        <f>'FEBRERO-18'!I603</f>
        <v>300</v>
      </c>
      <c r="H606" s="51"/>
      <c r="I606" s="17">
        <f t="shared" si="12"/>
        <v>0</v>
      </c>
      <c r="J606" s="56"/>
      <c r="K606" s="142">
        <v>300</v>
      </c>
    </row>
    <row r="607" spans="1:11" ht="44.25">
      <c r="A607" s="11">
        <v>54399</v>
      </c>
      <c r="B607" s="54" t="s">
        <v>764</v>
      </c>
      <c r="C607" s="13"/>
      <c r="D607" s="14" t="s">
        <v>18</v>
      </c>
      <c r="E607" s="14" t="s">
        <v>28</v>
      </c>
      <c r="F607" s="14" t="s">
        <v>27</v>
      </c>
      <c r="G607" s="17">
        <f>'FEBRERO-18'!I604</f>
        <v>200</v>
      </c>
      <c r="H607" s="51"/>
      <c r="I607" s="17">
        <f t="shared" si="12"/>
        <v>0</v>
      </c>
      <c r="J607" s="56"/>
      <c r="K607" s="142">
        <v>200</v>
      </c>
    </row>
    <row r="608" spans="1:11" ht="29.25">
      <c r="A608" s="11">
        <v>55603</v>
      </c>
      <c r="B608" s="54" t="s">
        <v>765</v>
      </c>
      <c r="C608" s="13"/>
      <c r="D608" s="14" t="s">
        <v>18</v>
      </c>
      <c r="E608" s="14" t="s">
        <v>28</v>
      </c>
      <c r="F608" s="14" t="s">
        <v>27</v>
      </c>
      <c r="G608" s="17">
        <f>'FEBRERO-18'!I605</f>
        <v>10</v>
      </c>
      <c r="H608" s="51"/>
      <c r="I608" s="17">
        <f t="shared" si="12"/>
        <v>0</v>
      </c>
      <c r="J608" s="56"/>
      <c r="K608" s="142">
        <v>10</v>
      </c>
    </row>
    <row r="609" spans="1:11" ht="78.75" customHeight="1">
      <c r="A609" s="141" t="s">
        <v>459</v>
      </c>
      <c r="B609" s="53" t="s">
        <v>766</v>
      </c>
      <c r="C609" s="13"/>
      <c r="D609" s="14"/>
      <c r="E609" s="14"/>
      <c r="F609" s="14"/>
      <c r="G609" s="17">
        <f>'FEBRERO-18'!I606</f>
        <v>0</v>
      </c>
      <c r="H609" s="51"/>
      <c r="I609" s="17"/>
      <c r="J609" s="56"/>
      <c r="K609" s="56"/>
    </row>
    <row r="610" spans="1:11" ht="29.25">
      <c r="A610" s="11">
        <v>51202</v>
      </c>
      <c r="B610" s="54" t="s">
        <v>767</v>
      </c>
      <c r="C610" s="13"/>
      <c r="D610" s="14" t="s">
        <v>18</v>
      </c>
      <c r="E610" s="14" t="s">
        <v>28</v>
      </c>
      <c r="F610" s="14" t="s">
        <v>27</v>
      </c>
      <c r="G610" s="17">
        <f>'FEBRERO-18'!I607</f>
        <v>5000</v>
      </c>
      <c r="H610" s="51"/>
      <c r="I610" s="17">
        <f t="shared" si="12"/>
        <v>0</v>
      </c>
      <c r="J610" s="56"/>
      <c r="K610" s="137">
        <v>5000</v>
      </c>
    </row>
    <row r="611" spans="1:11" ht="29.25">
      <c r="A611" s="11">
        <v>54110</v>
      </c>
      <c r="B611" s="54" t="s">
        <v>768</v>
      </c>
      <c r="C611" s="13"/>
      <c r="D611" s="14" t="s">
        <v>18</v>
      </c>
      <c r="E611" s="14" t="s">
        <v>28</v>
      </c>
      <c r="F611" s="14" t="s">
        <v>27</v>
      </c>
      <c r="G611" s="17">
        <f>'FEBRERO-18'!I608</f>
        <v>200</v>
      </c>
      <c r="H611" s="51"/>
      <c r="I611" s="17">
        <f t="shared" si="12"/>
        <v>0</v>
      </c>
      <c r="J611" s="56"/>
      <c r="K611" s="137">
        <v>200</v>
      </c>
    </row>
    <row r="612" spans="1:11" ht="43.5">
      <c r="A612" s="11">
        <v>54111</v>
      </c>
      <c r="B612" s="54" t="s">
        <v>769</v>
      </c>
      <c r="C612" s="13"/>
      <c r="D612" s="14" t="s">
        <v>18</v>
      </c>
      <c r="E612" s="14" t="s">
        <v>28</v>
      </c>
      <c r="F612" s="14" t="s">
        <v>27</v>
      </c>
      <c r="G612" s="17">
        <f>'FEBRERO-18'!I609</f>
        <v>7290</v>
      </c>
      <c r="H612" s="51"/>
      <c r="I612" s="17">
        <f t="shared" si="12"/>
        <v>0</v>
      </c>
      <c r="J612" s="56"/>
      <c r="K612" s="137">
        <v>7290</v>
      </c>
    </row>
    <row r="613" spans="1:11" ht="43.5">
      <c r="A613" s="11">
        <v>54118</v>
      </c>
      <c r="B613" s="54" t="s">
        <v>770</v>
      </c>
      <c r="C613" s="13"/>
      <c r="D613" s="14" t="s">
        <v>18</v>
      </c>
      <c r="E613" s="14" t="s">
        <v>28</v>
      </c>
      <c r="F613" s="14" t="s">
        <v>27</v>
      </c>
      <c r="G613" s="17">
        <f>'FEBRERO-18'!I610</f>
        <v>2000</v>
      </c>
      <c r="H613" s="51"/>
      <c r="I613" s="17">
        <f t="shared" si="12"/>
        <v>0</v>
      </c>
      <c r="J613" s="56"/>
      <c r="K613" s="137">
        <v>2000</v>
      </c>
    </row>
    <row r="614" spans="1:11" ht="44.25">
      <c r="A614" s="11">
        <v>54313</v>
      </c>
      <c r="B614" s="54" t="s">
        <v>771</v>
      </c>
      <c r="C614" s="13"/>
      <c r="D614" s="14" t="s">
        <v>18</v>
      </c>
      <c r="E614" s="14" t="s">
        <v>28</v>
      </c>
      <c r="F614" s="14" t="s">
        <v>27</v>
      </c>
      <c r="G614" s="17">
        <f>'FEBRERO-18'!I611</f>
        <v>300</v>
      </c>
      <c r="H614" s="51"/>
      <c r="I614" s="17">
        <f t="shared" si="12"/>
        <v>0</v>
      </c>
      <c r="J614" s="56"/>
      <c r="K614" s="137">
        <v>300</v>
      </c>
    </row>
    <row r="615" spans="1:11" ht="43.5">
      <c r="A615" s="11">
        <v>54399</v>
      </c>
      <c r="B615" s="54" t="s">
        <v>772</v>
      </c>
      <c r="C615" s="13"/>
      <c r="D615" s="14" t="s">
        <v>18</v>
      </c>
      <c r="E615" s="14" t="s">
        <v>28</v>
      </c>
      <c r="F615" s="14" t="s">
        <v>27</v>
      </c>
      <c r="G615" s="17">
        <f>'FEBRERO-18'!I612</f>
        <v>200</v>
      </c>
      <c r="H615" s="51"/>
      <c r="I615" s="17">
        <f t="shared" si="12"/>
        <v>0</v>
      </c>
      <c r="J615" s="56"/>
      <c r="K615" s="137">
        <v>200</v>
      </c>
    </row>
    <row r="616" spans="1:11" ht="43.5">
      <c r="A616" s="11">
        <v>55603</v>
      </c>
      <c r="B616" s="54" t="s">
        <v>773</v>
      </c>
      <c r="C616" s="13"/>
      <c r="D616" s="14" t="s">
        <v>18</v>
      </c>
      <c r="E616" s="14" t="s">
        <v>28</v>
      </c>
      <c r="F616" s="14" t="s">
        <v>27</v>
      </c>
      <c r="G616" s="17">
        <f>'FEBRERO-18'!I613</f>
        <v>10</v>
      </c>
      <c r="H616" s="51"/>
      <c r="I616" s="17">
        <f t="shared" si="12"/>
        <v>0</v>
      </c>
      <c r="J616" s="56"/>
      <c r="K616" s="137">
        <v>10</v>
      </c>
    </row>
    <row r="617" spans="1:11" ht="74.25">
      <c r="A617" s="11" t="s">
        <v>461</v>
      </c>
      <c r="B617" s="53" t="s">
        <v>774</v>
      </c>
      <c r="C617" s="13"/>
      <c r="D617" s="14"/>
      <c r="E617" s="14"/>
      <c r="F617" s="14"/>
      <c r="G617" s="17">
        <f>'FEBRERO-18'!I614</f>
        <v>0</v>
      </c>
      <c r="H617" s="51"/>
      <c r="I617" s="17"/>
      <c r="J617" s="56"/>
      <c r="K617" s="56"/>
    </row>
    <row r="618" spans="1:11" ht="29.25">
      <c r="A618" s="11">
        <v>51202</v>
      </c>
      <c r="B618" s="54" t="s">
        <v>775</v>
      </c>
      <c r="C618" s="13"/>
      <c r="D618" s="14" t="s">
        <v>18</v>
      </c>
      <c r="E618" s="14" t="s">
        <v>28</v>
      </c>
      <c r="F618" s="14" t="s">
        <v>27</v>
      </c>
      <c r="G618" s="17">
        <f>'FEBRERO-18'!I615</f>
        <v>7000</v>
      </c>
      <c r="H618" s="51"/>
      <c r="I618" s="17">
        <f t="shared" si="12"/>
        <v>7000</v>
      </c>
      <c r="J618" s="56"/>
      <c r="K618" s="56"/>
    </row>
    <row r="619" spans="1:11" ht="29.25">
      <c r="A619" s="11">
        <v>54110</v>
      </c>
      <c r="B619" s="54" t="s">
        <v>776</v>
      </c>
      <c r="C619" s="13"/>
      <c r="D619" s="14" t="s">
        <v>18</v>
      </c>
      <c r="E619" s="14" t="s">
        <v>28</v>
      </c>
      <c r="F619" s="14" t="s">
        <v>27</v>
      </c>
      <c r="G619" s="17">
        <f>'FEBRERO-18'!I616</f>
        <v>200</v>
      </c>
      <c r="H619" s="51"/>
      <c r="I619" s="17">
        <f t="shared" si="12"/>
        <v>200</v>
      </c>
      <c r="J619" s="56"/>
      <c r="K619" s="56"/>
    </row>
    <row r="620" spans="1:11" ht="44.25">
      <c r="A620" s="11">
        <v>54111</v>
      </c>
      <c r="B620" s="54" t="s">
        <v>777</v>
      </c>
      <c r="C620" s="13"/>
      <c r="D620" s="14" t="s">
        <v>18</v>
      </c>
      <c r="E620" s="14" t="s">
        <v>28</v>
      </c>
      <c r="F620" s="14" t="s">
        <v>27</v>
      </c>
      <c r="G620" s="17">
        <f>'FEBRERO-18'!I617</f>
        <v>9290</v>
      </c>
      <c r="H620" s="51"/>
      <c r="I620" s="17">
        <f t="shared" si="12"/>
        <v>9290</v>
      </c>
      <c r="J620" s="56"/>
      <c r="K620" s="56"/>
    </row>
    <row r="621" spans="1:11" ht="43.5">
      <c r="A621" s="11">
        <v>54118</v>
      </c>
      <c r="B621" s="54" t="s">
        <v>778</v>
      </c>
      <c r="C621" s="13"/>
      <c r="D621" s="14" t="s">
        <v>18</v>
      </c>
      <c r="E621" s="14" t="s">
        <v>28</v>
      </c>
      <c r="F621" s="14" t="s">
        <v>27</v>
      </c>
      <c r="G621" s="17">
        <f>'FEBRERO-18'!I618</f>
        <v>3000</v>
      </c>
      <c r="H621" s="51"/>
      <c r="I621" s="17">
        <f t="shared" si="12"/>
        <v>3000</v>
      </c>
      <c r="J621" s="56"/>
      <c r="K621" s="56"/>
    </row>
    <row r="622" spans="1:11" ht="43.5">
      <c r="A622" s="11">
        <v>54313</v>
      </c>
      <c r="B622" s="54" t="s">
        <v>779</v>
      </c>
      <c r="C622" s="13"/>
      <c r="D622" s="14" t="s">
        <v>18</v>
      </c>
      <c r="E622" s="14" t="s">
        <v>28</v>
      </c>
      <c r="F622" s="14" t="s">
        <v>27</v>
      </c>
      <c r="G622" s="17">
        <f>'FEBRERO-18'!I619</f>
        <v>300</v>
      </c>
      <c r="H622" s="51"/>
      <c r="I622" s="17">
        <f t="shared" si="12"/>
        <v>300</v>
      </c>
      <c r="J622" s="56"/>
      <c r="K622" s="56"/>
    </row>
    <row r="623" spans="1:11" ht="43.5">
      <c r="A623" s="11">
        <v>54399</v>
      </c>
      <c r="B623" s="54" t="s">
        <v>780</v>
      </c>
      <c r="C623" s="13"/>
      <c r="D623" s="14" t="s">
        <v>18</v>
      </c>
      <c r="E623" s="14" t="s">
        <v>28</v>
      </c>
      <c r="F623" s="14" t="s">
        <v>27</v>
      </c>
      <c r="G623" s="17">
        <f>'FEBRERO-18'!I620</f>
        <v>200</v>
      </c>
      <c r="H623" s="51"/>
      <c r="I623" s="17">
        <f t="shared" si="12"/>
        <v>200</v>
      </c>
      <c r="J623" s="56"/>
      <c r="K623" s="56"/>
    </row>
    <row r="624" spans="1:11" ht="43.5">
      <c r="A624" s="11">
        <v>55603</v>
      </c>
      <c r="B624" s="54" t="s">
        <v>781</v>
      </c>
      <c r="C624" s="13"/>
      <c r="D624" s="14" t="s">
        <v>18</v>
      </c>
      <c r="E624" s="14" t="s">
        <v>28</v>
      </c>
      <c r="F624" s="14" t="s">
        <v>27</v>
      </c>
      <c r="G624" s="17">
        <f>'FEBRERO-18'!I621</f>
        <v>10</v>
      </c>
      <c r="H624" s="51"/>
      <c r="I624" s="17">
        <f t="shared" si="12"/>
        <v>10</v>
      </c>
      <c r="J624" s="56"/>
      <c r="K624" s="56"/>
    </row>
    <row r="625" spans="1:11" ht="89.25">
      <c r="A625" s="141" t="s">
        <v>468</v>
      </c>
      <c r="B625" s="53" t="s">
        <v>782</v>
      </c>
      <c r="C625" s="13"/>
      <c r="D625" s="14"/>
      <c r="E625" s="14"/>
      <c r="F625" s="14"/>
      <c r="G625" s="17">
        <f>'FEBRERO-18'!I622</f>
        <v>0</v>
      </c>
      <c r="H625" s="51"/>
      <c r="I625" s="17"/>
      <c r="J625" s="56"/>
      <c r="K625" s="56"/>
    </row>
    <row r="626" spans="1:11" ht="29.25">
      <c r="A626" s="11">
        <v>51202</v>
      </c>
      <c r="B626" s="54" t="s">
        <v>783</v>
      </c>
      <c r="C626" s="13"/>
      <c r="D626" s="14" t="s">
        <v>18</v>
      </c>
      <c r="E626" s="14" t="s">
        <v>28</v>
      </c>
      <c r="F626" s="14" t="s">
        <v>27</v>
      </c>
      <c r="G626" s="17">
        <f>'FEBRERO-18'!I623</f>
        <v>7000</v>
      </c>
      <c r="H626" s="51"/>
      <c r="I626" s="17">
        <f t="shared" si="12"/>
        <v>7000</v>
      </c>
      <c r="J626" s="56"/>
      <c r="K626" s="56"/>
    </row>
    <row r="627" spans="1:11" ht="43.5">
      <c r="A627" s="11">
        <v>54110</v>
      </c>
      <c r="B627" s="54" t="s">
        <v>784</v>
      </c>
      <c r="C627" s="13"/>
      <c r="D627" s="14" t="s">
        <v>18</v>
      </c>
      <c r="E627" s="14" t="s">
        <v>28</v>
      </c>
      <c r="F627" s="14" t="s">
        <v>27</v>
      </c>
      <c r="G627" s="17">
        <f>'FEBRERO-18'!I624</f>
        <v>200</v>
      </c>
      <c r="H627" s="51"/>
      <c r="I627" s="17">
        <f t="shared" si="12"/>
        <v>200</v>
      </c>
      <c r="J627" s="56"/>
      <c r="K627" s="56"/>
    </row>
    <row r="628" spans="1:11" ht="44.25">
      <c r="A628" s="11">
        <v>54111</v>
      </c>
      <c r="B628" s="53" t="s">
        <v>785</v>
      </c>
      <c r="C628" s="13"/>
      <c r="D628" s="14" t="s">
        <v>18</v>
      </c>
      <c r="E628" s="14" t="s">
        <v>28</v>
      </c>
      <c r="F628" s="14" t="s">
        <v>27</v>
      </c>
      <c r="G628" s="17">
        <f>'FEBRERO-18'!I625</f>
        <v>9290</v>
      </c>
      <c r="H628" s="51"/>
      <c r="I628" s="17">
        <f t="shared" si="12"/>
        <v>9290</v>
      </c>
      <c r="J628" s="56"/>
      <c r="K628" s="56"/>
    </row>
    <row r="629" spans="1:11" ht="43.5">
      <c r="A629" s="11">
        <v>54118</v>
      </c>
      <c r="B629" s="54" t="s">
        <v>786</v>
      </c>
      <c r="C629" s="13"/>
      <c r="D629" s="14" t="s">
        <v>18</v>
      </c>
      <c r="E629" s="14" t="s">
        <v>28</v>
      </c>
      <c r="F629" s="14" t="s">
        <v>27</v>
      </c>
      <c r="G629" s="17">
        <f>'FEBRERO-18'!I626</f>
        <v>3000</v>
      </c>
      <c r="H629" s="51"/>
      <c r="I629" s="17">
        <f t="shared" si="12"/>
        <v>3000</v>
      </c>
      <c r="J629" s="56"/>
      <c r="K629" s="56"/>
    </row>
    <row r="630" spans="1:11" ht="44.25">
      <c r="A630" s="11">
        <v>54313</v>
      </c>
      <c r="B630" s="54" t="s">
        <v>787</v>
      </c>
      <c r="C630" s="13"/>
      <c r="D630" s="14" t="s">
        <v>18</v>
      </c>
      <c r="E630" s="14" t="s">
        <v>28</v>
      </c>
      <c r="F630" s="14" t="s">
        <v>27</v>
      </c>
      <c r="G630" s="17">
        <f>'FEBRERO-18'!I627</f>
        <v>300</v>
      </c>
      <c r="H630" s="51"/>
      <c r="I630" s="17">
        <f t="shared" si="12"/>
        <v>300</v>
      </c>
      <c r="J630" s="56"/>
      <c r="K630" s="56"/>
    </row>
    <row r="631" spans="1:11" ht="44.25">
      <c r="A631" s="11">
        <v>54399</v>
      </c>
      <c r="B631" s="54" t="s">
        <v>788</v>
      </c>
      <c r="C631" s="13"/>
      <c r="D631" s="14" t="s">
        <v>18</v>
      </c>
      <c r="E631" s="14" t="s">
        <v>28</v>
      </c>
      <c r="F631" s="14" t="s">
        <v>27</v>
      </c>
      <c r="G631" s="17">
        <f>'FEBRERO-18'!I628</f>
        <v>200</v>
      </c>
      <c r="H631" s="51"/>
      <c r="I631" s="17">
        <f t="shared" si="12"/>
        <v>200</v>
      </c>
      <c r="J631" s="56"/>
      <c r="K631" s="56"/>
    </row>
    <row r="632" spans="1:11" ht="40.5" customHeight="1">
      <c r="A632" s="11">
        <v>55603</v>
      </c>
      <c r="B632" s="54" t="s">
        <v>789</v>
      </c>
      <c r="C632" s="13"/>
      <c r="D632" s="14" t="s">
        <v>18</v>
      </c>
      <c r="E632" s="14" t="s">
        <v>28</v>
      </c>
      <c r="F632" s="14" t="s">
        <v>27</v>
      </c>
      <c r="G632" s="17">
        <f>'FEBRERO-18'!I629</f>
        <v>10</v>
      </c>
      <c r="H632" s="51"/>
      <c r="I632" s="17">
        <f t="shared" si="12"/>
        <v>10</v>
      </c>
      <c r="J632" s="56"/>
      <c r="K632" s="56"/>
    </row>
    <row r="633" spans="1:11" ht="60">
      <c r="A633" s="144" t="s">
        <v>477</v>
      </c>
      <c r="B633" s="53" t="s">
        <v>791</v>
      </c>
      <c r="C633" s="13"/>
      <c r="D633" s="14"/>
      <c r="E633" s="14"/>
      <c r="F633" s="14"/>
      <c r="G633" s="17">
        <f>'FEBRERO-18'!I630</f>
        <v>0</v>
      </c>
      <c r="H633" s="51"/>
      <c r="I633" s="17"/>
      <c r="J633" s="56"/>
      <c r="K633" s="56"/>
    </row>
    <row r="634" spans="1:11" ht="30">
      <c r="A634" s="11">
        <v>51202</v>
      </c>
      <c r="B634" s="54" t="s">
        <v>792</v>
      </c>
      <c r="C634" s="13"/>
      <c r="D634" s="14" t="s">
        <v>18</v>
      </c>
      <c r="E634" s="14" t="s">
        <v>28</v>
      </c>
      <c r="F634" s="14" t="s">
        <v>27</v>
      </c>
      <c r="G634" s="17">
        <f>'FEBRERO-18'!I631</f>
        <v>9000</v>
      </c>
      <c r="H634" s="51"/>
      <c r="I634" s="17">
        <f t="shared" si="12"/>
        <v>9000</v>
      </c>
      <c r="J634" s="56"/>
      <c r="K634" s="56"/>
    </row>
    <row r="635" spans="1:11" ht="30">
      <c r="A635" s="11">
        <v>54110</v>
      </c>
      <c r="B635" s="54" t="s">
        <v>793</v>
      </c>
      <c r="C635" s="13"/>
      <c r="D635" s="14" t="s">
        <v>18</v>
      </c>
      <c r="E635" s="14" t="s">
        <v>28</v>
      </c>
      <c r="F635" s="14" t="s">
        <v>27</v>
      </c>
      <c r="G635" s="17">
        <f>'FEBRERO-18'!I632</f>
        <v>200</v>
      </c>
      <c r="H635" s="51"/>
      <c r="I635" s="17">
        <f t="shared" si="12"/>
        <v>200</v>
      </c>
      <c r="J635" s="56"/>
      <c r="K635" s="56"/>
    </row>
    <row r="636" spans="1:11" ht="30">
      <c r="A636" s="11">
        <v>54111</v>
      </c>
      <c r="B636" s="54" t="s">
        <v>794</v>
      </c>
      <c r="C636" s="13"/>
      <c r="D636" s="14" t="s">
        <v>18</v>
      </c>
      <c r="E636" s="14" t="s">
        <v>28</v>
      </c>
      <c r="F636" s="14" t="s">
        <v>27</v>
      </c>
      <c r="G636" s="17">
        <f>'FEBRERO-18'!I633</f>
        <v>11290</v>
      </c>
      <c r="H636" s="51"/>
      <c r="I636" s="17">
        <f t="shared" si="12"/>
        <v>11290</v>
      </c>
      <c r="J636" s="56"/>
      <c r="K636" s="56"/>
    </row>
    <row r="637" spans="1:11" ht="30">
      <c r="A637" s="11">
        <v>54118</v>
      </c>
      <c r="B637" s="54" t="s">
        <v>795</v>
      </c>
      <c r="C637" s="13"/>
      <c r="D637" s="14" t="s">
        <v>18</v>
      </c>
      <c r="E637" s="14" t="s">
        <v>28</v>
      </c>
      <c r="F637" s="14" t="s">
        <v>27</v>
      </c>
      <c r="G637" s="17">
        <f>'FEBRERO-18'!I634</f>
        <v>3000</v>
      </c>
      <c r="H637" s="51"/>
      <c r="I637" s="17">
        <f t="shared" si="12"/>
        <v>3000</v>
      </c>
      <c r="J637" s="56"/>
      <c r="K637" s="56"/>
    </row>
    <row r="638" spans="1:11" ht="45">
      <c r="A638" s="11">
        <v>54313</v>
      </c>
      <c r="B638" s="54" t="s">
        <v>796</v>
      </c>
      <c r="C638" s="13"/>
      <c r="D638" s="14" t="s">
        <v>18</v>
      </c>
      <c r="E638" s="14" t="s">
        <v>28</v>
      </c>
      <c r="F638" s="14" t="s">
        <v>27</v>
      </c>
      <c r="G638" s="17">
        <f>'FEBRERO-18'!I635</f>
        <v>300</v>
      </c>
      <c r="H638" s="51"/>
      <c r="I638" s="17">
        <f t="shared" si="12"/>
        <v>300</v>
      </c>
      <c r="J638" s="56"/>
      <c r="K638" s="56"/>
    </row>
    <row r="639" spans="1:11" ht="30">
      <c r="A639" s="11">
        <v>54399</v>
      </c>
      <c r="B639" s="54" t="s">
        <v>797</v>
      </c>
      <c r="C639" s="13"/>
      <c r="D639" s="14" t="s">
        <v>18</v>
      </c>
      <c r="E639" s="14" t="s">
        <v>28</v>
      </c>
      <c r="F639" s="14" t="s">
        <v>27</v>
      </c>
      <c r="G639" s="17">
        <f>'FEBRERO-18'!I636</f>
        <v>1200</v>
      </c>
      <c r="H639" s="51"/>
      <c r="I639" s="17">
        <f t="shared" si="12"/>
        <v>1200</v>
      </c>
      <c r="J639" s="56"/>
      <c r="K639" s="56"/>
    </row>
    <row r="640" spans="1:11" ht="30">
      <c r="A640" s="11">
        <v>55603</v>
      </c>
      <c r="B640" s="54" t="s">
        <v>798</v>
      </c>
      <c r="C640" s="13"/>
      <c r="D640" s="14" t="s">
        <v>18</v>
      </c>
      <c r="E640" s="14" t="s">
        <v>28</v>
      </c>
      <c r="F640" s="14" t="s">
        <v>27</v>
      </c>
      <c r="G640" s="17">
        <f>'FEBRERO-18'!I637</f>
        <v>10</v>
      </c>
      <c r="H640" s="51"/>
      <c r="I640" s="17">
        <f t="shared" si="12"/>
        <v>10</v>
      </c>
      <c r="J640" s="56"/>
      <c r="K640" s="56"/>
    </row>
    <row r="641" spans="1:11" ht="60">
      <c r="A641" s="141" t="s">
        <v>486</v>
      </c>
      <c r="B641" s="53" t="s">
        <v>790</v>
      </c>
      <c r="C641" s="13"/>
      <c r="D641" s="14"/>
      <c r="E641" s="14"/>
      <c r="F641" s="14"/>
      <c r="G641" s="17">
        <f>'FEBRERO-18'!I638</f>
        <v>0</v>
      </c>
      <c r="H641" s="51"/>
      <c r="I641" s="17"/>
      <c r="J641" s="56"/>
      <c r="K641" s="56"/>
    </row>
    <row r="642" spans="1:11" ht="29.25">
      <c r="A642" s="11">
        <v>51202</v>
      </c>
      <c r="B642" s="54" t="s">
        <v>799</v>
      </c>
      <c r="C642" s="13"/>
      <c r="D642" s="14" t="s">
        <v>18</v>
      </c>
      <c r="E642" s="14" t="s">
        <v>28</v>
      </c>
      <c r="F642" s="14" t="s">
        <v>27</v>
      </c>
      <c r="G642" s="17">
        <f>'FEBRERO-18'!I639</f>
        <v>9000</v>
      </c>
      <c r="H642" s="51"/>
      <c r="I642" s="17">
        <f t="shared" si="12"/>
        <v>9000</v>
      </c>
      <c r="J642" s="56"/>
      <c r="K642" s="56"/>
    </row>
    <row r="643" spans="1:11" ht="29.25">
      <c r="A643" s="11">
        <v>54110</v>
      </c>
      <c r="B643" s="54" t="s">
        <v>800</v>
      </c>
      <c r="C643" s="13"/>
      <c r="D643" s="14" t="s">
        <v>18</v>
      </c>
      <c r="E643" s="14" t="s">
        <v>28</v>
      </c>
      <c r="F643" s="14" t="s">
        <v>27</v>
      </c>
      <c r="G643" s="17">
        <f>'FEBRERO-18'!I640</f>
        <v>200</v>
      </c>
      <c r="H643" s="51"/>
      <c r="I643" s="17">
        <f t="shared" si="12"/>
        <v>200</v>
      </c>
      <c r="J643" s="56"/>
      <c r="K643" s="56"/>
    </row>
    <row r="644" spans="1:11" ht="44.25">
      <c r="A644" s="11">
        <v>54111</v>
      </c>
      <c r="B644" s="54" t="s">
        <v>801</v>
      </c>
      <c r="C644" s="13"/>
      <c r="D644" s="14" t="s">
        <v>18</v>
      </c>
      <c r="E644" s="14" t="s">
        <v>28</v>
      </c>
      <c r="F644" s="14" t="s">
        <v>27</v>
      </c>
      <c r="G644" s="17">
        <f>'FEBRERO-18'!I641</f>
        <v>12290</v>
      </c>
      <c r="H644" s="51"/>
      <c r="I644" s="17">
        <f t="shared" si="12"/>
        <v>12290</v>
      </c>
      <c r="J644" s="56"/>
      <c r="K644" s="56"/>
    </row>
    <row r="645" spans="1:11" ht="29.25">
      <c r="A645" s="11">
        <v>54118</v>
      </c>
      <c r="B645" s="54" t="s">
        <v>802</v>
      </c>
      <c r="C645" s="13"/>
      <c r="D645" s="14" t="s">
        <v>18</v>
      </c>
      <c r="E645" s="14" t="s">
        <v>28</v>
      </c>
      <c r="F645" s="14" t="s">
        <v>27</v>
      </c>
      <c r="G645" s="17">
        <f>'FEBRERO-18'!I642</f>
        <v>3000</v>
      </c>
      <c r="H645" s="51"/>
      <c r="I645" s="17">
        <f t="shared" si="12"/>
        <v>3000</v>
      </c>
      <c r="J645" s="56"/>
      <c r="K645" s="56"/>
    </row>
    <row r="646" spans="1:11" ht="43.5">
      <c r="A646" s="11">
        <v>54313</v>
      </c>
      <c r="B646" s="54" t="s">
        <v>803</v>
      </c>
      <c r="C646" s="13"/>
      <c r="D646" s="14" t="s">
        <v>18</v>
      </c>
      <c r="E646" s="14" t="s">
        <v>28</v>
      </c>
      <c r="F646" s="14" t="s">
        <v>27</v>
      </c>
      <c r="G646" s="17">
        <f>'FEBRERO-18'!I643</f>
        <v>300</v>
      </c>
      <c r="H646" s="51"/>
      <c r="I646" s="17">
        <f t="shared" si="12"/>
        <v>300</v>
      </c>
      <c r="J646" s="56"/>
      <c r="K646" s="56"/>
    </row>
    <row r="647" spans="1:11" ht="43.5">
      <c r="A647" s="11">
        <v>54399</v>
      </c>
      <c r="B647" s="54" t="s">
        <v>804</v>
      </c>
      <c r="C647" s="13"/>
      <c r="D647" s="14" t="s">
        <v>18</v>
      </c>
      <c r="E647" s="14" t="s">
        <v>28</v>
      </c>
      <c r="F647" s="14" t="s">
        <v>27</v>
      </c>
      <c r="G647" s="17">
        <f>'FEBRERO-18'!I644</f>
        <v>200</v>
      </c>
      <c r="H647" s="51"/>
      <c r="I647" s="17">
        <f t="shared" si="12"/>
        <v>200</v>
      </c>
      <c r="J647" s="56"/>
      <c r="K647" s="56"/>
    </row>
    <row r="648" spans="1:11" ht="33.75" customHeight="1">
      <c r="A648" s="11">
        <v>55603</v>
      </c>
      <c r="B648" s="54" t="s">
        <v>805</v>
      </c>
      <c r="C648" s="13"/>
      <c r="D648" s="14" t="s">
        <v>18</v>
      </c>
      <c r="E648" s="14" t="s">
        <v>28</v>
      </c>
      <c r="F648" s="14" t="s">
        <v>27</v>
      </c>
      <c r="G648" s="17">
        <f>'FEBRERO-18'!I645</f>
        <v>10</v>
      </c>
      <c r="H648" s="51"/>
      <c r="I648" s="17">
        <f t="shared" si="12"/>
        <v>10</v>
      </c>
      <c r="J648" s="56"/>
      <c r="K648" s="56"/>
    </row>
    <row r="649" spans="1:11" ht="75">
      <c r="A649" s="141" t="s">
        <v>504</v>
      </c>
      <c r="B649" s="53" t="s">
        <v>806</v>
      </c>
      <c r="C649" s="13"/>
      <c r="D649" s="14"/>
      <c r="E649" s="14"/>
      <c r="F649" s="14"/>
      <c r="G649" s="17">
        <f>'FEBRERO-18'!I646</f>
        <v>0</v>
      </c>
      <c r="H649" s="51"/>
      <c r="I649" s="17"/>
      <c r="J649" s="56"/>
      <c r="K649" s="56"/>
    </row>
    <row r="650" spans="1:11" ht="29.25">
      <c r="A650" s="11">
        <v>51202</v>
      </c>
      <c r="B650" s="54" t="s">
        <v>807</v>
      </c>
      <c r="C650" s="13"/>
      <c r="D650" s="14" t="s">
        <v>18</v>
      </c>
      <c r="E650" s="14" t="s">
        <v>28</v>
      </c>
      <c r="F650" s="14" t="s">
        <v>27</v>
      </c>
      <c r="G650" s="17">
        <f>'FEBRERO-18'!I647</f>
        <v>7000</v>
      </c>
      <c r="H650" s="51"/>
      <c r="I650" s="17">
        <f t="shared" si="12"/>
        <v>7000</v>
      </c>
      <c r="J650" s="56"/>
      <c r="K650" s="56"/>
    </row>
    <row r="651" spans="1:11" ht="29.25">
      <c r="A651" s="11">
        <v>54110</v>
      </c>
      <c r="B651" s="54" t="s">
        <v>808</v>
      </c>
      <c r="C651" s="13"/>
      <c r="D651" s="14" t="s">
        <v>18</v>
      </c>
      <c r="E651" s="14" t="s">
        <v>28</v>
      </c>
      <c r="F651" s="14" t="s">
        <v>27</v>
      </c>
      <c r="G651" s="17">
        <f>'FEBRERO-18'!I648</f>
        <v>200</v>
      </c>
      <c r="H651" s="51"/>
      <c r="I651" s="17">
        <f t="shared" si="12"/>
        <v>200</v>
      </c>
      <c r="J651" s="56"/>
      <c r="K651" s="56"/>
    </row>
    <row r="652" spans="1:11" ht="29.25">
      <c r="A652" s="11">
        <v>54111</v>
      </c>
      <c r="B652" s="54" t="s">
        <v>809</v>
      </c>
      <c r="C652" s="13"/>
      <c r="D652" s="14" t="s">
        <v>18</v>
      </c>
      <c r="E652" s="14" t="s">
        <v>28</v>
      </c>
      <c r="F652" s="14" t="s">
        <v>27</v>
      </c>
      <c r="G652" s="17">
        <f>'FEBRERO-18'!I649</f>
        <v>10290</v>
      </c>
      <c r="H652" s="51"/>
      <c r="I652" s="17">
        <f t="shared" si="12"/>
        <v>10290</v>
      </c>
      <c r="J652" s="56"/>
      <c r="K652" s="56"/>
    </row>
    <row r="653" spans="1:11" ht="29.25">
      <c r="A653" s="11">
        <v>54118</v>
      </c>
      <c r="B653" s="54" t="s">
        <v>810</v>
      </c>
      <c r="C653" s="13"/>
      <c r="D653" s="14" t="s">
        <v>18</v>
      </c>
      <c r="E653" s="14" t="s">
        <v>28</v>
      </c>
      <c r="F653" s="14" t="s">
        <v>27</v>
      </c>
      <c r="G653" s="17">
        <f>'FEBRERO-18'!I650</f>
        <v>1500</v>
      </c>
      <c r="H653" s="51"/>
      <c r="I653" s="17">
        <f t="shared" si="12"/>
        <v>1500</v>
      </c>
      <c r="J653" s="56"/>
      <c r="K653" s="56"/>
    </row>
    <row r="654" spans="1:11" ht="44.25">
      <c r="A654" s="11">
        <v>54313</v>
      </c>
      <c r="B654" s="54" t="s">
        <v>811</v>
      </c>
      <c r="C654" s="13"/>
      <c r="D654" s="14" t="s">
        <v>18</v>
      </c>
      <c r="E654" s="14" t="s">
        <v>28</v>
      </c>
      <c r="F654" s="14" t="s">
        <v>27</v>
      </c>
      <c r="G654" s="17">
        <f>'FEBRERO-18'!I651</f>
        <v>300</v>
      </c>
      <c r="H654" s="51"/>
      <c r="I654" s="17">
        <f t="shared" si="12"/>
        <v>300</v>
      </c>
      <c r="J654" s="56"/>
      <c r="K654" s="56"/>
    </row>
    <row r="655" spans="1:11" ht="29.25">
      <c r="A655" s="11">
        <v>54399</v>
      </c>
      <c r="B655" s="54" t="s">
        <v>812</v>
      </c>
      <c r="C655" s="13"/>
      <c r="D655" s="14" t="s">
        <v>18</v>
      </c>
      <c r="E655" s="14" t="s">
        <v>28</v>
      </c>
      <c r="F655" s="14" t="s">
        <v>27</v>
      </c>
      <c r="G655" s="17">
        <f>'FEBRERO-18'!I652</f>
        <v>700</v>
      </c>
      <c r="H655" s="51"/>
      <c r="I655" s="17">
        <f t="shared" si="12"/>
        <v>700</v>
      </c>
      <c r="J655" s="56"/>
      <c r="K655" s="56"/>
    </row>
    <row r="656" spans="1:11" ht="29.25">
      <c r="A656" s="11">
        <v>55603</v>
      </c>
      <c r="B656" s="54" t="s">
        <v>813</v>
      </c>
      <c r="C656" s="13"/>
      <c r="D656" s="14" t="s">
        <v>18</v>
      </c>
      <c r="E656" s="14" t="s">
        <v>28</v>
      </c>
      <c r="F656" s="14" t="s">
        <v>27</v>
      </c>
      <c r="G656" s="17">
        <f>'FEBRERO-18'!I653</f>
        <v>10</v>
      </c>
      <c r="H656" s="51"/>
      <c r="I656" s="17">
        <f t="shared" si="12"/>
        <v>10</v>
      </c>
      <c r="J656" s="56"/>
      <c r="K656" s="56"/>
    </row>
    <row r="657" spans="1:11" ht="88.5">
      <c r="A657" s="141" t="s">
        <v>505</v>
      </c>
      <c r="B657" s="53" t="s">
        <v>821</v>
      </c>
      <c r="C657" s="13"/>
      <c r="D657" s="14"/>
      <c r="E657" s="14"/>
      <c r="F657" s="14"/>
      <c r="G657" s="17">
        <f>'FEBRERO-18'!I654</f>
        <v>0</v>
      </c>
      <c r="H657" s="51"/>
      <c r="I657" s="17"/>
      <c r="J657" s="56"/>
      <c r="K657" s="56"/>
    </row>
    <row r="658" spans="1:11" ht="29.25">
      <c r="A658" s="11">
        <v>51202</v>
      </c>
      <c r="B658" s="54" t="s">
        <v>814</v>
      </c>
      <c r="C658" s="13"/>
      <c r="D658" s="14" t="s">
        <v>18</v>
      </c>
      <c r="E658" s="14" t="s">
        <v>28</v>
      </c>
      <c r="F658" s="14" t="s">
        <v>27</v>
      </c>
      <c r="G658" s="17">
        <f>'FEBRERO-18'!I655</f>
        <v>9000</v>
      </c>
      <c r="H658" s="51"/>
      <c r="I658" s="17">
        <f t="shared" si="12"/>
        <v>9000</v>
      </c>
      <c r="J658" s="56"/>
      <c r="K658" s="56"/>
    </row>
    <row r="659" spans="1:11" ht="29.25">
      <c r="A659" s="11">
        <v>54110</v>
      </c>
      <c r="B659" s="54" t="s">
        <v>815</v>
      </c>
      <c r="C659" s="13"/>
      <c r="D659" s="14" t="s">
        <v>18</v>
      </c>
      <c r="E659" s="14" t="s">
        <v>28</v>
      </c>
      <c r="F659" s="14" t="s">
        <v>27</v>
      </c>
      <c r="G659" s="17">
        <f>'FEBRERO-18'!I656</f>
        <v>200</v>
      </c>
      <c r="H659" s="51"/>
      <c r="I659" s="17">
        <f t="shared" si="12"/>
        <v>200</v>
      </c>
      <c r="J659" s="56"/>
      <c r="K659" s="56"/>
    </row>
    <row r="660" spans="1:11" ht="44.25">
      <c r="A660" s="11">
        <v>54111</v>
      </c>
      <c r="B660" s="53" t="s">
        <v>816</v>
      </c>
      <c r="C660" s="13"/>
      <c r="D660" s="14" t="s">
        <v>18</v>
      </c>
      <c r="E660" s="14" t="s">
        <v>28</v>
      </c>
      <c r="F660" s="14" t="s">
        <v>27</v>
      </c>
      <c r="G660" s="17">
        <f>'FEBRERO-18'!I657</f>
        <v>12290</v>
      </c>
      <c r="H660" s="51"/>
      <c r="I660" s="17">
        <f t="shared" ref="I660:I723" si="13">G660-H660+J660-K660</f>
        <v>12290</v>
      </c>
      <c r="J660" s="56"/>
      <c r="K660" s="56"/>
    </row>
    <row r="661" spans="1:11" ht="29.25">
      <c r="A661" s="11">
        <v>54118</v>
      </c>
      <c r="B661" s="54" t="s">
        <v>817</v>
      </c>
      <c r="C661" s="13"/>
      <c r="D661" s="14" t="s">
        <v>18</v>
      </c>
      <c r="E661" s="14" t="s">
        <v>28</v>
      </c>
      <c r="F661" s="14" t="s">
        <v>27</v>
      </c>
      <c r="G661" s="17">
        <f>'FEBRERO-18'!I658</f>
        <v>3000</v>
      </c>
      <c r="H661" s="51"/>
      <c r="I661" s="17">
        <f t="shared" si="13"/>
        <v>3000</v>
      </c>
      <c r="J661" s="56"/>
      <c r="K661" s="56"/>
    </row>
    <row r="662" spans="1:11" ht="44.25">
      <c r="A662" s="11">
        <v>54313</v>
      </c>
      <c r="B662" s="54" t="s">
        <v>818</v>
      </c>
      <c r="C662" s="13"/>
      <c r="D662" s="14" t="s">
        <v>18</v>
      </c>
      <c r="E662" s="14" t="s">
        <v>28</v>
      </c>
      <c r="F662" s="14" t="s">
        <v>27</v>
      </c>
      <c r="G662" s="17">
        <f>'FEBRERO-18'!I659</f>
        <v>300</v>
      </c>
      <c r="H662" s="51"/>
      <c r="I662" s="17">
        <f t="shared" si="13"/>
        <v>300</v>
      </c>
      <c r="J662" s="56"/>
      <c r="K662" s="56"/>
    </row>
    <row r="663" spans="1:11" ht="43.5">
      <c r="A663" s="11">
        <v>54399</v>
      </c>
      <c r="B663" s="54" t="s">
        <v>819</v>
      </c>
      <c r="C663" s="13"/>
      <c r="D663" s="14" t="s">
        <v>18</v>
      </c>
      <c r="E663" s="14" t="s">
        <v>28</v>
      </c>
      <c r="F663" s="14" t="s">
        <v>27</v>
      </c>
      <c r="G663" s="17">
        <f>'FEBRERO-18'!I660</f>
        <v>200</v>
      </c>
      <c r="H663" s="51"/>
      <c r="I663" s="17">
        <f t="shared" si="13"/>
        <v>200</v>
      </c>
      <c r="J663" s="56"/>
      <c r="K663" s="56"/>
    </row>
    <row r="664" spans="1:11" ht="29.25">
      <c r="A664" s="11">
        <v>55603</v>
      </c>
      <c r="B664" s="54" t="s">
        <v>820</v>
      </c>
      <c r="C664" s="13"/>
      <c r="D664" s="14" t="s">
        <v>18</v>
      </c>
      <c r="E664" s="14" t="s">
        <v>28</v>
      </c>
      <c r="F664" s="14" t="s">
        <v>27</v>
      </c>
      <c r="G664" s="17">
        <f>'FEBRERO-18'!I661</f>
        <v>10</v>
      </c>
      <c r="H664" s="51"/>
      <c r="I664" s="17">
        <f t="shared" si="13"/>
        <v>10</v>
      </c>
      <c r="J664" s="56"/>
      <c r="K664" s="56"/>
    </row>
    <row r="665" spans="1:11" ht="75">
      <c r="A665" s="141" t="s">
        <v>511</v>
      </c>
      <c r="B665" s="53" t="s">
        <v>824</v>
      </c>
      <c r="C665" s="13"/>
      <c r="D665" s="14"/>
      <c r="E665" s="14"/>
      <c r="F665" s="14"/>
      <c r="G665" s="17">
        <f>'FEBRERO-18'!I662</f>
        <v>0</v>
      </c>
      <c r="H665" s="51"/>
      <c r="I665" s="17"/>
      <c r="J665" s="56"/>
      <c r="K665" s="56"/>
    </row>
    <row r="666" spans="1:11" ht="29.25">
      <c r="A666" s="11">
        <v>51202</v>
      </c>
      <c r="B666" s="54" t="s">
        <v>823</v>
      </c>
      <c r="C666" s="13"/>
      <c r="D666" s="14" t="s">
        <v>18</v>
      </c>
      <c r="E666" s="14" t="s">
        <v>28</v>
      </c>
      <c r="F666" s="14" t="s">
        <v>27</v>
      </c>
      <c r="G666" s="17">
        <f>'FEBRERO-18'!I663</f>
        <v>3000</v>
      </c>
      <c r="H666" s="51"/>
      <c r="I666" s="17">
        <f t="shared" si="13"/>
        <v>3000</v>
      </c>
      <c r="J666" s="56"/>
      <c r="K666" s="56"/>
    </row>
    <row r="667" spans="1:11" ht="29.25">
      <c r="A667" s="11">
        <v>54110</v>
      </c>
      <c r="B667" s="54" t="s">
        <v>825</v>
      </c>
      <c r="C667" s="13"/>
      <c r="D667" s="14" t="s">
        <v>18</v>
      </c>
      <c r="E667" s="14" t="s">
        <v>28</v>
      </c>
      <c r="F667" s="14" t="s">
        <v>27</v>
      </c>
      <c r="G667" s="17">
        <f>'FEBRERO-18'!I664</f>
        <v>200</v>
      </c>
      <c r="H667" s="51"/>
      <c r="I667" s="17">
        <f t="shared" si="13"/>
        <v>200</v>
      </c>
      <c r="J667" s="56"/>
      <c r="K667" s="56"/>
    </row>
    <row r="668" spans="1:11" ht="44.25">
      <c r="A668" s="11">
        <v>54111</v>
      </c>
      <c r="B668" s="54" t="s">
        <v>826</v>
      </c>
      <c r="C668" s="13"/>
      <c r="D668" s="14" t="s">
        <v>18</v>
      </c>
      <c r="E668" s="14" t="s">
        <v>28</v>
      </c>
      <c r="F668" s="14" t="s">
        <v>27</v>
      </c>
      <c r="G668" s="17">
        <f>'FEBRERO-18'!I665</f>
        <v>4990</v>
      </c>
      <c r="H668" s="51"/>
      <c r="I668" s="17">
        <f t="shared" si="13"/>
        <v>4990</v>
      </c>
      <c r="J668" s="56"/>
      <c r="K668" s="56"/>
    </row>
    <row r="669" spans="1:11" ht="29.25">
      <c r="A669" s="11">
        <v>54118</v>
      </c>
      <c r="B669" s="54" t="s">
        <v>827</v>
      </c>
      <c r="C669" s="13"/>
      <c r="D669" s="14" t="s">
        <v>18</v>
      </c>
      <c r="E669" s="14" t="s">
        <v>28</v>
      </c>
      <c r="F669" s="14" t="s">
        <v>27</v>
      </c>
      <c r="G669" s="17">
        <f>'FEBRERO-18'!I666</f>
        <v>800</v>
      </c>
      <c r="H669" s="51"/>
      <c r="I669" s="17">
        <f t="shared" si="13"/>
        <v>800</v>
      </c>
      <c r="J669" s="56"/>
      <c r="K669" s="56"/>
    </row>
    <row r="670" spans="1:11" ht="44.25">
      <c r="A670" s="11">
        <v>54313</v>
      </c>
      <c r="B670" s="54" t="s">
        <v>828</v>
      </c>
      <c r="C670" s="13"/>
      <c r="D670" s="14" t="s">
        <v>18</v>
      </c>
      <c r="E670" s="14" t="s">
        <v>28</v>
      </c>
      <c r="F670" s="14" t="s">
        <v>27</v>
      </c>
      <c r="G670" s="17">
        <f>'FEBRERO-18'!I667</f>
        <v>300</v>
      </c>
      <c r="H670" s="51"/>
      <c r="I670" s="17">
        <f t="shared" si="13"/>
        <v>300</v>
      </c>
      <c r="J670" s="56"/>
      <c r="K670" s="56"/>
    </row>
    <row r="671" spans="1:11" ht="44.25">
      <c r="A671" s="11">
        <v>54399</v>
      </c>
      <c r="B671" s="54" t="s">
        <v>829</v>
      </c>
      <c r="C671" s="13"/>
      <c r="D671" s="14" t="s">
        <v>18</v>
      </c>
      <c r="E671" s="14" t="s">
        <v>28</v>
      </c>
      <c r="F671" s="14" t="s">
        <v>27</v>
      </c>
      <c r="G671" s="17">
        <f>'FEBRERO-18'!I668</f>
        <v>700</v>
      </c>
      <c r="H671" s="51"/>
      <c r="I671" s="17">
        <f t="shared" si="13"/>
        <v>700</v>
      </c>
      <c r="J671" s="56"/>
      <c r="K671" s="56"/>
    </row>
    <row r="672" spans="1:11" ht="29.25">
      <c r="A672" s="11">
        <v>55603</v>
      </c>
      <c r="B672" s="54" t="s">
        <v>830</v>
      </c>
      <c r="C672" s="13"/>
      <c r="D672" s="14" t="s">
        <v>18</v>
      </c>
      <c r="E672" s="14" t="s">
        <v>28</v>
      </c>
      <c r="F672" s="14" t="s">
        <v>27</v>
      </c>
      <c r="G672" s="17">
        <f>'FEBRERO-18'!I669</f>
        <v>10</v>
      </c>
      <c r="H672" s="51"/>
      <c r="I672" s="17">
        <f t="shared" si="13"/>
        <v>10</v>
      </c>
      <c r="J672" s="56"/>
      <c r="K672" s="56"/>
    </row>
    <row r="673" spans="1:11" ht="74.25">
      <c r="A673" s="141" t="s">
        <v>517</v>
      </c>
      <c r="B673" s="53" t="s">
        <v>822</v>
      </c>
      <c r="C673" s="13"/>
      <c r="D673" s="14"/>
      <c r="E673" s="14"/>
      <c r="F673" s="14"/>
      <c r="G673" s="17">
        <f>'FEBRERO-18'!I670</f>
        <v>0</v>
      </c>
      <c r="H673" s="51"/>
      <c r="I673" s="17"/>
      <c r="J673" s="56"/>
      <c r="K673" s="56"/>
    </row>
    <row r="674" spans="1:11" ht="29.25">
      <c r="A674" s="11">
        <v>51202</v>
      </c>
      <c r="B674" s="54" t="s">
        <v>831</v>
      </c>
      <c r="C674" s="13"/>
      <c r="D674" s="14" t="s">
        <v>18</v>
      </c>
      <c r="E674" s="14" t="s">
        <v>28</v>
      </c>
      <c r="F674" s="14" t="s">
        <v>27</v>
      </c>
      <c r="G674" s="17">
        <f>'FEBRERO-18'!I671</f>
        <v>9000</v>
      </c>
      <c r="H674" s="51"/>
      <c r="I674" s="17">
        <f t="shared" si="13"/>
        <v>9000</v>
      </c>
      <c r="J674" s="56"/>
      <c r="K674" s="56"/>
    </row>
    <row r="675" spans="1:11" ht="29.25">
      <c r="A675" s="11">
        <v>54110</v>
      </c>
      <c r="B675" s="54" t="s">
        <v>832</v>
      </c>
      <c r="C675" s="13"/>
      <c r="D675" s="14" t="s">
        <v>18</v>
      </c>
      <c r="E675" s="14" t="s">
        <v>28</v>
      </c>
      <c r="F675" s="14" t="s">
        <v>27</v>
      </c>
      <c r="G675" s="17">
        <f>'FEBRERO-18'!I672</f>
        <v>200</v>
      </c>
      <c r="H675" s="51"/>
      <c r="I675" s="17">
        <f t="shared" si="13"/>
        <v>200</v>
      </c>
      <c r="J675" s="56"/>
      <c r="K675" s="56"/>
    </row>
    <row r="676" spans="1:11" ht="29.25">
      <c r="A676" s="11">
        <v>54111</v>
      </c>
      <c r="B676" s="54" t="s">
        <v>833</v>
      </c>
      <c r="C676" s="13"/>
      <c r="D676" s="14" t="s">
        <v>18</v>
      </c>
      <c r="E676" s="14" t="s">
        <v>28</v>
      </c>
      <c r="F676" s="14" t="s">
        <v>27</v>
      </c>
      <c r="G676" s="17">
        <f>'FEBRERO-18'!I673</f>
        <v>12290</v>
      </c>
      <c r="H676" s="51"/>
      <c r="I676" s="17">
        <f t="shared" si="13"/>
        <v>12290</v>
      </c>
      <c r="J676" s="56"/>
      <c r="K676" s="56"/>
    </row>
    <row r="677" spans="1:11" ht="29.25">
      <c r="A677" s="11">
        <v>54118</v>
      </c>
      <c r="B677" s="54" t="s">
        <v>834</v>
      </c>
      <c r="C677" s="13"/>
      <c r="D677" s="14" t="s">
        <v>18</v>
      </c>
      <c r="E677" s="14" t="s">
        <v>28</v>
      </c>
      <c r="F677" s="14" t="s">
        <v>27</v>
      </c>
      <c r="G677" s="17">
        <f>'FEBRERO-18'!I674</f>
        <v>3000</v>
      </c>
      <c r="H677" s="51"/>
      <c r="I677" s="17">
        <f t="shared" si="13"/>
        <v>3000</v>
      </c>
      <c r="J677" s="56"/>
      <c r="K677" s="56"/>
    </row>
    <row r="678" spans="1:11" ht="29.25">
      <c r="A678" s="11">
        <v>54313</v>
      </c>
      <c r="B678" s="54" t="s">
        <v>835</v>
      </c>
      <c r="C678" s="13"/>
      <c r="D678" s="14" t="s">
        <v>18</v>
      </c>
      <c r="E678" s="14" t="s">
        <v>28</v>
      </c>
      <c r="F678" s="14" t="s">
        <v>27</v>
      </c>
      <c r="G678" s="17">
        <f>'FEBRERO-18'!I675</f>
        <v>300</v>
      </c>
      <c r="H678" s="51"/>
      <c r="I678" s="17">
        <f t="shared" si="13"/>
        <v>300</v>
      </c>
      <c r="J678" s="56"/>
      <c r="K678" s="56"/>
    </row>
    <row r="679" spans="1:11" ht="29.25">
      <c r="A679" s="11">
        <v>54399</v>
      </c>
      <c r="B679" s="54" t="s">
        <v>836</v>
      </c>
      <c r="C679" s="13"/>
      <c r="D679" s="14" t="s">
        <v>18</v>
      </c>
      <c r="E679" s="14" t="s">
        <v>28</v>
      </c>
      <c r="F679" s="14" t="s">
        <v>27</v>
      </c>
      <c r="G679" s="17">
        <f>'FEBRERO-18'!I676</f>
        <v>200</v>
      </c>
      <c r="H679" s="51"/>
      <c r="I679" s="17">
        <f t="shared" si="13"/>
        <v>200</v>
      </c>
      <c r="J679" s="56"/>
      <c r="K679" s="56"/>
    </row>
    <row r="680" spans="1:11" ht="29.25">
      <c r="A680" s="11">
        <v>55603</v>
      </c>
      <c r="B680" s="53" t="s">
        <v>837</v>
      </c>
      <c r="C680" s="13"/>
      <c r="D680" s="14" t="s">
        <v>18</v>
      </c>
      <c r="E680" s="14" t="s">
        <v>28</v>
      </c>
      <c r="F680" s="14" t="s">
        <v>27</v>
      </c>
      <c r="G680" s="17">
        <f>'FEBRERO-18'!I677</f>
        <v>10</v>
      </c>
      <c r="H680" s="51"/>
      <c r="I680" s="17">
        <f t="shared" si="13"/>
        <v>10</v>
      </c>
      <c r="J680" s="56"/>
      <c r="K680" s="56"/>
    </row>
    <row r="681" spans="1:11" ht="75">
      <c r="A681" s="141" t="s">
        <v>838</v>
      </c>
      <c r="B681" s="53" t="s">
        <v>840</v>
      </c>
      <c r="C681" s="13"/>
      <c r="D681" s="14"/>
      <c r="E681" s="14"/>
      <c r="F681" s="14"/>
      <c r="G681" s="17">
        <f>'FEBRERO-18'!I678</f>
        <v>0</v>
      </c>
      <c r="H681" s="51"/>
      <c r="I681" s="17"/>
      <c r="J681" s="56"/>
      <c r="K681" s="56"/>
    </row>
    <row r="682" spans="1:11" ht="29.25">
      <c r="A682" s="11">
        <v>51202</v>
      </c>
      <c r="B682" s="54" t="s">
        <v>842</v>
      </c>
      <c r="C682" s="13"/>
      <c r="D682" s="14" t="s">
        <v>18</v>
      </c>
      <c r="E682" s="14" t="s">
        <v>28</v>
      </c>
      <c r="F682" s="14" t="s">
        <v>27</v>
      </c>
      <c r="G682" s="17">
        <f>'FEBRERO-18'!I679</f>
        <v>9000</v>
      </c>
      <c r="H682" s="51"/>
      <c r="I682" s="17">
        <f t="shared" si="13"/>
        <v>9000</v>
      </c>
      <c r="J682" s="56"/>
      <c r="K682" s="56"/>
    </row>
    <row r="683" spans="1:11" ht="43.5">
      <c r="A683" s="11">
        <v>54110</v>
      </c>
      <c r="B683" s="53" t="s">
        <v>844</v>
      </c>
      <c r="C683" s="13"/>
      <c r="D683" s="14" t="s">
        <v>18</v>
      </c>
      <c r="E683" s="14" t="s">
        <v>28</v>
      </c>
      <c r="F683" s="14" t="s">
        <v>27</v>
      </c>
      <c r="G683" s="17">
        <f>'FEBRERO-18'!I680</f>
        <v>200</v>
      </c>
      <c r="H683" s="51"/>
      <c r="I683" s="17">
        <f t="shared" si="13"/>
        <v>200</v>
      </c>
      <c r="J683" s="56"/>
      <c r="K683" s="56"/>
    </row>
    <row r="684" spans="1:11" ht="44.25">
      <c r="A684" s="11">
        <v>54111</v>
      </c>
      <c r="B684" s="53" t="s">
        <v>845</v>
      </c>
      <c r="C684" s="13"/>
      <c r="D684" s="14" t="s">
        <v>18</v>
      </c>
      <c r="E684" s="14" t="s">
        <v>28</v>
      </c>
      <c r="F684" s="14" t="s">
        <v>27</v>
      </c>
      <c r="G684" s="17">
        <f>'FEBRERO-18'!I681</f>
        <v>12290</v>
      </c>
      <c r="H684" s="51"/>
      <c r="I684" s="17">
        <f t="shared" si="13"/>
        <v>12290</v>
      </c>
      <c r="J684" s="56"/>
      <c r="K684" s="56"/>
    </row>
    <row r="685" spans="1:11" ht="43.5">
      <c r="A685" s="11">
        <v>54118</v>
      </c>
      <c r="B685" s="53" t="s">
        <v>846</v>
      </c>
      <c r="C685" s="13"/>
      <c r="D685" s="14" t="s">
        <v>18</v>
      </c>
      <c r="E685" s="14" t="s">
        <v>28</v>
      </c>
      <c r="F685" s="14" t="s">
        <v>27</v>
      </c>
      <c r="G685" s="17">
        <f>'FEBRERO-18'!I682</f>
        <v>3000</v>
      </c>
      <c r="H685" s="51"/>
      <c r="I685" s="17">
        <f t="shared" si="13"/>
        <v>3000</v>
      </c>
      <c r="J685" s="56"/>
      <c r="K685" s="56"/>
    </row>
    <row r="686" spans="1:11" ht="44.25">
      <c r="A686" s="11">
        <v>54313</v>
      </c>
      <c r="B686" s="53" t="s">
        <v>847</v>
      </c>
      <c r="C686" s="13"/>
      <c r="D686" s="14" t="s">
        <v>18</v>
      </c>
      <c r="E686" s="14" t="s">
        <v>28</v>
      </c>
      <c r="F686" s="14" t="s">
        <v>27</v>
      </c>
      <c r="G686" s="17">
        <f>'FEBRERO-18'!I683</f>
        <v>300</v>
      </c>
      <c r="H686" s="51"/>
      <c r="I686" s="17">
        <f t="shared" si="13"/>
        <v>300</v>
      </c>
      <c r="J686" s="56"/>
      <c r="K686" s="56"/>
    </row>
    <row r="687" spans="1:11" ht="44.25">
      <c r="A687" s="11">
        <v>54399</v>
      </c>
      <c r="B687" s="53" t="s">
        <v>848</v>
      </c>
      <c r="C687" s="13"/>
      <c r="D687" s="14" t="s">
        <v>18</v>
      </c>
      <c r="E687" s="14" t="s">
        <v>28</v>
      </c>
      <c r="F687" s="14" t="s">
        <v>27</v>
      </c>
      <c r="G687" s="17">
        <f>'FEBRERO-18'!I684</f>
        <v>200</v>
      </c>
      <c r="H687" s="51"/>
      <c r="I687" s="17">
        <f t="shared" si="13"/>
        <v>200</v>
      </c>
      <c r="J687" s="56"/>
      <c r="K687" s="56"/>
    </row>
    <row r="688" spans="1:11" ht="43.5">
      <c r="A688" s="11">
        <v>55603</v>
      </c>
      <c r="B688" s="53" t="s">
        <v>849</v>
      </c>
      <c r="C688" s="13"/>
      <c r="D688" s="14" t="s">
        <v>18</v>
      </c>
      <c r="E688" s="14" t="s">
        <v>28</v>
      </c>
      <c r="F688" s="14" t="s">
        <v>27</v>
      </c>
      <c r="G688" s="17">
        <f>'FEBRERO-18'!I685</f>
        <v>10</v>
      </c>
      <c r="H688" s="51"/>
      <c r="I688" s="17">
        <f t="shared" si="13"/>
        <v>10</v>
      </c>
      <c r="J688" s="56"/>
      <c r="K688" s="56"/>
    </row>
    <row r="689" spans="1:11" ht="60">
      <c r="A689" s="141" t="s">
        <v>839</v>
      </c>
      <c r="B689" s="53" t="s">
        <v>841</v>
      </c>
      <c r="C689" s="13"/>
      <c r="D689" s="14"/>
      <c r="E689" s="14"/>
      <c r="F689" s="14"/>
      <c r="G689" s="17">
        <f>'FEBRERO-18'!I686</f>
        <v>0</v>
      </c>
      <c r="H689" s="51"/>
      <c r="I689" s="17"/>
      <c r="J689" s="56"/>
      <c r="K689" s="56"/>
    </row>
    <row r="690" spans="1:11" ht="29.25">
      <c r="A690" s="11">
        <v>51202</v>
      </c>
      <c r="B690" s="54" t="s">
        <v>843</v>
      </c>
      <c r="C690" s="13"/>
      <c r="D690" s="14" t="s">
        <v>18</v>
      </c>
      <c r="E690" s="14" t="s">
        <v>28</v>
      </c>
      <c r="F690" s="14" t="s">
        <v>27</v>
      </c>
      <c r="G690" s="17">
        <f>'FEBRERO-18'!I687</f>
        <v>9000</v>
      </c>
      <c r="H690" s="51"/>
      <c r="I690" s="17">
        <f t="shared" si="13"/>
        <v>9000</v>
      </c>
      <c r="J690" s="56"/>
      <c r="K690" s="56"/>
    </row>
    <row r="691" spans="1:11" ht="29.25">
      <c r="A691" s="11">
        <v>54110</v>
      </c>
      <c r="B691" s="53" t="s">
        <v>850</v>
      </c>
      <c r="C691" s="13"/>
      <c r="D691" s="14" t="s">
        <v>18</v>
      </c>
      <c r="E691" s="14" t="s">
        <v>28</v>
      </c>
      <c r="F691" s="14" t="s">
        <v>27</v>
      </c>
      <c r="G691" s="17">
        <f>'FEBRERO-18'!I688</f>
        <v>200</v>
      </c>
      <c r="H691" s="51"/>
      <c r="I691" s="17">
        <f t="shared" si="13"/>
        <v>200</v>
      </c>
      <c r="J691" s="56"/>
      <c r="K691" s="56"/>
    </row>
    <row r="692" spans="1:11" ht="29.25">
      <c r="A692" s="11">
        <v>54111</v>
      </c>
      <c r="B692" s="54" t="s">
        <v>851</v>
      </c>
      <c r="C692" s="13"/>
      <c r="D692" s="14" t="s">
        <v>18</v>
      </c>
      <c r="E692" s="14" t="s">
        <v>28</v>
      </c>
      <c r="F692" s="14" t="s">
        <v>27</v>
      </c>
      <c r="G692" s="17">
        <f>'FEBRERO-18'!I689</f>
        <v>12290</v>
      </c>
      <c r="H692" s="51"/>
      <c r="I692" s="17">
        <f t="shared" si="13"/>
        <v>12290</v>
      </c>
      <c r="J692" s="56"/>
      <c r="K692" s="56"/>
    </row>
    <row r="693" spans="1:11" ht="29.25">
      <c r="A693" s="11">
        <v>54118</v>
      </c>
      <c r="B693" s="53" t="s">
        <v>852</v>
      </c>
      <c r="C693" s="13"/>
      <c r="D693" s="14" t="s">
        <v>18</v>
      </c>
      <c r="E693" s="14" t="s">
        <v>28</v>
      </c>
      <c r="F693" s="14" t="s">
        <v>27</v>
      </c>
      <c r="G693" s="17">
        <f>'FEBRERO-18'!I690</f>
        <v>3000</v>
      </c>
      <c r="H693" s="51"/>
      <c r="I693" s="17">
        <f t="shared" si="13"/>
        <v>3000</v>
      </c>
      <c r="J693" s="56"/>
      <c r="K693" s="56"/>
    </row>
    <row r="694" spans="1:11" ht="29.25">
      <c r="A694" s="11">
        <v>54313</v>
      </c>
      <c r="B694" s="54" t="s">
        <v>853</v>
      </c>
      <c r="C694" s="13"/>
      <c r="D694" s="14" t="s">
        <v>18</v>
      </c>
      <c r="E694" s="14" t="s">
        <v>28</v>
      </c>
      <c r="F694" s="14" t="s">
        <v>27</v>
      </c>
      <c r="G694" s="17">
        <f>'FEBRERO-18'!I691</f>
        <v>300</v>
      </c>
      <c r="H694" s="51"/>
      <c r="I694" s="17">
        <f t="shared" si="13"/>
        <v>300</v>
      </c>
      <c r="J694" s="56"/>
      <c r="K694" s="56"/>
    </row>
    <row r="695" spans="1:11" ht="37.5" customHeight="1">
      <c r="A695" s="11">
        <v>54399</v>
      </c>
      <c r="B695" s="54" t="s">
        <v>854</v>
      </c>
      <c r="C695" s="13"/>
      <c r="D695" s="14" t="s">
        <v>18</v>
      </c>
      <c r="E695" s="14" t="s">
        <v>28</v>
      </c>
      <c r="F695" s="14" t="s">
        <v>27</v>
      </c>
      <c r="G695" s="17">
        <f>'FEBRERO-18'!I692</f>
        <v>200</v>
      </c>
      <c r="H695" s="51"/>
      <c r="I695" s="17">
        <f t="shared" si="13"/>
        <v>200</v>
      </c>
      <c r="J695" s="56"/>
      <c r="K695" s="56"/>
    </row>
    <row r="696" spans="1:11" ht="29.25">
      <c r="A696" s="11">
        <v>55603</v>
      </c>
      <c r="B696" s="54" t="s">
        <v>855</v>
      </c>
      <c r="C696" s="13"/>
      <c r="D696" s="14" t="s">
        <v>18</v>
      </c>
      <c r="E696" s="14" t="s">
        <v>28</v>
      </c>
      <c r="F696" s="14" t="s">
        <v>27</v>
      </c>
      <c r="G696" s="17">
        <f>'FEBRERO-18'!I693</f>
        <v>10</v>
      </c>
      <c r="H696" s="51"/>
      <c r="I696" s="17">
        <f t="shared" si="13"/>
        <v>10</v>
      </c>
      <c r="J696" s="56"/>
      <c r="K696" s="56"/>
    </row>
    <row r="697" spans="1:11" ht="60">
      <c r="A697" s="141" t="s">
        <v>872</v>
      </c>
      <c r="B697" s="53" t="s">
        <v>856</v>
      </c>
      <c r="C697" s="13"/>
      <c r="D697" s="14"/>
      <c r="E697" s="14"/>
      <c r="F697" s="14"/>
      <c r="G697" s="17">
        <f>'FEBRERO-18'!I694</f>
        <v>0</v>
      </c>
      <c r="H697" s="51"/>
      <c r="I697" s="17"/>
      <c r="J697" s="56"/>
      <c r="K697" s="56"/>
    </row>
    <row r="698" spans="1:11" ht="29.25">
      <c r="A698" s="11">
        <v>51202</v>
      </c>
      <c r="B698" s="54" t="s">
        <v>857</v>
      </c>
      <c r="C698" s="13"/>
      <c r="D698" s="14" t="s">
        <v>18</v>
      </c>
      <c r="E698" s="14" t="s">
        <v>28</v>
      </c>
      <c r="F698" s="14" t="s">
        <v>27</v>
      </c>
      <c r="G698" s="17">
        <f>'FEBRERO-18'!I695</f>
        <v>1800</v>
      </c>
      <c r="H698" s="51"/>
      <c r="I698" s="17">
        <f t="shared" si="13"/>
        <v>1800</v>
      </c>
      <c r="J698" s="56"/>
      <c r="K698" s="56"/>
    </row>
    <row r="699" spans="1:11" ht="29.25">
      <c r="A699" s="11">
        <v>54110</v>
      </c>
      <c r="B699" s="53" t="s">
        <v>858</v>
      </c>
      <c r="C699" s="13"/>
      <c r="D699" s="14" t="s">
        <v>18</v>
      </c>
      <c r="E699" s="14" t="s">
        <v>28</v>
      </c>
      <c r="F699" s="14" t="s">
        <v>27</v>
      </c>
      <c r="G699" s="17">
        <f>'FEBRERO-18'!I696</f>
        <v>100</v>
      </c>
      <c r="H699" s="51"/>
      <c r="I699" s="17">
        <f t="shared" si="13"/>
        <v>100</v>
      </c>
      <c r="J699" s="56"/>
      <c r="K699" s="56"/>
    </row>
    <row r="700" spans="1:11" ht="44.25">
      <c r="A700" s="11">
        <v>54111</v>
      </c>
      <c r="B700" s="53" t="s">
        <v>859</v>
      </c>
      <c r="C700" s="13"/>
      <c r="D700" s="14" t="s">
        <v>18</v>
      </c>
      <c r="E700" s="14" t="s">
        <v>28</v>
      </c>
      <c r="F700" s="14" t="s">
        <v>27</v>
      </c>
      <c r="G700" s="17">
        <f>'FEBRERO-18'!I697</f>
        <v>2590</v>
      </c>
      <c r="H700" s="51"/>
      <c r="I700" s="17">
        <f t="shared" si="13"/>
        <v>2590</v>
      </c>
      <c r="J700" s="56"/>
      <c r="K700" s="56"/>
    </row>
    <row r="701" spans="1:11" ht="29.25">
      <c r="A701" s="11">
        <v>54118</v>
      </c>
      <c r="B701" s="53" t="s">
        <v>860</v>
      </c>
      <c r="C701" s="13"/>
      <c r="D701" s="14" t="s">
        <v>18</v>
      </c>
      <c r="E701" s="14" t="s">
        <v>28</v>
      </c>
      <c r="F701" s="14" t="s">
        <v>27</v>
      </c>
      <c r="G701" s="17">
        <f>'FEBRERO-18'!I698</f>
        <v>100</v>
      </c>
      <c r="H701" s="51"/>
      <c r="I701" s="17">
        <f t="shared" si="13"/>
        <v>100</v>
      </c>
      <c r="J701" s="56"/>
      <c r="K701" s="56"/>
    </row>
    <row r="702" spans="1:11" ht="44.25">
      <c r="A702" s="11">
        <v>54313</v>
      </c>
      <c r="B702" s="53" t="s">
        <v>861</v>
      </c>
      <c r="C702" s="13"/>
      <c r="D702" s="14" t="s">
        <v>18</v>
      </c>
      <c r="E702" s="14" t="s">
        <v>28</v>
      </c>
      <c r="F702" s="14" t="s">
        <v>27</v>
      </c>
      <c r="G702" s="17">
        <f>'FEBRERO-18'!I699</f>
        <v>200</v>
      </c>
      <c r="H702" s="51"/>
      <c r="I702" s="17">
        <f t="shared" si="13"/>
        <v>200</v>
      </c>
      <c r="J702" s="56"/>
      <c r="K702" s="56"/>
    </row>
    <row r="703" spans="1:11" ht="44.25">
      <c r="A703" s="11">
        <v>54399</v>
      </c>
      <c r="B703" s="53" t="s">
        <v>862</v>
      </c>
      <c r="C703" s="13"/>
      <c r="D703" s="14" t="s">
        <v>18</v>
      </c>
      <c r="E703" s="14" t="s">
        <v>28</v>
      </c>
      <c r="F703" s="14" t="s">
        <v>27</v>
      </c>
      <c r="G703" s="17">
        <f>'FEBRERO-18'!I700</f>
        <v>200</v>
      </c>
      <c r="H703" s="51"/>
      <c r="I703" s="17">
        <f t="shared" si="13"/>
        <v>200</v>
      </c>
      <c r="J703" s="56"/>
      <c r="K703" s="56"/>
    </row>
    <row r="704" spans="1:11" ht="29.25">
      <c r="A704" s="11">
        <v>55603</v>
      </c>
      <c r="B704" s="53" t="s">
        <v>863</v>
      </c>
      <c r="C704" s="13"/>
      <c r="D704" s="14" t="s">
        <v>18</v>
      </c>
      <c r="E704" s="14" t="s">
        <v>28</v>
      </c>
      <c r="F704" s="14" t="s">
        <v>27</v>
      </c>
      <c r="G704" s="17">
        <f>'FEBRERO-18'!I701</f>
        <v>10</v>
      </c>
      <c r="H704" s="51"/>
      <c r="I704" s="17">
        <f t="shared" si="13"/>
        <v>10</v>
      </c>
      <c r="J704" s="56"/>
      <c r="K704" s="56"/>
    </row>
    <row r="705" spans="1:11" ht="59.25">
      <c r="A705" s="141" t="s">
        <v>873</v>
      </c>
      <c r="B705" s="53" t="s">
        <v>864</v>
      </c>
      <c r="C705" s="13"/>
      <c r="D705" s="14"/>
      <c r="E705" s="14"/>
      <c r="F705" s="14"/>
      <c r="G705" s="17">
        <f>'FEBRERO-18'!I702</f>
        <v>0</v>
      </c>
      <c r="H705" s="51"/>
      <c r="I705" s="17"/>
      <c r="J705" s="56"/>
      <c r="K705" s="56"/>
    </row>
    <row r="706" spans="1:11" ht="29.25">
      <c r="A706" s="11">
        <v>51202</v>
      </c>
      <c r="B706" s="53" t="s">
        <v>865</v>
      </c>
      <c r="C706" s="13"/>
      <c r="D706" s="14" t="s">
        <v>18</v>
      </c>
      <c r="E706" s="14" t="s">
        <v>28</v>
      </c>
      <c r="F706" s="14" t="s">
        <v>27</v>
      </c>
      <c r="G706" s="17">
        <f>'FEBRERO-18'!I703</f>
        <v>7000</v>
      </c>
      <c r="H706" s="51"/>
      <c r="I706" s="17">
        <f t="shared" si="13"/>
        <v>7000</v>
      </c>
      <c r="J706" s="56"/>
      <c r="K706" s="56"/>
    </row>
    <row r="707" spans="1:11" ht="29.25">
      <c r="A707" s="11">
        <v>54110</v>
      </c>
      <c r="B707" s="53" t="s">
        <v>866</v>
      </c>
      <c r="C707" s="13"/>
      <c r="D707" s="14" t="s">
        <v>18</v>
      </c>
      <c r="E707" s="14" t="s">
        <v>28</v>
      </c>
      <c r="F707" s="14" t="s">
        <v>27</v>
      </c>
      <c r="G707" s="17">
        <f>'FEBRERO-18'!I704</f>
        <v>200</v>
      </c>
      <c r="H707" s="51"/>
      <c r="I707" s="17">
        <f t="shared" si="13"/>
        <v>200</v>
      </c>
      <c r="J707" s="56"/>
      <c r="K707" s="56"/>
    </row>
    <row r="708" spans="1:11" ht="30">
      <c r="A708" s="11">
        <v>54111</v>
      </c>
      <c r="B708" s="53" t="s">
        <v>867</v>
      </c>
      <c r="C708" s="13"/>
      <c r="D708" s="14" t="s">
        <v>18</v>
      </c>
      <c r="E708" s="14" t="s">
        <v>28</v>
      </c>
      <c r="F708" s="14" t="s">
        <v>27</v>
      </c>
      <c r="G708" s="17">
        <f>'FEBRERO-18'!I705</f>
        <v>10290</v>
      </c>
      <c r="H708" s="51"/>
      <c r="I708" s="17">
        <f t="shared" si="13"/>
        <v>10290</v>
      </c>
      <c r="J708" s="56"/>
      <c r="K708" s="56"/>
    </row>
    <row r="709" spans="1:11" ht="29.25">
      <c r="A709" s="11">
        <v>54118</v>
      </c>
      <c r="B709" s="53" t="s">
        <v>868</v>
      </c>
      <c r="C709" s="13"/>
      <c r="D709" s="14" t="s">
        <v>18</v>
      </c>
      <c r="E709" s="14" t="s">
        <v>28</v>
      </c>
      <c r="F709" s="14" t="s">
        <v>27</v>
      </c>
      <c r="G709" s="17">
        <f>'FEBRERO-18'!I706</f>
        <v>2000</v>
      </c>
      <c r="H709" s="51"/>
      <c r="I709" s="17">
        <f t="shared" si="13"/>
        <v>2000</v>
      </c>
      <c r="J709" s="56"/>
      <c r="K709" s="56"/>
    </row>
    <row r="710" spans="1:11" ht="44.25">
      <c r="A710" s="11">
        <v>54313</v>
      </c>
      <c r="B710" s="53" t="s">
        <v>869</v>
      </c>
      <c r="C710" s="13"/>
      <c r="D710" s="14" t="s">
        <v>18</v>
      </c>
      <c r="E710" s="14" t="s">
        <v>28</v>
      </c>
      <c r="F710" s="14" t="s">
        <v>27</v>
      </c>
      <c r="G710" s="17">
        <f>'FEBRERO-18'!I707</f>
        <v>300</v>
      </c>
      <c r="H710" s="51"/>
      <c r="I710" s="17">
        <f t="shared" si="13"/>
        <v>300</v>
      </c>
      <c r="J710" s="56"/>
      <c r="K710" s="56"/>
    </row>
    <row r="711" spans="1:11" ht="30">
      <c r="A711" s="11">
        <v>54399</v>
      </c>
      <c r="B711" s="53" t="s">
        <v>870</v>
      </c>
      <c r="C711" s="13"/>
      <c r="D711" s="14" t="s">
        <v>18</v>
      </c>
      <c r="E711" s="14" t="s">
        <v>28</v>
      </c>
      <c r="F711" s="14" t="s">
        <v>27</v>
      </c>
      <c r="G711" s="17">
        <f>'FEBRERO-18'!I708</f>
        <v>200</v>
      </c>
      <c r="H711" s="51"/>
      <c r="I711" s="17">
        <f t="shared" si="13"/>
        <v>200</v>
      </c>
      <c r="J711" s="56"/>
      <c r="K711" s="56"/>
    </row>
    <row r="712" spans="1:11" ht="29.25">
      <c r="A712" s="11">
        <v>55603</v>
      </c>
      <c r="B712" s="53" t="s">
        <v>871</v>
      </c>
      <c r="C712" s="13"/>
      <c r="D712" s="14" t="s">
        <v>18</v>
      </c>
      <c r="E712" s="14" t="s">
        <v>28</v>
      </c>
      <c r="F712" s="14" t="s">
        <v>27</v>
      </c>
      <c r="G712" s="17">
        <f>'FEBRERO-18'!I709</f>
        <v>10</v>
      </c>
      <c r="H712" s="51"/>
      <c r="I712" s="17">
        <f t="shared" si="13"/>
        <v>10</v>
      </c>
      <c r="J712" s="56"/>
      <c r="K712" s="56"/>
    </row>
    <row r="713" spans="1:11" ht="60">
      <c r="A713" s="141" t="s">
        <v>532</v>
      </c>
      <c r="B713" s="53" t="s">
        <v>874</v>
      </c>
      <c r="C713" s="13"/>
      <c r="D713" s="14"/>
      <c r="E713" s="14"/>
      <c r="F713" s="14"/>
      <c r="G713" s="17">
        <f>'FEBRERO-18'!I710</f>
        <v>0</v>
      </c>
      <c r="H713" s="51"/>
      <c r="I713" s="17"/>
      <c r="J713" s="56"/>
      <c r="K713" s="56"/>
    </row>
    <row r="714" spans="1:11" ht="29.25">
      <c r="A714" s="11">
        <v>51202</v>
      </c>
      <c r="B714" s="53" t="s">
        <v>875</v>
      </c>
      <c r="C714" s="13"/>
      <c r="D714" s="14" t="s">
        <v>18</v>
      </c>
      <c r="E714" s="14" t="s">
        <v>28</v>
      </c>
      <c r="F714" s="14" t="s">
        <v>27</v>
      </c>
      <c r="G714" s="17">
        <f>'FEBRERO-18'!I711</f>
        <v>6990</v>
      </c>
      <c r="H714" s="51"/>
      <c r="I714" s="17">
        <f t="shared" si="13"/>
        <v>6990</v>
      </c>
      <c r="J714" s="56"/>
      <c r="K714" s="56"/>
    </row>
    <row r="715" spans="1:11" ht="29.25">
      <c r="A715" s="11">
        <v>54110</v>
      </c>
      <c r="B715" s="53" t="s">
        <v>876</v>
      </c>
      <c r="C715" s="13"/>
      <c r="D715" s="14" t="s">
        <v>18</v>
      </c>
      <c r="E715" s="14" t="s">
        <v>28</v>
      </c>
      <c r="F715" s="14" t="s">
        <v>27</v>
      </c>
      <c r="G715" s="17">
        <f>'FEBRERO-18'!I712</f>
        <v>200</v>
      </c>
      <c r="H715" s="51"/>
      <c r="I715" s="17">
        <f t="shared" si="13"/>
        <v>200</v>
      </c>
      <c r="J715" s="56"/>
      <c r="K715" s="56"/>
    </row>
    <row r="716" spans="1:11" ht="44.25">
      <c r="A716" s="11">
        <v>54111</v>
      </c>
      <c r="B716" s="53" t="s">
        <v>881</v>
      </c>
      <c r="C716" s="13"/>
      <c r="D716" s="14" t="s">
        <v>18</v>
      </c>
      <c r="E716" s="14" t="s">
        <v>28</v>
      </c>
      <c r="F716" s="14" t="s">
        <v>27</v>
      </c>
      <c r="G716" s="17">
        <f>'FEBRERO-18'!I713</f>
        <v>10000</v>
      </c>
      <c r="H716" s="51"/>
      <c r="I716" s="17">
        <f t="shared" si="13"/>
        <v>10000</v>
      </c>
      <c r="J716" s="56"/>
      <c r="K716" s="56"/>
    </row>
    <row r="717" spans="1:11" ht="29.25">
      <c r="A717" s="11">
        <v>54118</v>
      </c>
      <c r="B717" s="53" t="s">
        <v>877</v>
      </c>
      <c r="C717" s="13"/>
      <c r="D717" s="14" t="s">
        <v>18</v>
      </c>
      <c r="E717" s="14" t="s">
        <v>28</v>
      </c>
      <c r="F717" s="14" t="s">
        <v>27</v>
      </c>
      <c r="G717" s="17">
        <f>'FEBRERO-18'!I714</f>
        <v>2000</v>
      </c>
      <c r="H717" s="51"/>
      <c r="I717" s="17">
        <f t="shared" si="13"/>
        <v>2000</v>
      </c>
      <c r="J717" s="56"/>
      <c r="K717" s="56"/>
    </row>
    <row r="718" spans="1:11" ht="44.25">
      <c r="A718" s="11">
        <v>54313</v>
      </c>
      <c r="B718" s="53" t="s">
        <v>878</v>
      </c>
      <c r="C718" s="13"/>
      <c r="D718" s="14" t="s">
        <v>18</v>
      </c>
      <c r="E718" s="14" t="s">
        <v>28</v>
      </c>
      <c r="F718" s="14" t="s">
        <v>27</v>
      </c>
      <c r="G718" s="17">
        <f>'FEBRERO-18'!I715</f>
        <v>300</v>
      </c>
      <c r="H718" s="51"/>
      <c r="I718" s="17">
        <f t="shared" si="13"/>
        <v>300</v>
      </c>
      <c r="J718" s="56"/>
      <c r="K718" s="56"/>
    </row>
    <row r="719" spans="1:11" ht="43.5">
      <c r="A719" s="11">
        <v>54399</v>
      </c>
      <c r="B719" s="53" t="s">
        <v>879</v>
      </c>
      <c r="C719" s="13"/>
      <c r="D719" s="14" t="s">
        <v>18</v>
      </c>
      <c r="E719" s="14" t="s">
        <v>28</v>
      </c>
      <c r="F719" s="14" t="s">
        <v>27</v>
      </c>
      <c r="G719" s="17">
        <f>'FEBRERO-18'!I716</f>
        <v>500</v>
      </c>
      <c r="H719" s="51"/>
      <c r="I719" s="17">
        <f t="shared" si="13"/>
        <v>500</v>
      </c>
      <c r="J719" s="56"/>
      <c r="K719" s="56"/>
    </row>
    <row r="720" spans="1:11" ht="29.25">
      <c r="A720" s="11">
        <v>55603</v>
      </c>
      <c r="B720" s="53" t="s">
        <v>880</v>
      </c>
      <c r="C720" s="13"/>
      <c r="D720" s="14" t="s">
        <v>18</v>
      </c>
      <c r="E720" s="14" t="s">
        <v>28</v>
      </c>
      <c r="F720" s="14" t="s">
        <v>27</v>
      </c>
      <c r="G720" s="17">
        <f>'FEBRERO-18'!I717</f>
        <v>10</v>
      </c>
      <c r="H720" s="51"/>
      <c r="I720" s="17">
        <f t="shared" si="13"/>
        <v>10</v>
      </c>
      <c r="J720" s="56"/>
      <c r="K720" s="56"/>
    </row>
    <row r="721" spans="1:11" ht="72.75">
      <c r="A721" s="144" t="s">
        <v>540</v>
      </c>
      <c r="B721" s="53" t="s">
        <v>882</v>
      </c>
      <c r="C721" s="13"/>
      <c r="D721" s="14"/>
      <c r="E721" s="14"/>
      <c r="F721" s="14"/>
      <c r="G721" s="17">
        <f>'FEBRERO-18'!I718</f>
        <v>0</v>
      </c>
      <c r="H721" s="51"/>
      <c r="I721" s="17"/>
      <c r="J721" s="56"/>
      <c r="K721" s="56"/>
    </row>
    <row r="722" spans="1:11" ht="43.5">
      <c r="A722" s="11">
        <v>51202</v>
      </c>
      <c r="B722" s="53" t="s">
        <v>883</v>
      </c>
      <c r="C722" s="13"/>
      <c r="D722" s="14" t="s">
        <v>18</v>
      </c>
      <c r="E722" s="14" t="s">
        <v>28</v>
      </c>
      <c r="F722" s="14" t="s">
        <v>27</v>
      </c>
      <c r="G722" s="17">
        <f>'FEBRERO-18'!I719</f>
        <v>10000</v>
      </c>
      <c r="H722" s="51"/>
      <c r="I722" s="17">
        <f t="shared" si="13"/>
        <v>10000</v>
      </c>
      <c r="J722" s="56"/>
      <c r="K722" s="56"/>
    </row>
    <row r="723" spans="1:11" ht="43.5">
      <c r="A723" s="11">
        <v>54110</v>
      </c>
      <c r="B723" s="53" t="s">
        <v>968</v>
      </c>
      <c r="C723" s="13"/>
      <c r="D723" s="14" t="s">
        <v>18</v>
      </c>
      <c r="E723" s="14" t="s">
        <v>28</v>
      </c>
      <c r="F723" s="14" t="s">
        <v>27</v>
      </c>
      <c r="G723" s="17">
        <f>'FEBRERO-18'!I720</f>
        <v>500</v>
      </c>
      <c r="H723" s="51"/>
      <c r="I723" s="17">
        <f t="shared" si="13"/>
        <v>500</v>
      </c>
      <c r="J723" s="56"/>
      <c r="K723" s="56"/>
    </row>
    <row r="724" spans="1:11" ht="44.25">
      <c r="A724" s="11">
        <v>54111</v>
      </c>
      <c r="B724" s="53" t="s">
        <v>884</v>
      </c>
      <c r="C724" s="13"/>
      <c r="D724" s="14" t="s">
        <v>18</v>
      </c>
      <c r="E724" s="14" t="s">
        <v>28</v>
      </c>
      <c r="F724" s="14" t="s">
        <v>27</v>
      </c>
      <c r="G724" s="17">
        <f>'FEBRERO-18'!I721</f>
        <v>15000</v>
      </c>
      <c r="H724" s="51"/>
      <c r="I724" s="17">
        <f t="shared" ref="I724:I770" si="14">G724-H724+J724-K724</f>
        <v>15000</v>
      </c>
      <c r="J724" s="56"/>
      <c r="K724" s="56"/>
    </row>
    <row r="725" spans="1:11" ht="43.5">
      <c r="A725" s="11">
        <v>54118</v>
      </c>
      <c r="B725" s="53" t="s">
        <v>885</v>
      </c>
      <c r="C725" s="13"/>
      <c r="D725" s="14" t="s">
        <v>18</v>
      </c>
      <c r="E725" s="14" t="s">
        <v>28</v>
      </c>
      <c r="F725" s="14" t="s">
        <v>27</v>
      </c>
      <c r="G725" s="17">
        <f>'FEBRERO-18'!I722</f>
        <v>5000</v>
      </c>
      <c r="H725" s="51"/>
      <c r="I725" s="17">
        <f t="shared" si="14"/>
        <v>5000</v>
      </c>
      <c r="J725" s="56"/>
      <c r="K725" s="56"/>
    </row>
    <row r="726" spans="1:11" ht="43.5">
      <c r="A726" s="11">
        <v>54304</v>
      </c>
      <c r="B726" s="53" t="s">
        <v>889</v>
      </c>
      <c r="C726" s="13"/>
      <c r="D726" s="14" t="s">
        <v>18</v>
      </c>
      <c r="E726" s="14" t="s">
        <v>28</v>
      </c>
      <c r="F726" s="14" t="s">
        <v>27</v>
      </c>
      <c r="G726" s="17">
        <f>'FEBRERO-18'!I723</f>
        <v>2690</v>
      </c>
      <c r="H726" s="51"/>
      <c r="I726" s="17">
        <f t="shared" si="14"/>
        <v>2690</v>
      </c>
      <c r="J726" s="56"/>
      <c r="K726" s="56"/>
    </row>
    <row r="727" spans="1:11" ht="44.25">
      <c r="A727" s="11">
        <v>54313</v>
      </c>
      <c r="B727" s="53" t="s">
        <v>886</v>
      </c>
      <c r="C727" s="13"/>
      <c r="D727" s="14" t="s">
        <v>18</v>
      </c>
      <c r="E727" s="14" t="s">
        <v>28</v>
      </c>
      <c r="F727" s="14" t="s">
        <v>27</v>
      </c>
      <c r="G727" s="17">
        <f>'FEBRERO-18'!I724</f>
        <v>300</v>
      </c>
      <c r="H727" s="51"/>
      <c r="I727" s="17">
        <f t="shared" si="14"/>
        <v>300</v>
      </c>
      <c r="J727" s="56"/>
      <c r="K727" s="56"/>
    </row>
    <row r="728" spans="1:11" ht="44.25">
      <c r="A728" s="11">
        <v>54399</v>
      </c>
      <c r="B728" s="53" t="s">
        <v>887</v>
      </c>
      <c r="C728" s="13"/>
      <c r="D728" s="14" t="s">
        <v>18</v>
      </c>
      <c r="E728" s="14" t="s">
        <v>28</v>
      </c>
      <c r="F728" s="14" t="s">
        <v>27</v>
      </c>
      <c r="G728" s="17">
        <f>'FEBRERO-18'!I725</f>
        <v>1500</v>
      </c>
      <c r="H728" s="51"/>
      <c r="I728" s="17">
        <f t="shared" si="14"/>
        <v>1500</v>
      </c>
      <c r="J728" s="56"/>
      <c r="K728" s="56"/>
    </row>
    <row r="729" spans="1:11" ht="43.5">
      <c r="A729" s="11">
        <v>55603</v>
      </c>
      <c r="B729" s="53" t="s">
        <v>888</v>
      </c>
      <c r="C729" s="13"/>
      <c r="D729" s="14" t="s">
        <v>18</v>
      </c>
      <c r="E729" s="14" t="s">
        <v>28</v>
      </c>
      <c r="F729" s="14" t="s">
        <v>27</v>
      </c>
      <c r="G729" s="17">
        <f>'FEBRERO-18'!I726</f>
        <v>10</v>
      </c>
      <c r="H729" s="51"/>
      <c r="I729" s="17">
        <f t="shared" si="14"/>
        <v>10</v>
      </c>
      <c r="J729" s="56"/>
      <c r="K729" s="56"/>
    </row>
    <row r="730" spans="1:11" ht="60">
      <c r="A730" s="141" t="s">
        <v>901</v>
      </c>
      <c r="B730" s="53" t="s">
        <v>890</v>
      </c>
      <c r="C730" s="13"/>
      <c r="D730" s="14"/>
      <c r="E730" s="14"/>
      <c r="F730" s="14"/>
      <c r="G730" s="17">
        <f>'FEBRERO-18'!I727</f>
        <v>0</v>
      </c>
      <c r="H730" s="51"/>
      <c r="I730" s="17"/>
      <c r="J730" s="56"/>
      <c r="K730" s="56"/>
    </row>
    <row r="731" spans="1:11" ht="29.25">
      <c r="A731" s="11">
        <v>51202</v>
      </c>
      <c r="B731" s="53" t="s">
        <v>1014</v>
      </c>
      <c r="C731" s="13"/>
      <c r="D731" s="14" t="s">
        <v>18</v>
      </c>
      <c r="E731" s="14" t="s">
        <v>28</v>
      </c>
      <c r="F731" s="14" t="s">
        <v>27</v>
      </c>
      <c r="G731" s="17">
        <f>'FEBRERO-18'!I728</f>
        <v>7800</v>
      </c>
      <c r="H731" s="51"/>
      <c r="I731" s="17">
        <f t="shared" si="14"/>
        <v>7800</v>
      </c>
      <c r="J731" s="56"/>
      <c r="K731" s="56"/>
    </row>
    <row r="732" spans="1:11" ht="29.25">
      <c r="A732" s="11">
        <v>51999</v>
      </c>
      <c r="B732" s="53" t="s">
        <v>1015</v>
      </c>
      <c r="C732" s="13"/>
      <c r="D732" s="14" t="s">
        <v>18</v>
      </c>
      <c r="E732" s="14" t="s">
        <v>28</v>
      </c>
      <c r="F732" s="14" t="s">
        <v>27</v>
      </c>
      <c r="G732" s="17">
        <f>'FEBRERO-18'!I729</f>
        <v>3000</v>
      </c>
      <c r="H732" s="51">
        <f>80+80+90+90+111.2+111.2+111.2+111.2+111.2+111.2+111.2+100+100+100+100+100+100+100+100+100</f>
        <v>2018.4</v>
      </c>
      <c r="I732" s="17">
        <f t="shared" si="14"/>
        <v>981.59999999999991</v>
      </c>
      <c r="J732" s="56"/>
      <c r="K732" s="56"/>
    </row>
    <row r="733" spans="1:11" ht="29.25">
      <c r="A733" s="11">
        <v>54110</v>
      </c>
      <c r="B733" s="53" t="s">
        <v>1016</v>
      </c>
      <c r="C733" s="13"/>
      <c r="D733" s="14" t="s">
        <v>18</v>
      </c>
      <c r="E733" s="14" t="s">
        <v>28</v>
      </c>
      <c r="F733" s="14" t="s">
        <v>27</v>
      </c>
      <c r="G733" s="17">
        <f>'FEBRERO-18'!I730</f>
        <v>500</v>
      </c>
      <c r="H733" s="51"/>
      <c r="I733" s="17">
        <f t="shared" si="14"/>
        <v>500</v>
      </c>
      <c r="J733" s="56"/>
      <c r="K733" s="56"/>
    </row>
    <row r="734" spans="1:11" ht="29.25">
      <c r="A734" s="11">
        <v>54111</v>
      </c>
      <c r="B734" s="53" t="s">
        <v>1017</v>
      </c>
      <c r="C734" s="13"/>
      <c r="D734" s="14" t="s">
        <v>18</v>
      </c>
      <c r="E734" s="14" t="s">
        <v>28</v>
      </c>
      <c r="F734" s="14" t="s">
        <v>27</v>
      </c>
      <c r="G734" s="17">
        <f>'FEBRERO-18'!I731</f>
        <v>12000</v>
      </c>
      <c r="H734" s="51"/>
      <c r="I734" s="17">
        <f t="shared" si="14"/>
        <v>10000</v>
      </c>
      <c r="J734" s="56"/>
      <c r="K734" s="127">
        <v>2000</v>
      </c>
    </row>
    <row r="735" spans="1:11" ht="44.25">
      <c r="A735" s="11">
        <v>54112</v>
      </c>
      <c r="B735" s="53" t="s">
        <v>1021</v>
      </c>
      <c r="C735" s="13"/>
      <c r="D735" s="14" t="s">
        <v>18</v>
      </c>
      <c r="E735" s="14" t="s">
        <v>28</v>
      </c>
      <c r="F735" s="14" t="s">
        <v>27</v>
      </c>
      <c r="G735" s="17">
        <f>'FEBRERO-18'!I732</f>
        <v>2981.25</v>
      </c>
      <c r="H735" s="51"/>
      <c r="I735" s="17">
        <f t="shared" si="14"/>
        <v>2981.25</v>
      </c>
      <c r="J735" s="56"/>
      <c r="K735" s="56"/>
    </row>
    <row r="736" spans="1:11" ht="29.25">
      <c r="A736" s="11">
        <v>54118</v>
      </c>
      <c r="B736" s="53" t="s">
        <v>1020</v>
      </c>
      <c r="C736" s="13"/>
      <c r="D736" s="14" t="s">
        <v>18</v>
      </c>
      <c r="E736" s="14" t="s">
        <v>28</v>
      </c>
      <c r="F736" s="14" t="s">
        <v>27</v>
      </c>
      <c r="G736" s="17">
        <f>'FEBRERO-18'!I733</f>
        <v>2990</v>
      </c>
      <c r="H736" s="51">
        <f>60.6</f>
        <v>60.6</v>
      </c>
      <c r="I736" s="17">
        <f t="shared" si="14"/>
        <v>2929.4</v>
      </c>
      <c r="J736" s="56"/>
      <c r="K736" s="56"/>
    </row>
    <row r="737" spans="1:11" ht="29.25">
      <c r="A737" s="11">
        <v>54199</v>
      </c>
      <c r="B737" s="53" t="s">
        <v>1018</v>
      </c>
      <c r="C737" s="13"/>
      <c r="D737" s="14" t="s">
        <v>18</v>
      </c>
      <c r="E737" s="14" t="s">
        <v>28</v>
      </c>
      <c r="F737" s="14" t="s">
        <v>27</v>
      </c>
      <c r="G737" s="17">
        <f>'FEBRERO-18'!I734</f>
        <v>2969</v>
      </c>
      <c r="H737" s="51">
        <f>122.3+683.65</f>
        <v>805.94999999999993</v>
      </c>
      <c r="I737" s="17">
        <f t="shared" si="14"/>
        <v>2163.0500000000002</v>
      </c>
      <c r="J737" s="56"/>
      <c r="K737" s="56"/>
    </row>
    <row r="738" spans="1:11" ht="29.25">
      <c r="A738" s="11">
        <v>54313</v>
      </c>
      <c r="B738" s="53" t="s">
        <v>1019</v>
      </c>
      <c r="C738" s="13"/>
      <c r="D738" s="14" t="s">
        <v>18</v>
      </c>
      <c r="E738" s="14" t="s">
        <v>28</v>
      </c>
      <c r="F738" s="14" t="s">
        <v>27</v>
      </c>
      <c r="G738" s="17">
        <f>'FEBRERO-18'!I735</f>
        <v>1650</v>
      </c>
      <c r="H738" s="51"/>
      <c r="I738" s="17">
        <f t="shared" si="14"/>
        <v>1650</v>
      </c>
      <c r="J738" s="56"/>
      <c r="K738" s="56"/>
    </row>
    <row r="739" spans="1:11" ht="44.25">
      <c r="A739" s="11">
        <v>54399</v>
      </c>
      <c r="B739" s="53" t="s">
        <v>1022</v>
      </c>
      <c r="C739" s="13"/>
      <c r="D739" s="14" t="s">
        <v>18</v>
      </c>
      <c r="E739" s="14" t="s">
        <v>28</v>
      </c>
      <c r="F739" s="14" t="s">
        <v>27</v>
      </c>
      <c r="G739" s="17">
        <f>'FEBRERO-18'!I736</f>
        <v>300</v>
      </c>
      <c r="H739" s="51">
        <f>148.75+711.9</f>
        <v>860.65</v>
      </c>
      <c r="I739" s="17">
        <f t="shared" si="14"/>
        <v>1439.35</v>
      </c>
      <c r="J739" s="137">
        <v>2000</v>
      </c>
      <c r="K739" s="56"/>
    </row>
    <row r="740" spans="1:11" ht="29.25">
      <c r="A740" s="11">
        <v>55603</v>
      </c>
      <c r="B740" s="53" t="s">
        <v>898</v>
      </c>
      <c r="C740" s="13"/>
      <c r="D740" s="14" t="s">
        <v>18</v>
      </c>
      <c r="E740" s="14" t="s">
        <v>28</v>
      </c>
      <c r="F740" s="14" t="s">
        <v>27</v>
      </c>
      <c r="G740" s="17">
        <f>'FEBRERO-18'!I737</f>
        <v>7</v>
      </c>
      <c r="H740" s="51"/>
      <c r="I740" s="17">
        <f t="shared" si="14"/>
        <v>7</v>
      </c>
      <c r="J740" s="56"/>
      <c r="K740" s="56"/>
    </row>
    <row r="741" spans="1:11" ht="60">
      <c r="A741" s="141">
        <v>41</v>
      </c>
      <c r="B741" s="53" t="s">
        <v>902</v>
      </c>
      <c r="C741" s="13"/>
      <c r="D741" s="14"/>
      <c r="E741" s="14"/>
      <c r="F741" s="14"/>
      <c r="G741" s="17">
        <f>'FEBRERO-18'!I738</f>
        <v>0</v>
      </c>
      <c r="H741" s="51"/>
      <c r="I741" s="17"/>
      <c r="J741" s="56"/>
      <c r="K741" s="56"/>
    </row>
    <row r="742" spans="1:11" ht="29.25">
      <c r="A742" s="11">
        <v>51999</v>
      </c>
      <c r="B742" s="53" t="s">
        <v>903</v>
      </c>
      <c r="C742" s="13"/>
      <c r="D742" s="14" t="s">
        <v>18</v>
      </c>
      <c r="E742" s="14" t="s">
        <v>28</v>
      </c>
      <c r="F742" s="14" t="s">
        <v>27</v>
      </c>
      <c r="G742" s="17">
        <f>'FEBRERO-18'!I739</f>
        <v>1000</v>
      </c>
      <c r="H742" s="51"/>
      <c r="I742" s="17">
        <f t="shared" si="14"/>
        <v>1000</v>
      </c>
      <c r="J742" s="56"/>
      <c r="K742" s="56"/>
    </row>
    <row r="743" spans="1:11" ht="44.25">
      <c r="A743" s="11">
        <v>54111</v>
      </c>
      <c r="B743" s="53" t="s">
        <v>904</v>
      </c>
      <c r="C743" s="13"/>
      <c r="D743" s="14" t="s">
        <v>18</v>
      </c>
      <c r="E743" s="14" t="s">
        <v>28</v>
      </c>
      <c r="F743" s="14" t="s">
        <v>27</v>
      </c>
      <c r="G743" s="17">
        <f>'FEBRERO-18'!I740</f>
        <v>1000</v>
      </c>
      <c r="H743" s="51"/>
      <c r="I743" s="17">
        <f t="shared" si="14"/>
        <v>1000</v>
      </c>
      <c r="J743" s="56"/>
      <c r="K743" s="56"/>
    </row>
    <row r="744" spans="1:11" ht="43.5">
      <c r="A744" s="11">
        <v>54118</v>
      </c>
      <c r="B744" s="53" t="s">
        <v>905</v>
      </c>
      <c r="C744" s="13"/>
      <c r="D744" s="14" t="s">
        <v>18</v>
      </c>
      <c r="E744" s="14" t="s">
        <v>28</v>
      </c>
      <c r="F744" s="14" t="s">
        <v>27</v>
      </c>
      <c r="G744" s="17">
        <f>'FEBRERO-18'!I741</f>
        <v>1000</v>
      </c>
      <c r="H744" s="51"/>
      <c r="I744" s="17">
        <f t="shared" si="14"/>
        <v>1000</v>
      </c>
      <c r="J744" s="56"/>
      <c r="K744" s="56"/>
    </row>
    <row r="745" spans="1:11" ht="44.25">
      <c r="A745" s="11">
        <v>54313</v>
      </c>
      <c r="B745" s="53" t="s">
        <v>906</v>
      </c>
      <c r="C745" s="13"/>
      <c r="D745" s="14" t="s">
        <v>18</v>
      </c>
      <c r="E745" s="14" t="s">
        <v>28</v>
      </c>
      <c r="F745" s="14" t="s">
        <v>27</v>
      </c>
      <c r="G745" s="17">
        <f>'FEBRERO-18'!I742</f>
        <v>100</v>
      </c>
      <c r="H745" s="51"/>
      <c r="I745" s="17">
        <f t="shared" si="14"/>
        <v>100</v>
      </c>
      <c r="J745" s="56"/>
      <c r="K745" s="56"/>
    </row>
    <row r="746" spans="1:11" ht="44.25">
      <c r="A746" s="11">
        <v>54399</v>
      </c>
      <c r="B746" s="53" t="s">
        <v>907</v>
      </c>
      <c r="C746" s="13"/>
      <c r="D746" s="14" t="s">
        <v>18</v>
      </c>
      <c r="E746" s="14" t="s">
        <v>28</v>
      </c>
      <c r="F746" s="14" t="s">
        <v>27</v>
      </c>
      <c r="G746" s="17">
        <f>'FEBRERO-18'!I743</f>
        <v>1890</v>
      </c>
      <c r="H746" s="51"/>
      <c r="I746" s="17">
        <f t="shared" si="14"/>
        <v>1890</v>
      </c>
      <c r="J746" s="56"/>
      <c r="K746" s="56"/>
    </row>
    <row r="747" spans="1:11" ht="29.25">
      <c r="A747" s="11">
        <v>55603</v>
      </c>
      <c r="B747" s="53" t="s">
        <v>908</v>
      </c>
      <c r="C747" s="13"/>
      <c r="D747" s="14" t="s">
        <v>18</v>
      </c>
      <c r="E747" s="14" t="s">
        <v>28</v>
      </c>
      <c r="F747" s="14" t="s">
        <v>27</v>
      </c>
      <c r="G747" s="17">
        <f>'FEBRERO-18'!I744</f>
        <v>10</v>
      </c>
      <c r="H747" s="51"/>
      <c r="I747" s="17">
        <f t="shared" si="14"/>
        <v>10</v>
      </c>
      <c r="J747" s="56"/>
      <c r="K747" s="56"/>
    </row>
    <row r="748" spans="1:11" ht="45">
      <c r="A748" s="141" t="s">
        <v>909</v>
      </c>
      <c r="B748" s="53" t="s">
        <v>910</v>
      </c>
      <c r="C748" s="13"/>
      <c r="D748" s="14"/>
      <c r="E748" s="14"/>
      <c r="F748" s="14"/>
      <c r="G748" s="17">
        <f>'FEBRERO-18'!I745</f>
        <v>0</v>
      </c>
      <c r="H748" s="51"/>
      <c r="I748" s="17"/>
      <c r="J748" s="56"/>
      <c r="K748" s="56"/>
    </row>
    <row r="749" spans="1:11" ht="29.25">
      <c r="A749" s="11">
        <v>51999</v>
      </c>
      <c r="B749" s="54" t="s">
        <v>911</v>
      </c>
      <c r="C749" s="13"/>
      <c r="D749" s="14" t="s">
        <v>18</v>
      </c>
      <c r="E749" s="14" t="s">
        <v>28</v>
      </c>
      <c r="F749" s="14" t="s">
        <v>27</v>
      </c>
      <c r="G749" s="17">
        <f>'FEBRERO-18'!I746</f>
        <v>500</v>
      </c>
      <c r="H749" s="51"/>
      <c r="I749" s="17">
        <f t="shared" si="14"/>
        <v>500</v>
      </c>
      <c r="J749" s="56"/>
      <c r="K749" s="56"/>
    </row>
    <row r="750" spans="1:11" ht="29.25">
      <c r="A750" s="11">
        <v>54110</v>
      </c>
      <c r="B750" s="54" t="s">
        <v>912</v>
      </c>
      <c r="C750" s="13"/>
      <c r="D750" s="14" t="s">
        <v>18</v>
      </c>
      <c r="E750" s="14" t="s">
        <v>28</v>
      </c>
      <c r="F750" s="14" t="s">
        <v>27</v>
      </c>
      <c r="G750" s="17">
        <f>'FEBRERO-18'!I747</f>
        <v>500</v>
      </c>
      <c r="H750" s="51"/>
      <c r="I750" s="17">
        <f t="shared" si="14"/>
        <v>500</v>
      </c>
      <c r="J750" s="56"/>
      <c r="K750" s="56"/>
    </row>
    <row r="751" spans="1:11" ht="30">
      <c r="A751" s="11">
        <v>54111</v>
      </c>
      <c r="B751" s="53" t="s">
        <v>913</v>
      </c>
      <c r="C751" s="13"/>
      <c r="D751" s="14" t="s">
        <v>18</v>
      </c>
      <c r="E751" s="14" t="s">
        <v>28</v>
      </c>
      <c r="F751" s="14" t="s">
        <v>27</v>
      </c>
      <c r="G751" s="17">
        <f>'FEBRERO-18'!I748</f>
        <v>1000</v>
      </c>
      <c r="H751" s="51"/>
      <c r="I751" s="17">
        <f t="shared" si="14"/>
        <v>1000</v>
      </c>
      <c r="J751" s="56"/>
      <c r="K751" s="56"/>
    </row>
    <row r="752" spans="1:11" ht="29.25">
      <c r="A752" s="11">
        <v>54118</v>
      </c>
      <c r="B752" s="53" t="s">
        <v>914</v>
      </c>
      <c r="C752" s="13"/>
      <c r="D752" s="14" t="s">
        <v>18</v>
      </c>
      <c r="E752" s="14" t="s">
        <v>28</v>
      </c>
      <c r="F752" s="14" t="s">
        <v>27</v>
      </c>
      <c r="G752" s="17">
        <f>'FEBRERO-18'!I749</f>
        <v>1000</v>
      </c>
      <c r="H752" s="51"/>
      <c r="I752" s="17">
        <f t="shared" si="14"/>
        <v>1000</v>
      </c>
      <c r="J752" s="56"/>
      <c r="K752" s="56"/>
    </row>
    <row r="753" spans="1:11" ht="29.25">
      <c r="A753" s="11">
        <v>54199</v>
      </c>
      <c r="B753" s="53" t="s">
        <v>915</v>
      </c>
      <c r="C753" s="13"/>
      <c r="D753" s="14" t="s">
        <v>18</v>
      </c>
      <c r="E753" s="14" t="s">
        <v>28</v>
      </c>
      <c r="F753" s="14" t="s">
        <v>27</v>
      </c>
      <c r="G753" s="17">
        <f>'FEBRERO-18'!I750</f>
        <v>500</v>
      </c>
      <c r="H753" s="51"/>
      <c r="I753" s="17">
        <f t="shared" si="14"/>
        <v>500</v>
      </c>
      <c r="J753" s="56"/>
      <c r="K753" s="56"/>
    </row>
    <row r="754" spans="1:11" ht="44.25">
      <c r="A754" s="11">
        <v>54313</v>
      </c>
      <c r="B754" s="53" t="s">
        <v>916</v>
      </c>
      <c r="C754" s="13"/>
      <c r="D754" s="14" t="s">
        <v>18</v>
      </c>
      <c r="E754" s="14" t="s">
        <v>28</v>
      </c>
      <c r="F754" s="14" t="s">
        <v>27</v>
      </c>
      <c r="G754" s="17">
        <f>'FEBRERO-18'!I751</f>
        <v>600</v>
      </c>
      <c r="H754" s="51"/>
      <c r="I754" s="17">
        <f t="shared" si="14"/>
        <v>600</v>
      </c>
      <c r="J754" s="56"/>
      <c r="K754" s="56"/>
    </row>
    <row r="755" spans="1:11" ht="30">
      <c r="A755" s="11">
        <v>54399</v>
      </c>
      <c r="B755" s="53" t="s">
        <v>917</v>
      </c>
      <c r="C755" s="13"/>
      <c r="D755" s="14" t="s">
        <v>18</v>
      </c>
      <c r="E755" s="14" t="s">
        <v>28</v>
      </c>
      <c r="F755" s="14" t="s">
        <v>27</v>
      </c>
      <c r="G755" s="17">
        <f>'FEBRERO-18'!I752</f>
        <v>890</v>
      </c>
      <c r="H755" s="51"/>
      <c r="I755" s="17">
        <f t="shared" si="14"/>
        <v>890</v>
      </c>
      <c r="J755" s="56"/>
      <c r="K755" s="56"/>
    </row>
    <row r="756" spans="1:11" ht="29.25">
      <c r="A756" s="11">
        <v>55603</v>
      </c>
      <c r="B756" s="53" t="s">
        <v>918</v>
      </c>
      <c r="C756" s="13"/>
      <c r="D756" s="14" t="s">
        <v>18</v>
      </c>
      <c r="E756" s="14" t="s">
        <v>28</v>
      </c>
      <c r="F756" s="14" t="s">
        <v>27</v>
      </c>
      <c r="G756" s="17">
        <f>'FEBRERO-18'!I753</f>
        <v>10</v>
      </c>
      <c r="H756" s="51"/>
      <c r="I756" s="17">
        <f t="shared" si="14"/>
        <v>10</v>
      </c>
      <c r="J756" s="56"/>
      <c r="K756" s="56"/>
    </row>
    <row r="757" spans="1:11" ht="74.25">
      <c r="A757" s="141">
        <v>43</v>
      </c>
      <c r="B757" s="53" t="s">
        <v>964</v>
      </c>
      <c r="C757" s="13"/>
      <c r="D757" s="14"/>
      <c r="E757" s="14"/>
      <c r="F757" s="14"/>
      <c r="G757" s="17">
        <f>'FEBRERO-18'!I754</f>
        <v>0</v>
      </c>
      <c r="H757" s="51"/>
      <c r="I757" s="17"/>
      <c r="J757" s="56"/>
      <c r="K757" s="56"/>
    </row>
    <row r="758" spans="1:11" s="178" customFormat="1" ht="45">
      <c r="A758" s="1" t="s">
        <v>19</v>
      </c>
      <c r="B758" s="179" t="s">
        <v>965</v>
      </c>
      <c r="C758" s="180"/>
      <c r="D758" s="14" t="s">
        <v>18</v>
      </c>
      <c r="E758" s="14" t="s">
        <v>28</v>
      </c>
      <c r="F758" s="14" t="s">
        <v>27</v>
      </c>
      <c r="G758" s="17">
        <f>'FEBRERO-18'!I755</f>
        <v>13004.220000000001</v>
      </c>
      <c r="H758" s="210">
        <f>16323.48</f>
        <v>16323.48</v>
      </c>
      <c r="I758" s="17">
        <f t="shared" si="14"/>
        <v>1.8189894035458565E-12</v>
      </c>
      <c r="J758" s="143">
        <f>3319.26</f>
        <v>3319.26</v>
      </c>
      <c r="K758" s="209"/>
    </row>
    <row r="759" spans="1:11" s="178" customFormat="1" ht="71.25">
      <c r="A759" s="1">
        <v>51202</v>
      </c>
      <c r="B759" s="53" t="s">
        <v>985</v>
      </c>
      <c r="C759" s="180"/>
      <c r="D759" s="14" t="s">
        <v>18</v>
      </c>
      <c r="E759" s="14" t="s">
        <v>28</v>
      </c>
      <c r="F759" s="14" t="s">
        <v>27</v>
      </c>
      <c r="G759" s="17">
        <f>'FEBRERO-18'!I756</f>
        <v>3155.5699999999997</v>
      </c>
      <c r="H759" s="210">
        <f>183.33+183.33+122.22+122.22+122.22+100</f>
        <v>833.32</v>
      </c>
      <c r="I759" s="17">
        <f t="shared" si="14"/>
        <v>0.15999999999939973</v>
      </c>
      <c r="J759" s="209"/>
      <c r="K759" s="209">
        <f>2322.09</f>
        <v>2322.09</v>
      </c>
    </row>
    <row r="760" spans="1:11" ht="29.25">
      <c r="A760" s="11">
        <v>54118</v>
      </c>
      <c r="B760" s="53" t="s">
        <v>919</v>
      </c>
      <c r="C760" s="13"/>
      <c r="D760" s="14" t="s">
        <v>18</v>
      </c>
      <c r="E760" s="14" t="s">
        <v>28</v>
      </c>
      <c r="F760" s="14" t="s">
        <v>27</v>
      </c>
      <c r="G760" s="17">
        <f>'FEBRERO-18'!I757</f>
        <v>290</v>
      </c>
      <c r="H760" s="51"/>
      <c r="I760" s="17">
        <f t="shared" si="14"/>
        <v>0</v>
      </c>
      <c r="J760" s="56"/>
      <c r="K760" s="137">
        <f>290</f>
        <v>290</v>
      </c>
    </row>
    <row r="761" spans="1:11" ht="44.25">
      <c r="A761" s="11">
        <v>54313</v>
      </c>
      <c r="B761" s="168" t="s">
        <v>920</v>
      </c>
      <c r="C761" s="13"/>
      <c r="D761" s="14" t="s">
        <v>18</v>
      </c>
      <c r="E761" s="14" t="s">
        <v>28</v>
      </c>
      <c r="F761" s="14" t="s">
        <v>27</v>
      </c>
      <c r="G761" s="17">
        <f>'FEBRERO-18'!I758</f>
        <v>300</v>
      </c>
      <c r="H761" s="51"/>
      <c r="I761" s="17">
        <f t="shared" si="14"/>
        <v>0</v>
      </c>
      <c r="J761" s="56"/>
      <c r="K761" s="137">
        <f>300</f>
        <v>300</v>
      </c>
    </row>
    <row r="762" spans="1:11" ht="29.25">
      <c r="A762" s="11">
        <v>56303</v>
      </c>
      <c r="B762" s="53" t="s">
        <v>921</v>
      </c>
      <c r="C762" s="13"/>
      <c r="D762" s="14" t="s">
        <v>18</v>
      </c>
      <c r="E762" s="14" t="s">
        <v>28</v>
      </c>
      <c r="F762" s="14" t="s">
        <v>27</v>
      </c>
      <c r="G762" s="17">
        <f>'FEBRERO-18'!I759</f>
        <v>400</v>
      </c>
      <c r="H762" s="51"/>
      <c r="I762" s="17">
        <f t="shared" si="14"/>
        <v>0</v>
      </c>
      <c r="J762" s="56"/>
      <c r="K762" s="137">
        <f>400</f>
        <v>400</v>
      </c>
    </row>
    <row r="763" spans="1:11" ht="29.25">
      <c r="A763" s="11">
        <v>55603</v>
      </c>
      <c r="B763" s="53" t="s">
        <v>922</v>
      </c>
      <c r="C763" s="13"/>
      <c r="D763" s="14" t="s">
        <v>18</v>
      </c>
      <c r="E763" s="14" t="s">
        <v>28</v>
      </c>
      <c r="F763" s="14" t="s">
        <v>27</v>
      </c>
      <c r="G763" s="17">
        <f>'FEBRERO-18'!I760</f>
        <v>7.17</v>
      </c>
      <c r="H763" s="51"/>
      <c r="I763" s="17">
        <f t="shared" si="14"/>
        <v>0</v>
      </c>
      <c r="J763" s="56"/>
      <c r="K763" s="137">
        <f>7.17</f>
        <v>7.17</v>
      </c>
    </row>
    <row r="764" spans="1:11" ht="103.5">
      <c r="A764" s="11" t="s">
        <v>923</v>
      </c>
      <c r="B764" s="53" t="s">
        <v>924</v>
      </c>
      <c r="C764" s="13"/>
      <c r="D764" s="14" t="s">
        <v>18</v>
      </c>
      <c r="E764" s="14" t="s">
        <v>28</v>
      </c>
      <c r="F764" s="14" t="s">
        <v>27</v>
      </c>
      <c r="G764" s="17">
        <f>'FEBRERO-18'!I761</f>
        <v>85682.41</v>
      </c>
      <c r="H764" s="51"/>
      <c r="I764" s="17">
        <f t="shared" si="14"/>
        <v>682.41000000000349</v>
      </c>
      <c r="J764" s="56"/>
      <c r="K764" s="266">
        <f>60000+25000</f>
        <v>85000</v>
      </c>
    </row>
    <row r="765" spans="1:11">
      <c r="A765" s="38"/>
      <c r="B765" s="161" t="s">
        <v>975</v>
      </c>
      <c r="C765" s="39"/>
      <c r="D765" s="39"/>
      <c r="E765" s="39"/>
      <c r="F765" s="39"/>
      <c r="G765" s="17">
        <f>'FEBRERO-18'!I762</f>
        <v>942868.96</v>
      </c>
      <c r="H765" s="95">
        <f>SUM(H404:H764)</f>
        <v>60270.419999999991</v>
      </c>
      <c r="I765" s="40">
        <f>SUM(I404:I764)</f>
        <v>768655.94000000006</v>
      </c>
      <c r="J765" s="40">
        <f>SUM(J404:J764)</f>
        <v>30912.690000000002</v>
      </c>
      <c r="K765" s="40">
        <f>SUM(K404:K764)</f>
        <v>144855.28999999998</v>
      </c>
    </row>
    <row r="766" spans="1:11" s="198" customFormat="1" ht="54.75" customHeight="1" thickBot="1">
      <c r="A766" s="191" t="s">
        <v>925</v>
      </c>
      <c r="B766" s="192" t="s">
        <v>926</v>
      </c>
      <c r="C766" s="193"/>
      <c r="D766" s="194" t="s">
        <v>20</v>
      </c>
      <c r="E766" s="194" t="s">
        <v>31</v>
      </c>
      <c r="F766" s="194" t="s">
        <v>27</v>
      </c>
      <c r="G766" s="17">
        <f>'FEBRERO-18'!I763</f>
        <v>540.90999999999985</v>
      </c>
      <c r="H766" s="246"/>
      <c r="I766" s="196">
        <f t="shared" si="14"/>
        <v>0</v>
      </c>
      <c r="J766" s="197"/>
      <c r="K766" s="267">
        <v>540.91</v>
      </c>
    </row>
    <row r="767" spans="1:11" s="199" customFormat="1" ht="23.25" customHeight="1" thickBot="1">
      <c r="A767" s="38"/>
      <c r="B767" s="161" t="s">
        <v>21</v>
      </c>
      <c r="C767" s="39"/>
      <c r="D767" s="39"/>
      <c r="E767" s="39"/>
      <c r="F767" s="39"/>
      <c r="G767" s="17">
        <f>'FEBRERO-18'!I764</f>
        <v>540.90999999999985</v>
      </c>
      <c r="H767" s="95">
        <f>SUM(H766)</f>
        <v>0</v>
      </c>
      <c r="I767" s="196">
        <f t="shared" si="14"/>
        <v>0</v>
      </c>
      <c r="J767" s="40"/>
      <c r="K767" s="40">
        <f>SUM(K766)</f>
        <v>540.91</v>
      </c>
    </row>
    <row r="768" spans="1:11" s="171" customFormat="1" ht="45">
      <c r="A768" s="184" t="s">
        <v>929</v>
      </c>
      <c r="B768" s="185" t="s">
        <v>928</v>
      </c>
      <c r="C768" s="186"/>
      <c r="D768" s="187" t="s">
        <v>22</v>
      </c>
      <c r="E768" s="187" t="s">
        <v>31</v>
      </c>
      <c r="F768" s="187" t="s">
        <v>27</v>
      </c>
      <c r="G768" s="17">
        <f>'FEBRERO-18'!I765</f>
        <v>454.35</v>
      </c>
      <c r="H768" s="245"/>
      <c r="I768" s="189">
        <f t="shared" si="14"/>
        <v>117.86000000000001</v>
      </c>
      <c r="J768" s="190"/>
      <c r="K768" s="268">
        <f>336.49</f>
        <v>336.49</v>
      </c>
    </row>
    <row r="769" spans="1:11" s="171" customFormat="1" ht="63" customHeight="1">
      <c r="A769" s="175" t="s">
        <v>927</v>
      </c>
      <c r="B769" s="174" t="s">
        <v>978</v>
      </c>
      <c r="C769" s="139"/>
      <c r="D769" s="14" t="s">
        <v>22</v>
      </c>
      <c r="E769" s="14" t="s">
        <v>31</v>
      </c>
      <c r="F769" s="14" t="s">
        <v>27</v>
      </c>
      <c r="G769" s="17">
        <f>'FEBRERO-18'!I766</f>
        <v>693.52</v>
      </c>
      <c r="H769" s="244">
        <v>403.12</v>
      </c>
      <c r="I769" s="17">
        <f t="shared" si="14"/>
        <v>290.39999999999998</v>
      </c>
      <c r="J769" s="140"/>
      <c r="K769" s="140"/>
    </row>
    <row r="770" spans="1:11">
      <c r="A770" s="38"/>
      <c r="B770" s="161" t="s">
        <v>23</v>
      </c>
      <c r="C770" s="39"/>
      <c r="D770" s="39"/>
      <c r="E770" s="39"/>
      <c r="F770" s="39"/>
      <c r="G770" s="17">
        <f>'FEBRERO-18'!I767</f>
        <v>1147.8700000000001</v>
      </c>
      <c r="H770" s="95">
        <f>SUM(H768:H769)</f>
        <v>403.12</v>
      </c>
      <c r="I770" s="17">
        <f t="shared" si="14"/>
        <v>408.2600000000001</v>
      </c>
      <c r="J770" s="40"/>
      <c r="K770" s="40">
        <f>SUM(K768:K769)</f>
        <v>336.49</v>
      </c>
    </row>
    <row r="771" spans="1:11" s="171" customFormat="1" ht="129.75" customHeight="1">
      <c r="A771" s="169" t="s">
        <v>200</v>
      </c>
      <c r="B771" s="174" t="s">
        <v>930</v>
      </c>
      <c r="C771" s="139"/>
      <c r="D771" s="139"/>
      <c r="E771" s="139"/>
      <c r="F771" s="139"/>
      <c r="G771" s="17">
        <f>'FEBRERO-18'!I768</f>
        <v>0</v>
      </c>
      <c r="H771" s="170"/>
      <c r="I771" s="140"/>
      <c r="J771" s="140"/>
      <c r="K771" s="140"/>
    </row>
    <row r="772" spans="1:11" s="171" customFormat="1" ht="38.25" customHeight="1">
      <c r="A772" s="255">
        <v>51999</v>
      </c>
      <c r="B772" s="173" t="s">
        <v>933</v>
      </c>
      <c r="C772" s="139"/>
      <c r="D772" s="14" t="s">
        <v>11</v>
      </c>
      <c r="E772" s="14" t="s">
        <v>25</v>
      </c>
      <c r="F772" s="257" t="s">
        <v>1025</v>
      </c>
      <c r="G772" s="17">
        <f>'FEBRERO-18'!I769</f>
        <v>6800</v>
      </c>
      <c r="H772" s="140">
        <f>1500+1300+550+1500+1500+550+1300</f>
        <v>8200</v>
      </c>
      <c r="I772" s="17">
        <f t="shared" ref="I772:I808" si="15">G772-H772+J772-K772</f>
        <v>3600</v>
      </c>
      <c r="J772" s="135">
        <v>5000</v>
      </c>
      <c r="K772" s="135"/>
    </row>
    <row r="773" spans="1:11" s="171" customFormat="1" ht="30" customHeight="1">
      <c r="A773" s="255">
        <v>54199</v>
      </c>
      <c r="B773" s="173" t="s">
        <v>931</v>
      </c>
      <c r="C773" s="139"/>
      <c r="D773" s="14" t="s">
        <v>11</v>
      </c>
      <c r="E773" s="14" t="s">
        <v>25</v>
      </c>
      <c r="F773" s="257" t="s">
        <v>1025</v>
      </c>
      <c r="G773" s="17">
        <f>'FEBRERO-18'!I770</f>
        <v>3000</v>
      </c>
      <c r="H773" s="170"/>
      <c r="I773" s="17">
        <f t="shared" si="15"/>
        <v>0</v>
      </c>
      <c r="J773" s="135"/>
      <c r="K773" s="135">
        <v>3000</v>
      </c>
    </row>
    <row r="774" spans="1:11" s="171" customFormat="1" ht="24.75" customHeight="1">
      <c r="A774" s="255">
        <v>55799</v>
      </c>
      <c r="B774" s="173" t="s">
        <v>932</v>
      </c>
      <c r="C774" s="139"/>
      <c r="D774" s="14" t="s">
        <v>11</v>
      </c>
      <c r="E774" s="14" t="s">
        <v>25</v>
      </c>
      <c r="F774" s="257" t="s">
        <v>1025</v>
      </c>
      <c r="G774" s="17">
        <f>'FEBRERO-18'!I771</f>
        <v>3413.68</v>
      </c>
      <c r="H774" s="170"/>
      <c r="I774" s="17">
        <f t="shared" si="15"/>
        <v>1413.6799999999998</v>
      </c>
      <c r="J774" s="135"/>
      <c r="K774" s="135">
        <v>2000</v>
      </c>
    </row>
    <row r="775" spans="1:11" s="171" customFormat="1" ht="79.5" customHeight="1">
      <c r="A775" s="176" t="s">
        <v>201</v>
      </c>
      <c r="B775" s="173" t="s">
        <v>934</v>
      </c>
      <c r="C775" s="139"/>
      <c r="D775" s="139"/>
      <c r="E775" s="139"/>
      <c r="F775" s="257" t="s">
        <v>1024</v>
      </c>
      <c r="G775" s="17">
        <f>'FEBRERO-18'!I772</f>
        <v>0</v>
      </c>
      <c r="H775" s="170"/>
      <c r="I775" s="17"/>
      <c r="J775" s="140"/>
      <c r="K775" s="140"/>
    </row>
    <row r="776" spans="1:11" s="171" customFormat="1" ht="37.5" customHeight="1">
      <c r="A776" s="254">
        <v>51202</v>
      </c>
      <c r="B776" s="173" t="s">
        <v>954</v>
      </c>
      <c r="C776" s="139"/>
      <c r="D776" s="14" t="s">
        <v>11</v>
      </c>
      <c r="E776" s="14" t="s">
        <v>25</v>
      </c>
      <c r="F776" s="257" t="s">
        <v>1024</v>
      </c>
      <c r="G776" s="17">
        <f>'FEBRERO-18'!I773</f>
        <v>6762.3000000000011</v>
      </c>
      <c r="H776" s="140">
        <f>2426.63</f>
        <v>2426.63</v>
      </c>
      <c r="I776" s="17">
        <f t="shared" si="15"/>
        <v>4335.670000000001</v>
      </c>
      <c r="J776" s="140"/>
      <c r="K776" s="140"/>
    </row>
    <row r="777" spans="1:11" s="171" customFormat="1" ht="33" customHeight="1">
      <c r="A777" s="254">
        <v>51999</v>
      </c>
      <c r="B777" s="177" t="s">
        <v>935</v>
      </c>
      <c r="C777" s="139"/>
      <c r="D777" s="14" t="s">
        <v>11</v>
      </c>
      <c r="E777" s="14" t="s">
        <v>25</v>
      </c>
      <c r="F777" s="257" t="s">
        <v>1024</v>
      </c>
      <c r="G777" s="17">
        <f>'FEBRERO-18'!I774</f>
        <v>1000</v>
      </c>
      <c r="H777" s="140"/>
      <c r="I777" s="17">
        <f t="shared" si="15"/>
        <v>0</v>
      </c>
      <c r="J777" s="140"/>
      <c r="K777" s="135">
        <v>1000</v>
      </c>
    </row>
    <row r="778" spans="1:11" s="171" customFormat="1" ht="29.25">
      <c r="A778" s="254">
        <v>54110</v>
      </c>
      <c r="B778" s="177" t="s">
        <v>936</v>
      </c>
      <c r="C778" s="139"/>
      <c r="D778" s="14" t="s">
        <v>11</v>
      </c>
      <c r="E778" s="14" t="s">
        <v>25</v>
      </c>
      <c r="F778" s="257" t="s">
        <v>1024</v>
      </c>
      <c r="G778" s="17">
        <f>'FEBRERO-18'!I775</f>
        <v>1893.86</v>
      </c>
      <c r="H778" s="140"/>
      <c r="I778" s="17">
        <f t="shared" si="15"/>
        <v>1893.86</v>
      </c>
      <c r="J778" s="140"/>
      <c r="K778" s="135"/>
    </row>
    <row r="779" spans="1:11" s="171" customFormat="1" ht="44.25">
      <c r="A779" s="254">
        <v>54111</v>
      </c>
      <c r="B779" s="173" t="s">
        <v>937</v>
      </c>
      <c r="C779" s="139"/>
      <c r="D779" s="14" t="s">
        <v>11</v>
      </c>
      <c r="E779" s="14" t="s">
        <v>25</v>
      </c>
      <c r="F779" s="257" t="s">
        <v>1024</v>
      </c>
      <c r="G779" s="17">
        <f>'FEBRERO-18'!I776</f>
        <v>12183</v>
      </c>
      <c r="H779" s="140">
        <f>1486.5+83.03+770+210+1213.5</f>
        <v>3763.0299999999997</v>
      </c>
      <c r="I779" s="17">
        <f t="shared" si="15"/>
        <v>8419.9700000000012</v>
      </c>
      <c r="J779" s="140"/>
      <c r="K779" s="135"/>
    </row>
    <row r="780" spans="1:11" s="171" customFormat="1" ht="44.25">
      <c r="A780" s="254">
        <v>54112</v>
      </c>
      <c r="B780" s="173" t="s">
        <v>938</v>
      </c>
      <c r="C780" s="139"/>
      <c r="D780" s="14" t="s">
        <v>11</v>
      </c>
      <c r="E780" s="14" t="s">
        <v>25</v>
      </c>
      <c r="F780" s="257" t="s">
        <v>1024</v>
      </c>
      <c r="G780" s="17">
        <f>'FEBRERO-18'!I777</f>
        <v>1863.9000000000015</v>
      </c>
      <c r="H780" s="140">
        <f>548+2600+210+563.25+96</f>
        <v>4017.25</v>
      </c>
      <c r="I780" s="17">
        <f t="shared" si="15"/>
        <v>2846.6500000000015</v>
      </c>
      <c r="J780" s="135">
        <v>5000</v>
      </c>
      <c r="K780" s="135"/>
    </row>
    <row r="781" spans="1:11" s="171" customFormat="1" ht="29.25">
      <c r="A781" s="254">
        <v>54118</v>
      </c>
      <c r="B781" s="173" t="s">
        <v>939</v>
      </c>
      <c r="C781" s="139"/>
      <c r="D781" s="14" t="s">
        <v>11</v>
      </c>
      <c r="E781" s="14" t="s">
        <v>25</v>
      </c>
      <c r="F781" s="257" t="s">
        <v>1024</v>
      </c>
      <c r="G781" s="17">
        <f>'FEBRERO-18'!I778</f>
        <v>2564.4499999999998</v>
      </c>
      <c r="H781" s="244"/>
      <c r="I781" s="17">
        <f t="shared" si="15"/>
        <v>2557.4499999999998</v>
      </c>
      <c r="J781" s="140"/>
      <c r="K781" s="135">
        <v>7</v>
      </c>
    </row>
    <row r="782" spans="1:11" s="171" customFormat="1" ht="29.25">
      <c r="A782" s="254">
        <v>54304</v>
      </c>
      <c r="B782" s="173" t="s">
        <v>940</v>
      </c>
      <c r="C782" s="139"/>
      <c r="D782" s="14" t="s">
        <v>11</v>
      </c>
      <c r="E782" s="14" t="s">
        <v>25</v>
      </c>
      <c r="F782" s="257" t="s">
        <v>1024</v>
      </c>
      <c r="G782" s="17">
        <f>'FEBRERO-18'!I779</f>
        <v>5000</v>
      </c>
      <c r="H782" s="170"/>
      <c r="I782" s="17">
        <f t="shared" si="15"/>
        <v>2000</v>
      </c>
      <c r="J782" s="140"/>
      <c r="K782" s="135">
        <v>3000</v>
      </c>
    </row>
    <row r="783" spans="1:11" s="171" customFormat="1" ht="44.25">
      <c r="A783" s="254">
        <v>54313</v>
      </c>
      <c r="B783" s="173" t="s">
        <v>941</v>
      </c>
      <c r="C783" s="139"/>
      <c r="D783" s="14" t="s">
        <v>11</v>
      </c>
      <c r="E783" s="14" t="s">
        <v>25</v>
      </c>
      <c r="F783" s="257" t="s">
        <v>1024</v>
      </c>
      <c r="G783" s="17">
        <f>'FEBRERO-18'!I780</f>
        <v>1000</v>
      </c>
      <c r="H783" s="170"/>
      <c r="I783" s="17">
        <f t="shared" si="15"/>
        <v>1000</v>
      </c>
      <c r="J783" s="140"/>
      <c r="K783" s="140"/>
    </row>
    <row r="784" spans="1:11" s="171" customFormat="1" ht="44.25">
      <c r="A784" s="254">
        <v>54399</v>
      </c>
      <c r="B784" s="173" t="s">
        <v>942</v>
      </c>
      <c r="C784" s="139"/>
      <c r="D784" s="14" t="s">
        <v>11</v>
      </c>
      <c r="E784" s="14" t="s">
        <v>25</v>
      </c>
      <c r="F784" s="257" t="s">
        <v>1024</v>
      </c>
      <c r="G784" s="17">
        <f>'FEBRERO-18'!I781</f>
        <v>1995</v>
      </c>
      <c r="H784" s="170"/>
      <c r="I784" s="17">
        <f t="shared" si="15"/>
        <v>995</v>
      </c>
      <c r="J784" s="140"/>
      <c r="K784" s="135">
        <v>1000</v>
      </c>
    </row>
    <row r="785" spans="1:11" s="171" customFormat="1" ht="39" customHeight="1">
      <c r="A785" s="254">
        <v>55603</v>
      </c>
      <c r="B785" s="173" t="s">
        <v>943</v>
      </c>
      <c r="C785" s="139"/>
      <c r="D785" s="14" t="s">
        <v>11</v>
      </c>
      <c r="E785" s="14" t="s">
        <v>25</v>
      </c>
      <c r="F785" s="257" t="s">
        <v>1024</v>
      </c>
      <c r="G785" s="17">
        <f>'FEBRERO-18'!I782</f>
        <v>5</v>
      </c>
      <c r="H785" s="170">
        <f>5.65</f>
        <v>5.65</v>
      </c>
      <c r="I785" s="134">
        <f t="shared" si="15"/>
        <v>6.35</v>
      </c>
      <c r="J785" s="135">
        <v>7</v>
      </c>
      <c r="K785" s="140"/>
    </row>
    <row r="786" spans="1:11" s="171" customFormat="1" ht="109.5" customHeight="1">
      <c r="A786" s="169" t="s">
        <v>220</v>
      </c>
      <c r="B786" s="241" t="s">
        <v>973</v>
      </c>
      <c r="C786" s="139"/>
      <c r="D786" s="14"/>
      <c r="E786" s="14"/>
      <c r="F786" s="257" t="s">
        <v>1024</v>
      </c>
      <c r="G786" s="17">
        <f>'FEBRERO-18'!I783</f>
        <v>0</v>
      </c>
      <c r="H786" s="170"/>
      <c r="I786" s="17"/>
      <c r="J786" s="140"/>
      <c r="K786" s="140"/>
    </row>
    <row r="787" spans="1:11" s="171" customFormat="1" ht="29.25">
      <c r="A787" s="254">
        <v>51202</v>
      </c>
      <c r="B787" s="173" t="s">
        <v>944</v>
      </c>
      <c r="C787" s="139"/>
      <c r="D787" s="14" t="s">
        <v>11</v>
      </c>
      <c r="E787" s="14" t="s">
        <v>25</v>
      </c>
      <c r="F787" s="257" t="s">
        <v>1024</v>
      </c>
      <c r="G787" s="17">
        <f>'FEBRERO-18'!I784</f>
        <v>13086.68</v>
      </c>
      <c r="H787" s="140">
        <f>995.54</f>
        <v>995.54</v>
      </c>
      <c r="I787" s="17">
        <f t="shared" si="15"/>
        <v>12091.14</v>
      </c>
      <c r="J787" s="140"/>
      <c r="K787" s="140"/>
    </row>
    <row r="788" spans="1:11" s="171" customFormat="1" ht="29.25">
      <c r="A788" s="254">
        <v>51999</v>
      </c>
      <c r="B788" s="173" t="s">
        <v>946</v>
      </c>
      <c r="C788" s="139"/>
      <c r="D788" s="14" t="s">
        <v>11</v>
      </c>
      <c r="E788" s="14" t="s">
        <v>25</v>
      </c>
      <c r="F788" s="257" t="s">
        <v>1024</v>
      </c>
      <c r="G788" s="17">
        <f>'FEBRERO-18'!I785</f>
        <v>1000</v>
      </c>
      <c r="H788" s="140"/>
      <c r="I788" s="17">
        <f t="shared" si="15"/>
        <v>1000</v>
      </c>
      <c r="J788" s="140"/>
      <c r="K788" s="140"/>
    </row>
    <row r="789" spans="1:11" s="171" customFormat="1" ht="36" customHeight="1">
      <c r="A789" s="254">
        <v>54110</v>
      </c>
      <c r="B789" s="173" t="s">
        <v>945</v>
      </c>
      <c r="C789" s="139"/>
      <c r="D789" s="14" t="s">
        <v>11</v>
      </c>
      <c r="E789" s="14" t="s">
        <v>25</v>
      </c>
      <c r="F789" s="257" t="s">
        <v>1024</v>
      </c>
      <c r="G789" s="17">
        <f>'FEBRERO-18'!I786</f>
        <v>2000</v>
      </c>
      <c r="H789" s="140"/>
      <c r="I789" s="17">
        <f t="shared" si="15"/>
        <v>2000</v>
      </c>
      <c r="J789" s="140"/>
      <c r="K789" s="140"/>
    </row>
    <row r="790" spans="1:11" s="171" customFormat="1" ht="41.25" customHeight="1">
      <c r="A790" s="254">
        <v>54111</v>
      </c>
      <c r="B790" s="173" t="s">
        <v>947</v>
      </c>
      <c r="C790" s="139"/>
      <c r="D790" s="14" t="s">
        <v>11</v>
      </c>
      <c r="E790" s="14" t="s">
        <v>25</v>
      </c>
      <c r="F790" s="257" t="s">
        <v>1024</v>
      </c>
      <c r="G790" s="17">
        <f>'FEBRERO-18'!I787</f>
        <v>18000</v>
      </c>
      <c r="H790" s="140"/>
      <c r="I790" s="17">
        <f t="shared" si="15"/>
        <v>18000</v>
      </c>
      <c r="J790" s="140"/>
      <c r="K790" s="140"/>
    </row>
    <row r="791" spans="1:11" s="171" customFormat="1" ht="35.25" customHeight="1">
      <c r="A791" s="254">
        <v>54112</v>
      </c>
      <c r="B791" s="173" t="s">
        <v>948</v>
      </c>
      <c r="C791" s="139"/>
      <c r="D791" s="14" t="s">
        <v>11</v>
      </c>
      <c r="E791" s="14" t="s">
        <v>25</v>
      </c>
      <c r="F791" s="257" t="s">
        <v>1024</v>
      </c>
      <c r="G791" s="17">
        <f>'FEBRERO-18'!I788</f>
        <v>5265.95</v>
      </c>
      <c r="H791" s="140"/>
      <c r="I791" s="17">
        <f t="shared" si="15"/>
        <v>5265.95</v>
      </c>
      <c r="J791" s="140"/>
      <c r="K791" s="140"/>
    </row>
    <row r="792" spans="1:11" s="171" customFormat="1" ht="29.25">
      <c r="A792" s="254">
        <v>54118</v>
      </c>
      <c r="B792" s="173" t="s">
        <v>949</v>
      </c>
      <c r="C792" s="139"/>
      <c r="D792" s="14" t="s">
        <v>11</v>
      </c>
      <c r="E792" s="14" t="s">
        <v>25</v>
      </c>
      <c r="F792" s="257" t="s">
        <v>1024</v>
      </c>
      <c r="G792" s="17">
        <f>'FEBRERO-18'!I789</f>
        <v>3000</v>
      </c>
      <c r="H792" s="140"/>
      <c r="I792" s="17">
        <f t="shared" si="15"/>
        <v>3000</v>
      </c>
      <c r="J792" s="140"/>
      <c r="K792" s="140"/>
    </row>
    <row r="793" spans="1:11" s="171" customFormat="1" ht="29.25">
      <c r="A793" s="254">
        <v>54304</v>
      </c>
      <c r="B793" s="173" t="s">
        <v>950</v>
      </c>
      <c r="C793" s="139"/>
      <c r="D793" s="14" t="s">
        <v>11</v>
      </c>
      <c r="E793" s="14" t="s">
        <v>25</v>
      </c>
      <c r="F793" s="257" t="s">
        <v>1024</v>
      </c>
      <c r="G793" s="17">
        <f>'FEBRERO-18'!I790</f>
        <v>12000</v>
      </c>
      <c r="H793" s="140"/>
      <c r="I793" s="17">
        <f t="shared" si="15"/>
        <v>12000</v>
      </c>
      <c r="J793" s="140"/>
      <c r="K793" s="140"/>
    </row>
    <row r="794" spans="1:11" s="171" customFormat="1" ht="44.25">
      <c r="A794" s="254">
        <v>54313</v>
      </c>
      <c r="B794" s="173" t="s">
        <v>951</v>
      </c>
      <c r="C794" s="139"/>
      <c r="D794" s="14" t="s">
        <v>11</v>
      </c>
      <c r="E794" s="14" t="s">
        <v>25</v>
      </c>
      <c r="F794" s="257" t="s">
        <v>1024</v>
      </c>
      <c r="G794" s="17">
        <f>'FEBRERO-18'!I791</f>
        <v>1000</v>
      </c>
      <c r="H794" s="140"/>
      <c r="I794" s="17">
        <f t="shared" si="15"/>
        <v>1000</v>
      </c>
      <c r="J794" s="140"/>
      <c r="K794" s="140"/>
    </row>
    <row r="795" spans="1:11" s="171" customFormat="1" ht="44.25">
      <c r="A795" s="254">
        <v>54399</v>
      </c>
      <c r="B795" s="173" t="s">
        <v>952</v>
      </c>
      <c r="C795" s="139"/>
      <c r="D795" s="14" t="s">
        <v>11</v>
      </c>
      <c r="E795" s="14" t="s">
        <v>25</v>
      </c>
      <c r="F795" s="257" t="s">
        <v>1024</v>
      </c>
      <c r="G795" s="17">
        <f>'FEBRERO-18'!I792</f>
        <v>1995</v>
      </c>
      <c r="H795" s="140"/>
      <c r="I795" s="17">
        <f t="shared" si="15"/>
        <v>1988</v>
      </c>
      <c r="J795" s="135"/>
      <c r="K795" s="135">
        <v>7</v>
      </c>
    </row>
    <row r="796" spans="1:11" s="171" customFormat="1" ht="50.25" customHeight="1">
      <c r="A796" s="254">
        <v>55603</v>
      </c>
      <c r="B796" s="173" t="s">
        <v>953</v>
      </c>
      <c r="C796" s="139"/>
      <c r="D796" s="14" t="s">
        <v>11</v>
      </c>
      <c r="E796" s="14" t="s">
        <v>25</v>
      </c>
      <c r="F796" s="257" t="s">
        <v>1024</v>
      </c>
      <c r="G796" s="17">
        <f>'FEBRERO-18'!I793</f>
        <v>5</v>
      </c>
      <c r="H796" s="140">
        <f>5.65</f>
        <v>5.65</v>
      </c>
      <c r="I796" s="134">
        <f t="shared" si="15"/>
        <v>6.35</v>
      </c>
      <c r="J796" s="135">
        <v>7</v>
      </c>
      <c r="K796" s="135"/>
    </row>
    <row r="797" spans="1:11" s="171" customFormat="1" ht="99.75">
      <c r="A797" s="256" t="s">
        <v>238</v>
      </c>
      <c r="B797" s="241" t="s">
        <v>972</v>
      </c>
      <c r="C797" s="139"/>
      <c r="D797" s="14"/>
      <c r="E797" s="14"/>
      <c r="F797" s="257" t="s">
        <v>1024</v>
      </c>
      <c r="G797" s="17">
        <f>'FEBRERO-18'!I794</f>
        <v>0</v>
      </c>
      <c r="H797" s="170"/>
      <c r="I797" s="17"/>
      <c r="J797" s="140"/>
      <c r="K797" s="140"/>
    </row>
    <row r="798" spans="1:11" s="171" customFormat="1" ht="29.25">
      <c r="A798" s="254">
        <v>51202</v>
      </c>
      <c r="B798" s="173" t="s">
        <v>955</v>
      </c>
      <c r="C798" s="139"/>
      <c r="D798" s="14" t="s">
        <v>11</v>
      </c>
      <c r="E798" s="14" t="s">
        <v>25</v>
      </c>
      <c r="F798" s="257" t="s">
        <v>1024</v>
      </c>
      <c r="G798" s="17">
        <f>'FEBRERO-18'!I795</f>
        <v>8467.82</v>
      </c>
      <c r="H798" s="244">
        <f>1991.08</f>
        <v>1991.08</v>
      </c>
      <c r="I798" s="17">
        <f t="shared" si="15"/>
        <v>6476.74</v>
      </c>
      <c r="J798" s="140"/>
      <c r="K798" s="140"/>
    </row>
    <row r="799" spans="1:11" s="171" customFormat="1" ht="43.5">
      <c r="A799" s="254">
        <v>51999</v>
      </c>
      <c r="B799" s="173" t="s">
        <v>956</v>
      </c>
      <c r="C799" s="139"/>
      <c r="D799" s="14" t="s">
        <v>11</v>
      </c>
      <c r="E799" s="14" t="s">
        <v>25</v>
      </c>
      <c r="F799" s="257" t="s">
        <v>1024</v>
      </c>
      <c r="G799" s="17">
        <f>'FEBRERO-18'!I796</f>
        <v>1000</v>
      </c>
      <c r="H799" s="244"/>
      <c r="I799" s="17">
        <f t="shared" si="15"/>
        <v>0</v>
      </c>
      <c r="J799" s="140"/>
      <c r="K799" s="135">
        <f>1000</f>
        <v>1000</v>
      </c>
    </row>
    <row r="800" spans="1:11" s="171" customFormat="1" ht="43.5">
      <c r="A800" s="254">
        <v>54110</v>
      </c>
      <c r="B800" s="173" t="s">
        <v>957</v>
      </c>
      <c r="C800" s="139"/>
      <c r="D800" s="14" t="s">
        <v>11</v>
      </c>
      <c r="E800" s="14" t="s">
        <v>25</v>
      </c>
      <c r="F800" s="257" t="s">
        <v>1024</v>
      </c>
      <c r="G800" s="17">
        <f>'FEBRERO-18'!I797</f>
        <v>1909.2</v>
      </c>
      <c r="H800" s="244"/>
      <c r="I800" s="17">
        <f t="shared" si="15"/>
        <v>1909.2</v>
      </c>
      <c r="J800" s="140"/>
      <c r="K800" s="140"/>
    </row>
    <row r="801" spans="1:11" s="171" customFormat="1" ht="44.25">
      <c r="A801" s="254">
        <v>54111</v>
      </c>
      <c r="B801" s="173" t="s">
        <v>958</v>
      </c>
      <c r="C801" s="139"/>
      <c r="D801" s="14" t="s">
        <v>11</v>
      </c>
      <c r="E801" s="14" t="s">
        <v>25</v>
      </c>
      <c r="F801" s="257" t="s">
        <v>1024</v>
      </c>
      <c r="G801" s="17">
        <f>'FEBRERO-18'!I798</f>
        <v>14082</v>
      </c>
      <c r="H801" s="244">
        <f>3432+1258.5+837.5+885+1049</f>
        <v>7462</v>
      </c>
      <c r="I801" s="17">
        <f t="shared" si="15"/>
        <v>4620</v>
      </c>
      <c r="J801" s="140"/>
      <c r="K801" s="135">
        <f>2000</f>
        <v>2000</v>
      </c>
    </row>
    <row r="802" spans="1:11" s="171" customFormat="1" ht="44.25">
      <c r="A802" s="254">
        <v>54112</v>
      </c>
      <c r="B802" s="173" t="s">
        <v>959</v>
      </c>
      <c r="C802" s="139"/>
      <c r="D802" s="14" t="s">
        <v>11</v>
      </c>
      <c r="E802" s="14" t="s">
        <v>25</v>
      </c>
      <c r="F802" s="257" t="s">
        <v>1024</v>
      </c>
      <c r="G802" s="17">
        <f>'FEBRERO-18'!I799</f>
        <v>124.35000000000036</v>
      </c>
      <c r="H802" s="244">
        <f>5022+182.5+528</f>
        <v>5732.5</v>
      </c>
      <c r="I802" s="134">
        <f t="shared" si="15"/>
        <v>391.85000000000036</v>
      </c>
      <c r="J802" s="135">
        <f>6000</f>
        <v>6000</v>
      </c>
      <c r="K802" s="135"/>
    </row>
    <row r="803" spans="1:11" s="171" customFormat="1" ht="43.5">
      <c r="A803" s="254">
        <v>54118</v>
      </c>
      <c r="B803" s="173" t="s">
        <v>960</v>
      </c>
      <c r="C803" s="139"/>
      <c r="D803" s="14" t="s">
        <v>11</v>
      </c>
      <c r="E803" s="14" t="s">
        <v>25</v>
      </c>
      <c r="F803" s="257" t="s">
        <v>1024</v>
      </c>
      <c r="G803" s="17">
        <f>'FEBRERO-18'!I800</f>
        <v>2313</v>
      </c>
      <c r="H803" s="244">
        <f>314.4</f>
        <v>314.39999999999998</v>
      </c>
      <c r="I803" s="17">
        <f t="shared" si="15"/>
        <v>998.59999999999991</v>
      </c>
      <c r="J803" s="135"/>
      <c r="K803" s="135">
        <f>1000</f>
        <v>1000</v>
      </c>
    </row>
    <row r="804" spans="1:11" s="171" customFormat="1" ht="43.5">
      <c r="A804" s="254">
        <v>54304</v>
      </c>
      <c r="B804" s="173" t="s">
        <v>961</v>
      </c>
      <c r="C804" s="139"/>
      <c r="D804" s="14" t="s">
        <v>11</v>
      </c>
      <c r="E804" s="14" t="s">
        <v>25</v>
      </c>
      <c r="F804" s="257" t="s">
        <v>1024</v>
      </c>
      <c r="G804" s="17">
        <f>'FEBRERO-18'!I801</f>
        <v>8000</v>
      </c>
      <c r="H804" s="170"/>
      <c r="I804" s="17">
        <f t="shared" si="15"/>
        <v>1993</v>
      </c>
      <c r="J804" s="135"/>
      <c r="K804" s="135">
        <f>6007</f>
        <v>6007</v>
      </c>
    </row>
    <row r="805" spans="1:11" s="171" customFormat="1" ht="44.25">
      <c r="A805" s="254">
        <v>54313</v>
      </c>
      <c r="B805" s="173" t="s">
        <v>962</v>
      </c>
      <c r="C805" s="139"/>
      <c r="D805" s="14" t="s">
        <v>11</v>
      </c>
      <c r="E805" s="14" t="s">
        <v>25</v>
      </c>
      <c r="F805" s="257" t="s">
        <v>1024</v>
      </c>
      <c r="G805" s="17">
        <f>'FEBRERO-18'!I802</f>
        <v>1000</v>
      </c>
      <c r="H805" s="170"/>
      <c r="I805" s="17">
        <f t="shared" si="15"/>
        <v>500</v>
      </c>
      <c r="J805" s="135"/>
      <c r="K805" s="135">
        <f>500</f>
        <v>500</v>
      </c>
    </row>
    <row r="806" spans="1:11" s="171" customFormat="1" ht="48" customHeight="1">
      <c r="A806" s="254">
        <v>54316</v>
      </c>
      <c r="B806" s="173" t="s">
        <v>1023</v>
      </c>
      <c r="C806" s="139"/>
      <c r="D806" s="14" t="s">
        <v>11</v>
      </c>
      <c r="E806" s="14" t="s">
        <v>25</v>
      </c>
      <c r="F806" s="257" t="s">
        <v>1024</v>
      </c>
      <c r="G806" s="17"/>
      <c r="H806" s="170">
        <v>4950</v>
      </c>
      <c r="I806" s="134">
        <f t="shared" si="15"/>
        <v>50</v>
      </c>
      <c r="J806" s="135">
        <f>5000</f>
        <v>5000</v>
      </c>
      <c r="K806" s="135"/>
    </row>
    <row r="807" spans="1:11" s="171" customFormat="1" ht="44.25">
      <c r="A807" s="254">
        <v>54399</v>
      </c>
      <c r="B807" s="173" t="s">
        <v>963</v>
      </c>
      <c r="C807" s="139"/>
      <c r="D807" s="14" t="s">
        <v>11</v>
      </c>
      <c r="E807" s="14" t="s">
        <v>25</v>
      </c>
      <c r="F807" s="257" t="s">
        <v>1024</v>
      </c>
      <c r="G807" s="17">
        <f>'FEBRERO-18'!I803</f>
        <v>1995</v>
      </c>
      <c r="H807" s="170"/>
      <c r="I807" s="17">
        <f t="shared" si="15"/>
        <v>1495</v>
      </c>
      <c r="J807" s="135"/>
      <c r="K807" s="135">
        <f>500</f>
        <v>500</v>
      </c>
    </row>
    <row r="808" spans="1:11" s="171" customFormat="1" ht="57.75">
      <c r="A808" s="254">
        <v>55603</v>
      </c>
      <c r="B808" s="173" t="s">
        <v>971</v>
      </c>
      <c r="C808" s="139"/>
      <c r="D808" s="14" t="s">
        <v>11</v>
      </c>
      <c r="E808" s="14" t="s">
        <v>25</v>
      </c>
      <c r="F808" s="257" t="s">
        <v>1024</v>
      </c>
      <c r="G808" s="17">
        <f>'FEBRERO-18'!I804</f>
        <v>5</v>
      </c>
      <c r="H808" s="170">
        <v>5.65</v>
      </c>
      <c r="I808" s="134">
        <f t="shared" si="15"/>
        <v>6.35</v>
      </c>
      <c r="J808" s="135">
        <v>7</v>
      </c>
      <c r="K808" s="140"/>
    </row>
    <row r="809" spans="1:11" ht="21">
      <c r="A809" s="38" t="s">
        <v>8</v>
      </c>
      <c r="B809" s="39" t="s">
        <v>24</v>
      </c>
      <c r="C809" s="39"/>
      <c r="D809" s="39" t="s">
        <v>11</v>
      </c>
      <c r="E809" s="39" t="s">
        <v>25</v>
      </c>
      <c r="F809" s="257" t="s">
        <v>1024</v>
      </c>
      <c r="G809" s="17">
        <f>'FEBRERO-18'!I805</f>
        <v>143730.19</v>
      </c>
      <c r="H809" s="95">
        <f>SUM(H771:H808)</f>
        <v>39869.380000000005</v>
      </c>
      <c r="I809" s="40">
        <f>G809-H809+J809-K809</f>
        <v>103860.81</v>
      </c>
      <c r="J809" s="40">
        <f>SUM(J771:J808)</f>
        <v>21021</v>
      </c>
      <c r="K809" s="40">
        <f>SUM(K771:K808)</f>
        <v>21021</v>
      </c>
    </row>
    <row r="810" spans="1:11" ht="42.75">
      <c r="A810" s="169" t="s">
        <v>15</v>
      </c>
      <c r="B810" s="139" t="s">
        <v>990</v>
      </c>
      <c r="C810" s="139"/>
      <c r="D810" s="14" t="s">
        <v>18</v>
      </c>
      <c r="E810" s="14" t="s">
        <v>28</v>
      </c>
      <c r="F810" s="230" t="s">
        <v>992</v>
      </c>
      <c r="G810" s="17">
        <f>'FEBRERO-18'!I806</f>
        <v>9000</v>
      </c>
      <c r="H810" s="170"/>
      <c r="I810" s="140">
        <f>G810-H810+J810-K810</f>
        <v>9000</v>
      </c>
      <c r="J810" s="135"/>
      <c r="K810" s="140"/>
    </row>
    <row r="811" spans="1:11">
      <c r="A811" s="169"/>
      <c r="B811" s="139"/>
      <c r="C811" s="139"/>
      <c r="D811" s="139"/>
      <c r="E811" s="139"/>
      <c r="F811" s="139"/>
      <c r="G811" s="17">
        <f>'FEBRERO-18'!I807</f>
        <v>0</v>
      </c>
      <c r="H811" s="170"/>
      <c r="I811" s="140"/>
      <c r="J811" s="140"/>
      <c r="K811" s="140"/>
    </row>
    <row r="812" spans="1:11" ht="25.5">
      <c r="A812" s="38"/>
      <c r="B812" s="39" t="s">
        <v>989</v>
      </c>
      <c r="C812" s="39"/>
      <c r="D812" s="99" t="s">
        <v>18</v>
      </c>
      <c r="E812" s="99" t="s">
        <v>28</v>
      </c>
      <c r="F812" s="242" t="s">
        <v>996</v>
      </c>
      <c r="G812" s="17">
        <f>'FEBRERO-18'!I808</f>
        <v>9000</v>
      </c>
      <c r="H812" s="95"/>
      <c r="I812" s="40">
        <f>SUM(I810:I811)</f>
        <v>9000</v>
      </c>
      <c r="J812" s="40">
        <f>SUM(J810:J811)</f>
        <v>0</v>
      </c>
      <c r="K812" s="40"/>
    </row>
    <row r="813" spans="1:11" ht="20.25" customHeight="1">
      <c r="A813" s="469" t="s">
        <v>124</v>
      </c>
      <c r="B813" s="469"/>
      <c r="C813" s="469"/>
      <c r="D813" s="48"/>
      <c r="E813" s="48"/>
      <c r="F813" s="48"/>
      <c r="G813" s="17">
        <f>'FEBRERO-18'!I809</f>
        <v>2911545.9899999998</v>
      </c>
      <c r="H813" s="51">
        <f>H809+H770+H767+H765+H403+H152+H144+H132+H121+H100+H73+H60</f>
        <v>294861.60000000003</v>
      </c>
      <c r="I813" s="49">
        <f>I809+I770+I767+I765+I403+I152+I144+I132+I121+I100+I73+I60+I812</f>
        <v>2621184.39</v>
      </c>
      <c r="J813" s="231">
        <f>J812+J809+J770+J765+J767+J403+J152+J144+J132+J121+J100+J73+J60</f>
        <v>217433.69</v>
      </c>
      <c r="K813" s="231">
        <f>K809+K770+K765+K403+K152+K144+K132+K121+K100+K73+K60+K767</f>
        <v>212933.68999999997</v>
      </c>
    </row>
    <row r="814" spans="1:11">
      <c r="J814" s="130"/>
    </row>
    <row r="815" spans="1:11">
      <c r="J815" s="262">
        <f>J813-K813</f>
        <v>4500.0000000000291</v>
      </c>
    </row>
    <row r="816" spans="1:11">
      <c r="A816" s="232" t="s">
        <v>1031</v>
      </c>
    </row>
  </sheetData>
  <mergeCells count="3">
    <mergeCell ref="B1:K1"/>
    <mergeCell ref="B2:J2"/>
    <mergeCell ref="A813:C813"/>
  </mergeCells>
  <pageMargins left="0.15748031496062992" right="0.11811023622047245" top="0.19685039370078741" bottom="0.62992125984251968" header="0.15748031496062992" footer="0.11811023622047245"/>
  <pageSetup paperSize="5" scale="80" orientation="landscape" horizontalDpi="4294967293" verticalDpi="4294967293" r:id="rId1"/>
  <headerFooter>
    <oddFooter>&amp;L&amp;P
&amp;F
&amp;D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AF67D"/>
  </sheetPr>
  <dimension ref="A1:J22"/>
  <sheetViews>
    <sheetView topLeftCell="C11" zoomScaleNormal="100" workbookViewId="0">
      <selection activeCell="C15" sqref="C15"/>
    </sheetView>
  </sheetViews>
  <sheetFormatPr baseColWidth="10" defaultRowHeight="15"/>
  <cols>
    <col min="1" max="1" width="18" customWidth="1"/>
    <col min="2" max="2" width="28.85546875" customWidth="1"/>
    <col min="3" max="3" width="26.5703125" customWidth="1"/>
    <col min="4" max="4" width="26.42578125" customWidth="1"/>
    <col min="5" max="5" width="16.28515625" customWidth="1"/>
    <col min="6" max="6" width="26.28515625" customWidth="1"/>
    <col min="7" max="7" width="28.5703125" customWidth="1"/>
    <col min="8" max="8" width="26.42578125" customWidth="1"/>
    <col min="9" max="9" width="25.28515625" customWidth="1"/>
  </cols>
  <sheetData>
    <row r="1" spans="1:10" ht="36.75">
      <c r="A1" s="467" t="s">
        <v>155</v>
      </c>
      <c r="B1" s="467"/>
      <c r="C1" s="467"/>
      <c r="D1" s="467"/>
      <c r="E1" s="467"/>
      <c r="F1" s="467"/>
      <c r="G1" s="467"/>
      <c r="H1" s="467"/>
      <c r="I1" s="467"/>
      <c r="J1" s="467"/>
    </row>
    <row r="2" spans="1:10" ht="36.75">
      <c r="A2" s="468" t="s">
        <v>1002</v>
      </c>
      <c r="B2" s="468"/>
      <c r="C2" s="468"/>
      <c r="D2" s="468"/>
      <c r="E2" s="468"/>
      <c r="F2" s="468"/>
      <c r="G2" s="468"/>
      <c r="H2" s="468"/>
      <c r="I2" s="468"/>
      <c r="J2" s="106"/>
    </row>
    <row r="3" spans="1:10" ht="66" customHeight="1">
      <c r="A3" s="100" t="s">
        <v>142</v>
      </c>
      <c r="B3" s="100" t="s">
        <v>38</v>
      </c>
      <c r="C3" s="100" t="s">
        <v>144</v>
      </c>
      <c r="D3" s="100" t="s">
        <v>145</v>
      </c>
      <c r="E3" s="100" t="s">
        <v>146</v>
      </c>
      <c r="F3" s="100" t="s">
        <v>147</v>
      </c>
      <c r="G3" s="100" t="s">
        <v>148</v>
      </c>
      <c r="H3" s="100" t="s">
        <v>1005</v>
      </c>
      <c r="I3" s="100" t="s">
        <v>1006</v>
      </c>
    </row>
    <row r="4" spans="1:10" ht="30" customHeight="1">
      <c r="A4" s="101" t="s">
        <v>42</v>
      </c>
      <c r="B4" s="100" t="s">
        <v>149</v>
      </c>
      <c r="C4" s="85">
        <f>' MARZO-18-1'!G60</f>
        <v>272965.48</v>
      </c>
      <c r="D4" s="86">
        <f>' MARZO-18-1'!J60</f>
        <v>4500</v>
      </c>
      <c r="E4" s="87"/>
      <c r="F4" s="87"/>
      <c r="G4" s="85">
        <f>C4+D4-F4</f>
        <v>277465.48</v>
      </c>
      <c r="H4" s="85">
        <f>' MARZO-18-1'!H60</f>
        <v>18150.02</v>
      </c>
      <c r="I4" s="109">
        <f>G4-H4</f>
        <v>259315.46</v>
      </c>
      <c r="J4" s="72"/>
    </row>
    <row r="5" spans="1:10" ht="30" customHeight="1">
      <c r="A5" s="101" t="s">
        <v>94</v>
      </c>
      <c r="B5" s="100" t="s">
        <v>149</v>
      </c>
      <c r="C5" s="88">
        <f>' MARZO-18-1'!G73</f>
        <v>27084.660000000003</v>
      </c>
      <c r="D5" s="89">
        <v>0</v>
      </c>
      <c r="E5" s="89"/>
      <c r="F5" s="89">
        <v>0</v>
      </c>
      <c r="G5" s="85">
        <f t="shared" ref="G5:G16" si="0">C5+D5-F5</f>
        <v>27084.660000000003</v>
      </c>
      <c r="H5" s="90">
        <f>' MARZO-18-1'!H73</f>
        <v>0</v>
      </c>
      <c r="I5" s="109">
        <f t="shared" ref="I5:I16" si="1">G5-H5</f>
        <v>27084.660000000003</v>
      </c>
      <c r="J5" s="72"/>
    </row>
    <row r="6" spans="1:10" ht="30" customHeight="1">
      <c r="A6" s="101" t="s">
        <v>97</v>
      </c>
      <c r="B6" s="100" t="s">
        <v>149</v>
      </c>
      <c r="C6" s="90">
        <f>' MARZO-18-1'!G100</f>
        <v>85402.069999999992</v>
      </c>
      <c r="D6" s="89">
        <v>0</v>
      </c>
      <c r="E6" s="89"/>
      <c r="F6" s="89">
        <v>0</v>
      </c>
      <c r="G6" s="85">
        <f t="shared" si="0"/>
        <v>85402.069999999992</v>
      </c>
      <c r="H6" s="90">
        <f>' MARZO-18-1'!H100</f>
        <v>5865.4800000000005</v>
      </c>
      <c r="I6" s="109">
        <f t="shared" si="1"/>
        <v>79536.59</v>
      </c>
      <c r="J6" s="72"/>
    </row>
    <row r="7" spans="1:10" ht="30" customHeight="1">
      <c r="A7" s="101" t="s">
        <v>42</v>
      </c>
      <c r="B7" s="100" t="s">
        <v>150</v>
      </c>
      <c r="C7" s="90">
        <f>' MARZO-18-1'!G121</f>
        <v>176732.53</v>
      </c>
      <c r="D7" s="89">
        <v>0</v>
      </c>
      <c r="E7" s="89"/>
      <c r="F7" s="89"/>
      <c r="G7" s="85">
        <f t="shared" si="0"/>
        <v>176732.53</v>
      </c>
      <c r="H7" s="90">
        <f>' MARZO-18-1'!H121</f>
        <v>19225.95</v>
      </c>
      <c r="I7" s="109">
        <f t="shared" si="1"/>
        <v>157506.57999999999</v>
      </c>
      <c r="J7" s="72"/>
    </row>
    <row r="8" spans="1:10" ht="30" customHeight="1">
      <c r="A8" s="101" t="s">
        <v>94</v>
      </c>
      <c r="B8" s="100" t="s">
        <v>150</v>
      </c>
      <c r="C8" s="90">
        <f>' MARZO-18-1'!G132</f>
        <v>106999.81000000003</v>
      </c>
      <c r="D8" s="89">
        <v>0</v>
      </c>
      <c r="E8" s="89"/>
      <c r="F8" s="89">
        <v>0</v>
      </c>
      <c r="G8" s="85">
        <f t="shared" si="0"/>
        <v>106999.81000000003</v>
      </c>
      <c r="H8" s="90">
        <f>' MARZO-18-1'!H132</f>
        <v>7990.94</v>
      </c>
      <c r="I8" s="109">
        <f t="shared" si="1"/>
        <v>99008.870000000024</v>
      </c>
      <c r="J8" s="72"/>
    </row>
    <row r="9" spans="1:10" ht="30" customHeight="1">
      <c r="A9" s="101" t="s">
        <v>97</v>
      </c>
      <c r="B9" s="100" t="s">
        <v>150</v>
      </c>
      <c r="C9" s="90">
        <f>' MARZO-18-1'!G144</f>
        <v>242539.08999999997</v>
      </c>
      <c r="D9" s="89"/>
      <c r="E9" s="89"/>
      <c r="F9" s="89">
        <v>0</v>
      </c>
      <c r="G9" s="85">
        <f t="shared" si="0"/>
        <v>242539.08999999997</v>
      </c>
      <c r="H9" s="90">
        <f>' MARZO-18-1'!H144</f>
        <v>22345.98</v>
      </c>
      <c r="I9" s="109">
        <f t="shared" si="1"/>
        <v>220193.10999999996</v>
      </c>
      <c r="J9" s="72"/>
    </row>
    <row r="10" spans="1:10" ht="30" customHeight="1">
      <c r="A10" s="101" t="s">
        <v>1</v>
      </c>
      <c r="B10" s="100" t="s">
        <v>151</v>
      </c>
      <c r="C10" s="90">
        <f>' MARZO-18-1'!G152</f>
        <v>16012.63</v>
      </c>
      <c r="D10" s="89">
        <v>0</v>
      </c>
      <c r="E10" s="89"/>
      <c r="F10" s="89">
        <v>0</v>
      </c>
      <c r="G10" s="85">
        <f t="shared" si="0"/>
        <v>16012.63</v>
      </c>
      <c r="H10" s="90">
        <f>' MARZO-18-1'!H152</f>
        <v>7466.66</v>
      </c>
      <c r="I10" s="109">
        <f t="shared" si="1"/>
        <v>8545.9699999999993</v>
      </c>
      <c r="J10" s="72"/>
    </row>
    <row r="11" spans="1:10" ht="30" customHeight="1">
      <c r="A11" s="101" t="s">
        <v>11</v>
      </c>
      <c r="B11" s="100" t="s">
        <v>151</v>
      </c>
      <c r="C11" s="90">
        <f>' MARZO-18-1'!G403</f>
        <v>886521.79000000015</v>
      </c>
      <c r="D11" s="89">
        <f>' MARZO-18-1'!J403</f>
        <v>161000</v>
      </c>
      <c r="E11" s="89"/>
      <c r="F11" s="89">
        <f>' MARZO-18-1'!K403</f>
        <v>46180</v>
      </c>
      <c r="G11" s="85">
        <f>C11+D11-F11</f>
        <v>1001341.7900000002</v>
      </c>
      <c r="H11" s="90">
        <f>' MARZO-18-1'!H403</f>
        <v>113273.65000000002</v>
      </c>
      <c r="I11" s="109">
        <f>G11-H11</f>
        <v>888068.14000000013</v>
      </c>
      <c r="J11" s="72"/>
    </row>
    <row r="12" spans="1:10" ht="30" customHeight="1">
      <c r="A12" s="101" t="s">
        <v>18</v>
      </c>
      <c r="B12" s="100" t="s">
        <v>151</v>
      </c>
      <c r="C12" s="90">
        <f>' MARZO-18-1'!G765</f>
        <v>942868.96</v>
      </c>
      <c r="D12" s="89">
        <f>' MARZO-18-1'!J765</f>
        <v>30912.690000000002</v>
      </c>
      <c r="E12" s="89"/>
      <c r="F12" s="89">
        <f>' MARZO-18-1'!K765</f>
        <v>144855.28999999998</v>
      </c>
      <c r="G12" s="85">
        <f t="shared" si="0"/>
        <v>828926.35999999987</v>
      </c>
      <c r="H12" s="90">
        <f>' MARZO-18-1'!H765</f>
        <v>60270.419999999991</v>
      </c>
      <c r="I12" s="109">
        <f t="shared" si="1"/>
        <v>768655.93999999983</v>
      </c>
      <c r="J12" s="72"/>
    </row>
    <row r="13" spans="1:10" ht="60" customHeight="1">
      <c r="A13" s="101" t="s">
        <v>20</v>
      </c>
      <c r="B13" s="100" t="s">
        <v>156</v>
      </c>
      <c r="C13" s="90">
        <f>' MARZO-18-1'!G767</f>
        <v>540.90999999999985</v>
      </c>
      <c r="D13" s="89">
        <v>0</v>
      </c>
      <c r="E13" s="89"/>
      <c r="F13" s="89">
        <f>' MARZO-18-1'!K767</f>
        <v>540.91</v>
      </c>
      <c r="G13" s="85">
        <f t="shared" si="0"/>
        <v>0</v>
      </c>
      <c r="H13" s="91">
        <f>' MARZO-18-1'!H767</f>
        <v>0</v>
      </c>
      <c r="I13" s="109">
        <f t="shared" si="1"/>
        <v>0</v>
      </c>
      <c r="J13" s="72"/>
    </row>
    <row r="14" spans="1:10" ht="46.5" customHeight="1">
      <c r="A14" s="101" t="s">
        <v>22</v>
      </c>
      <c r="B14" s="100" t="s">
        <v>157</v>
      </c>
      <c r="C14" s="91">
        <f>' MARZO-18-1'!G770</f>
        <v>1147.8700000000001</v>
      </c>
      <c r="D14" s="92">
        <v>0</v>
      </c>
      <c r="E14" s="92"/>
      <c r="F14" s="92">
        <f>' MARZO-18-1'!K770</f>
        <v>336.49</v>
      </c>
      <c r="G14" s="93">
        <f t="shared" si="0"/>
        <v>811.38000000000011</v>
      </c>
      <c r="H14" s="91">
        <f>' MARZO-18-1'!H770</f>
        <v>403.12</v>
      </c>
      <c r="I14" s="109">
        <f t="shared" si="1"/>
        <v>408.2600000000001</v>
      </c>
      <c r="J14" s="72"/>
    </row>
    <row r="15" spans="1:10" ht="46.5" customHeight="1">
      <c r="A15" s="102" t="s">
        <v>11</v>
      </c>
      <c r="B15" s="103" t="s">
        <v>997</v>
      </c>
      <c r="C15" s="96">
        <f>' MARZO-18-1'!G809</f>
        <v>143730.19</v>
      </c>
      <c r="D15" s="97">
        <f>' MARZO-18-1'!J809</f>
        <v>21021</v>
      </c>
      <c r="E15" s="97"/>
      <c r="F15" s="97">
        <f>' MARZO-18-1'!K809</f>
        <v>21021</v>
      </c>
      <c r="G15" s="98">
        <f>C15+D15-F15</f>
        <v>143730.19</v>
      </c>
      <c r="H15" s="96">
        <f>' MARZO-18-1'!H809</f>
        <v>39869.380000000005</v>
      </c>
      <c r="I15" s="98">
        <f>G15-H15</f>
        <v>103860.81</v>
      </c>
      <c r="J15" s="72"/>
    </row>
    <row r="16" spans="1:10" ht="54" customHeight="1" thickBot="1">
      <c r="A16" s="236" t="s">
        <v>18</v>
      </c>
      <c r="B16" s="100" t="s">
        <v>994</v>
      </c>
      <c r="C16" s="96">
        <f>' MARZO-18-1'!G812</f>
        <v>9000</v>
      </c>
      <c r="D16" s="97">
        <v>0</v>
      </c>
      <c r="E16" s="97"/>
      <c r="F16" s="97">
        <v>0</v>
      </c>
      <c r="G16" s="98">
        <f t="shared" si="0"/>
        <v>9000</v>
      </c>
      <c r="H16" s="96">
        <f>' MARZO-18-1'!H812</f>
        <v>0</v>
      </c>
      <c r="I16" s="98">
        <f t="shared" si="1"/>
        <v>9000</v>
      </c>
      <c r="J16" s="72"/>
    </row>
    <row r="17" spans="1:10" ht="24" thickBot="1">
      <c r="A17" s="110" t="s">
        <v>153</v>
      </c>
      <c r="B17" s="110"/>
      <c r="C17" s="111">
        <f t="shared" ref="C17:I17" si="2">SUM(C4:C16)</f>
        <v>2911545.99</v>
      </c>
      <c r="D17" s="111">
        <f t="shared" si="2"/>
        <v>217433.69</v>
      </c>
      <c r="E17" s="111">
        <f t="shared" si="2"/>
        <v>0</v>
      </c>
      <c r="F17" s="111">
        <f t="shared" si="2"/>
        <v>212933.68999999997</v>
      </c>
      <c r="G17" s="111">
        <f t="shared" si="2"/>
        <v>2916045.9899999998</v>
      </c>
      <c r="H17" s="111">
        <f t="shared" si="2"/>
        <v>294861.59999999998</v>
      </c>
      <c r="I17" s="111">
        <f t="shared" si="2"/>
        <v>2621184.3899999997</v>
      </c>
      <c r="J17" s="72"/>
    </row>
    <row r="18" spans="1:10" ht="15.75" thickBot="1">
      <c r="A18" s="73" t="s">
        <v>154</v>
      </c>
      <c r="B18" s="74"/>
      <c r="C18" s="79">
        <f ca="1">TODAY()</f>
        <v>43586</v>
      </c>
      <c r="D18" s="80"/>
      <c r="E18" s="81">
        <f>D17-F17</f>
        <v>4500.0000000000291</v>
      </c>
      <c r="F18" s="80"/>
      <c r="G18" s="80"/>
      <c r="H18" s="80"/>
      <c r="I18" s="80"/>
      <c r="J18" s="72"/>
    </row>
    <row r="19" spans="1:10">
      <c r="A19" s="83"/>
      <c r="B19" s="84"/>
      <c r="C19" s="84"/>
      <c r="D19" s="84"/>
      <c r="E19" s="263">
        <v>9000</v>
      </c>
      <c r="F19" s="80" t="s">
        <v>1033</v>
      </c>
      <c r="G19" s="80">
        <v>0</v>
      </c>
      <c r="H19" s="80"/>
    </row>
    <row r="20" spans="1:10">
      <c r="A20" s="83"/>
      <c r="B20" s="84"/>
      <c r="C20" s="84"/>
      <c r="D20" s="84"/>
      <c r="E20" s="264">
        <v>4500</v>
      </c>
      <c r="F20" s="80" t="s">
        <v>1032</v>
      </c>
      <c r="G20" s="80"/>
      <c r="H20" s="80"/>
    </row>
    <row r="21" spans="1:10">
      <c r="A21" s="83"/>
      <c r="B21" s="84"/>
      <c r="C21" s="84"/>
      <c r="D21" s="84"/>
      <c r="F21" s="80"/>
      <c r="G21" s="80"/>
      <c r="H21" s="80"/>
    </row>
    <row r="22" spans="1:10">
      <c r="A22" s="83"/>
      <c r="B22" s="84"/>
      <c r="C22" s="84"/>
      <c r="D22" s="84"/>
    </row>
  </sheetData>
  <mergeCells count="2">
    <mergeCell ref="A1:J1"/>
    <mergeCell ref="A2:I2"/>
  </mergeCells>
  <pageMargins left="0.19685039370078741" right="0.19685039370078741" top="0.35433070866141736" bottom="0.31496062992125984" header="0.31496062992125984" footer="0.31496062992125984"/>
  <pageSetup paperSize="5" scale="82" orientation="landscape" horizontalDpi="4294967293" vertic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A827"/>
  <sheetViews>
    <sheetView view="pageBreakPreview" topLeftCell="A799" zoomScale="84" zoomScaleNormal="120" zoomScaleSheetLayoutView="84" workbookViewId="0">
      <selection activeCell="I796" sqref="I796:I805"/>
    </sheetView>
  </sheetViews>
  <sheetFormatPr baseColWidth="10" defaultRowHeight="15"/>
  <cols>
    <col min="1" max="1" width="11.42578125" customWidth="1"/>
    <col min="2" max="2" width="62" customWidth="1"/>
    <col min="3" max="3" width="17.28515625" customWidth="1"/>
    <col min="4" max="4" width="11" customWidth="1"/>
    <col min="5" max="5" width="10.85546875" customWidth="1"/>
    <col min="6" max="6" width="15.42578125" customWidth="1"/>
    <col min="7" max="7" width="14.7109375" customWidth="1"/>
    <col min="8" max="8" width="13.5703125" customWidth="1"/>
    <col min="9" max="9" width="17" customWidth="1"/>
    <col min="10" max="10" width="12.7109375" bestFit="1" customWidth="1"/>
    <col min="11" max="11" width="14.7109375" customWidth="1"/>
  </cols>
  <sheetData>
    <row r="1" spans="1:11" ht="36.75">
      <c r="A1" s="15"/>
      <c r="B1" s="467" t="s">
        <v>33</v>
      </c>
      <c r="C1" s="467"/>
      <c r="D1" s="467"/>
      <c r="E1" s="467"/>
      <c r="F1" s="467"/>
      <c r="G1" s="467"/>
      <c r="H1" s="467"/>
      <c r="I1" s="467"/>
      <c r="J1" s="467"/>
      <c r="K1" s="467"/>
    </row>
    <row r="2" spans="1:11" ht="36.75">
      <c r="A2" s="16"/>
      <c r="B2" s="468" t="s">
        <v>1034</v>
      </c>
      <c r="C2" s="468"/>
      <c r="D2" s="468"/>
      <c r="E2" s="468"/>
      <c r="F2" s="468"/>
      <c r="G2" s="468"/>
      <c r="H2" s="468"/>
      <c r="I2" s="468"/>
      <c r="J2" s="468"/>
      <c r="K2" s="265"/>
    </row>
    <row r="3" spans="1:11" ht="53.25" customHeight="1">
      <c r="A3" s="41" t="s">
        <v>8</v>
      </c>
      <c r="B3" s="41" t="s">
        <v>34</v>
      </c>
      <c r="C3" s="41" t="s">
        <v>35</v>
      </c>
      <c r="D3" s="41" t="s">
        <v>36</v>
      </c>
      <c r="E3" s="41" t="s">
        <v>37</v>
      </c>
      <c r="F3" s="41" t="s">
        <v>38</v>
      </c>
      <c r="G3" s="42" t="s">
        <v>39</v>
      </c>
      <c r="H3" s="42" t="s">
        <v>1035</v>
      </c>
      <c r="I3" s="42" t="s">
        <v>1036</v>
      </c>
      <c r="J3" s="42" t="s">
        <v>40</v>
      </c>
      <c r="K3" s="42" t="s">
        <v>41</v>
      </c>
    </row>
    <row r="4" spans="1:11" ht="41.25" customHeight="1">
      <c r="A4" s="308">
        <v>51101</v>
      </c>
      <c r="B4" s="306" t="s">
        <v>1077</v>
      </c>
      <c r="C4" s="304"/>
      <c r="D4" s="3" t="s">
        <v>42</v>
      </c>
      <c r="E4" s="3" t="s">
        <v>29</v>
      </c>
      <c r="F4" s="3" t="s">
        <v>43</v>
      </c>
      <c r="G4" s="305"/>
      <c r="H4" s="305">
        <v>2745.6</v>
      </c>
      <c r="I4" s="17">
        <f>G4-H4+J4-K4</f>
        <v>0</v>
      </c>
      <c r="J4" s="307">
        <v>2745.6</v>
      </c>
      <c r="K4" s="305"/>
    </row>
    <row r="5" spans="1:11">
      <c r="A5" s="4">
        <v>51103</v>
      </c>
      <c r="B5" s="7" t="s">
        <v>164</v>
      </c>
      <c r="C5" s="2"/>
      <c r="D5" s="3" t="s">
        <v>42</v>
      </c>
      <c r="E5" s="3" t="s">
        <v>29</v>
      </c>
      <c r="F5" s="3" t="s">
        <v>43</v>
      </c>
      <c r="G5" s="17">
        <f>' MARZO-18-1'!I4</f>
        <v>100</v>
      </c>
      <c r="H5" s="51"/>
      <c r="I5" s="17">
        <f>G5-H5+J5-K5</f>
        <v>100</v>
      </c>
      <c r="J5" s="18"/>
      <c r="K5" s="18"/>
    </row>
    <row r="6" spans="1:11">
      <c r="A6" s="4">
        <v>51105</v>
      </c>
      <c r="B6" s="7" t="s">
        <v>125</v>
      </c>
      <c r="C6" s="2"/>
      <c r="D6" s="3" t="s">
        <v>42</v>
      </c>
      <c r="E6" s="3" t="s">
        <v>29</v>
      </c>
      <c r="F6" s="3" t="s">
        <v>43</v>
      </c>
      <c r="G6" s="17">
        <f>' MARZO-18-1'!I5</f>
        <v>25000</v>
      </c>
      <c r="H6" s="51"/>
      <c r="I6" s="17">
        <f>G6-H6+J6-K6</f>
        <v>22254.400000000001</v>
      </c>
      <c r="J6" s="18"/>
      <c r="K6" s="18">
        <v>2745.6</v>
      </c>
    </row>
    <row r="7" spans="1:11">
      <c r="A7" s="4">
        <v>51107</v>
      </c>
      <c r="B7" s="7" t="s">
        <v>167</v>
      </c>
      <c r="C7" s="2"/>
      <c r="D7" s="3" t="s">
        <v>42</v>
      </c>
      <c r="E7" s="3" t="s">
        <v>29</v>
      </c>
      <c r="F7" s="3" t="s">
        <v>43</v>
      </c>
      <c r="G7" s="17">
        <f>' MARZO-18-1'!I6</f>
        <v>1500</v>
      </c>
      <c r="H7" s="51"/>
      <c r="I7" s="17">
        <f t="shared" ref="I7:I71" si="0">G7-H7+J7-K7</f>
        <v>1500</v>
      </c>
      <c r="J7" s="18"/>
      <c r="K7" s="18"/>
    </row>
    <row r="8" spans="1:11">
      <c r="A8" s="4">
        <v>51201</v>
      </c>
      <c r="B8" s="7" t="s">
        <v>44</v>
      </c>
      <c r="C8" s="2"/>
      <c r="D8" s="3" t="s">
        <v>42</v>
      </c>
      <c r="E8" s="3" t="s">
        <v>29</v>
      </c>
      <c r="F8" s="3" t="s">
        <v>43</v>
      </c>
      <c r="G8" s="17">
        <f>' MARZO-18-1'!I7</f>
        <v>2000</v>
      </c>
      <c r="H8" s="51"/>
      <c r="I8" s="17">
        <f t="shared" si="0"/>
        <v>2000</v>
      </c>
      <c r="J8" s="19"/>
      <c r="K8" s="18"/>
    </row>
    <row r="9" spans="1:11" ht="30.75" customHeight="1">
      <c r="A9" s="4">
        <v>51401</v>
      </c>
      <c r="B9" s="5" t="s">
        <v>128</v>
      </c>
      <c r="C9" s="2"/>
      <c r="D9" s="3" t="s">
        <v>42</v>
      </c>
      <c r="E9" s="3" t="s">
        <v>29</v>
      </c>
      <c r="F9" s="3" t="s">
        <v>43</v>
      </c>
      <c r="G9" s="17">
        <f>' MARZO-18-1'!I8</f>
        <v>2244.1799999999998</v>
      </c>
      <c r="H9" s="51"/>
      <c r="I9" s="17">
        <f t="shared" si="0"/>
        <v>2244.1799999999998</v>
      </c>
      <c r="J9" s="20"/>
      <c r="K9" s="18"/>
    </row>
    <row r="10" spans="1:11" ht="42" customHeight="1">
      <c r="A10" s="4">
        <v>51501</v>
      </c>
      <c r="B10" s="5" t="s">
        <v>168</v>
      </c>
      <c r="C10" s="47"/>
      <c r="D10" s="3" t="s">
        <v>42</v>
      </c>
      <c r="E10" s="3" t="s">
        <v>29</v>
      </c>
      <c r="F10" s="3" t="s">
        <v>43</v>
      </c>
      <c r="G10" s="17">
        <f>' MARZO-18-1'!I9</f>
        <v>2829.78</v>
      </c>
      <c r="H10" s="51"/>
      <c r="I10" s="17">
        <f t="shared" si="0"/>
        <v>2829.78</v>
      </c>
      <c r="J10" s="21"/>
      <c r="K10" s="18"/>
    </row>
    <row r="11" spans="1:11" ht="25.5">
      <c r="A11" s="4">
        <v>51701</v>
      </c>
      <c r="B11" s="7" t="s">
        <v>126</v>
      </c>
      <c r="C11" s="2"/>
      <c r="D11" s="3" t="s">
        <v>42</v>
      </c>
      <c r="E11" s="3" t="s">
        <v>29</v>
      </c>
      <c r="F11" s="3" t="s">
        <v>43</v>
      </c>
      <c r="G11" s="17">
        <f>' MARZO-18-1'!I10</f>
        <v>30001</v>
      </c>
      <c r="H11" s="51"/>
      <c r="I11" s="17">
        <f t="shared" si="0"/>
        <v>30001</v>
      </c>
      <c r="J11" s="22"/>
      <c r="K11" s="18"/>
    </row>
    <row r="12" spans="1:11" ht="25.5">
      <c r="A12" s="4">
        <v>51601</v>
      </c>
      <c r="B12" s="7" t="s">
        <v>129</v>
      </c>
      <c r="C12" s="2"/>
      <c r="D12" s="3" t="s">
        <v>42</v>
      </c>
      <c r="E12" s="3" t="s">
        <v>29</v>
      </c>
      <c r="F12" s="3" t="s">
        <v>43</v>
      </c>
      <c r="G12" s="17">
        <f>' MARZO-18-1'!I11</f>
        <v>7500</v>
      </c>
      <c r="H12" s="51"/>
      <c r="I12" s="17">
        <f t="shared" si="0"/>
        <v>7500</v>
      </c>
      <c r="J12" s="21"/>
      <c r="K12" s="18"/>
    </row>
    <row r="13" spans="1:11">
      <c r="A13" s="4">
        <v>51602</v>
      </c>
      <c r="B13" s="2" t="s">
        <v>46</v>
      </c>
      <c r="C13" s="2"/>
      <c r="D13" s="3" t="s">
        <v>42</v>
      </c>
      <c r="E13" s="3" t="s">
        <v>29</v>
      </c>
      <c r="F13" s="3" t="s">
        <v>43</v>
      </c>
      <c r="G13" s="17">
        <f>' MARZO-18-1'!I12</f>
        <v>1</v>
      </c>
      <c r="H13" s="51"/>
      <c r="I13" s="17">
        <f t="shared" si="0"/>
        <v>1</v>
      </c>
      <c r="J13" s="20"/>
      <c r="K13" s="18"/>
    </row>
    <row r="14" spans="1:11">
      <c r="A14" s="4">
        <v>51999</v>
      </c>
      <c r="B14" s="2" t="s">
        <v>47</v>
      </c>
      <c r="C14" s="2"/>
      <c r="D14" s="3" t="s">
        <v>42</v>
      </c>
      <c r="E14" s="3" t="s">
        <v>29</v>
      </c>
      <c r="F14" s="3" t="s">
        <v>43</v>
      </c>
      <c r="G14" s="17">
        <f>' MARZO-18-1'!I13</f>
        <v>1080</v>
      </c>
      <c r="H14" s="51">
        <f>125+125+130+50+85+45+50+50+100+35+65</f>
        <v>860</v>
      </c>
      <c r="I14" s="17">
        <f t="shared" si="0"/>
        <v>220</v>
      </c>
      <c r="J14" s="21"/>
      <c r="K14" s="18"/>
    </row>
    <row r="15" spans="1:11" ht="45" customHeight="1">
      <c r="A15" s="4">
        <v>54101</v>
      </c>
      <c r="B15" s="5" t="s">
        <v>48</v>
      </c>
      <c r="C15" s="2"/>
      <c r="D15" s="3" t="s">
        <v>42</v>
      </c>
      <c r="E15" s="3" t="s">
        <v>29</v>
      </c>
      <c r="F15" s="3" t="s">
        <v>43</v>
      </c>
      <c r="G15" s="134">
        <f>' MARZO-18-1'!I14</f>
        <v>30172.23</v>
      </c>
      <c r="H15" s="51">
        <f>33+168+28.8+60+710+578.2+31.5+168+166.66+222.2+80</f>
        <v>2246.36</v>
      </c>
      <c r="I15" s="17">
        <f t="shared" si="0"/>
        <v>27925.87</v>
      </c>
      <c r="J15" s="23"/>
      <c r="K15" s="18"/>
    </row>
    <row r="16" spans="1:11" ht="26.25">
      <c r="A16" s="4">
        <v>54104</v>
      </c>
      <c r="B16" s="5" t="s">
        <v>130</v>
      </c>
      <c r="C16" s="2"/>
      <c r="D16" s="3" t="s">
        <v>42</v>
      </c>
      <c r="E16" s="3" t="s">
        <v>29</v>
      </c>
      <c r="F16" s="3" t="s">
        <v>43</v>
      </c>
      <c r="G16" s="17">
        <f>' MARZO-18-1'!I15</f>
        <v>2000</v>
      </c>
      <c r="H16" s="51"/>
      <c r="I16" s="17">
        <f t="shared" si="0"/>
        <v>2000</v>
      </c>
      <c r="J16" s="21"/>
      <c r="K16" s="18"/>
    </row>
    <row r="17" spans="1:11">
      <c r="A17" s="4">
        <v>54105</v>
      </c>
      <c r="B17" s="2" t="s">
        <v>49</v>
      </c>
      <c r="C17" s="2"/>
      <c r="D17" s="3" t="s">
        <v>42</v>
      </c>
      <c r="E17" s="3" t="s">
        <v>29</v>
      </c>
      <c r="F17" s="3" t="s">
        <v>43</v>
      </c>
      <c r="G17" s="17">
        <f>' MARZO-18-1'!I16</f>
        <v>2000</v>
      </c>
      <c r="H17" s="51"/>
      <c r="I17" s="17">
        <f t="shared" si="0"/>
        <v>2000</v>
      </c>
      <c r="J17" s="20"/>
      <c r="K17" s="18"/>
    </row>
    <row r="18" spans="1:11">
      <c r="A18" s="4">
        <v>54107</v>
      </c>
      <c r="B18" s="2" t="s">
        <v>50</v>
      </c>
      <c r="C18" s="2"/>
      <c r="D18" s="3" t="s">
        <v>42</v>
      </c>
      <c r="E18" s="3" t="s">
        <v>29</v>
      </c>
      <c r="F18" s="3" t="s">
        <v>43</v>
      </c>
      <c r="G18" s="17">
        <f>' MARZO-18-1'!I17</f>
        <v>2000</v>
      </c>
      <c r="H18" s="51"/>
      <c r="I18" s="17">
        <f t="shared" si="0"/>
        <v>2000</v>
      </c>
      <c r="J18" s="22"/>
      <c r="K18" s="18"/>
    </row>
    <row r="19" spans="1:11">
      <c r="A19" s="4">
        <v>54108</v>
      </c>
      <c r="B19" s="2" t="s">
        <v>51</v>
      </c>
      <c r="C19" s="2"/>
      <c r="D19" s="3" t="s">
        <v>42</v>
      </c>
      <c r="E19" s="3" t="s">
        <v>29</v>
      </c>
      <c r="F19" s="3" t="s">
        <v>43</v>
      </c>
      <c r="G19" s="17">
        <f>' MARZO-18-1'!I18</f>
        <v>100</v>
      </c>
      <c r="H19" s="51"/>
      <c r="I19" s="17">
        <f t="shared" si="0"/>
        <v>100</v>
      </c>
      <c r="J19" s="20"/>
      <c r="K19" s="18"/>
    </row>
    <row r="20" spans="1:11">
      <c r="A20" s="4">
        <v>54109</v>
      </c>
      <c r="B20" s="2" t="s">
        <v>131</v>
      </c>
      <c r="C20" s="2"/>
      <c r="D20" s="3" t="s">
        <v>42</v>
      </c>
      <c r="E20" s="3" t="s">
        <v>29</v>
      </c>
      <c r="F20" s="3" t="s">
        <v>43</v>
      </c>
      <c r="G20" s="17">
        <f>' MARZO-18-1'!I19</f>
        <v>500</v>
      </c>
      <c r="H20" s="51"/>
      <c r="I20" s="17">
        <f t="shared" si="0"/>
        <v>500</v>
      </c>
      <c r="J20" s="20"/>
      <c r="K20" s="18"/>
    </row>
    <row r="21" spans="1:11">
      <c r="A21" s="4">
        <v>54110</v>
      </c>
      <c r="B21" s="2" t="s">
        <v>132</v>
      </c>
      <c r="C21" s="2"/>
      <c r="D21" s="3" t="s">
        <v>42</v>
      </c>
      <c r="E21" s="3" t="s">
        <v>29</v>
      </c>
      <c r="F21" s="3" t="s">
        <v>43</v>
      </c>
      <c r="G21" s="17">
        <f>' MARZO-18-1'!I20</f>
        <v>10712.85</v>
      </c>
      <c r="H21" s="51">
        <v>556.65</v>
      </c>
      <c r="I21" s="17">
        <f t="shared" si="0"/>
        <v>10156.200000000001</v>
      </c>
      <c r="J21" s="24"/>
      <c r="K21" s="18"/>
    </row>
    <row r="22" spans="1:11" ht="30.75" customHeight="1">
      <c r="A22" s="4">
        <v>54111</v>
      </c>
      <c r="B22" s="5" t="s">
        <v>54</v>
      </c>
      <c r="C22" s="2"/>
      <c r="D22" s="3" t="s">
        <v>42</v>
      </c>
      <c r="E22" s="3" t="s">
        <v>29</v>
      </c>
      <c r="F22" s="3" t="s">
        <v>43</v>
      </c>
      <c r="G22" s="17">
        <f>' MARZO-18-1'!I21</f>
        <v>857.05</v>
      </c>
      <c r="H22" s="51">
        <f>5508</f>
        <v>5508</v>
      </c>
      <c r="I22" s="138">
        <f t="shared" si="0"/>
        <v>349.05000000000018</v>
      </c>
      <c r="J22" s="23">
        <v>5000</v>
      </c>
      <c r="K22" s="18"/>
    </row>
    <row r="23" spans="1:11" ht="42.75" customHeight="1">
      <c r="A23" s="4">
        <v>54112</v>
      </c>
      <c r="B23" s="5" t="s">
        <v>55</v>
      </c>
      <c r="C23" s="2"/>
      <c r="D23" s="3" t="s">
        <v>42</v>
      </c>
      <c r="E23" s="3" t="s">
        <v>29</v>
      </c>
      <c r="F23" s="3" t="s">
        <v>43</v>
      </c>
      <c r="G23" s="17">
        <f>' MARZO-18-1'!I22</f>
        <v>1000</v>
      </c>
      <c r="H23" s="51"/>
      <c r="I23" s="17">
        <f t="shared" si="0"/>
        <v>1000</v>
      </c>
      <c r="J23" s="21"/>
      <c r="K23" s="18"/>
    </row>
    <row r="24" spans="1:11">
      <c r="A24" s="4">
        <v>54114</v>
      </c>
      <c r="B24" s="2" t="s">
        <v>56</v>
      </c>
      <c r="C24" s="2"/>
      <c r="D24" s="3" t="s">
        <v>42</v>
      </c>
      <c r="E24" s="3" t="s">
        <v>29</v>
      </c>
      <c r="F24" s="3" t="s">
        <v>43</v>
      </c>
      <c r="G24" s="17">
        <f>' MARZO-18-1'!I23</f>
        <v>1000</v>
      </c>
      <c r="H24" s="51"/>
      <c r="I24" s="17">
        <f t="shared" si="0"/>
        <v>1000</v>
      </c>
      <c r="J24" s="20"/>
      <c r="K24" s="18"/>
    </row>
    <row r="25" spans="1:11">
      <c r="A25" s="4">
        <v>54115</v>
      </c>
      <c r="B25" s="2" t="s">
        <v>57</v>
      </c>
      <c r="C25" s="2"/>
      <c r="D25" s="3" t="s">
        <v>42</v>
      </c>
      <c r="E25" s="3" t="s">
        <v>29</v>
      </c>
      <c r="F25" s="3" t="s">
        <v>43</v>
      </c>
      <c r="G25" s="17">
        <f>' MARZO-18-1'!I24</f>
        <v>1000</v>
      </c>
      <c r="H25" s="51"/>
      <c r="I25" s="17">
        <f t="shared" si="0"/>
        <v>1000</v>
      </c>
      <c r="J25" s="20"/>
      <c r="K25" s="18"/>
    </row>
    <row r="26" spans="1:11" ht="30">
      <c r="A26" s="4">
        <v>54116</v>
      </c>
      <c r="B26" s="5" t="s">
        <v>58</v>
      </c>
      <c r="C26" s="2"/>
      <c r="D26" s="3" t="s">
        <v>42</v>
      </c>
      <c r="E26" s="3" t="s">
        <v>29</v>
      </c>
      <c r="F26" s="3" t="s">
        <v>43</v>
      </c>
      <c r="G26" s="17">
        <f>' MARZO-18-1'!I25</f>
        <v>500</v>
      </c>
      <c r="H26" s="51"/>
      <c r="I26" s="17">
        <f t="shared" si="0"/>
        <v>500</v>
      </c>
      <c r="J26" s="20"/>
      <c r="K26" s="18"/>
    </row>
    <row r="27" spans="1:11">
      <c r="A27" s="4">
        <v>54117</v>
      </c>
      <c r="B27" s="25" t="s">
        <v>12</v>
      </c>
      <c r="C27" s="25"/>
      <c r="D27" s="3" t="s">
        <v>42</v>
      </c>
      <c r="E27" s="3" t="s">
        <v>29</v>
      </c>
      <c r="F27" s="3" t="s">
        <v>43</v>
      </c>
      <c r="G27" s="17">
        <f>' MARZO-18-1'!I26</f>
        <v>2000</v>
      </c>
      <c r="H27" s="51"/>
      <c r="I27" s="17">
        <f t="shared" si="0"/>
        <v>2000</v>
      </c>
      <c r="J27" s="20"/>
      <c r="K27" s="18"/>
    </row>
    <row r="28" spans="1:11">
      <c r="A28" s="4">
        <v>54118</v>
      </c>
      <c r="B28" s="2" t="s">
        <v>59</v>
      </c>
      <c r="C28" s="2"/>
      <c r="D28" s="3" t="s">
        <v>42</v>
      </c>
      <c r="E28" s="3" t="s">
        <v>29</v>
      </c>
      <c r="F28" s="3" t="s">
        <v>43</v>
      </c>
      <c r="G28" s="17">
        <f>' MARZO-18-1'!I27</f>
        <v>1000</v>
      </c>
      <c r="H28" s="51"/>
      <c r="I28" s="17">
        <f t="shared" si="0"/>
        <v>1000</v>
      </c>
      <c r="J28" s="23"/>
      <c r="K28" s="18"/>
    </row>
    <row r="29" spans="1:11">
      <c r="A29" s="4">
        <v>54119</v>
      </c>
      <c r="B29" s="2" t="s">
        <v>60</v>
      </c>
      <c r="C29" s="2"/>
      <c r="D29" s="3" t="s">
        <v>42</v>
      </c>
      <c r="E29" s="3" t="s">
        <v>29</v>
      </c>
      <c r="F29" s="3" t="s">
        <v>43</v>
      </c>
      <c r="G29" s="17">
        <f>' MARZO-18-1'!I28</f>
        <v>1000</v>
      </c>
      <c r="H29" s="51"/>
      <c r="I29" s="17">
        <f t="shared" si="0"/>
        <v>1000</v>
      </c>
      <c r="J29" s="21"/>
      <c r="K29" s="18"/>
    </row>
    <row r="30" spans="1:11">
      <c r="A30" s="4">
        <v>54199</v>
      </c>
      <c r="B30" s="2" t="s">
        <v>61</v>
      </c>
      <c r="C30" s="2"/>
      <c r="D30" s="3" t="s">
        <v>42</v>
      </c>
      <c r="E30" s="3" t="s">
        <v>29</v>
      </c>
      <c r="F30" s="3" t="s">
        <v>43</v>
      </c>
      <c r="G30" s="17">
        <f>' MARZO-18-1'!I29</f>
        <v>1455.25</v>
      </c>
      <c r="H30" s="51">
        <f>17.4+6.7</f>
        <v>24.099999999999998</v>
      </c>
      <c r="I30" s="17">
        <f t="shared" si="0"/>
        <v>1431.15</v>
      </c>
      <c r="J30" s="21"/>
      <c r="K30" s="18"/>
    </row>
    <row r="31" spans="1:11">
      <c r="A31" s="4">
        <v>54201</v>
      </c>
      <c r="B31" s="2" t="s">
        <v>62</v>
      </c>
      <c r="C31" s="2"/>
      <c r="D31" s="3" t="s">
        <v>42</v>
      </c>
      <c r="E31" s="3" t="s">
        <v>29</v>
      </c>
      <c r="F31" s="3" t="s">
        <v>43</v>
      </c>
      <c r="G31" s="17">
        <f>' MARZO-18-1'!I30</f>
        <v>30000</v>
      </c>
      <c r="H31" s="51"/>
      <c r="I31" s="17">
        <f t="shared" si="0"/>
        <v>25000</v>
      </c>
      <c r="J31" s="20"/>
      <c r="K31" s="18">
        <v>5000</v>
      </c>
    </row>
    <row r="32" spans="1:11">
      <c r="A32" s="4">
        <v>54202</v>
      </c>
      <c r="B32" s="2" t="s">
        <v>63</v>
      </c>
      <c r="C32" s="2"/>
      <c r="D32" s="3" t="s">
        <v>42</v>
      </c>
      <c r="E32" s="3" t="s">
        <v>29</v>
      </c>
      <c r="F32" s="3" t="s">
        <v>43</v>
      </c>
      <c r="G32" s="17">
        <f>' MARZO-18-1'!I31</f>
        <v>3000</v>
      </c>
      <c r="H32" s="51"/>
      <c r="I32" s="17">
        <f t="shared" si="0"/>
        <v>3000</v>
      </c>
      <c r="J32" s="20"/>
      <c r="K32" s="18"/>
    </row>
    <row r="33" spans="1:11" ht="26.25">
      <c r="A33" s="4">
        <v>54203</v>
      </c>
      <c r="B33" s="5" t="s">
        <v>133</v>
      </c>
      <c r="C33" s="2"/>
      <c r="D33" s="3" t="s">
        <v>42</v>
      </c>
      <c r="E33" s="3" t="s">
        <v>29</v>
      </c>
      <c r="F33" s="3" t="s">
        <v>43</v>
      </c>
      <c r="G33" s="17">
        <f>' MARZO-18-1'!I32</f>
        <v>17014.89</v>
      </c>
      <c r="H33" s="51">
        <f>427.76+2792.79</f>
        <v>3220.55</v>
      </c>
      <c r="I33" s="17">
        <f t="shared" si="0"/>
        <v>13794.34</v>
      </c>
      <c r="J33" s="20"/>
      <c r="K33" s="21"/>
    </row>
    <row r="34" spans="1:11">
      <c r="A34" s="4">
        <v>54204</v>
      </c>
      <c r="B34" s="2" t="s">
        <v>65</v>
      </c>
      <c r="C34" s="2"/>
      <c r="D34" s="3" t="s">
        <v>42</v>
      </c>
      <c r="E34" s="3" t="s">
        <v>29</v>
      </c>
      <c r="F34" s="3" t="s">
        <v>43</v>
      </c>
      <c r="G34" s="17">
        <f>' MARZO-18-1'!I33</f>
        <v>100</v>
      </c>
      <c r="H34" s="51"/>
      <c r="I34" s="17">
        <f t="shared" si="0"/>
        <v>100</v>
      </c>
      <c r="J34" s="20"/>
      <c r="K34" s="18"/>
    </row>
    <row r="35" spans="1:11">
      <c r="A35" s="4">
        <v>54301</v>
      </c>
      <c r="B35" s="2" t="s">
        <v>66</v>
      </c>
      <c r="C35" s="2"/>
      <c r="D35" s="3" t="s">
        <v>42</v>
      </c>
      <c r="E35" s="3" t="s">
        <v>29</v>
      </c>
      <c r="F35" s="3" t="s">
        <v>43</v>
      </c>
      <c r="G35" s="17">
        <f>' MARZO-18-1'!I34</f>
        <v>352</v>
      </c>
      <c r="H35" s="51"/>
      <c r="I35" s="17">
        <f t="shared" si="0"/>
        <v>352</v>
      </c>
      <c r="J35" s="21"/>
      <c r="K35" s="18"/>
    </row>
    <row r="36" spans="1:11">
      <c r="A36" s="4">
        <v>54302</v>
      </c>
      <c r="B36" s="2" t="s">
        <v>67</v>
      </c>
      <c r="C36" s="2"/>
      <c r="D36" s="3" t="s">
        <v>42</v>
      </c>
      <c r="E36" s="3" t="s">
        <v>29</v>
      </c>
      <c r="F36" s="3" t="s">
        <v>43</v>
      </c>
      <c r="G36" s="17">
        <f>' MARZO-18-1'!I35</f>
        <v>500</v>
      </c>
      <c r="H36" s="51"/>
      <c r="I36" s="17">
        <f t="shared" si="0"/>
        <v>500</v>
      </c>
      <c r="J36" s="20"/>
      <c r="K36" s="18"/>
    </row>
    <row r="37" spans="1:11">
      <c r="A37" s="4">
        <v>54303</v>
      </c>
      <c r="B37" s="2" t="s">
        <v>68</v>
      </c>
      <c r="C37" s="2"/>
      <c r="D37" s="3" t="s">
        <v>42</v>
      </c>
      <c r="E37" s="3" t="s">
        <v>29</v>
      </c>
      <c r="F37" s="3" t="s">
        <v>43</v>
      </c>
      <c r="G37" s="17">
        <f>' MARZO-18-1'!I36</f>
        <v>2000</v>
      </c>
      <c r="H37" s="51"/>
      <c r="I37" s="17">
        <f t="shared" si="0"/>
        <v>2000</v>
      </c>
      <c r="J37" s="20"/>
      <c r="K37" s="18"/>
    </row>
    <row r="38" spans="1:11">
      <c r="A38" s="4">
        <v>54304</v>
      </c>
      <c r="B38" s="2" t="s">
        <v>69</v>
      </c>
      <c r="C38" s="2"/>
      <c r="D38" s="3" t="s">
        <v>42</v>
      </c>
      <c r="E38" s="3" t="s">
        <v>29</v>
      </c>
      <c r="F38" s="3" t="s">
        <v>43</v>
      </c>
      <c r="G38" s="17">
        <f>' MARZO-18-1'!I37</f>
        <v>1365.01</v>
      </c>
      <c r="H38" s="51">
        <f>95.55+30+100+222.22</f>
        <v>447.77</v>
      </c>
      <c r="I38" s="17">
        <f t="shared" si="0"/>
        <v>917.24</v>
      </c>
      <c r="J38" s="18"/>
      <c r="K38" s="21"/>
    </row>
    <row r="39" spans="1:11">
      <c r="A39" s="4">
        <v>54305</v>
      </c>
      <c r="B39" s="2" t="s">
        <v>70</v>
      </c>
      <c r="C39" s="2"/>
      <c r="D39" s="3" t="s">
        <v>42</v>
      </c>
      <c r="E39" s="3" t="s">
        <v>29</v>
      </c>
      <c r="F39" s="3" t="s">
        <v>43</v>
      </c>
      <c r="G39" s="17">
        <f>' MARZO-18-1'!I38</f>
        <v>2000</v>
      </c>
      <c r="H39" s="51"/>
      <c r="I39" s="17">
        <f t="shared" si="0"/>
        <v>2000</v>
      </c>
      <c r="J39" s="21"/>
      <c r="K39" s="18"/>
    </row>
    <row r="40" spans="1:11">
      <c r="A40" s="4">
        <v>54313</v>
      </c>
      <c r="B40" s="2" t="s">
        <v>71</v>
      </c>
      <c r="C40" s="2"/>
      <c r="D40" s="3" t="s">
        <v>42</v>
      </c>
      <c r="E40" s="3" t="s">
        <v>29</v>
      </c>
      <c r="F40" s="3" t="s">
        <v>43</v>
      </c>
      <c r="G40" s="17">
        <f>' MARZO-18-1'!I39</f>
        <v>1691.55</v>
      </c>
      <c r="H40" s="51">
        <f>80</f>
        <v>80</v>
      </c>
      <c r="I40" s="17">
        <f t="shared" si="0"/>
        <v>1611.55</v>
      </c>
      <c r="J40" s="18"/>
      <c r="K40" s="21"/>
    </row>
    <row r="41" spans="1:11">
      <c r="A41" s="4">
        <v>54316</v>
      </c>
      <c r="B41" s="2" t="s">
        <v>72</v>
      </c>
      <c r="C41" s="2"/>
      <c r="D41" s="3" t="s">
        <v>42</v>
      </c>
      <c r="E41" s="3" t="s">
        <v>29</v>
      </c>
      <c r="F41" s="3" t="s">
        <v>43</v>
      </c>
      <c r="G41" s="17">
        <f>' MARZO-18-1'!I40</f>
        <v>2000</v>
      </c>
      <c r="H41" s="51"/>
      <c r="I41" s="17">
        <f t="shared" si="0"/>
        <v>2000</v>
      </c>
      <c r="J41" s="20"/>
      <c r="K41" s="18"/>
    </row>
    <row r="42" spans="1:11">
      <c r="A42" s="4">
        <v>54317</v>
      </c>
      <c r="B42" s="2" t="s">
        <v>73</v>
      </c>
      <c r="C42" s="2"/>
      <c r="D42" s="3" t="s">
        <v>42</v>
      </c>
      <c r="E42" s="3" t="s">
        <v>29</v>
      </c>
      <c r="F42" s="3" t="s">
        <v>43</v>
      </c>
      <c r="G42" s="17">
        <f>' MARZO-18-1'!I41</f>
        <v>4410</v>
      </c>
      <c r="H42" s="51">
        <f>200+330</f>
        <v>530</v>
      </c>
      <c r="I42" s="17">
        <f t="shared" si="0"/>
        <v>3880</v>
      </c>
      <c r="J42" s="20"/>
      <c r="K42" s="18"/>
    </row>
    <row r="43" spans="1:11">
      <c r="A43" s="4">
        <v>54399</v>
      </c>
      <c r="B43" s="2" t="s">
        <v>74</v>
      </c>
      <c r="C43" s="2"/>
      <c r="D43" s="3" t="s">
        <v>42</v>
      </c>
      <c r="E43" s="3" t="s">
        <v>29</v>
      </c>
      <c r="F43" s="3" t="s">
        <v>43</v>
      </c>
      <c r="G43" s="17">
        <f>' MARZO-18-1'!I42</f>
        <v>163.28</v>
      </c>
      <c r="H43" s="51"/>
      <c r="I43" s="17">
        <f t="shared" si="0"/>
        <v>163.28</v>
      </c>
      <c r="J43" s="18"/>
      <c r="K43" s="21"/>
    </row>
    <row r="44" spans="1:11">
      <c r="A44" s="4">
        <v>54401</v>
      </c>
      <c r="B44" s="2" t="s">
        <v>75</v>
      </c>
      <c r="C44" s="2"/>
      <c r="D44" s="3" t="s">
        <v>42</v>
      </c>
      <c r="E44" s="3" t="s">
        <v>29</v>
      </c>
      <c r="F44" s="3" t="s">
        <v>43</v>
      </c>
      <c r="G44" s="17">
        <f>' MARZO-18-1'!I43</f>
        <v>200</v>
      </c>
      <c r="H44" s="51"/>
      <c r="I44" s="17">
        <f t="shared" si="0"/>
        <v>200</v>
      </c>
      <c r="J44" s="20"/>
      <c r="K44" s="18"/>
    </row>
    <row r="45" spans="1:11">
      <c r="A45" s="4">
        <v>54403</v>
      </c>
      <c r="B45" s="2" t="s">
        <v>76</v>
      </c>
      <c r="C45" s="2"/>
      <c r="D45" s="3" t="s">
        <v>42</v>
      </c>
      <c r="E45" s="3" t="s">
        <v>29</v>
      </c>
      <c r="F45" s="3" t="s">
        <v>43</v>
      </c>
      <c r="G45" s="17">
        <f>' MARZO-18-1'!I44</f>
        <v>300</v>
      </c>
      <c r="H45" s="51"/>
      <c r="I45" s="17">
        <f t="shared" si="0"/>
        <v>300</v>
      </c>
      <c r="J45" s="20"/>
      <c r="K45" s="18"/>
    </row>
    <row r="46" spans="1:11">
      <c r="A46" s="4">
        <v>54501</v>
      </c>
      <c r="B46" s="2" t="s">
        <v>77</v>
      </c>
      <c r="C46" s="2"/>
      <c r="D46" s="3" t="s">
        <v>42</v>
      </c>
      <c r="E46" s="3" t="s">
        <v>29</v>
      </c>
      <c r="F46" s="3" t="s">
        <v>43</v>
      </c>
      <c r="G46" s="17">
        <f>' MARZO-18-1'!I45</f>
        <v>8000</v>
      </c>
      <c r="H46" s="51">
        <f>1000+1000</f>
        <v>2000</v>
      </c>
      <c r="I46" s="17">
        <f t="shared" si="0"/>
        <v>6000</v>
      </c>
      <c r="J46" s="18"/>
      <c r="K46" s="22"/>
    </row>
    <row r="47" spans="1:11">
      <c r="A47" s="4">
        <v>54503</v>
      </c>
      <c r="B47" s="2" t="s">
        <v>78</v>
      </c>
      <c r="C47" s="2"/>
      <c r="D47" s="3" t="s">
        <v>42</v>
      </c>
      <c r="E47" s="3" t="s">
        <v>29</v>
      </c>
      <c r="F47" s="3" t="s">
        <v>43</v>
      </c>
      <c r="G47" s="17">
        <f>' MARZO-18-1'!I46</f>
        <v>2000</v>
      </c>
      <c r="H47" s="51"/>
      <c r="I47" s="17">
        <f t="shared" si="0"/>
        <v>2000</v>
      </c>
      <c r="J47" s="18"/>
      <c r="K47" s="18"/>
    </row>
    <row r="48" spans="1:11">
      <c r="A48" s="4">
        <v>54504</v>
      </c>
      <c r="B48" s="2" t="s">
        <v>79</v>
      </c>
      <c r="C48" s="2"/>
      <c r="D48" s="3" t="s">
        <v>80</v>
      </c>
      <c r="E48" s="3" t="s">
        <v>29</v>
      </c>
      <c r="F48" s="3" t="s">
        <v>43</v>
      </c>
      <c r="G48" s="17">
        <f>' MARZO-18-1'!I47</f>
        <v>1000</v>
      </c>
      <c r="H48" s="51"/>
      <c r="I48" s="17">
        <f t="shared" si="0"/>
        <v>1000</v>
      </c>
      <c r="J48" s="18"/>
      <c r="K48" s="18"/>
    </row>
    <row r="49" spans="1:11">
      <c r="A49" s="4">
        <v>54505</v>
      </c>
      <c r="B49" s="5" t="s">
        <v>81</v>
      </c>
      <c r="C49" s="2"/>
      <c r="D49" s="3" t="s">
        <v>42</v>
      </c>
      <c r="E49" s="3" t="s">
        <v>29</v>
      </c>
      <c r="F49" s="3" t="s">
        <v>43</v>
      </c>
      <c r="G49" s="17">
        <f>' MARZO-18-1'!I48</f>
        <v>1000</v>
      </c>
      <c r="H49" s="51"/>
      <c r="I49" s="17">
        <f t="shared" si="0"/>
        <v>1000</v>
      </c>
      <c r="J49" s="18"/>
      <c r="K49" s="22"/>
    </row>
    <row r="50" spans="1:11" ht="20.25" customHeight="1">
      <c r="A50" s="4">
        <v>54599</v>
      </c>
      <c r="B50" s="5" t="s">
        <v>82</v>
      </c>
      <c r="C50" s="5"/>
      <c r="D50" s="3" t="s">
        <v>42</v>
      </c>
      <c r="E50" s="3" t="s">
        <v>29</v>
      </c>
      <c r="F50" s="3" t="s">
        <v>43</v>
      </c>
      <c r="G50" s="17">
        <f>' MARZO-18-1'!I49</f>
        <v>700</v>
      </c>
      <c r="H50" s="51"/>
      <c r="I50" s="17">
        <f t="shared" si="0"/>
        <v>700</v>
      </c>
      <c r="J50" s="18"/>
      <c r="K50" s="18"/>
    </row>
    <row r="51" spans="1:11" ht="30" customHeight="1">
      <c r="A51" s="4">
        <v>55302</v>
      </c>
      <c r="B51" s="5" t="s">
        <v>83</v>
      </c>
      <c r="C51" s="2"/>
      <c r="D51" s="3" t="s">
        <v>42</v>
      </c>
      <c r="E51" s="3" t="s">
        <v>29</v>
      </c>
      <c r="F51" s="3" t="s">
        <v>43</v>
      </c>
      <c r="G51" s="17">
        <f>' MARZO-18-1'!I50</f>
        <v>500</v>
      </c>
      <c r="H51" s="51"/>
      <c r="I51" s="17">
        <f t="shared" si="0"/>
        <v>500</v>
      </c>
      <c r="J51" s="18"/>
      <c r="K51" s="21"/>
    </row>
    <row r="52" spans="1:11">
      <c r="A52" s="4">
        <v>55601</v>
      </c>
      <c r="B52" s="2" t="s">
        <v>84</v>
      </c>
      <c r="C52" s="2" t="s">
        <v>85</v>
      </c>
      <c r="D52" s="3" t="s">
        <v>42</v>
      </c>
      <c r="E52" s="3" t="s">
        <v>29</v>
      </c>
      <c r="F52" s="3" t="s">
        <v>43</v>
      </c>
      <c r="G52" s="17">
        <f>' MARZO-18-1'!I51</f>
        <v>5000</v>
      </c>
      <c r="H52" s="51"/>
      <c r="I52" s="17">
        <f t="shared" si="0"/>
        <v>5000</v>
      </c>
      <c r="J52" s="18"/>
      <c r="K52" s="22"/>
    </row>
    <row r="53" spans="1:11">
      <c r="A53" s="4">
        <v>55602</v>
      </c>
      <c r="B53" s="2" t="s">
        <v>86</v>
      </c>
      <c r="C53" s="2" t="s">
        <v>87</v>
      </c>
      <c r="D53" s="3" t="s">
        <v>42</v>
      </c>
      <c r="E53" s="3" t="s">
        <v>29</v>
      </c>
      <c r="F53" s="3" t="s">
        <v>43</v>
      </c>
      <c r="G53" s="17">
        <f>' MARZO-18-1'!I52</f>
        <v>8000</v>
      </c>
      <c r="H53" s="51"/>
      <c r="I53" s="17">
        <f t="shared" si="0"/>
        <v>8000</v>
      </c>
      <c r="J53" s="18"/>
      <c r="K53" s="22"/>
    </row>
    <row r="54" spans="1:11">
      <c r="A54" s="4">
        <v>55603</v>
      </c>
      <c r="B54" s="2" t="s">
        <v>6</v>
      </c>
      <c r="C54" s="2"/>
      <c r="D54" s="3" t="s">
        <v>42</v>
      </c>
      <c r="E54" s="3" t="s">
        <v>29</v>
      </c>
      <c r="F54" s="3" t="s">
        <v>43</v>
      </c>
      <c r="G54" s="17">
        <f>' MARZO-18-1'!I53</f>
        <v>484.18</v>
      </c>
      <c r="H54" s="51"/>
      <c r="I54" s="17">
        <f t="shared" si="0"/>
        <v>484.18</v>
      </c>
      <c r="J54" s="18"/>
      <c r="K54" s="21"/>
    </row>
    <row r="55" spans="1:11" ht="33" customHeight="1">
      <c r="A55" s="4">
        <v>55799</v>
      </c>
      <c r="B55" s="5" t="s">
        <v>169</v>
      </c>
      <c r="C55" s="5"/>
      <c r="D55" s="3" t="s">
        <v>42</v>
      </c>
      <c r="E55" s="3" t="s">
        <v>29</v>
      </c>
      <c r="F55" s="3" t="s">
        <v>43</v>
      </c>
      <c r="G55" s="17">
        <f>' MARZO-18-1'!I54</f>
        <v>616.99</v>
      </c>
      <c r="H55" s="51">
        <v>222.28</v>
      </c>
      <c r="I55" s="17">
        <f t="shared" si="0"/>
        <v>394.71000000000004</v>
      </c>
      <c r="J55" s="18"/>
      <c r="K55" s="21"/>
    </row>
    <row r="56" spans="1:11" ht="33" customHeight="1">
      <c r="A56" s="4" t="s">
        <v>170</v>
      </c>
      <c r="B56" s="5" t="s">
        <v>1028</v>
      </c>
      <c r="C56" s="5"/>
      <c r="D56" s="3" t="s">
        <v>42</v>
      </c>
      <c r="E56" s="3" t="s">
        <v>29</v>
      </c>
      <c r="F56" s="3" t="s">
        <v>43</v>
      </c>
      <c r="G56" s="17">
        <f>' MARZO-18-1'!I55</f>
        <v>700</v>
      </c>
      <c r="H56" s="51"/>
      <c r="I56" s="17">
        <f t="shared" si="0"/>
        <v>700</v>
      </c>
      <c r="J56" s="18"/>
      <c r="K56" s="21"/>
    </row>
    <row r="57" spans="1:11" ht="39">
      <c r="A57" s="4" t="s">
        <v>171</v>
      </c>
      <c r="B57" s="5" t="s">
        <v>88</v>
      </c>
      <c r="C57" s="5"/>
      <c r="D57" s="3" t="s">
        <v>42</v>
      </c>
      <c r="E57" s="3" t="s">
        <v>29</v>
      </c>
      <c r="F57" s="3" t="s">
        <v>43</v>
      </c>
      <c r="G57" s="17">
        <f>' MARZO-18-1'!I56</f>
        <v>2744.2000000000003</v>
      </c>
      <c r="H57" s="51"/>
      <c r="I57" s="17">
        <f t="shared" si="0"/>
        <v>2744.2000000000003</v>
      </c>
      <c r="J57" s="18"/>
      <c r="K57" s="18"/>
    </row>
    <row r="58" spans="1:11" ht="27">
      <c r="A58" s="4" t="s">
        <v>161</v>
      </c>
      <c r="B58" s="5" t="s">
        <v>1027</v>
      </c>
      <c r="C58" s="5"/>
      <c r="D58" s="3" t="s">
        <v>42</v>
      </c>
      <c r="E58" s="3" t="s">
        <v>29</v>
      </c>
      <c r="F58" s="3" t="s">
        <v>43</v>
      </c>
      <c r="G58" s="17">
        <f>' MARZO-18-1'!I57</f>
        <v>2900</v>
      </c>
      <c r="H58" s="51"/>
      <c r="I58" s="17">
        <f t="shared" si="0"/>
        <v>2900</v>
      </c>
      <c r="J58" s="18"/>
      <c r="K58" s="18"/>
    </row>
    <row r="59" spans="1:11" ht="21" customHeight="1">
      <c r="A59" s="4">
        <v>56303</v>
      </c>
      <c r="B59" s="2" t="s">
        <v>90</v>
      </c>
      <c r="C59" s="2"/>
      <c r="D59" s="3" t="s">
        <v>42</v>
      </c>
      <c r="E59" s="3" t="s">
        <v>29</v>
      </c>
      <c r="F59" s="3" t="s">
        <v>43</v>
      </c>
      <c r="G59" s="17">
        <f>' MARZO-18-1'!I58</f>
        <v>17025</v>
      </c>
      <c r="H59" s="51">
        <f>137.2+150+700+1600+866.9+214</f>
        <v>3668.1</v>
      </c>
      <c r="I59" s="17">
        <f t="shared" si="0"/>
        <v>13356.9</v>
      </c>
      <c r="J59" s="18"/>
      <c r="K59" s="18"/>
    </row>
    <row r="60" spans="1:11" ht="21.75" customHeight="1">
      <c r="A60" s="4">
        <v>56304</v>
      </c>
      <c r="B60" s="2" t="s">
        <v>91</v>
      </c>
      <c r="C60" s="2"/>
      <c r="D60" s="3" t="s">
        <v>42</v>
      </c>
      <c r="E60" s="3" t="s">
        <v>29</v>
      </c>
      <c r="F60" s="3" t="s">
        <v>43</v>
      </c>
      <c r="G60" s="17">
        <f>' MARZO-18-1'!I59</f>
        <v>13995.02</v>
      </c>
      <c r="H60" s="51">
        <f>327.25+480+125+500</f>
        <v>1432.25</v>
      </c>
      <c r="I60" s="17">
        <f t="shared" si="0"/>
        <v>12562.77</v>
      </c>
      <c r="J60" s="18"/>
      <c r="K60" s="18"/>
    </row>
    <row r="61" spans="1:11" ht="45.75" customHeight="1">
      <c r="A61" s="38" t="s">
        <v>8</v>
      </c>
      <c r="B61" s="39" t="s">
        <v>92</v>
      </c>
      <c r="C61" s="39"/>
      <c r="D61" s="39" t="s">
        <v>42</v>
      </c>
      <c r="E61" s="39" t="s">
        <v>29</v>
      </c>
      <c r="F61" s="39" t="s">
        <v>43</v>
      </c>
      <c r="G61" s="17">
        <f>' MARZO-18-1'!I60</f>
        <v>259315.46</v>
      </c>
      <c r="H61" s="95">
        <f>SUM(H4:H60)</f>
        <v>23541.66</v>
      </c>
      <c r="I61" s="40">
        <f>G61-H61+J61-K61</f>
        <v>235773.8</v>
      </c>
      <c r="J61" s="107">
        <f>SUM(J4:J60)</f>
        <v>7745.6</v>
      </c>
      <c r="K61" s="107">
        <f>SUM(K5:K60)</f>
        <v>7745.6</v>
      </c>
    </row>
    <row r="62" spans="1:11">
      <c r="A62" s="4">
        <v>51103</v>
      </c>
      <c r="B62" s="2" t="s">
        <v>173</v>
      </c>
      <c r="C62" s="2"/>
      <c r="D62" s="3" t="s">
        <v>94</v>
      </c>
      <c r="E62" s="3" t="s">
        <v>29</v>
      </c>
      <c r="F62" s="3" t="s">
        <v>43</v>
      </c>
      <c r="G62" s="17">
        <f>' MARZO-18-1'!I61</f>
        <v>100</v>
      </c>
      <c r="H62" s="51"/>
      <c r="I62" s="17">
        <f t="shared" si="0"/>
        <v>100</v>
      </c>
      <c r="J62" s="27"/>
      <c r="K62" s="28"/>
    </row>
    <row r="63" spans="1:11">
      <c r="A63" s="4">
        <v>51107</v>
      </c>
      <c r="B63" s="2" t="s">
        <v>93</v>
      </c>
      <c r="C63" s="2"/>
      <c r="D63" s="3" t="s">
        <v>94</v>
      </c>
      <c r="E63" s="3" t="s">
        <v>29</v>
      </c>
      <c r="F63" s="3" t="s">
        <v>43</v>
      </c>
      <c r="G63" s="17">
        <f>' MARZO-18-1'!I62</f>
        <v>1500</v>
      </c>
      <c r="H63" s="51"/>
      <c r="I63" s="17">
        <f t="shared" si="0"/>
        <v>1500</v>
      </c>
      <c r="J63" s="27"/>
      <c r="K63" s="28"/>
    </row>
    <row r="64" spans="1:11">
      <c r="A64" s="4">
        <v>51301</v>
      </c>
      <c r="B64" s="2" t="s">
        <v>45</v>
      </c>
      <c r="C64" s="2"/>
      <c r="D64" s="3" t="s">
        <v>94</v>
      </c>
      <c r="E64" s="3" t="s">
        <v>29</v>
      </c>
      <c r="F64" s="3" t="s">
        <v>43</v>
      </c>
      <c r="G64" s="17">
        <f>' MARZO-18-1'!I63</f>
        <v>5000</v>
      </c>
      <c r="H64" s="51"/>
      <c r="I64" s="17">
        <f t="shared" si="0"/>
        <v>5000</v>
      </c>
      <c r="J64" s="27"/>
      <c r="K64" s="29"/>
    </row>
    <row r="65" spans="1:11" ht="25.5">
      <c r="A65" s="4">
        <v>51401</v>
      </c>
      <c r="B65" s="7" t="s">
        <v>128</v>
      </c>
      <c r="C65" s="2"/>
      <c r="D65" s="3" t="s">
        <v>94</v>
      </c>
      <c r="E65" s="3" t="s">
        <v>29</v>
      </c>
      <c r="F65" s="3" t="s">
        <v>43</v>
      </c>
      <c r="G65" s="17">
        <f>' MARZO-18-1'!I64</f>
        <v>2099.1</v>
      </c>
      <c r="H65" s="51"/>
      <c r="I65" s="17">
        <f t="shared" si="0"/>
        <v>2099.1</v>
      </c>
      <c r="J65" s="27"/>
      <c r="K65" s="30"/>
    </row>
    <row r="66" spans="1:11" ht="36">
      <c r="A66" s="4">
        <v>51501</v>
      </c>
      <c r="B66" s="5" t="s">
        <v>141</v>
      </c>
      <c r="C66" s="2"/>
      <c r="D66" s="3" t="s">
        <v>94</v>
      </c>
      <c r="E66" s="3" t="s">
        <v>29</v>
      </c>
      <c r="F66" s="3" t="s">
        <v>43</v>
      </c>
      <c r="G66" s="17">
        <f>' MARZO-18-1'!I65</f>
        <v>1889.16</v>
      </c>
      <c r="H66" s="51"/>
      <c r="I66" s="17">
        <f t="shared" si="0"/>
        <v>1889.16</v>
      </c>
      <c r="J66" s="27"/>
      <c r="K66" s="21"/>
    </row>
    <row r="67" spans="1:11">
      <c r="A67" s="4">
        <v>54104</v>
      </c>
      <c r="B67" s="2" t="s">
        <v>10</v>
      </c>
      <c r="C67" s="2"/>
      <c r="D67" s="3" t="s">
        <v>94</v>
      </c>
      <c r="E67" s="3" t="s">
        <v>29</v>
      </c>
      <c r="F67" s="3" t="s">
        <v>43</v>
      </c>
      <c r="G67" s="17">
        <f>' MARZO-18-1'!I66</f>
        <v>2000</v>
      </c>
      <c r="H67" s="51"/>
      <c r="I67" s="17">
        <f t="shared" si="0"/>
        <v>2000</v>
      </c>
      <c r="J67" s="27"/>
      <c r="K67" s="22"/>
    </row>
    <row r="68" spans="1:11">
      <c r="A68" s="4">
        <v>54105</v>
      </c>
      <c r="B68" s="2" t="s">
        <v>49</v>
      </c>
      <c r="C68" s="2"/>
      <c r="D68" s="3" t="s">
        <v>94</v>
      </c>
      <c r="E68" s="3" t="s">
        <v>29</v>
      </c>
      <c r="F68" s="3" t="s">
        <v>43</v>
      </c>
      <c r="G68" s="17">
        <f>' MARZO-18-1'!I67</f>
        <v>4000</v>
      </c>
      <c r="H68" s="51"/>
      <c r="I68" s="17">
        <f t="shared" si="0"/>
        <v>4000</v>
      </c>
      <c r="J68" s="27"/>
      <c r="K68" s="18"/>
    </row>
    <row r="69" spans="1:11">
      <c r="A69" s="4">
        <v>54114</v>
      </c>
      <c r="B69" s="2" t="s">
        <v>56</v>
      </c>
      <c r="C69" s="2"/>
      <c r="D69" s="3" t="s">
        <v>94</v>
      </c>
      <c r="E69" s="3" t="s">
        <v>29</v>
      </c>
      <c r="F69" s="3" t="s">
        <v>43</v>
      </c>
      <c r="G69" s="17">
        <f>' MARZO-18-1'!I68</f>
        <v>4996.3999999999996</v>
      </c>
      <c r="H69" s="51"/>
      <c r="I69" s="17">
        <f t="shared" si="0"/>
        <v>4996.3999999999996</v>
      </c>
      <c r="J69" s="27"/>
      <c r="K69" s="21"/>
    </row>
    <row r="70" spans="1:11">
      <c r="A70" s="4">
        <v>54115</v>
      </c>
      <c r="B70" s="2" t="s">
        <v>57</v>
      </c>
      <c r="C70" s="2"/>
      <c r="D70" s="3" t="s">
        <v>94</v>
      </c>
      <c r="E70" s="3" t="s">
        <v>29</v>
      </c>
      <c r="F70" s="3" t="s">
        <v>43</v>
      </c>
      <c r="G70" s="17">
        <f>' MARZO-18-1'!I69</f>
        <v>4000</v>
      </c>
      <c r="H70" s="51"/>
      <c r="I70" s="17">
        <f t="shared" si="0"/>
        <v>4000</v>
      </c>
      <c r="J70" s="31"/>
      <c r="K70" s="21"/>
    </row>
    <row r="71" spans="1:11">
      <c r="A71" s="4">
        <v>54401</v>
      </c>
      <c r="B71" s="2" t="s">
        <v>75</v>
      </c>
      <c r="C71" s="2"/>
      <c r="D71" s="3" t="s">
        <v>94</v>
      </c>
      <c r="E71" s="3" t="s">
        <v>29</v>
      </c>
      <c r="F71" s="3" t="s">
        <v>43</v>
      </c>
      <c r="G71" s="17">
        <f>' MARZO-18-1'!I70</f>
        <v>200</v>
      </c>
      <c r="H71" s="51"/>
      <c r="I71" s="17">
        <f t="shared" si="0"/>
        <v>200</v>
      </c>
      <c r="J71" s="27"/>
      <c r="K71" s="21"/>
    </row>
    <row r="72" spans="1:11">
      <c r="A72" s="4">
        <v>54403</v>
      </c>
      <c r="B72" s="2" t="s">
        <v>76</v>
      </c>
      <c r="C72" s="2"/>
      <c r="D72" s="3" t="s">
        <v>94</v>
      </c>
      <c r="E72" s="3" t="s">
        <v>29</v>
      </c>
      <c r="F72" s="3" t="s">
        <v>43</v>
      </c>
      <c r="G72" s="17">
        <f>' MARZO-18-1'!I71</f>
        <v>300</v>
      </c>
      <c r="H72" s="51"/>
      <c r="I72" s="17">
        <f>G72-H72+J72-K72</f>
        <v>300</v>
      </c>
      <c r="J72" s="27"/>
      <c r="K72" s="28"/>
    </row>
    <row r="73" spans="1:11" ht="21" customHeight="1">
      <c r="A73" s="4">
        <v>54507</v>
      </c>
      <c r="B73" s="5" t="s">
        <v>95</v>
      </c>
      <c r="C73" s="2"/>
      <c r="D73" s="3" t="s">
        <v>94</v>
      </c>
      <c r="E73" s="3" t="s">
        <v>29</v>
      </c>
      <c r="F73" s="3" t="s">
        <v>43</v>
      </c>
      <c r="G73" s="17">
        <f>' MARZO-18-1'!I72</f>
        <v>1000</v>
      </c>
      <c r="H73" s="51"/>
      <c r="I73" s="17">
        <f>G73-H73+J73-K73</f>
        <v>1000</v>
      </c>
      <c r="J73" s="32"/>
      <c r="K73" s="28"/>
    </row>
    <row r="74" spans="1:11" ht="21">
      <c r="A74" s="38" t="s">
        <v>8</v>
      </c>
      <c r="B74" s="39" t="s">
        <v>96</v>
      </c>
      <c r="C74" s="39"/>
      <c r="D74" s="39" t="s">
        <v>94</v>
      </c>
      <c r="E74" s="39" t="s">
        <v>29</v>
      </c>
      <c r="F74" s="39" t="s">
        <v>43</v>
      </c>
      <c r="G74" s="17">
        <f>' MARZO-18-1'!I73</f>
        <v>27084.660000000003</v>
      </c>
      <c r="H74" s="95">
        <f>SUM(H62:H73)</f>
        <v>0</v>
      </c>
      <c r="I74" s="40">
        <f>G74-H74+J74-K74</f>
        <v>27084.660000000003</v>
      </c>
      <c r="J74" s="40"/>
      <c r="K74" s="40"/>
    </row>
    <row r="75" spans="1:11">
      <c r="A75" s="4">
        <v>51103</v>
      </c>
      <c r="B75" s="2" t="s">
        <v>174</v>
      </c>
      <c r="C75" s="2"/>
      <c r="D75" s="3" t="s">
        <v>97</v>
      </c>
      <c r="E75" s="3" t="s">
        <v>29</v>
      </c>
      <c r="F75" s="3" t="s">
        <v>43</v>
      </c>
      <c r="G75" s="17">
        <f>' MARZO-18-1'!I74</f>
        <v>100</v>
      </c>
      <c r="H75" s="51"/>
      <c r="I75" s="170">
        <f t="shared" ref="I75:I100" si="1">G75-H75+J75-K75</f>
        <v>100</v>
      </c>
      <c r="J75" s="28"/>
      <c r="K75" s="28"/>
    </row>
    <row r="76" spans="1:11">
      <c r="A76" s="4">
        <v>51107</v>
      </c>
      <c r="B76" s="2" t="s">
        <v>93</v>
      </c>
      <c r="C76" s="2"/>
      <c r="D76" s="3" t="s">
        <v>97</v>
      </c>
      <c r="E76" s="3" t="s">
        <v>29</v>
      </c>
      <c r="F76" s="3" t="s">
        <v>43</v>
      </c>
      <c r="G76" s="17">
        <f>' MARZO-18-1'!I75</f>
        <v>5000</v>
      </c>
      <c r="H76" s="51"/>
      <c r="I76" s="170">
        <f t="shared" si="1"/>
        <v>5000</v>
      </c>
      <c r="J76" s="28"/>
      <c r="K76" s="28"/>
    </row>
    <row r="77" spans="1:11">
      <c r="A77" s="4">
        <v>51201</v>
      </c>
      <c r="B77" s="2" t="s">
        <v>44</v>
      </c>
      <c r="C77" s="2"/>
      <c r="D77" s="3" t="s">
        <v>97</v>
      </c>
      <c r="E77" s="3" t="s">
        <v>29</v>
      </c>
      <c r="F77" s="3" t="s">
        <v>43</v>
      </c>
      <c r="G77" s="17">
        <f>' MARZO-18-1'!I76</f>
        <v>2000</v>
      </c>
      <c r="H77" s="51"/>
      <c r="I77" s="170">
        <f t="shared" si="1"/>
        <v>2000</v>
      </c>
      <c r="J77" s="30"/>
      <c r="K77" s="28"/>
    </row>
    <row r="78" spans="1:11">
      <c r="A78" s="4">
        <v>51301</v>
      </c>
      <c r="B78" s="7" t="s">
        <v>98</v>
      </c>
      <c r="C78" s="2"/>
      <c r="D78" s="3" t="s">
        <v>97</v>
      </c>
      <c r="E78" s="3" t="s">
        <v>29</v>
      </c>
      <c r="F78" s="3" t="s">
        <v>43</v>
      </c>
      <c r="G78" s="17">
        <f>' MARZO-18-1'!I77</f>
        <v>3000</v>
      </c>
      <c r="H78" s="51"/>
      <c r="I78" s="170">
        <f t="shared" si="1"/>
        <v>3000</v>
      </c>
      <c r="J78" s="30"/>
      <c r="K78" s="28"/>
    </row>
    <row r="79" spans="1:11" ht="48.75" customHeight="1">
      <c r="A79" s="4">
        <v>51401</v>
      </c>
      <c r="B79" s="7" t="s">
        <v>134</v>
      </c>
      <c r="C79" s="2"/>
      <c r="D79" s="3" t="s">
        <v>97</v>
      </c>
      <c r="E79" s="3" t="s">
        <v>29</v>
      </c>
      <c r="F79" s="3" t="s">
        <v>43</v>
      </c>
      <c r="G79" s="17">
        <f>' MARZO-18-1'!I78</f>
        <v>9778.74</v>
      </c>
      <c r="H79" s="51"/>
      <c r="I79" s="170">
        <f t="shared" si="1"/>
        <v>9778.74</v>
      </c>
      <c r="J79" s="29"/>
      <c r="K79" s="28"/>
    </row>
    <row r="80" spans="1:11" ht="36">
      <c r="A80" s="4">
        <v>51501</v>
      </c>
      <c r="B80" s="5" t="s">
        <v>127</v>
      </c>
      <c r="C80" s="2"/>
      <c r="D80" s="3" t="s">
        <v>97</v>
      </c>
      <c r="E80" s="3" t="s">
        <v>29</v>
      </c>
      <c r="F80" s="3" t="s">
        <v>43</v>
      </c>
      <c r="G80" s="17">
        <f>' MARZO-18-1'!I79</f>
        <v>7853.28</v>
      </c>
      <c r="H80" s="51"/>
      <c r="I80" s="170">
        <f t="shared" si="1"/>
        <v>7853.28</v>
      </c>
      <c r="J80" s="27"/>
      <c r="K80" s="28"/>
    </row>
    <row r="81" spans="1:11" ht="24" customHeight="1">
      <c r="A81" s="4">
        <v>54104</v>
      </c>
      <c r="B81" s="2" t="s">
        <v>10</v>
      </c>
      <c r="C81" s="2"/>
      <c r="D81" s="3" t="s">
        <v>97</v>
      </c>
      <c r="E81" s="3" t="s">
        <v>29</v>
      </c>
      <c r="F81" s="3" t="s">
        <v>43</v>
      </c>
      <c r="G81" s="17">
        <f>' MARZO-18-1'!I80</f>
        <v>4000</v>
      </c>
      <c r="H81" s="51"/>
      <c r="I81" s="170">
        <f t="shared" si="1"/>
        <v>4000</v>
      </c>
      <c r="J81" s="28"/>
      <c r="K81" s="28"/>
    </row>
    <row r="82" spans="1:11" ht="21.75" customHeight="1">
      <c r="A82" s="4">
        <v>54105</v>
      </c>
      <c r="B82" s="2" t="s">
        <v>49</v>
      </c>
      <c r="C82" s="2"/>
      <c r="D82" s="3" t="s">
        <v>97</v>
      </c>
      <c r="E82" s="3" t="s">
        <v>29</v>
      </c>
      <c r="F82" s="3" t="s">
        <v>43</v>
      </c>
      <c r="G82" s="17">
        <f>' MARZO-18-1'!I81</f>
        <v>2000</v>
      </c>
      <c r="H82" s="51"/>
      <c r="I82" s="170">
        <f t="shared" si="1"/>
        <v>2000</v>
      </c>
      <c r="J82" s="27"/>
      <c r="K82" s="28"/>
    </row>
    <row r="83" spans="1:11" ht="27" customHeight="1">
      <c r="A83" s="4">
        <v>54106</v>
      </c>
      <c r="B83" s="5" t="s">
        <v>99</v>
      </c>
      <c r="C83" s="5"/>
      <c r="D83" s="3" t="s">
        <v>97</v>
      </c>
      <c r="E83" s="3" t="s">
        <v>29</v>
      </c>
      <c r="F83" s="3" t="s">
        <v>43</v>
      </c>
      <c r="G83" s="17">
        <f>' MARZO-18-1'!I82</f>
        <v>1000</v>
      </c>
      <c r="H83" s="51"/>
      <c r="I83" s="170">
        <f t="shared" si="1"/>
        <v>1000</v>
      </c>
      <c r="J83" s="27"/>
      <c r="K83" s="28"/>
    </row>
    <row r="84" spans="1:11" ht="24" customHeight="1">
      <c r="A84" s="4">
        <v>54109</v>
      </c>
      <c r="B84" s="2" t="s">
        <v>52</v>
      </c>
      <c r="C84" s="2"/>
      <c r="D84" s="3" t="s">
        <v>97</v>
      </c>
      <c r="E84" s="3" t="s">
        <v>29</v>
      </c>
      <c r="F84" s="3" t="s">
        <v>43</v>
      </c>
      <c r="G84" s="17">
        <f>' MARZO-18-1'!I83</f>
        <v>500</v>
      </c>
      <c r="H84" s="51"/>
      <c r="I84" s="170">
        <f t="shared" si="1"/>
        <v>500</v>
      </c>
      <c r="J84" s="33"/>
      <c r="K84" s="28"/>
    </row>
    <row r="85" spans="1:11" ht="28.5" customHeight="1">
      <c r="A85" s="4">
        <v>54110</v>
      </c>
      <c r="B85" s="2" t="s">
        <v>53</v>
      </c>
      <c r="C85" s="2"/>
      <c r="D85" s="3" t="s">
        <v>97</v>
      </c>
      <c r="E85" s="3" t="s">
        <v>29</v>
      </c>
      <c r="F85" s="3" t="s">
        <v>43</v>
      </c>
      <c r="G85" s="134">
        <f>' MARZO-18-1'!I84</f>
        <v>9257.32</v>
      </c>
      <c r="H85" s="51">
        <v>1051.97</v>
      </c>
      <c r="I85" s="170">
        <f t="shared" si="1"/>
        <v>8205.35</v>
      </c>
      <c r="J85" s="33"/>
      <c r="K85" s="30"/>
    </row>
    <row r="86" spans="1:11" ht="30.75" customHeight="1">
      <c r="A86" s="4">
        <v>54111</v>
      </c>
      <c r="B86" s="5" t="s">
        <v>54</v>
      </c>
      <c r="C86" s="2"/>
      <c r="D86" s="3" t="s">
        <v>97</v>
      </c>
      <c r="E86" s="3" t="s">
        <v>29</v>
      </c>
      <c r="F86" s="3" t="s">
        <v>43</v>
      </c>
      <c r="G86" s="17">
        <f>' MARZO-18-1'!I85</f>
        <v>1000</v>
      </c>
      <c r="H86" s="51"/>
      <c r="I86" s="170">
        <f t="shared" si="1"/>
        <v>1000</v>
      </c>
      <c r="J86" s="33"/>
      <c r="K86" s="27"/>
    </row>
    <row r="87" spans="1:11" ht="39">
      <c r="A87" s="4">
        <v>54112</v>
      </c>
      <c r="B87" s="5" t="s">
        <v>55</v>
      </c>
      <c r="C87" s="2"/>
      <c r="D87" s="3" t="s">
        <v>97</v>
      </c>
      <c r="E87" s="3" t="s">
        <v>29</v>
      </c>
      <c r="F87" s="3" t="s">
        <v>43</v>
      </c>
      <c r="G87" s="17">
        <f>' MARZO-18-1'!I86</f>
        <v>1000</v>
      </c>
      <c r="H87" s="51"/>
      <c r="I87" s="170">
        <f t="shared" si="1"/>
        <v>1000</v>
      </c>
      <c r="J87" s="33"/>
      <c r="K87" s="28"/>
    </row>
    <row r="88" spans="1:11">
      <c r="A88" s="4">
        <v>54114</v>
      </c>
      <c r="B88" s="2" t="s">
        <v>56</v>
      </c>
      <c r="C88" s="2"/>
      <c r="D88" s="3" t="s">
        <v>97</v>
      </c>
      <c r="E88" s="3" t="s">
        <v>29</v>
      </c>
      <c r="F88" s="3" t="s">
        <v>43</v>
      </c>
      <c r="G88" s="17">
        <f>' MARZO-18-1'!I87</f>
        <v>1000</v>
      </c>
      <c r="H88" s="51"/>
      <c r="I88" s="170">
        <f t="shared" si="1"/>
        <v>1000</v>
      </c>
      <c r="J88" s="27"/>
      <c r="K88" s="28"/>
    </row>
    <row r="89" spans="1:11">
      <c r="A89" s="4">
        <v>54115</v>
      </c>
      <c r="B89" s="2" t="s">
        <v>57</v>
      </c>
      <c r="C89" s="2"/>
      <c r="D89" s="3" t="s">
        <v>97</v>
      </c>
      <c r="E89" s="3" t="s">
        <v>29</v>
      </c>
      <c r="F89" s="3" t="s">
        <v>43</v>
      </c>
      <c r="G89" s="17">
        <f>' MARZO-18-1'!I88</f>
        <v>1000</v>
      </c>
      <c r="H89" s="51"/>
      <c r="I89" s="170">
        <f t="shared" si="1"/>
        <v>1000</v>
      </c>
      <c r="J89" s="33"/>
      <c r="K89" s="28"/>
    </row>
    <row r="90" spans="1:11" ht="27" customHeight="1">
      <c r="A90" s="4">
        <v>54118</v>
      </c>
      <c r="B90" s="5" t="s">
        <v>100</v>
      </c>
      <c r="C90" s="2"/>
      <c r="D90" s="3" t="s">
        <v>97</v>
      </c>
      <c r="E90" s="3" t="s">
        <v>29</v>
      </c>
      <c r="F90" s="3" t="s">
        <v>43</v>
      </c>
      <c r="G90" s="17">
        <f>' MARZO-18-1'!I89</f>
        <v>895.9</v>
      </c>
      <c r="H90" s="51"/>
      <c r="I90" s="170">
        <f t="shared" si="1"/>
        <v>895.9</v>
      </c>
      <c r="J90" s="30"/>
      <c r="K90" s="28"/>
    </row>
    <row r="91" spans="1:11">
      <c r="A91" s="4">
        <v>54119</v>
      </c>
      <c r="B91" s="2" t="s">
        <v>60</v>
      </c>
      <c r="C91" s="2"/>
      <c r="D91" s="3" t="s">
        <v>97</v>
      </c>
      <c r="E91" s="3" t="s">
        <v>29</v>
      </c>
      <c r="F91" s="3" t="s">
        <v>43</v>
      </c>
      <c r="G91" s="17">
        <f>' MARZO-18-1'!I90</f>
        <v>557.20000000000005</v>
      </c>
      <c r="H91" s="51"/>
      <c r="I91" s="170">
        <f t="shared" si="1"/>
        <v>557.20000000000005</v>
      </c>
      <c r="J91" s="30"/>
      <c r="K91" s="28"/>
    </row>
    <row r="92" spans="1:11">
      <c r="A92" s="4">
        <v>54199</v>
      </c>
      <c r="B92" s="2" t="s">
        <v>61</v>
      </c>
      <c r="C92" s="2"/>
      <c r="D92" s="3" t="s">
        <v>97</v>
      </c>
      <c r="E92" s="3" t="s">
        <v>29</v>
      </c>
      <c r="F92" s="3" t="s">
        <v>43</v>
      </c>
      <c r="G92" s="134">
        <f>' MARZO-18-1'!I91</f>
        <v>1260.0999999999999</v>
      </c>
      <c r="H92" s="51">
        <f>16.1+219.75</f>
        <v>235.85</v>
      </c>
      <c r="I92" s="170">
        <f t="shared" si="1"/>
        <v>1024.25</v>
      </c>
      <c r="J92" s="33"/>
      <c r="K92" s="28"/>
    </row>
    <row r="93" spans="1:11">
      <c r="A93" s="4">
        <v>54301</v>
      </c>
      <c r="B93" s="2" t="s">
        <v>66</v>
      </c>
      <c r="C93" s="2"/>
      <c r="D93" s="3" t="s">
        <v>97</v>
      </c>
      <c r="E93" s="3" t="s">
        <v>29</v>
      </c>
      <c r="F93" s="3" t="s">
        <v>43</v>
      </c>
      <c r="G93" s="17">
        <f>' MARZO-18-1'!I92</f>
        <v>200</v>
      </c>
      <c r="H93" s="51"/>
      <c r="I93" s="170">
        <f t="shared" si="1"/>
        <v>200</v>
      </c>
      <c r="J93" s="29"/>
      <c r="K93" s="28"/>
    </row>
    <row r="94" spans="1:11">
      <c r="A94" s="4">
        <v>54302</v>
      </c>
      <c r="B94" s="2" t="s">
        <v>67</v>
      </c>
      <c r="C94" s="2"/>
      <c r="D94" s="3" t="s">
        <v>97</v>
      </c>
      <c r="E94" s="3" t="s">
        <v>29</v>
      </c>
      <c r="F94" s="3" t="s">
        <v>43</v>
      </c>
      <c r="G94" s="17">
        <f>' MARZO-18-1'!I93</f>
        <v>380</v>
      </c>
      <c r="H94" s="51"/>
      <c r="I94" s="170">
        <f t="shared" si="1"/>
        <v>380</v>
      </c>
      <c r="J94" s="27"/>
      <c r="K94" s="28"/>
    </row>
    <row r="95" spans="1:11" ht="24.75" customHeight="1">
      <c r="A95" s="4">
        <v>54314</v>
      </c>
      <c r="B95" s="5" t="s">
        <v>101</v>
      </c>
      <c r="C95" s="2"/>
      <c r="D95" s="3" t="s">
        <v>97</v>
      </c>
      <c r="E95" s="3" t="s">
        <v>29</v>
      </c>
      <c r="F95" s="3" t="s">
        <v>43</v>
      </c>
      <c r="G95" s="134">
        <f>' MARZO-18-1'!I94</f>
        <v>26122.91</v>
      </c>
      <c r="H95" s="51">
        <f>300+725+300+300+1000</f>
        <v>2625</v>
      </c>
      <c r="I95" s="170">
        <f t="shared" si="1"/>
        <v>23497.91</v>
      </c>
      <c r="J95" s="33"/>
      <c r="K95" s="34"/>
    </row>
    <row r="96" spans="1:11">
      <c r="A96" s="4">
        <v>54399</v>
      </c>
      <c r="B96" s="2" t="s">
        <v>74</v>
      </c>
      <c r="C96" s="2"/>
      <c r="D96" s="3" t="s">
        <v>97</v>
      </c>
      <c r="E96" s="3" t="s">
        <v>29</v>
      </c>
      <c r="F96" s="3" t="s">
        <v>43</v>
      </c>
      <c r="G96" s="17">
        <f>' MARZO-18-1'!I95</f>
        <v>97.159999999999854</v>
      </c>
      <c r="H96" s="51">
        <v>60</v>
      </c>
      <c r="I96" s="170">
        <f t="shared" si="1"/>
        <v>37.159999999999854</v>
      </c>
      <c r="J96" s="33"/>
      <c r="K96" s="33"/>
    </row>
    <row r="97" spans="1:11">
      <c r="A97" s="4">
        <v>54401</v>
      </c>
      <c r="B97" s="2" t="s">
        <v>75</v>
      </c>
      <c r="C97" s="2"/>
      <c r="D97" s="3" t="s">
        <v>97</v>
      </c>
      <c r="E97" s="3" t="s">
        <v>29</v>
      </c>
      <c r="F97" s="3" t="s">
        <v>43</v>
      </c>
      <c r="G97" s="17">
        <f>' MARZO-18-1'!I96</f>
        <v>400</v>
      </c>
      <c r="H97" s="51"/>
      <c r="I97" s="170">
        <f t="shared" si="1"/>
        <v>400</v>
      </c>
      <c r="J97" s="34"/>
      <c r="K97" s="28"/>
    </row>
    <row r="98" spans="1:11">
      <c r="A98" s="4">
        <v>54403</v>
      </c>
      <c r="B98" s="2" t="s">
        <v>102</v>
      </c>
      <c r="C98" s="2"/>
      <c r="D98" s="3" t="s">
        <v>97</v>
      </c>
      <c r="E98" s="3" t="s">
        <v>29</v>
      </c>
      <c r="F98" s="3" t="s">
        <v>43</v>
      </c>
      <c r="G98" s="17">
        <f>' MARZO-18-1'!I97</f>
        <v>632.98</v>
      </c>
      <c r="H98" s="51"/>
      <c r="I98" s="170">
        <f t="shared" si="1"/>
        <v>632.98</v>
      </c>
      <c r="J98" s="34"/>
      <c r="K98" s="28"/>
    </row>
    <row r="99" spans="1:11" ht="21.75" customHeight="1">
      <c r="A99" s="4">
        <v>54507</v>
      </c>
      <c r="B99" s="5" t="s">
        <v>103</v>
      </c>
      <c r="C99" s="5"/>
      <c r="D99" s="3" t="s">
        <v>97</v>
      </c>
      <c r="E99" s="3" t="s">
        <v>29</v>
      </c>
      <c r="F99" s="3" t="s">
        <v>43</v>
      </c>
      <c r="G99" s="17">
        <f>' MARZO-18-1'!I98</f>
        <v>500</v>
      </c>
      <c r="H99" s="51"/>
      <c r="I99" s="170">
        <f t="shared" si="1"/>
        <v>500</v>
      </c>
      <c r="J99" s="35"/>
      <c r="K99" s="28"/>
    </row>
    <row r="100" spans="1:11">
      <c r="A100" s="4">
        <v>54699</v>
      </c>
      <c r="B100" s="5" t="s">
        <v>104</v>
      </c>
      <c r="C100" s="2"/>
      <c r="D100" s="3" t="s">
        <v>97</v>
      </c>
      <c r="E100" s="3" t="s">
        <v>29</v>
      </c>
      <c r="F100" s="3" t="s">
        <v>43</v>
      </c>
      <c r="G100" s="17">
        <f>' MARZO-18-1'!I99</f>
        <v>1</v>
      </c>
      <c r="H100" s="51"/>
      <c r="I100" s="170">
        <f t="shared" si="1"/>
        <v>1</v>
      </c>
      <c r="J100" s="27"/>
      <c r="K100" s="28"/>
    </row>
    <row r="101" spans="1:11" ht="21">
      <c r="A101" s="38" t="s">
        <v>8</v>
      </c>
      <c r="B101" s="39" t="s">
        <v>105</v>
      </c>
      <c r="C101" s="39"/>
      <c r="D101" s="39" t="s">
        <v>97</v>
      </c>
      <c r="E101" s="39" t="s">
        <v>29</v>
      </c>
      <c r="F101" s="39" t="s">
        <v>43</v>
      </c>
      <c r="G101" s="17">
        <f>' MARZO-18-1'!I100</f>
        <v>79536.59</v>
      </c>
      <c r="H101" s="95">
        <f>SUM(H75:H100)</f>
        <v>3972.8199999999997</v>
      </c>
      <c r="I101" s="40">
        <f>G101-H101+J101-K101</f>
        <v>75563.76999999999</v>
      </c>
      <c r="J101" s="40"/>
      <c r="K101" s="40"/>
    </row>
    <row r="102" spans="1:11">
      <c r="A102" s="4">
        <v>51101</v>
      </c>
      <c r="B102" s="2" t="s">
        <v>175</v>
      </c>
      <c r="C102" s="2"/>
      <c r="D102" s="3" t="s">
        <v>42</v>
      </c>
      <c r="E102" s="3" t="s">
        <v>29</v>
      </c>
      <c r="F102" s="3" t="s">
        <v>106</v>
      </c>
      <c r="G102" s="17">
        <f>' MARZO-18-1'!I101</f>
        <v>43533.44999999999</v>
      </c>
      <c r="H102" s="51">
        <v>4237.05</v>
      </c>
      <c r="I102" s="17">
        <f t="shared" ref="I102:I142" si="2">G102-H102+J102-K102</f>
        <v>39296.399999999987</v>
      </c>
      <c r="J102" s="28"/>
      <c r="K102" s="30"/>
    </row>
    <row r="103" spans="1:11">
      <c r="A103" s="4">
        <v>51103</v>
      </c>
      <c r="B103" s="2" t="s">
        <v>107</v>
      </c>
      <c r="C103" s="2"/>
      <c r="D103" s="3" t="s">
        <v>42</v>
      </c>
      <c r="E103" s="3" t="s">
        <v>29</v>
      </c>
      <c r="F103" s="3" t="s">
        <v>106</v>
      </c>
      <c r="G103" s="17">
        <f>' MARZO-18-1'!I102</f>
        <v>4687.05</v>
      </c>
      <c r="H103" s="51"/>
      <c r="I103" s="17">
        <f t="shared" si="2"/>
        <v>4687.05</v>
      </c>
      <c r="J103" s="30"/>
      <c r="K103" s="29"/>
    </row>
    <row r="104" spans="1:11">
      <c r="A104" s="4">
        <v>51105</v>
      </c>
      <c r="B104" s="2" t="s">
        <v>176</v>
      </c>
      <c r="C104" s="2"/>
      <c r="D104" s="3" t="s">
        <v>42</v>
      </c>
      <c r="E104" s="3" t="s">
        <v>29</v>
      </c>
      <c r="F104" s="3" t="s">
        <v>106</v>
      </c>
      <c r="G104" s="17">
        <f>' MARZO-18-1'!I103</f>
        <v>27286.059999999998</v>
      </c>
      <c r="H104" s="51">
        <v>7301.68</v>
      </c>
      <c r="I104" s="17">
        <f t="shared" si="2"/>
        <v>19984.379999999997</v>
      </c>
      <c r="J104" s="30"/>
      <c r="K104" s="29"/>
    </row>
    <row r="105" spans="1:11">
      <c r="A105" s="4">
        <v>51201</v>
      </c>
      <c r="B105" s="2" t="s">
        <v>135</v>
      </c>
      <c r="C105" s="2"/>
      <c r="D105" s="3" t="s">
        <v>42</v>
      </c>
      <c r="E105" s="3" t="s">
        <v>29</v>
      </c>
      <c r="F105" s="3" t="s">
        <v>30</v>
      </c>
      <c r="G105" s="17">
        <f>' MARZO-18-1'!I104</f>
        <v>4002</v>
      </c>
      <c r="H105" s="51">
        <v>1334</v>
      </c>
      <c r="I105" s="17">
        <f t="shared" si="2"/>
        <v>2668</v>
      </c>
      <c r="J105" s="30"/>
      <c r="K105" s="29"/>
    </row>
    <row r="106" spans="1:11">
      <c r="A106" s="4">
        <v>51301</v>
      </c>
      <c r="B106" s="2" t="s">
        <v>177</v>
      </c>
      <c r="C106" s="2"/>
      <c r="D106" s="3" t="s">
        <v>42</v>
      </c>
      <c r="E106" s="3" t="s">
        <v>29</v>
      </c>
      <c r="F106" s="3" t="s">
        <v>30</v>
      </c>
      <c r="G106" s="17">
        <f>' MARZO-18-1'!I105</f>
        <v>719.02</v>
      </c>
      <c r="H106" s="51"/>
      <c r="I106" s="17">
        <f t="shared" si="2"/>
        <v>719.02</v>
      </c>
      <c r="J106" s="30"/>
      <c r="K106" s="29"/>
    </row>
    <row r="107" spans="1:11" ht="33.75" customHeight="1">
      <c r="A107" s="4">
        <v>51401</v>
      </c>
      <c r="B107" s="5" t="s">
        <v>128</v>
      </c>
      <c r="C107" s="5"/>
      <c r="D107" s="3" t="s">
        <v>42</v>
      </c>
      <c r="E107" s="3" t="s">
        <v>29</v>
      </c>
      <c r="F107" s="3" t="s">
        <v>106</v>
      </c>
      <c r="G107" s="17">
        <f>' MARZO-18-1'!I106</f>
        <v>1433.6599999999999</v>
      </c>
      <c r="H107" s="51">
        <f>205.28+266.7</f>
        <v>471.98</v>
      </c>
      <c r="I107" s="17">
        <f t="shared" si="2"/>
        <v>961.67999999999984</v>
      </c>
      <c r="J107" s="33"/>
      <c r="K107" s="29"/>
    </row>
    <row r="108" spans="1:11" ht="36">
      <c r="A108" s="4">
        <v>51501</v>
      </c>
      <c r="B108" s="5" t="s">
        <v>168</v>
      </c>
      <c r="C108" s="5"/>
      <c r="D108" s="3" t="s">
        <v>42</v>
      </c>
      <c r="E108" s="3" t="s">
        <v>29</v>
      </c>
      <c r="F108" s="3" t="s">
        <v>106</v>
      </c>
      <c r="G108" s="17">
        <f>' MARZO-18-1'!I107</f>
        <v>2379.2900000000004</v>
      </c>
      <c r="H108" s="51">
        <f>134.61</f>
        <v>134.61000000000001</v>
      </c>
      <c r="I108" s="17">
        <f t="shared" si="2"/>
        <v>2244.6800000000003</v>
      </c>
      <c r="J108" s="33"/>
      <c r="K108" s="29"/>
    </row>
    <row r="109" spans="1:11" ht="27.75" customHeight="1">
      <c r="A109" s="4">
        <v>51999</v>
      </c>
      <c r="B109" s="5" t="s">
        <v>178</v>
      </c>
      <c r="C109" s="5"/>
      <c r="D109" s="3" t="s">
        <v>42</v>
      </c>
      <c r="E109" s="3" t="s">
        <v>29</v>
      </c>
      <c r="F109" s="3" t="s">
        <v>30</v>
      </c>
      <c r="G109" s="17">
        <f>' MARZO-18-1'!I108</f>
        <v>1000</v>
      </c>
      <c r="H109" s="51">
        <f>200</f>
        <v>200</v>
      </c>
      <c r="I109" s="17">
        <f t="shared" si="2"/>
        <v>800</v>
      </c>
      <c r="J109" s="33"/>
      <c r="K109" s="29"/>
    </row>
    <row r="110" spans="1:11">
      <c r="A110" s="4">
        <v>54110</v>
      </c>
      <c r="B110" s="2" t="s">
        <v>108</v>
      </c>
      <c r="C110" s="2"/>
      <c r="D110" s="3" t="s">
        <v>42</v>
      </c>
      <c r="E110" s="3" t="s">
        <v>29</v>
      </c>
      <c r="F110" s="3" t="s">
        <v>30</v>
      </c>
      <c r="G110" s="17">
        <f>' MARZO-18-1'!I109</f>
        <v>1000</v>
      </c>
      <c r="H110" s="51"/>
      <c r="I110" s="17">
        <f t="shared" si="2"/>
        <v>300</v>
      </c>
      <c r="J110" s="33"/>
      <c r="K110" s="29">
        <v>700</v>
      </c>
    </row>
    <row r="111" spans="1:11">
      <c r="A111" s="4">
        <v>54199</v>
      </c>
      <c r="B111" s="2" t="s">
        <v>61</v>
      </c>
      <c r="C111" s="2"/>
      <c r="D111" s="3" t="s">
        <v>42</v>
      </c>
      <c r="E111" s="3" t="s">
        <v>29</v>
      </c>
      <c r="F111" s="3" t="s">
        <v>106</v>
      </c>
      <c r="G111" s="17">
        <f>' MARZO-18-1'!I110</f>
        <v>1000</v>
      </c>
      <c r="H111" s="51"/>
      <c r="I111" s="17">
        <f t="shared" si="2"/>
        <v>1000</v>
      </c>
      <c r="J111" s="35"/>
      <c r="K111" s="29"/>
    </row>
    <row r="112" spans="1:11">
      <c r="A112" s="4">
        <v>54201</v>
      </c>
      <c r="B112" s="2" t="s">
        <v>62</v>
      </c>
      <c r="C112" s="2"/>
      <c r="D112" s="3" t="s">
        <v>42</v>
      </c>
      <c r="E112" s="3" t="s">
        <v>29</v>
      </c>
      <c r="F112" s="3" t="s">
        <v>106</v>
      </c>
      <c r="G112" s="17">
        <f>' MARZO-18-1'!I111</f>
        <v>10331.099999999999</v>
      </c>
      <c r="H112" s="51">
        <f>3036.52</f>
        <v>3036.52</v>
      </c>
      <c r="I112" s="17">
        <f t="shared" si="2"/>
        <v>7294.5799999999981</v>
      </c>
      <c r="J112" s="18"/>
      <c r="K112" s="29"/>
    </row>
    <row r="113" spans="1:11">
      <c r="A113" s="4">
        <v>54202</v>
      </c>
      <c r="B113" s="2" t="s">
        <v>109</v>
      </c>
      <c r="C113" s="2"/>
      <c r="D113" s="3" t="s">
        <v>42</v>
      </c>
      <c r="E113" s="3" t="s">
        <v>29</v>
      </c>
      <c r="F113" s="3" t="s">
        <v>106</v>
      </c>
      <c r="G113" s="17">
        <f>' MARZO-18-1'!I112</f>
        <v>1783.16</v>
      </c>
      <c r="H113" s="51">
        <v>218.4</v>
      </c>
      <c r="I113" s="17">
        <f t="shared" si="2"/>
        <v>1564.76</v>
      </c>
      <c r="J113" s="18"/>
      <c r="K113" s="29"/>
    </row>
    <row r="114" spans="1:11">
      <c r="A114" s="4">
        <v>54203</v>
      </c>
      <c r="B114" s="2" t="s">
        <v>64</v>
      </c>
      <c r="C114" s="2"/>
      <c r="D114" s="3" t="s">
        <v>42</v>
      </c>
      <c r="E114" s="3" t="s">
        <v>29</v>
      </c>
      <c r="F114" s="3" t="s">
        <v>106</v>
      </c>
      <c r="G114" s="17">
        <f>' MARZO-18-1'!I113</f>
        <v>1112.92</v>
      </c>
      <c r="H114" s="51"/>
      <c r="I114" s="17">
        <f t="shared" si="2"/>
        <v>1112.92</v>
      </c>
      <c r="J114" s="18"/>
      <c r="K114" s="29"/>
    </row>
    <row r="115" spans="1:11">
      <c r="A115" s="4">
        <v>54302</v>
      </c>
      <c r="B115" s="5" t="s">
        <v>136</v>
      </c>
      <c r="C115" s="2"/>
      <c r="D115" s="3" t="s">
        <v>42</v>
      </c>
      <c r="E115" s="3" t="s">
        <v>29</v>
      </c>
      <c r="F115" s="3" t="s">
        <v>106</v>
      </c>
      <c r="G115" s="17">
        <f>' MARZO-18-1'!I114</f>
        <v>1</v>
      </c>
      <c r="H115" s="51"/>
      <c r="I115" s="17">
        <f t="shared" si="2"/>
        <v>1</v>
      </c>
      <c r="J115" s="35"/>
      <c r="K115" s="29"/>
    </row>
    <row r="116" spans="1:11" ht="30">
      <c r="A116" s="4">
        <v>54313</v>
      </c>
      <c r="B116" s="5" t="s">
        <v>1054</v>
      </c>
      <c r="C116" s="2"/>
      <c r="D116" s="3" t="s">
        <v>42</v>
      </c>
      <c r="E116" s="3" t="s">
        <v>29</v>
      </c>
      <c r="F116" s="3" t="s">
        <v>106</v>
      </c>
      <c r="G116" s="17"/>
      <c r="H116" s="51">
        <v>648</v>
      </c>
      <c r="I116" s="17">
        <f t="shared" si="2"/>
        <v>52</v>
      </c>
      <c r="J116" s="35">
        <v>700</v>
      </c>
      <c r="K116" s="29"/>
    </row>
    <row r="117" spans="1:11">
      <c r="A117" s="4">
        <v>55603</v>
      </c>
      <c r="B117" s="2" t="s">
        <v>6</v>
      </c>
      <c r="C117" s="2"/>
      <c r="D117" s="3" t="s">
        <v>42</v>
      </c>
      <c r="E117" s="3" t="s">
        <v>29</v>
      </c>
      <c r="F117" s="3" t="s">
        <v>106</v>
      </c>
      <c r="G117" s="17">
        <f>' MARZO-18-1'!I115</f>
        <v>500</v>
      </c>
      <c r="H117" s="51"/>
      <c r="I117" s="17">
        <f t="shared" si="2"/>
        <v>500</v>
      </c>
      <c r="J117" s="35"/>
      <c r="K117" s="29"/>
    </row>
    <row r="118" spans="1:11" ht="24.75" customHeight="1">
      <c r="A118" s="4">
        <v>55799</v>
      </c>
      <c r="B118" s="5" t="s">
        <v>137</v>
      </c>
      <c r="C118" s="2"/>
      <c r="D118" s="3" t="s">
        <v>42</v>
      </c>
      <c r="E118" s="3" t="s">
        <v>29</v>
      </c>
      <c r="F118" s="3" t="s">
        <v>106</v>
      </c>
      <c r="G118" s="17">
        <f>' MARZO-18-1'!I116</f>
        <v>1110.5</v>
      </c>
      <c r="H118" s="51">
        <v>244.75</v>
      </c>
      <c r="I118" s="17">
        <f t="shared" si="2"/>
        <v>865.75</v>
      </c>
      <c r="J118" s="35"/>
      <c r="K118" s="29"/>
    </row>
    <row r="119" spans="1:11" ht="16.5" customHeight="1">
      <c r="A119" s="4" t="s">
        <v>110</v>
      </c>
      <c r="B119" s="5" t="s">
        <v>111</v>
      </c>
      <c r="C119" s="2"/>
      <c r="D119" s="3" t="s">
        <v>42</v>
      </c>
      <c r="E119" s="3" t="s">
        <v>29</v>
      </c>
      <c r="F119" s="3" t="s">
        <v>106</v>
      </c>
      <c r="G119" s="17">
        <f>' MARZO-18-1'!I117</f>
        <v>6600</v>
      </c>
      <c r="H119" s="372">
        <v>600</v>
      </c>
      <c r="I119" s="17">
        <f t="shared" si="2"/>
        <v>6000</v>
      </c>
      <c r="J119" s="35"/>
      <c r="K119" s="35"/>
    </row>
    <row r="120" spans="1:11" ht="15.75" customHeight="1">
      <c r="A120" s="4" t="s">
        <v>112</v>
      </c>
      <c r="B120" s="5" t="s">
        <v>113</v>
      </c>
      <c r="C120" s="2"/>
      <c r="D120" s="3" t="s">
        <v>42</v>
      </c>
      <c r="E120" s="3" t="s">
        <v>29</v>
      </c>
      <c r="F120" s="3" t="s">
        <v>106</v>
      </c>
      <c r="G120" s="17">
        <f>' MARZO-18-1'!I118</f>
        <v>1000</v>
      </c>
      <c r="H120" s="51"/>
      <c r="I120" s="17">
        <f t="shared" si="2"/>
        <v>1000</v>
      </c>
      <c r="J120" s="35"/>
      <c r="K120" s="35"/>
    </row>
    <row r="121" spans="1:11" ht="27">
      <c r="A121" s="4">
        <v>56301</v>
      </c>
      <c r="B121" s="5" t="s">
        <v>114</v>
      </c>
      <c r="C121" s="2"/>
      <c r="D121" s="3" t="s">
        <v>42</v>
      </c>
      <c r="E121" s="3" t="s">
        <v>29</v>
      </c>
      <c r="F121" s="3" t="s">
        <v>106</v>
      </c>
      <c r="G121" s="17">
        <f>' MARZO-18-1'!I119</f>
        <v>2000</v>
      </c>
      <c r="H121" s="51"/>
      <c r="I121" s="17">
        <f t="shared" si="2"/>
        <v>2000</v>
      </c>
      <c r="J121" s="35"/>
      <c r="K121" s="35"/>
    </row>
    <row r="122" spans="1:11" ht="39.75" customHeight="1">
      <c r="A122" s="4"/>
      <c r="B122" s="5" t="s">
        <v>179</v>
      </c>
      <c r="C122" s="2"/>
      <c r="D122" s="3" t="s">
        <v>42</v>
      </c>
      <c r="E122" s="3" t="s">
        <v>29</v>
      </c>
      <c r="F122" s="3" t="s">
        <v>30</v>
      </c>
      <c r="G122" s="17">
        <f>' MARZO-18-1'!I120</f>
        <v>46027.37</v>
      </c>
      <c r="H122" s="51"/>
      <c r="I122" s="17">
        <f t="shared" si="2"/>
        <v>46027.37</v>
      </c>
      <c r="J122" s="29"/>
      <c r="K122" s="30"/>
    </row>
    <row r="123" spans="1:11" ht="21">
      <c r="A123" s="38" t="s">
        <v>8</v>
      </c>
      <c r="B123" s="39" t="s">
        <v>115</v>
      </c>
      <c r="C123" s="39"/>
      <c r="D123" s="39" t="s">
        <v>42</v>
      </c>
      <c r="E123" s="39" t="s">
        <v>29</v>
      </c>
      <c r="F123" s="39" t="s">
        <v>30</v>
      </c>
      <c r="G123" s="17">
        <f>SUM(G102:G122)</f>
        <v>157506.58000000002</v>
      </c>
      <c r="H123" s="95">
        <f>SUM(H102:H122)</f>
        <v>18426.990000000002</v>
      </c>
      <c r="I123" s="40">
        <f>G123-H123+J123-K123</f>
        <v>139079.59000000003</v>
      </c>
      <c r="J123" s="107">
        <f>SUM(J102:J122)</f>
        <v>700</v>
      </c>
      <c r="K123" s="107">
        <f>SUM(K102:K122)</f>
        <v>700</v>
      </c>
    </row>
    <row r="124" spans="1:11">
      <c r="A124" s="4">
        <v>51101</v>
      </c>
      <c r="B124" s="2" t="s">
        <v>180</v>
      </c>
      <c r="C124" s="2"/>
      <c r="D124" s="3" t="s">
        <v>94</v>
      </c>
      <c r="E124" s="3" t="s">
        <v>29</v>
      </c>
      <c r="F124" s="3" t="s">
        <v>106</v>
      </c>
      <c r="G124" s="17">
        <f>' MARZO-18-1'!I122</f>
        <v>67000.580000000016</v>
      </c>
      <c r="H124" s="51">
        <v>5372.98</v>
      </c>
      <c r="I124" s="17">
        <f t="shared" si="2"/>
        <v>61627.60000000002</v>
      </c>
      <c r="J124" s="30"/>
      <c r="K124" s="35"/>
    </row>
    <row r="125" spans="1:11">
      <c r="A125" s="4">
        <v>51103</v>
      </c>
      <c r="B125" s="2" t="s">
        <v>181</v>
      </c>
      <c r="C125" s="2"/>
      <c r="D125" s="3" t="s">
        <v>94</v>
      </c>
      <c r="E125" s="3" t="s">
        <v>29</v>
      </c>
      <c r="F125" s="3" t="s">
        <v>106</v>
      </c>
      <c r="G125" s="17">
        <f>' MARZO-18-1'!I123</f>
        <v>5128.9799999999996</v>
      </c>
      <c r="H125" s="51"/>
      <c r="I125" s="17">
        <f t="shared" si="2"/>
        <v>5128.9799999999996</v>
      </c>
      <c r="J125" s="30"/>
      <c r="K125" s="29"/>
    </row>
    <row r="126" spans="1:11">
      <c r="A126" s="4">
        <v>51201</v>
      </c>
      <c r="B126" s="2" t="s">
        <v>44</v>
      </c>
      <c r="C126" s="2"/>
      <c r="D126" s="3" t="s">
        <v>94</v>
      </c>
      <c r="E126" s="3" t="s">
        <v>29</v>
      </c>
      <c r="F126" s="3" t="s">
        <v>30</v>
      </c>
      <c r="G126" s="17">
        <f>' MARZO-18-1'!I124</f>
        <v>1000</v>
      </c>
      <c r="H126" s="51"/>
      <c r="I126" s="17">
        <f t="shared" si="2"/>
        <v>1000</v>
      </c>
      <c r="J126" s="30"/>
      <c r="K126" s="29"/>
    </row>
    <row r="127" spans="1:11">
      <c r="A127" s="4">
        <v>51301</v>
      </c>
      <c r="B127" s="2" t="s">
        <v>45</v>
      </c>
      <c r="C127" s="2"/>
      <c r="D127" s="3" t="s">
        <v>94</v>
      </c>
      <c r="E127" s="3" t="s">
        <v>29</v>
      </c>
      <c r="F127" s="3" t="s">
        <v>30</v>
      </c>
      <c r="G127" s="17">
        <f>' MARZO-18-1'!I125</f>
        <v>3535.3100000000004</v>
      </c>
      <c r="H127" s="51">
        <f>642+861.88</f>
        <v>1503.88</v>
      </c>
      <c r="I127" s="17">
        <f t="shared" si="2"/>
        <v>2031.4300000000003</v>
      </c>
      <c r="J127" s="30"/>
      <c r="K127" s="29"/>
    </row>
    <row r="128" spans="1:11">
      <c r="A128" s="4">
        <v>51999</v>
      </c>
      <c r="B128" s="2" t="s">
        <v>47</v>
      </c>
      <c r="C128" s="2"/>
      <c r="D128" s="3" t="s">
        <v>94</v>
      </c>
      <c r="E128" s="3" t="s">
        <v>29</v>
      </c>
      <c r="F128" s="3" t="s">
        <v>30</v>
      </c>
      <c r="G128" s="17">
        <f>' MARZO-18-1'!I126</f>
        <v>800</v>
      </c>
      <c r="H128" s="51">
        <v>350</v>
      </c>
      <c r="I128" s="17">
        <f t="shared" si="2"/>
        <v>450</v>
      </c>
      <c r="J128" s="30"/>
      <c r="K128" s="29"/>
    </row>
    <row r="129" spans="1:11" ht="25.5">
      <c r="A129" s="4">
        <v>51401</v>
      </c>
      <c r="B129" s="5" t="s">
        <v>138</v>
      </c>
      <c r="C129" s="2"/>
      <c r="D129" s="3" t="s">
        <v>94</v>
      </c>
      <c r="E129" s="3" t="s">
        <v>29</v>
      </c>
      <c r="F129" s="3" t="s">
        <v>106</v>
      </c>
      <c r="G129" s="17">
        <f>' MARZO-18-1'!I127</f>
        <v>1848.8399999999997</v>
      </c>
      <c r="H129" s="51">
        <f>374.63</f>
        <v>374.63</v>
      </c>
      <c r="I129" s="17">
        <f t="shared" si="2"/>
        <v>1474.2099999999996</v>
      </c>
      <c r="J129" s="35"/>
      <c r="K129" s="34"/>
    </row>
    <row r="130" spans="1:11" ht="33" customHeight="1">
      <c r="A130" s="4">
        <v>51501</v>
      </c>
      <c r="B130" s="5" t="s">
        <v>182</v>
      </c>
      <c r="C130" s="2"/>
      <c r="D130" s="3" t="s">
        <v>94</v>
      </c>
      <c r="E130" s="3" t="s">
        <v>29</v>
      </c>
      <c r="F130" s="3" t="s">
        <v>30</v>
      </c>
      <c r="G130" s="17">
        <f>' MARZO-18-1'!I128</f>
        <v>2621.16</v>
      </c>
      <c r="H130" s="51">
        <f>299.54+175.56</f>
        <v>475.1</v>
      </c>
      <c r="I130" s="17">
        <f t="shared" si="2"/>
        <v>2146.06</v>
      </c>
      <c r="J130" s="35"/>
      <c r="K130" s="27"/>
    </row>
    <row r="131" spans="1:11">
      <c r="A131" s="4">
        <v>54105</v>
      </c>
      <c r="B131" s="2" t="s">
        <v>116</v>
      </c>
      <c r="C131" s="2"/>
      <c r="D131" s="3" t="s">
        <v>94</v>
      </c>
      <c r="E131" s="3" t="s">
        <v>29</v>
      </c>
      <c r="F131" s="3" t="s">
        <v>30</v>
      </c>
      <c r="G131" s="17">
        <f>' MARZO-18-1'!I129</f>
        <v>5000</v>
      </c>
      <c r="H131" s="51"/>
      <c r="I131" s="17">
        <f t="shared" si="2"/>
        <v>5000</v>
      </c>
      <c r="J131" s="30"/>
      <c r="K131" s="29"/>
    </row>
    <row r="132" spans="1:11">
      <c r="A132" s="4">
        <v>54114</v>
      </c>
      <c r="B132" s="2" t="s">
        <v>56</v>
      </c>
      <c r="C132" s="2"/>
      <c r="D132" s="3" t="s">
        <v>94</v>
      </c>
      <c r="E132" s="3" t="s">
        <v>29</v>
      </c>
      <c r="F132" s="3" t="s">
        <v>30</v>
      </c>
      <c r="G132" s="17">
        <f>' MARZO-18-1'!I130</f>
        <v>4648.5</v>
      </c>
      <c r="H132" s="51">
        <f>703.05+441.25</f>
        <v>1144.3</v>
      </c>
      <c r="I132" s="17">
        <f t="shared" si="2"/>
        <v>3504.2</v>
      </c>
      <c r="J132" s="35"/>
      <c r="K132" s="35"/>
    </row>
    <row r="133" spans="1:11">
      <c r="A133" s="4">
        <v>54115</v>
      </c>
      <c r="B133" s="2" t="s">
        <v>57</v>
      </c>
      <c r="C133" s="2"/>
      <c r="D133" s="3" t="s">
        <v>94</v>
      </c>
      <c r="E133" s="3" t="s">
        <v>29</v>
      </c>
      <c r="F133" s="3" t="s">
        <v>30</v>
      </c>
      <c r="G133" s="17">
        <f>' MARZO-18-1'!I131</f>
        <v>7425.5</v>
      </c>
      <c r="H133" s="51">
        <f>1377+688.5</f>
        <v>2065.5</v>
      </c>
      <c r="I133" s="17">
        <f t="shared" si="2"/>
        <v>5360</v>
      </c>
      <c r="J133" s="29"/>
      <c r="K133" s="28"/>
    </row>
    <row r="134" spans="1:11" ht="21">
      <c r="A134" s="38" t="s">
        <v>8</v>
      </c>
      <c r="B134" s="39" t="s">
        <v>117</v>
      </c>
      <c r="C134" s="39"/>
      <c r="D134" s="39" t="s">
        <v>94</v>
      </c>
      <c r="E134" s="39" t="s">
        <v>29</v>
      </c>
      <c r="F134" s="39" t="s">
        <v>30</v>
      </c>
      <c r="G134" s="17">
        <f>' MARZO-18-1'!I132</f>
        <v>99008.870000000024</v>
      </c>
      <c r="H134" s="95">
        <f>SUM(H124:H133)</f>
        <v>11286.39</v>
      </c>
      <c r="I134" s="40">
        <f>G134-H134+J134-K134</f>
        <v>87722.480000000025</v>
      </c>
      <c r="J134" s="40"/>
      <c r="K134" s="40"/>
    </row>
    <row r="135" spans="1:11">
      <c r="A135" s="4">
        <v>51101</v>
      </c>
      <c r="B135" s="2" t="s">
        <v>183</v>
      </c>
      <c r="C135" s="2"/>
      <c r="D135" s="3" t="s">
        <v>97</v>
      </c>
      <c r="E135" s="3" t="s">
        <v>29</v>
      </c>
      <c r="F135" s="3" t="s">
        <v>106</v>
      </c>
      <c r="G135" s="17">
        <f>' MARZO-18-1'!I133</f>
        <v>178744.01</v>
      </c>
      <c r="H135" s="51">
        <v>18145.669999999998</v>
      </c>
      <c r="I135" s="17">
        <f t="shared" si="2"/>
        <v>160598.34000000003</v>
      </c>
      <c r="J135" s="30"/>
      <c r="K135" s="35"/>
    </row>
    <row r="136" spans="1:11">
      <c r="A136" s="4">
        <v>51103</v>
      </c>
      <c r="B136" s="2" t="s">
        <v>118</v>
      </c>
      <c r="C136" s="2"/>
      <c r="D136" s="3" t="s">
        <v>97</v>
      </c>
      <c r="E136" s="3" t="s">
        <v>29</v>
      </c>
      <c r="F136" s="3" t="s">
        <v>106</v>
      </c>
      <c r="G136" s="17">
        <f>' MARZO-18-1'!I134</f>
        <v>19385.310000000001</v>
      </c>
      <c r="H136" s="51"/>
      <c r="I136" s="248">
        <f>G136-H136+J136-K136</f>
        <v>19385.310000000001</v>
      </c>
      <c r="J136" s="30"/>
      <c r="K136" s="30"/>
    </row>
    <row r="137" spans="1:11">
      <c r="A137" s="4">
        <v>51107</v>
      </c>
      <c r="B137" s="2" t="s">
        <v>184</v>
      </c>
      <c r="C137" s="2"/>
      <c r="D137" s="3" t="s">
        <v>97</v>
      </c>
      <c r="E137" s="3" t="s">
        <v>29</v>
      </c>
      <c r="F137" s="3" t="s">
        <v>30</v>
      </c>
      <c r="G137" s="17">
        <f>' MARZO-18-1'!I135</f>
        <v>2000</v>
      </c>
      <c r="H137" s="51">
        <v>214.5</v>
      </c>
      <c r="I137" s="17">
        <f t="shared" si="2"/>
        <v>1785.5</v>
      </c>
      <c r="J137" s="30"/>
      <c r="K137" s="27"/>
    </row>
    <row r="138" spans="1:11">
      <c r="A138" s="4">
        <v>51201</v>
      </c>
      <c r="B138" s="2" t="s">
        <v>119</v>
      </c>
      <c r="C138" s="2"/>
      <c r="D138" s="3" t="s">
        <v>97</v>
      </c>
      <c r="E138" s="3" t="s">
        <v>29</v>
      </c>
      <c r="F138" s="3" t="s">
        <v>30</v>
      </c>
      <c r="G138" s="17">
        <f>' MARZO-18-1'!I136</f>
        <v>2000</v>
      </c>
      <c r="H138" s="51">
        <v>183.33</v>
      </c>
      <c r="I138" s="17">
        <f t="shared" si="2"/>
        <v>1516.67</v>
      </c>
      <c r="J138" s="30"/>
      <c r="K138" s="277">
        <v>300</v>
      </c>
    </row>
    <row r="139" spans="1:11">
      <c r="A139" s="4">
        <v>51301</v>
      </c>
      <c r="B139" s="2" t="s">
        <v>45</v>
      </c>
      <c r="C139" s="2"/>
      <c r="D139" s="3" t="s">
        <v>97</v>
      </c>
      <c r="E139" s="3" t="s">
        <v>29</v>
      </c>
      <c r="F139" s="3" t="s">
        <v>106</v>
      </c>
      <c r="G139" s="17">
        <f>' MARZO-18-1'!I137</f>
        <v>3017.3799999999992</v>
      </c>
      <c r="H139" s="51">
        <f>128+153.96+385+390+198.12+139.5+209.7+119+46.67+128.3+103.3+103.3+103.3+103.3+110</f>
        <v>2421.4500000000003</v>
      </c>
      <c r="I139" s="17">
        <f t="shared" si="2"/>
        <v>595.92999999999893</v>
      </c>
      <c r="J139" s="20"/>
      <c r="K139" s="35"/>
    </row>
    <row r="140" spans="1:11" ht="34.5" customHeight="1">
      <c r="A140" s="4">
        <v>51401</v>
      </c>
      <c r="B140" s="5" t="s">
        <v>139</v>
      </c>
      <c r="C140" s="2"/>
      <c r="D140" s="3" t="s">
        <v>97</v>
      </c>
      <c r="E140" s="3" t="s">
        <v>29</v>
      </c>
      <c r="F140" s="3" t="s">
        <v>106</v>
      </c>
      <c r="G140" s="17">
        <f>' MARZO-18-1'!I138</f>
        <v>6638.52</v>
      </c>
      <c r="H140" s="51">
        <f>1255.76+42.9</f>
        <v>1298.6600000000001</v>
      </c>
      <c r="I140" s="17">
        <f t="shared" si="2"/>
        <v>5339.8600000000006</v>
      </c>
      <c r="J140" s="35"/>
      <c r="K140" s="35"/>
    </row>
    <row r="141" spans="1:11" ht="45" customHeight="1">
      <c r="A141" s="4">
        <v>51501</v>
      </c>
      <c r="B141" s="5" t="s">
        <v>185</v>
      </c>
      <c r="C141" s="2"/>
      <c r="D141" s="3" t="s">
        <v>97</v>
      </c>
      <c r="E141" s="3" t="s">
        <v>29</v>
      </c>
      <c r="F141" s="3" t="s">
        <v>106</v>
      </c>
      <c r="G141" s="17">
        <f>' MARZO-18-1'!I139</f>
        <v>7547.8899999999994</v>
      </c>
      <c r="H141" s="51">
        <f>794.92+449.24</f>
        <v>1244.1599999999999</v>
      </c>
      <c r="I141" s="17">
        <f t="shared" si="2"/>
        <v>6303.73</v>
      </c>
      <c r="J141" s="35"/>
      <c r="K141" s="35"/>
    </row>
    <row r="142" spans="1:11" ht="20.25" customHeight="1">
      <c r="A142" s="4">
        <v>54110</v>
      </c>
      <c r="B142" s="5" t="s">
        <v>108</v>
      </c>
      <c r="C142" s="2"/>
      <c r="D142" s="3" t="s">
        <v>97</v>
      </c>
      <c r="E142" s="3" t="s">
        <v>29</v>
      </c>
      <c r="F142" s="3" t="s">
        <v>106</v>
      </c>
      <c r="G142" s="17">
        <f>' MARZO-18-1'!I140</f>
        <v>1</v>
      </c>
      <c r="H142" s="51"/>
      <c r="I142" s="17">
        <f t="shared" si="2"/>
        <v>1</v>
      </c>
      <c r="J142" s="35"/>
      <c r="K142" s="35"/>
    </row>
    <row r="143" spans="1:11">
      <c r="A143" s="4">
        <v>54121</v>
      </c>
      <c r="B143" s="2" t="s">
        <v>120</v>
      </c>
      <c r="C143" s="2"/>
      <c r="D143" s="3" t="s">
        <v>97</v>
      </c>
      <c r="E143" s="3" t="s">
        <v>29</v>
      </c>
      <c r="F143" s="3" t="s">
        <v>106</v>
      </c>
      <c r="G143" s="17">
        <f>' MARZO-18-1'!I141</f>
        <v>857</v>
      </c>
      <c r="H143" s="51"/>
      <c r="I143" s="17">
        <f>G143-H143+J143-K143</f>
        <v>857</v>
      </c>
      <c r="J143" s="35"/>
      <c r="K143" s="29"/>
    </row>
    <row r="144" spans="1:11">
      <c r="A144" s="4">
        <v>54301</v>
      </c>
      <c r="B144" s="2" t="s">
        <v>140</v>
      </c>
      <c r="C144" s="2"/>
      <c r="D144" s="3" t="s">
        <v>97</v>
      </c>
      <c r="E144" s="3" t="s">
        <v>29</v>
      </c>
      <c r="F144" s="3" t="s">
        <v>106</v>
      </c>
      <c r="G144" s="17">
        <f>' MARZO-18-1'!I142</f>
        <v>1</v>
      </c>
      <c r="H144" s="51"/>
      <c r="I144" s="17">
        <f>G144-H144+J144-K144</f>
        <v>1</v>
      </c>
      <c r="J144" s="35"/>
      <c r="K144" s="29"/>
    </row>
    <row r="145" spans="1:11">
      <c r="A145" s="4">
        <v>54302</v>
      </c>
      <c r="B145" s="2" t="s">
        <v>121</v>
      </c>
      <c r="C145" s="2"/>
      <c r="D145" s="3" t="s">
        <v>122</v>
      </c>
      <c r="E145" s="3" t="s">
        <v>29</v>
      </c>
      <c r="F145" s="3" t="s">
        <v>30</v>
      </c>
      <c r="G145" s="17">
        <f>' MARZO-18-1'!I143</f>
        <v>1</v>
      </c>
      <c r="H145" s="51"/>
      <c r="I145" s="17">
        <f>G145-H145+J145-K145</f>
        <v>1</v>
      </c>
      <c r="J145" s="35"/>
      <c r="K145" s="29"/>
    </row>
    <row r="146" spans="1:11" ht="45">
      <c r="A146" s="4">
        <v>54501</v>
      </c>
      <c r="B146" s="7" t="s">
        <v>1055</v>
      </c>
      <c r="C146" s="2"/>
      <c r="D146" s="3" t="s">
        <v>122</v>
      </c>
      <c r="E146" s="3" t="s">
        <v>29</v>
      </c>
      <c r="F146" s="3" t="s">
        <v>30</v>
      </c>
      <c r="G146" s="17"/>
      <c r="H146" s="51">
        <v>275</v>
      </c>
      <c r="I146" s="17">
        <f>G146-H146+J146-K146</f>
        <v>25</v>
      </c>
      <c r="J146" s="22">
        <v>300</v>
      </c>
      <c r="K146" s="29"/>
    </row>
    <row r="147" spans="1:11" ht="21">
      <c r="A147" s="38" t="s">
        <v>8</v>
      </c>
      <c r="B147" s="39" t="s">
        <v>123</v>
      </c>
      <c r="C147" s="39"/>
      <c r="D147" s="39" t="s">
        <v>97</v>
      </c>
      <c r="E147" s="39" t="s">
        <v>29</v>
      </c>
      <c r="F147" s="39" t="s">
        <v>30</v>
      </c>
      <c r="G147" s="17">
        <f>SUM(G135:G146)</f>
        <v>220193.11</v>
      </c>
      <c r="H147" s="95">
        <f>SUM(H135:H146)</f>
        <v>23782.77</v>
      </c>
      <c r="I147" s="40">
        <f>G147-H147+J147-K147</f>
        <v>196410.34</v>
      </c>
      <c r="J147" s="40">
        <f>SUM(J138:J146)</f>
        <v>300</v>
      </c>
      <c r="K147" s="40">
        <f>SUM(K138:K146)</f>
        <v>300</v>
      </c>
    </row>
    <row r="148" spans="1:11">
      <c r="A148" s="1">
        <v>54305</v>
      </c>
      <c r="B148" s="2" t="s">
        <v>0</v>
      </c>
      <c r="C148" s="2"/>
      <c r="D148" s="3" t="s">
        <v>1</v>
      </c>
      <c r="E148" s="3" t="s">
        <v>25</v>
      </c>
      <c r="F148" s="3" t="s">
        <v>26</v>
      </c>
      <c r="G148" s="17">
        <f>' MARZO-18-1'!I145</f>
        <v>1500</v>
      </c>
      <c r="H148" s="51"/>
      <c r="I148" s="17">
        <f t="shared" ref="I148:I272" si="3">G148-H148+J148-K148</f>
        <v>1500</v>
      </c>
      <c r="J148" s="37"/>
      <c r="K148" s="36"/>
    </row>
    <row r="149" spans="1:11" ht="30.75" customHeight="1">
      <c r="A149" s="4">
        <v>54313</v>
      </c>
      <c r="B149" s="5" t="s">
        <v>2</v>
      </c>
      <c r="C149" s="5"/>
      <c r="D149" s="3" t="s">
        <v>1</v>
      </c>
      <c r="E149" s="3" t="s">
        <v>25</v>
      </c>
      <c r="F149" s="3" t="s">
        <v>26</v>
      </c>
      <c r="G149" s="17">
        <f>' MARZO-18-1'!I146</f>
        <v>1246.32</v>
      </c>
      <c r="H149" s="51"/>
      <c r="I149" s="17">
        <f t="shared" si="3"/>
        <v>1246.32</v>
      </c>
      <c r="J149" s="37"/>
      <c r="K149" s="36"/>
    </row>
    <row r="150" spans="1:11">
      <c r="A150" s="4">
        <v>54503</v>
      </c>
      <c r="B150" s="5" t="s">
        <v>3</v>
      </c>
      <c r="C150" s="2"/>
      <c r="D150" s="3" t="s">
        <v>1</v>
      </c>
      <c r="E150" s="3" t="s">
        <v>25</v>
      </c>
      <c r="F150" s="3" t="s">
        <v>26</v>
      </c>
      <c r="G150" s="17">
        <f>' MARZO-18-1'!I147</f>
        <v>2000</v>
      </c>
      <c r="H150" s="51"/>
      <c r="I150" s="17">
        <f t="shared" si="3"/>
        <v>2000</v>
      </c>
      <c r="J150" s="37"/>
      <c r="K150" s="36"/>
    </row>
    <row r="151" spans="1:11">
      <c r="A151" s="4">
        <v>54505</v>
      </c>
      <c r="B151" s="2" t="s">
        <v>4</v>
      </c>
      <c r="C151" s="2"/>
      <c r="D151" s="3" t="s">
        <v>1</v>
      </c>
      <c r="E151" s="3" t="s">
        <v>25</v>
      </c>
      <c r="F151" s="3" t="s">
        <v>27</v>
      </c>
      <c r="G151" s="17">
        <f>' MARZO-18-1'!I148</f>
        <v>2000</v>
      </c>
      <c r="H151" s="51"/>
      <c r="I151" s="17">
        <f t="shared" si="3"/>
        <v>2000</v>
      </c>
      <c r="J151" s="37"/>
      <c r="K151" s="36"/>
    </row>
    <row r="152" spans="1:11" ht="30">
      <c r="A152" s="11">
        <v>54599</v>
      </c>
      <c r="B152" s="54" t="s">
        <v>5</v>
      </c>
      <c r="C152" s="68"/>
      <c r="D152" s="14" t="s">
        <v>1</v>
      </c>
      <c r="E152" s="14" t="s">
        <v>25</v>
      </c>
      <c r="F152" s="14" t="s">
        <v>27</v>
      </c>
      <c r="G152" s="17">
        <f>' MARZO-18-1'!I149</f>
        <v>367.60999999999967</v>
      </c>
      <c r="H152" s="51"/>
      <c r="I152" s="17">
        <f t="shared" si="3"/>
        <v>367.60999999999967</v>
      </c>
      <c r="J152" s="62"/>
      <c r="K152" s="63"/>
    </row>
    <row r="153" spans="1:11">
      <c r="A153" s="11">
        <v>55603</v>
      </c>
      <c r="B153" s="54" t="s">
        <v>6</v>
      </c>
      <c r="C153" s="55"/>
      <c r="D153" s="14" t="s">
        <v>1</v>
      </c>
      <c r="E153" s="14" t="s">
        <v>25</v>
      </c>
      <c r="F153" s="14" t="s">
        <v>26</v>
      </c>
      <c r="G153" s="17">
        <f>' MARZO-18-1'!I150</f>
        <v>98.7</v>
      </c>
      <c r="H153" s="51"/>
      <c r="I153" s="17">
        <f t="shared" si="3"/>
        <v>98.7</v>
      </c>
      <c r="J153" s="64"/>
      <c r="K153" s="65"/>
    </row>
    <row r="154" spans="1:11" ht="26.25">
      <c r="A154" s="4">
        <v>61599</v>
      </c>
      <c r="B154" s="5" t="s">
        <v>7</v>
      </c>
      <c r="C154" s="5"/>
      <c r="D154" s="3" t="s">
        <v>1</v>
      </c>
      <c r="E154" s="3" t="s">
        <v>25</v>
      </c>
      <c r="F154" s="3" t="s">
        <v>26</v>
      </c>
      <c r="G154" s="17">
        <f>' MARZO-18-1'!I151</f>
        <v>1333.34</v>
      </c>
      <c r="H154" s="51"/>
      <c r="I154" s="17">
        <f t="shared" si="3"/>
        <v>1333.34</v>
      </c>
      <c r="J154" s="37"/>
      <c r="K154" s="36"/>
    </row>
    <row r="155" spans="1:11" ht="21">
      <c r="A155" s="38" t="s">
        <v>8</v>
      </c>
      <c r="B155" s="39" t="s">
        <v>9</v>
      </c>
      <c r="C155" s="39"/>
      <c r="D155" s="39" t="s">
        <v>1</v>
      </c>
      <c r="E155" s="39" t="s">
        <v>25</v>
      </c>
      <c r="F155" s="39" t="s">
        <v>27</v>
      </c>
      <c r="G155" s="17">
        <f>' MARZO-18-1'!I152</f>
        <v>8545.9699999999993</v>
      </c>
      <c r="H155" s="95">
        <f>SUM(H148:H154)</f>
        <v>0</v>
      </c>
      <c r="I155" s="40">
        <f>G155-H155+J155-K155</f>
        <v>8545.9699999999993</v>
      </c>
      <c r="J155" s="40"/>
      <c r="K155" s="40"/>
    </row>
    <row r="156" spans="1:11" ht="28.5" customHeight="1">
      <c r="A156" s="4">
        <v>54104</v>
      </c>
      <c r="B156" s="7" t="s">
        <v>186</v>
      </c>
      <c r="C156" s="6"/>
      <c r="D156" s="3" t="s">
        <v>11</v>
      </c>
      <c r="E156" s="3" t="s">
        <v>25</v>
      </c>
      <c r="F156" s="3" t="s">
        <v>26</v>
      </c>
      <c r="G156" s="17">
        <f>' MARZO-18-1'!I153</f>
        <v>3000</v>
      </c>
      <c r="H156" s="51"/>
      <c r="I156" s="17">
        <f t="shared" si="3"/>
        <v>3000</v>
      </c>
      <c r="J156" s="37"/>
      <c r="K156" s="36"/>
    </row>
    <row r="157" spans="1:11" ht="44.25" customHeight="1">
      <c r="A157" s="4">
        <v>54117</v>
      </c>
      <c r="B157" s="7" t="s">
        <v>187</v>
      </c>
      <c r="C157" s="6"/>
      <c r="D157" s="3" t="s">
        <v>11</v>
      </c>
      <c r="E157" s="3" t="s">
        <v>25</v>
      </c>
      <c r="F157" s="3" t="s">
        <v>26</v>
      </c>
      <c r="G157" s="17">
        <f>' MARZO-18-1'!I154</f>
        <v>1500</v>
      </c>
      <c r="H157" s="51"/>
      <c r="I157" s="17">
        <f t="shared" si="3"/>
        <v>1500</v>
      </c>
      <c r="J157" s="37"/>
      <c r="K157" s="36"/>
    </row>
    <row r="158" spans="1:11" ht="30.75" customHeight="1">
      <c r="A158" s="4">
        <v>55603</v>
      </c>
      <c r="B158" s="5" t="s">
        <v>13</v>
      </c>
      <c r="C158" s="6"/>
      <c r="D158" s="3" t="s">
        <v>11</v>
      </c>
      <c r="E158" s="3" t="s">
        <v>25</v>
      </c>
      <c r="F158" s="3" t="s">
        <v>26</v>
      </c>
      <c r="G158" s="17">
        <f>' MARZO-18-1'!I155</f>
        <v>994.80000000000007</v>
      </c>
      <c r="H158" s="51"/>
      <c r="I158" s="17">
        <f t="shared" si="3"/>
        <v>994.80000000000007</v>
      </c>
      <c r="J158" s="37"/>
      <c r="K158" s="36"/>
    </row>
    <row r="159" spans="1:11" ht="30.75" customHeight="1">
      <c r="A159" s="66" t="s">
        <v>14</v>
      </c>
      <c r="B159" s="67" t="s">
        <v>188</v>
      </c>
      <c r="C159" s="55"/>
      <c r="D159" s="14" t="s">
        <v>11</v>
      </c>
      <c r="E159" s="14" t="s">
        <v>25</v>
      </c>
      <c r="F159" s="50" t="s">
        <v>26</v>
      </c>
      <c r="G159" s="17">
        <f>' MARZO-18-1'!I156</f>
        <v>9500</v>
      </c>
      <c r="H159" s="51"/>
      <c r="I159" s="50">
        <f t="shared" si="3"/>
        <v>9500</v>
      </c>
      <c r="J159" s="65"/>
      <c r="K159" s="54"/>
    </row>
    <row r="160" spans="1:11" ht="36.75" customHeight="1">
      <c r="A160" s="11">
        <v>61104</v>
      </c>
      <c r="B160" s="54" t="s">
        <v>189</v>
      </c>
      <c r="C160" s="55"/>
      <c r="D160" s="14" t="s">
        <v>11</v>
      </c>
      <c r="E160" s="14" t="s">
        <v>25</v>
      </c>
      <c r="F160" s="14" t="s">
        <v>27</v>
      </c>
      <c r="G160" s="17">
        <f>' MARZO-18-1'!I157</f>
        <v>10084.25</v>
      </c>
      <c r="H160" s="51">
        <f>95</f>
        <v>95</v>
      </c>
      <c r="I160" s="17">
        <f t="shared" si="3"/>
        <v>9989.25</v>
      </c>
      <c r="J160" s="62"/>
      <c r="K160" s="63"/>
    </row>
    <row r="161" spans="1:11" ht="31.5" customHeight="1">
      <c r="A161" s="11">
        <v>61109</v>
      </c>
      <c r="B161" s="54" t="s">
        <v>190</v>
      </c>
      <c r="C161" s="55"/>
      <c r="D161" s="14" t="s">
        <v>11</v>
      </c>
      <c r="E161" s="14" t="s">
        <v>25</v>
      </c>
      <c r="F161" s="14" t="s">
        <v>26</v>
      </c>
      <c r="G161" s="17">
        <f>' MARZO-18-1'!I158</f>
        <v>10000</v>
      </c>
      <c r="H161" s="51"/>
      <c r="I161" s="17">
        <f t="shared" si="3"/>
        <v>10000</v>
      </c>
      <c r="J161" s="62"/>
      <c r="K161" s="63"/>
    </row>
    <row r="162" spans="1:11" ht="30.75" customHeight="1">
      <c r="A162" s="11" t="s">
        <v>160</v>
      </c>
      <c r="B162" s="54" t="s">
        <v>194</v>
      </c>
      <c r="C162" s="55"/>
      <c r="D162" s="14" t="s">
        <v>11</v>
      </c>
      <c r="E162" s="14" t="s">
        <v>25</v>
      </c>
      <c r="F162" s="14" t="s">
        <v>26</v>
      </c>
      <c r="G162" s="17">
        <f>' MARZO-18-1'!I159</f>
        <v>0</v>
      </c>
      <c r="H162" s="51"/>
      <c r="I162" s="17">
        <f t="shared" si="3"/>
        <v>0</v>
      </c>
      <c r="J162" s="62"/>
      <c r="K162" s="63"/>
    </row>
    <row r="163" spans="1:11" ht="27.75" customHeight="1">
      <c r="A163" s="11" t="s">
        <v>191</v>
      </c>
      <c r="B163" s="54" t="s">
        <v>195</v>
      </c>
      <c r="C163" s="55"/>
      <c r="D163" s="14" t="s">
        <v>11</v>
      </c>
      <c r="E163" s="14" t="s">
        <v>25</v>
      </c>
      <c r="F163" s="14" t="s">
        <v>26</v>
      </c>
      <c r="G163" s="17">
        <f>' MARZO-18-1'!I160</f>
        <v>15000</v>
      </c>
      <c r="H163" s="51"/>
      <c r="I163" s="17">
        <f t="shared" si="3"/>
        <v>15000</v>
      </c>
      <c r="J163" s="64"/>
      <c r="K163" s="65"/>
    </row>
    <row r="164" spans="1:11" ht="31.5" customHeight="1">
      <c r="A164" s="11" t="s">
        <v>192</v>
      </c>
      <c r="B164" s="53" t="s">
        <v>196</v>
      </c>
      <c r="C164" s="8"/>
      <c r="D164" s="3" t="s">
        <v>11</v>
      </c>
      <c r="E164" s="3" t="s">
        <v>25</v>
      </c>
      <c r="F164" s="3" t="s">
        <v>26</v>
      </c>
      <c r="G164" s="17">
        <f>' MARZO-18-1'!I161</f>
        <v>10000</v>
      </c>
      <c r="H164" s="51"/>
      <c r="I164" s="17">
        <f t="shared" si="3"/>
        <v>10000</v>
      </c>
      <c r="J164" s="45"/>
      <c r="K164" s="46"/>
    </row>
    <row r="165" spans="1:11" ht="45" customHeight="1">
      <c r="A165" s="11" t="s">
        <v>193</v>
      </c>
      <c r="B165" s="53" t="s">
        <v>197</v>
      </c>
      <c r="C165" s="8"/>
      <c r="D165" s="3" t="s">
        <v>11</v>
      </c>
      <c r="E165" s="3" t="s">
        <v>25</v>
      </c>
      <c r="F165" s="3" t="s">
        <v>26</v>
      </c>
      <c r="G165" s="17">
        <f>' MARZO-18-1'!I162</f>
        <v>10000</v>
      </c>
      <c r="H165" s="51"/>
      <c r="I165" s="17">
        <f t="shared" si="3"/>
        <v>10000</v>
      </c>
      <c r="J165" s="45"/>
      <c r="K165" s="46"/>
    </row>
    <row r="166" spans="1:11" ht="42.75" customHeight="1">
      <c r="A166" s="11" t="s">
        <v>198</v>
      </c>
      <c r="B166" s="53" t="s">
        <v>1029</v>
      </c>
      <c r="C166" s="6"/>
      <c r="D166" s="3" t="s">
        <v>11</v>
      </c>
      <c r="E166" s="3" t="s">
        <v>25</v>
      </c>
      <c r="F166" s="3" t="s">
        <v>26</v>
      </c>
      <c r="G166" s="17">
        <f>' MARZO-18-1'!I163</f>
        <v>14000</v>
      </c>
      <c r="H166" s="51"/>
      <c r="I166" s="17">
        <f t="shared" si="3"/>
        <v>14000</v>
      </c>
      <c r="J166" s="45"/>
      <c r="K166" s="46"/>
    </row>
    <row r="167" spans="1:11" ht="85.5">
      <c r="A167" s="144" t="s">
        <v>200</v>
      </c>
      <c r="B167" s="54" t="s">
        <v>202</v>
      </c>
      <c r="C167" s="55" t="s">
        <v>1037</v>
      </c>
      <c r="D167" s="14" t="s">
        <v>11</v>
      </c>
      <c r="E167" s="14" t="s">
        <v>25</v>
      </c>
      <c r="F167" s="14" t="s">
        <v>26</v>
      </c>
      <c r="G167" s="17">
        <f>' MARZO-18-1'!I164</f>
        <v>0</v>
      </c>
      <c r="H167" s="51"/>
      <c r="I167" s="17">
        <f t="shared" si="3"/>
        <v>0</v>
      </c>
      <c r="J167" s="64"/>
      <c r="K167" s="261"/>
    </row>
    <row r="168" spans="1:11" ht="36.75" customHeight="1">
      <c r="A168" s="11" t="s">
        <v>556</v>
      </c>
      <c r="B168" s="145" t="s">
        <v>1030</v>
      </c>
      <c r="C168" s="55" t="s">
        <v>1037</v>
      </c>
      <c r="D168" s="14" t="s">
        <v>11</v>
      </c>
      <c r="E168" s="14" t="s">
        <v>25</v>
      </c>
      <c r="F168" s="14" t="s">
        <v>26</v>
      </c>
      <c r="G168" s="17">
        <f>' MARZO-18-1'!I165</f>
        <v>2747.6499999999996</v>
      </c>
      <c r="H168" s="51">
        <f>3033.32+233.33</f>
        <v>3266.65</v>
      </c>
      <c r="I168" s="18">
        <f t="shared" si="3"/>
        <v>2480.9999999999995</v>
      </c>
      <c r="J168" s="108">
        <v>3000</v>
      </c>
      <c r="K168" s="65"/>
    </row>
    <row r="169" spans="1:11" ht="45.75" customHeight="1">
      <c r="A169" s="144" t="s">
        <v>1038</v>
      </c>
      <c r="B169" s="250" t="s">
        <v>1007</v>
      </c>
      <c r="C169" s="55" t="s">
        <v>1037</v>
      </c>
      <c r="D169" s="14" t="s">
        <v>11</v>
      </c>
      <c r="E169" s="14" t="s">
        <v>25</v>
      </c>
      <c r="F169" s="14" t="s">
        <v>26</v>
      </c>
      <c r="G169" s="17">
        <f>' MARZO-18-1'!I166</f>
        <v>12000</v>
      </c>
      <c r="H169" s="51"/>
      <c r="I169" s="17">
        <f t="shared" si="3"/>
        <v>7995</v>
      </c>
      <c r="J169" s="108"/>
      <c r="K169" s="269">
        <v>4005</v>
      </c>
    </row>
    <row r="170" spans="1:11" ht="45.75" customHeight="1">
      <c r="A170" s="144" t="s">
        <v>571</v>
      </c>
      <c r="B170" s="250" t="s">
        <v>1067</v>
      </c>
      <c r="C170" s="55" t="s">
        <v>1037</v>
      </c>
      <c r="D170" s="14" t="s">
        <v>11</v>
      </c>
      <c r="E170" s="14" t="s">
        <v>25</v>
      </c>
      <c r="F170" s="14" t="s">
        <v>26</v>
      </c>
      <c r="G170" s="17">
        <f>' MARZO-18-1'!I167</f>
        <v>0</v>
      </c>
      <c r="H170" s="51">
        <v>847.5</v>
      </c>
      <c r="I170" s="17">
        <f t="shared" si="3"/>
        <v>152.5</v>
      </c>
      <c r="J170" s="108">
        <v>1000</v>
      </c>
      <c r="K170" s="269"/>
    </row>
    <row r="171" spans="1:11" ht="45.75" customHeight="1">
      <c r="A171" s="144" t="s">
        <v>969</v>
      </c>
      <c r="B171" s="145" t="s">
        <v>1039</v>
      </c>
      <c r="C171" s="55" t="s">
        <v>1037</v>
      </c>
      <c r="D171" s="14" t="s">
        <v>11</v>
      </c>
      <c r="E171" s="14" t="s">
        <v>25</v>
      </c>
      <c r="F171" s="14" t="s">
        <v>26</v>
      </c>
      <c r="G171" s="17"/>
      <c r="H171" s="51">
        <v>1.7</v>
      </c>
      <c r="I171" s="17">
        <f t="shared" si="3"/>
        <v>3.3</v>
      </c>
      <c r="J171" s="108">
        <v>5</v>
      </c>
      <c r="K171" s="65"/>
    </row>
    <row r="172" spans="1:11" ht="106.5">
      <c r="A172" s="144" t="s">
        <v>201</v>
      </c>
      <c r="B172" s="54" t="s">
        <v>204</v>
      </c>
      <c r="C172" s="55" t="s">
        <v>1040</v>
      </c>
      <c r="D172" s="14" t="s">
        <v>11</v>
      </c>
      <c r="E172" s="14" t="s">
        <v>25</v>
      </c>
      <c r="F172" s="14" t="s">
        <v>26</v>
      </c>
      <c r="G172" s="17"/>
      <c r="H172" s="51"/>
      <c r="I172" s="17">
        <f t="shared" si="3"/>
        <v>0</v>
      </c>
      <c r="J172" s="62"/>
      <c r="K172" s="63"/>
    </row>
    <row r="173" spans="1:11" ht="19.5" customHeight="1">
      <c r="A173" s="11" t="s">
        <v>203</v>
      </c>
      <c r="B173" s="145" t="s">
        <v>206</v>
      </c>
      <c r="C173" s="55" t="s">
        <v>1040</v>
      </c>
      <c r="D173" s="14" t="s">
        <v>11</v>
      </c>
      <c r="E173" s="14" t="s">
        <v>25</v>
      </c>
      <c r="F173" s="14" t="s">
        <v>26</v>
      </c>
      <c r="G173" s="17">
        <f>' MARZO-18-1'!I168</f>
        <v>8523.3799999999992</v>
      </c>
      <c r="H173" s="51">
        <f>3035.54+1128.88+233.33</f>
        <v>4397.75</v>
      </c>
      <c r="I173" s="17">
        <f t="shared" si="3"/>
        <v>4125.6299999999992</v>
      </c>
      <c r="J173" s="64"/>
      <c r="K173" s="65"/>
    </row>
    <row r="174" spans="1:11" ht="36">
      <c r="A174" s="11" t="s">
        <v>1041</v>
      </c>
      <c r="B174" s="145" t="s">
        <v>1042</v>
      </c>
      <c r="C174" s="55" t="s">
        <v>1040</v>
      </c>
      <c r="D174" s="14" t="s">
        <v>11</v>
      </c>
      <c r="E174" s="14" t="s">
        <v>25</v>
      </c>
      <c r="F174" s="14" t="s">
        <v>26</v>
      </c>
      <c r="G174" s="17"/>
      <c r="H174" s="51">
        <f>2250+5250</f>
        <v>7500</v>
      </c>
      <c r="I174" s="17">
        <f t="shared" si="3"/>
        <v>0</v>
      </c>
      <c r="J174" s="108">
        <v>7500</v>
      </c>
      <c r="K174" s="65"/>
    </row>
    <row r="175" spans="1:11" ht="20.25" customHeight="1">
      <c r="A175" s="11" t="s">
        <v>205</v>
      </c>
      <c r="B175" s="145" t="s">
        <v>207</v>
      </c>
      <c r="C175" s="55" t="s">
        <v>1040</v>
      </c>
      <c r="D175" s="14" t="s">
        <v>11</v>
      </c>
      <c r="E175" s="14" t="s">
        <v>25</v>
      </c>
      <c r="F175" s="14" t="s">
        <v>26</v>
      </c>
      <c r="G175" s="17">
        <f>' MARZO-18-1'!I169</f>
        <v>200</v>
      </c>
      <c r="H175" s="51"/>
      <c r="I175" s="17">
        <f t="shared" si="3"/>
        <v>200</v>
      </c>
      <c r="J175" s="64"/>
      <c r="K175" s="65"/>
    </row>
    <row r="176" spans="1:11" ht="36">
      <c r="A176" s="11" t="s">
        <v>208</v>
      </c>
      <c r="B176" s="145" t="s">
        <v>209</v>
      </c>
      <c r="C176" s="55" t="s">
        <v>1040</v>
      </c>
      <c r="D176" s="14" t="s">
        <v>11</v>
      </c>
      <c r="E176" s="14" t="s">
        <v>25</v>
      </c>
      <c r="F176" s="14" t="s">
        <v>26</v>
      </c>
      <c r="G176" s="17">
        <f>' MARZO-18-1'!I170</f>
        <v>34200</v>
      </c>
      <c r="H176" s="51"/>
      <c r="I176" s="17">
        <f t="shared" si="3"/>
        <v>26700</v>
      </c>
      <c r="J176" s="64"/>
      <c r="K176" s="269">
        <v>7500</v>
      </c>
    </row>
    <row r="177" spans="1:11" ht="24">
      <c r="A177" s="11" t="s">
        <v>210</v>
      </c>
      <c r="B177" s="145" t="s">
        <v>211</v>
      </c>
      <c r="C177" s="55" t="s">
        <v>1040</v>
      </c>
      <c r="D177" s="14" t="s">
        <v>11</v>
      </c>
      <c r="E177" s="14" t="s">
        <v>25</v>
      </c>
      <c r="F177" s="14" t="s">
        <v>26</v>
      </c>
      <c r="G177" s="17">
        <f>' MARZO-18-1'!I171</f>
        <v>10600</v>
      </c>
      <c r="H177" s="51"/>
      <c r="I177" s="17">
        <f t="shared" si="3"/>
        <v>10600</v>
      </c>
      <c r="J177" s="108"/>
      <c r="K177" s="65"/>
    </row>
    <row r="178" spans="1:11" ht="34.5" customHeight="1">
      <c r="A178" s="11" t="s">
        <v>212</v>
      </c>
      <c r="B178" s="145" t="s">
        <v>213</v>
      </c>
      <c r="C178" s="55" t="s">
        <v>1040</v>
      </c>
      <c r="D178" s="3" t="s">
        <v>11</v>
      </c>
      <c r="E178" s="3" t="s">
        <v>25</v>
      </c>
      <c r="F178" s="3" t="s">
        <v>26</v>
      </c>
      <c r="G178" s="17">
        <f>' MARZO-18-1'!I172</f>
        <v>548.70000000000005</v>
      </c>
      <c r="H178" s="51"/>
      <c r="I178" s="17">
        <f t="shared" si="3"/>
        <v>548.70000000000005</v>
      </c>
      <c r="J178" s="45"/>
      <c r="K178" s="46"/>
    </row>
    <row r="179" spans="1:11" ht="37.5" customHeight="1">
      <c r="A179" s="11" t="s">
        <v>1043</v>
      </c>
      <c r="B179" s="145" t="s">
        <v>1044</v>
      </c>
      <c r="C179" s="55" t="s">
        <v>1040</v>
      </c>
      <c r="D179" s="3" t="s">
        <v>11</v>
      </c>
      <c r="E179" s="3" t="s">
        <v>25</v>
      </c>
      <c r="F179" s="3" t="s">
        <v>26</v>
      </c>
      <c r="G179" s="17">
        <f>' MARZO-18-1'!I176</f>
        <v>0</v>
      </c>
      <c r="H179" s="51">
        <v>1098.19</v>
      </c>
      <c r="I179" s="17">
        <f t="shared" si="3"/>
        <v>1.8099999999999454</v>
      </c>
      <c r="J179" s="126">
        <v>1100</v>
      </c>
      <c r="K179" s="46"/>
    </row>
    <row r="180" spans="1:11" ht="28.5" customHeight="1">
      <c r="A180" s="11" t="s">
        <v>215</v>
      </c>
      <c r="B180" s="145" t="s">
        <v>214</v>
      </c>
      <c r="C180" s="55"/>
      <c r="D180" s="3" t="s">
        <v>11</v>
      </c>
      <c r="E180" s="3" t="s">
        <v>25</v>
      </c>
      <c r="F180" s="3" t="s">
        <v>26</v>
      </c>
      <c r="G180" s="17">
        <f>' MARZO-18-1'!I173</f>
        <v>5000</v>
      </c>
      <c r="H180" s="51"/>
      <c r="I180" s="17">
        <f t="shared" si="3"/>
        <v>5000</v>
      </c>
      <c r="J180" s="45"/>
      <c r="K180" s="46"/>
    </row>
    <row r="181" spans="1:11" ht="27.75" customHeight="1">
      <c r="A181" s="11" t="s">
        <v>216</v>
      </c>
      <c r="B181" s="145" t="s">
        <v>217</v>
      </c>
      <c r="C181" s="55"/>
      <c r="D181" s="3" t="s">
        <v>11</v>
      </c>
      <c r="E181" s="3" t="s">
        <v>25</v>
      </c>
      <c r="F181" s="3" t="s">
        <v>26</v>
      </c>
      <c r="G181" s="17">
        <f>' MARZO-18-1'!I174</f>
        <v>10500</v>
      </c>
      <c r="H181" s="51"/>
      <c r="I181" s="17">
        <f t="shared" si="3"/>
        <v>9400</v>
      </c>
      <c r="J181" s="126"/>
      <c r="K181" s="270">
        <f>1100</f>
        <v>1100</v>
      </c>
    </row>
    <row r="182" spans="1:11" ht="36" customHeight="1">
      <c r="A182" s="11" t="s">
        <v>218</v>
      </c>
      <c r="B182" s="145" t="s">
        <v>219</v>
      </c>
      <c r="C182" s="55"/>
      <c r="D182" s="3" t="s">
        <v>11</v>
      </c>
      <c r="E182" s="3" t="s">
        <v>25</v>
      </c>
      <c r="F182" s="3" t="s">
        <v>26</v>
      </c>
      <c r="G182" s="17">
        <f>' MARZO-18-1'!I175</f>
        <v>50</v>
      </c>
      <c r="H182" s="51">
        <v>1.7</v>
      </c>
      <c r="I182" s="17">
        <f t="shared" si="3"/>
        <v>48.3</v>
      </c>
      <c r="J182" s="45"/>
      <c r="K182" s="46"/>
    </row>
    <row r="183" spans="1:11" ht="111.75" customHeight="1">
      <c r="A183" s="144" t="s">
        <v>220</v>
      </c>
      <c r="B183" s="54" t="s">
        <v>221</v>
      </c>
      <c r="C183" s="55" t="s">
        <v>1045</v>
      </c>
      <c r="D183" s="3"/>
      <c r="E183" s="3"/>
      <c r="F183" s="3"/>
      <c r="G183" s="17"/>
      <c r="H183" s="51"/>
      <c r="I183" s="17"/>
      <c r="J183" s="45"/>
      <c r="K183" s="46"/>
    </row>
    <row r="184" spans="1:11" ht="18" customHeight="1">
      <c r="A184" s="11" t="s">
        <v>222</v>
      </c>
      <c r="B184" s="145" t="s">
        <v>223</v>
      </c>
      <c r="C184" s="55" t="s">
        <v>1045</v>
      </c>
      <c r="D184" s="3" t="s">
        <v>11</v>
      </c>
      <c r="E184" s="3" t="s">
        <v>25</v>
      </c>
      <c r="F184" s="3" t="s">
        <v>26</v>
      </c>
      <c r="G184" s="17">
        <f>' MARZO-18-1'!I177</f>
        <v>10620.02</v>
      </c>
      <c r="H184" s="51">
        <f>1384.44+233.33</f>
        <v>1617.77</v>
      </c>
      <c r="I184" s="17">
        <f t="shared" si="3"/>
        <v>9002.25</v>
      </c>
      <c r="J184" s="126"/>
      <c r="K184" s="46"/>
    </row>
    <row r="185" spans="1:11" ht="15.75" customHeight="1">
      <c r="A185" s="11" t="s">
        <v>225</v>
      </c>
      <c r="B185" s="145" t="s">
        <v>224</v>
      </c>
      <c r="C185" s="55"/>
      <c r="D185" s="3" t="s">
        <v>11</v>
      </c>
      <c r="E185" s="3" t="s">
        <v>25</v>
      </c>
      <c r="F185" s="3" t="s">
        <v>26</v>
      </c>
      <c r="G185" s="17">
        <f>' MARZO-18-1'!I178</f>
        <v>100</v>
      </c>
      <c r="H185" s="51"/>
      <c r="I185" s="17">
        <f t="shared" si="3"/>
        <v>100</v>
      </c>
      <c r="J185" s="126"/>
      <c r="K185" s="46"/>
    </row>
    <row r="186" spans="1:11" ht="33.75" customHeight="1">
      <c r="A186" s="11" t="s">
        <v>226</v>
      </c>
      <c r="B186" s="145" t="s">
        <v>227</v>
      </c>
      <c r="C186" s="55" t="s">
        <v>1045</v>
      </c>
      <c r="D186" s="3" t="s">
        <v>11</v>
      </c>
      <c r="E186" s="3" t="s">
        <v>25</v>
      </c>
      <c r="F186" s="3" t="s">
        <v>26</v>
      </c>
      <c r="G186" s="17">
        <f>' MARZO-18-1'!I179</f>
        <v>26000</v>
      </c>
      <c r="H186" s="51"/>
      <c r="I186" s="17">
        <f t="shared" si="3"/>
        <v>26000</v>
      </c>
      <c r="J186" s="126"/>
      <c r="K186" s="46"/>
    </row>
    <row r="187" spans="1:11" ht="28.5" customHeight="1">
      <c r="A187" s="11" t="s">
        <v>228</v>
      </c>
      <c r="B187" s="145" t="s">
        <v>229</v>
      </c>
      <c r="C187" s="55"/>
      <c r="D187" s="3" t="s">
        <v>11</v>
      </c>
      <c r="E187" s="3" t="s">
        <v>25</v>
      </c>
      <c r="F187" s="3" t="s">
        <v>26</v>
      </c>
      <c r="G187" s="17">
        <f>' MARZO-18-1'!I180</f>
        <v>20150</v>
      </c>
      <c r="H187" s="51"/>
      <c r="I187" s="17">
        <f t="shared" si="3"/>
        <v>20150</v>
      </c>
      <c r="J187" s="126"/>
      <c r="K187" s="46"/>
    </row>
    <row r="188" spans="1:11" ht="26.25" customHeight="1">
      <c r="A188" s="11" t="s">
        <v>230</v>
      </c>
      <c r="B188" s="145" t="s">
        <v>231</v>
      </c>
      <c r="C188" s="55"/>
      <c r="D188" s="3" t="s">
        <v>11</v>
      </c>
      <c r="E188" s="3" t="s">
        <v>25</v>
      </c>
      <c r="F188" s="3" t="s">
        <v>26</v>
      </c>
      <c r="G188" s="17">
        <f>' MARZO-18-1'!I181</f>
        <v>100</v>
      </c>
      <c r="H188" s="51"/>
      <c r="I188" s="17">
        <f t="shared" si="3"/>
        <v>100</v>
      </c>
      <c r="J188" s="126"/>
      <c r="K188" s="46"/>
    </row>
    <row r="189" spans="1:11" ht="23.25" customHeight="1">
      <c r="A189" s="11" t="s">
        <v>232</v>
      </c>
      <c r="B189" s="145" t="s">
        <v>233</v>
      </c>
      <c r="C189" s="55"/>
      <c r="D189" s="3" t="s">
        <v>11</v>
      </c>
      <c r="E189" s="3" t="s">
        <v>25</v>
      </c>
      <c r="F189" s="3" t="s">
        <v>26</v>
      </c>
      <c r="G189" s="17">
        <f>' MARZO-18-1'!I182</f>
        <v>20200</v>
      </c>
      <c r="H189" s="51"/>
      <c r="I189" s="17">
        <f t="shared" si="3"/>
        <v>20200</v>
      </c>
      <c r="J189" s="126"/>
      <c r="K189" s="46"/>
    </row>
    <row r="190" spans="1:11" ht="28.5" customHeight="1">
      <c r="A190" s="11" t="s">
        <v>234</v>
      </c>
      <c r="B190" s="145" t="s">
        <v>237</v>
      </c>
      <c r="C190" s="55"/>
      <c r="D190" s="3" t="s">
        <v>11</v>
      </c>
      <c r="E190" s="3" t="s">
        <v>25</v>
      </c>
      <c r="F190" s="3" t="s">
        <v>26</v>
      </c>
      <c r="G190" s="17">
        <f>' MARZO-18-1'!I183</f>
        <v>20500</v>
      </c>
      <c r="H190" s="51"/>
      <c r="I190" s="17">
        <f t="shared" si="3"/>
        <v>20500</v>
      </c>
      <c r="J190" s="126"/>
      <c r="K190" s="46"/>
    </row>
    <row r="191" spans="1:11" ht="24" customHeight="1">
      <c r="A191" s="11" t="s">
        <v>235</v>
      </c>
      <c r="B191" s="145" t="s">
        <v>236</v>
      </c>
      <c r="C191" s="55" t="s">
        <v>1045</v>
      </c>
      <c r="D191" s="3" t="s">
        <v>11</v>
      </c>
      <c r="E191" s="3" t="s">
        <v>25</v>
      </c>
      <c r="F191" s="3" t="s">
        <v>26</v>
      </c>
      <c r="G191" s="17">
        <f>' MARZO-18-1'!I184</f>
        <v>48.7</v>
      </c>
      <c r="H191" s="51">
        <v>1.7</v>
      </c>
      <c r="I191" s="17">
        <f t="shared" si="3"/>
        <v>47</v>
      </c>
      <c r="J191" s="45"/>
      <c r="K191" s="46"/>
    </row>
    <row r="192" spans="1:11" ht="87" customHeight="1">
      <c r="A192" s="144" t="s">
        <v>238</v>
      </c>
      <c r="B192" s="54" t="s">
        <v>239</v>
      </c>
      <c r="C192" s="55" t="s">
        <v>1056</v>
      </c>
      <c r="D192" s="3"/>
      <c r="E192" s="3"/>
      <c r="F192" s="3"/>
      <c r="G192" s="17">
        <f>' MARZO-18-1'!I185</f>
        <v>0</v>
      </c>
      <c r="H192" s="51"/>
      <c r="I192" s="17"/>
      <c r="J192" s="45"/>
      <c r="K192" s="46"/>
    </row>
    <row r="193" spans="1:11" ht="24" customHeight="1">
      <c r="A193" s="11" t="s">
        <v>240</v>
      </c>
      <c r="B193" s="145" t="s">
        <v>243</v>
      </c>
      <c r="C193" s="55"/>
      <c r="D193" s="3" t="s">
        <v>11</v>
      </c>
      <c r="E193" s="3" t="s">
        <v>25</v>
      </c>
      <c r="F193" s="3" t="s">
        <v>26</v>
      </c>
      <c r="G193" s="17">
        <f>' MARZO-18-1'!I186</f>
        <v>2098.34</v>
      </c>
      <c r="H193" s="51"/>
      <c r="I193" s="17">
        <f t="shared" si="3"/>
        <v>0</v>
      </c>
      <c r="J193" s="45"/>
      <c r="K193" s="280">
        <v>2098.34</v>
      </c>
    </row>
    <row r="194" spans="1:11" ht="24" customHeight="1">
      <c r="A194" s="11" t="s">
        <v>241</v>
      </c>
      <c r="B194" s="145" t="s">
        <v>242</v>
      </c>
      <c r="C194" s="55"/>
      <c r="D194" s="3" t="s">
        <v>11</v>
      </c>
      <c r="E194" s="3" t="s">
        <v>25</v>
      </c>
      <c r="F194" s="3" t="s">
        <v>26</v>
      </c>
      <c r="G194" s="17">
        <f>' MARZO-18-1'!I187</f>
        <v>100</v>
      </c>
      <c r="H194" s="51"/>
      <c r="I194" s="17">
        <f t="shared" si="3"/>
        <v>0</v>
      </c>
      <c r="J194" s="45"/>
      <c r="K194" s="280">
        <v>100</v>
      </c>
    </row>
    <row r="195" spans="1:11" ht="40.5" customHeight="1">
      <c r="A195" s="11" t="s">
        <v>245</v>
      </c>
      <c r="B195" s="145" t="s">
        <v>244</v>
      </c>
      <c r="C195" s="55"/>
      <c r="D195" s="3" t="s">
        <v>11</v>
      </c>
      <c r="E195" s="3" t="s">
        <v>25</v>
      </c>
      <c r="F195" s="3" t="s">
        <v>26</v>
      </c>
      <c r="G195" s="17">
        <f>' MARZO-18-1'!I188</f>
        <v>2599.5</v>
      </c>
      <c r="H195" s="51"/>
      <c r="I195" s="17">
        <f t="shared" si="3"/>
        <v>0</v>
      </c>
      <c r="J195" s="45"/>
      <c r="K195" s="280">
        <v>2599.5</v>
      </c>
    </row>
    <row r="196" spans="1:11" ht="24" customHeight="1">
      <c r="A196" s="11" t="s">
        <v>246</v>
      </c>
      <c r="B196" s="145" t="s">
        <v>247</v>
      </c>
      <c r="C196" s="55"/>
      <c r="D196" s="3" t="s">
        <v>11</v>
      </c>
      <c r="E196" s="3" t="s">
        <v>25</v>
      </c>
      <c r="F196" s="3" t="s">
        <v>26</v>
      </c>
      <c r="G196" s="17">
        <f>' MARZO-18-1'!I189</f>
        <v>671.77</v>
      </c>
      <c r="H196" s="51"/>
      <c r="I196" s="17">
        <f t="shared" si="3"/>
        <v>0</v>
      </c>
      <c r="J196" s="45"/>
      <c r="K196" s="280">
        <v>671.77</v>
      </c>
    </row>
    <row r="197" spans="1:11" ht="24" customHeight="1">
      <c r="A197" s="11" t="s">
        <v>249</v>
      </c>
      <c r="B197" s="145" t="s">
        <v>248</v>
      </c>
      <c r="C197" s="55" t="s">
        <v>1056</v>
      </c>
      <c r="D197" s="3" t="s">
        <v>11</v>
      </c>
      <c r="E197" s="3" t="s">
        <v>25</v>
      </c>
      <c r="F197" s="3" t="s">
        <v>26</v>
      </c>
      <c r="G197" s="17">
        <f>' MARZO-18-1'!I190</f>
        <v>700</v>
      </c>
      <c r="H197" s="51">
        <v>213.4</v>
      </c>
      <c r="I197" s="17">
        <f t="shared" si="3"/>
        <v>0</v>
      </c>
      <c r="J197" s="45"/>
      <c r="K197" s="280">
        <v>486.6</v>
      </c>
    </row>
    <row r="198" spans="1:11" ht="24" customHeight="1">
      <c r="A198" s="11" t="s">
        <v>251</v>
      </c>
      <c r="B198" s="145" t="s">
        <v>252</v>
      </c>
      <c r="C198" s="55"/>
      <c r="D198" s="3" t="s">
        <v>11</v>
      </c>
      <c r="E198" s="3" t="s">
        <v>25</v>
      </c>
      <c r="F198" s="3" t="s">
        <v>26</v>
      </c>
      <c r="G198" s="17">
        <f>' MARZO-18-1'!I191</f>
        <v>200</v>
      </c>
      <c r="H198" s="51"/>
      <c r="I198" s="17">
        <f t="shared" si="3"/>
        <v>0</v>
      </c>
      <c r="J198" s="45"/>
      <c r="K198" s="280">
        <v>200</v>
      </c>
    </row>
    <row r="199" spans="1:11" ht="24" customHeight="1">
      <c r="A199" s="11" t="s">
        <v>250</v>
      </c>
      <c r="B199" s="145" t="s">
        <v>253</v>
      </c>
      <c r="C199" s="55"/>
      <c r="D199" s="3" t="s">
        <v>11</v>
      </c>
      <c r="E199" s="3" t="s">
        <v>25</v>
      </c>
      <c r="F199" s="3" t="s">
        <v>26</v>
      </c>
      <c r="G199" s="17">
        <f>' MARZO-18-1'!I192</f>
        <v>58</v>
      </c>
      <c r="H199" s="51"/>
      <c r="I199" s="17">
        <f t="shared" si="3"/>
        <v>0</v>
      </c>
      <c r="J199" s="45"/>
      <c r="K199" s="280">
        <v>58</v>
      </c>
    </row>
    <row r="200" spans="1:11" ht="24" customHeight="1">
      <c r="A200" s="11" t="s">
        <v>255</v>
      </c>
      <c r="B200" s="145" t="s">
        <v>254</v>
      </c>
      <c r="C200" s="55"/>
      <c r="D200" s="3" t="s">
        <v>11</v>
      </c>
      <c r="E200" s="3" t="s">
        <v>25</v>
      </c>
      <c r="F200" s="3" t="s">
        <v>26</v>
      </c>
      <c r="G200" s="17">
        <f>' MARZO-18-1'!I193</f>
        <v>3.3</v>
      </c>
      <c r="H200" s="51"/>
      <c r="I200" s="17">
        <f t="shared" si="3"/>
        <v>0</v>
      </c>
      <c r="J200" s="45"/>
      <c r="K200" s="280">
        <v>3.3</v>
      </c>
    </row>
    <row r="201" spans="1:11" ht="87" customHeight="1">
      <c r="A201" s="144" t="s">
        <v>256</v>
      </c>
      <c r="B201" s="54" t="s">
        <v>257</v>
      </c>
      <c r="C201" s="55"/>
      <c r="D201" s="3"/>
      <c r="E201" s="3"/>
      <c r="F201" s="3"/>
      <c r="G201" s="17">
        <f>' MARZO-18-1'!I194</f>
        <v>0</v>
      </c>
      <c r="H201" s="51"/>
      <c r="I201" s="17"/>
      <c r="J201" s="45"/>
      <c r="K201" s="46"/>
    </row>
    <row r="202" spans="1:11" ht="24" customHeight="1">
      <c r="A202" s="11" t="s">
        <v>258</v>
      </c>
      <c r="B202" s="145" t="s">
        <v>263</v>
      </c>
      <c r="C202" s="55"/>
      <c r="D202" s="3" t="s">
        <v>11</v>
      </c>
      <c r="E202" s="3" t="s">
        <v>25</v>
      </c>
      <c r="F202" s="3" t="s">
        <v>26</v>
      </c>
      <c r="G202" s="17">
        <f>' MARZO-18-1'!I195</f>
        <v>100</v>
      </c>
      <c r="H202" s="51"/>
      <c r="I202" s="17">
        <f t="shared" si="3"/>
        <v>0</v>
      </c>
      <c r="J202" s="45"/>
      <c r="K202" s="280">
        <v>100</v>
      </c>
    </row>
    <row r="203" spans="1:11" ht="24" customHeight="1">
      <c r="A203" s="11" t="s">
        <v>259</v>
      </c>
      <c r="B203" s="145" t="s">
        <v>262</v>
      </c>
      <c r="C203" s="55"/>
      <c r="D203" s="3" t="s">
        <v>11</v>
      </c>
      <c r="E203" s="3" t="s">
        <v>25</v>
      </c>
      <c r="F203" s="3" t="s">
        <v>26</v>
      </c>
      <c r="G203" s="17">
        <f>' MARZO-18-1'!I196</f>
        <v>800</v>
      </c>
      <c r="H203" s="51"/>
      <c r="I203" s="17">
        <f t="shared" si="3"/>
        <v>0</v>
      </c>
      <c r="J203" s="45"/>
      <c r="K203" s="280">
        <v>800</v>
      </c>
    </row>
    <row r="204" spans="1:11" ht="24" customHeight="1">
      <c r="A204" s="11" t="s">
        <v>260</v>
      </c>
      <c r="B204" s="145" t="s">
        <v>261</v>
      </c>
      <c r="C204" s="55"/>
      <c r="D204" s="3" t="s">
        <v>11</v>
      </c>
      <c r="E204" s="3" t="s">
        <v>25</v>
      </c>
      <c r="F204" s="3" t="s">
        <v>26</v>
      </c>
      <c r="G204" s="17">
        <f>' MARZO-18-1'!I197</f>
        <v>624.22</v>
      </c>
      <c r="H204" s="51"/>
      <c r="I204" s="17">
        <f t="shared" si="3"/>
        <v>0</v>
      </c>
      <c r="J204" s="45"/>
      <c r="K204" s="280">
        <v>624.22</v>
      </c>
    </row>
    <row r="205" spans="1:11" ht="60" customHeight="1">
      <c r="A205" s="144" t="s">
        <v>264</v>
      </c>
      <c r="B205" s="54" t="s">
        <v>287</v>
      </c>
      <c r="C205" s="55"/>
      <c r="D205" s="3"/>
      <c r="E205" s="3"/>
      <c r="F205" s="3"/>
      <c r="G205" s="17">
        <f>' MARZO-18-1'!I198</f>
        <v>0</v>
      </c>
      <c r="H205" s="51"/>
      <c r="I205" s="17"/>
      <c r="J205" s="45"/>
      <c r="K205" s="46"/>
    </row>
    <row r="206" spans="1:11" ht="24" customHeight="1">
      <c r="A206" s="11" t="s">
        <v>265</v>
      </c>
      <c r="B206" s="145" t="s">
        <v>1046</v>
      </c>
      <c r="C206" s="55"/>
      <c r="D206" s="3" t="s">
        <v>11</v>
      </c>
      <c r="E206" s="3" t="s">
        <v>25</v>
      </c>
      <c r="F206" s="3" t="s">
        <v>26</v>
      </c>
      <c r="G206" s="17">
        <f>' MARZO-18-1'!I199</f>
        <v>2000</v>
      </c>
      <c r="H206" s="51"/>
      <c r="I206" s="17">
        <f t="shared" si="3"/>
        <v>2000</v>
      </c>
      <c r="J206" s="45"/>
      <c r="K206" s="46"/>
    </row>
    <row r="207" spans="1:11" ht="24" customHeight="1">
      <c r="A207" s="11" t="s">
        <v>266</v>
      </c>
      <c r="B207" s="145" t="s">
        <v>268</v>
      </c>
      <c r="C207" s="55"/>
      <c r="D207" s="3" t="s">
        <v>11</v>
      </c>
      <c r="E207" s="3" t="s">
        <v>25</v>
      </c>
      <c r="F207" s="3" t="s">
        <v>26</v>
      </c>
      <c r="G207" s="17">
        <f>' MARZO-18-1'!I200</f>
        <v>3000</v>
      </c>
      <c r="H207" s="51"/>
      <c r="I207" s="17">
        <f t="shared" si="3"/>
        <v>3000</v>
      </c>
      <c r="J207" s="45"/>
      <c r="K207" s="46"/>
    </row>
    <row r="208" spans="1:11" ht="71.25" customHeight="1">
      <c r="A208" s="144" t="s">
        <v>269</v>
      </c>
      <c r="B208" s="54" t="s">
        <v>286</v>
      </c>
      <c r="C208" s="55" t="s">
        <v>1053</v>
      </c>
      <c r="D208" s="3"/>
      <c r="E208" s="3"/>
      <c r="F208" s="3"/>
      <c r="G208" s="17">
        <f>' MARZO-18-1'!I201</f>
        <v>0</v>
      </c>
      <c r="H208" s="51"/>
      <c r="I208" s="17"/>
      <c r="J208" s="45"/>
      <c r="K208" s="46"/>
    </row>
    <row r="209" spans="1:11" ht="27.75" customHeight="1">
      <c r="A209" s="11" t="s">
        <v>273</v>
      </c>
      <c r="B209" s="145" t="s">
        <v>270</v>
      </c>
      <c r="C209" s="55"/>
      <c r="D209" s="3" t="s">
        <v>11</v>
      </c>
      <c r="E209" s="3" t="s">
        <v>25</v>
      </c>
      <c r="F209" s="3" t="s">
        <v>26</v>
      </c>
      <c r="G209" s="17">
        <f>' MARZO-18-1'!I202</f>
        <v>3000</v>
      </c>
      <c r="H209" s="51"/>
      <c r="I209" s="17">
        <f t="shared" si="3"/>
        <v>3000</v>
      </c>
      <c r="J209" s="45"/>
      <c r="K209" s="46"/>
    </row>
    <row r="210" spans="1:11" ht="24" customHeight="1">
      <c r="A210" s="11" t="s">
        <v>272</v>
      </c>
      <c r="B210" s="145" t="s">
        <v>271</v>
      </c>
      <c r="C210" s="55"/>
      <c r="D210" s="3" t="s">
        <v>11</v>
      </c>
      <c r="E210" s="3" t="s">
        <v>25</v>
      </c>
      <c r="F210" s="3" t="s">
        <v>26</v>
      </c>
      <c r="G210" s="17">
        <f>' MARZO-18-1'!I203</f>
        <v>19879.25</v>
      </c>
      <c r="H210" s="51">
        <f>4420+2430</f>
        <v>6850</v>
      </c>
      <c r="I210" s="17">
        <f t="shared" si="3"/>
        <v>13029.25</v>
      </c>
      <c r="J210" s="45"/>
      <c r="K210" s="126"/>
    </row>
    <row r="211" spans="1:11" ht="24" customHeight="1">
      <c r="A211" s="11" t="s">
        <v>274</v>
      </c>
      <c r="B211" s="145" t="s">
        <v>275</v>
      </c>
      <c r="C211" s="55"/>
      <c r="D211" s="3" t="s">
        <v>11</v>
      </c>
      <c r="E211" s="3" t="s">
        <v>25</v>
      </c>
      <c r="F211" s="3" t="s">
        <v>26</v>
      </c>
      <c r="G211" s="17">
        <f>' MARZO-18-1'!I204</f>
        <v>2770.5</v>
      </c>
      <c r="H211" s="51">
        <f>805.25</f>
        <v>805.25</v>
      </c>
      <c r="I211" s="17">
        <f t="shared" si="3"/>
        <v>1965.25</v>
      </c>
      <c r="J211" s="45"/>
      <c r="K211" s="46"/>
    </row>
    <row r="212" spans="1:11" ht="24" customHeight="1">
      <c r="A212" s="11" t="s">
        <v>276</v>
      </c>
      <c r="B212" s="145" t="s">
        <v>277</v>
      </c>
      <c r="C212" s="55"/>
      <c r="D212" s="3" t="s">
        <v>11</v>
      </c>
      <c r="E212" s="3" t="s">
        <v>25</v>
      </c>
      <c r="F212" s="3" t="s">
        <v>26</v>
      </c>
      <c r="G212" s="17">
        <f>' MARZO-18-1'!I205</f>
        <v>19859.46</v>
      </c>
      <c r="H212" s="51">
        <f>3784.77</f>
        <v>3784.77</v>
      </c>
      <c r="I212" s="17">
        <f t="shared" si="3"/>
        <v>15074.689999999999</v>
      </c>
      <c r="J212" s="45"/>
      <c r="K212" s="279">
        <v>1000</v>
      </c>
    </row>
    <row r="213" spans="1:11" ht="24" customHeight="1">
      <c r="A213" s="11" t="s">
        <v>278</v>
      </c>
      <c r="B213" s="145" t="s">
        <v>279</v>
      </c>
      <c r="C213" s="55"/>
      <c r="D213" s="3" t="s">
        <v>11</v>
      </c>
      <c r="E213" s="3" t="s">
        <v>25</v>
      </c>
      <c r="F213" s="3" t="s">
        <v>26</v>
      </c>
      <c r="G213" s="17">
        <f>' MARZO-18-1'!I206</f>
        <v>980</v>
      </c>
      <c r="H213" s="51"/>
      <c r="I213" s="17">
        <f t="shared" si="3"/>
        <v>980</v>
      </c>
      <c r="J213" s="45"/>
      <c r="K213" s="46"/>
    </row>
    <row r="214" spans="1:11" ht="24" customHeight="1">
      <c r="A214" s="11" t="s">
        <v>280</v>
      </c>
      <c r="B214" s="145" t="s">
        <v>281</v>
      </c>
      <c r="C214" s="55"/>
      <c r="D214" s="3" t="s">
        <v>11</v>
      </c>
      <c r="E214" s="3" t="s">
        <v>25</v>
      </c>
      <c r="F214" s="3" t="s">
        <v>26</v>
      </c>
      <c r="G214" s="17">
        <f>' MARZO-18-1'!I207</f>
        <v>340</v>
      </c>
      <c r="H214" s="51"/>
      <c r="I214" s="17">
        <f t="shared" si="3"/>
        <v>1340</v>
      </c>
      <c r="J214" s="126">
        <v>1000</v>
      </c>
      <c r="K214" s="46"/>
    </row>
    <row r="215" spans="1:11" ht="24" customHeight="1">
      <c r="A215" s="11" t="s">
        <v>282</v>
      </c>
      <c r="B215" s="145" t="s">
        <v>283</v>
      </c>
      <c r="C215" s="55"/>
      <c r="D215" s="3" t="s">
        <v>11</v>
      </c>
      <c r="E215" s="3" t="s">
        <v>25</v>
      </c>
      <c r="F215" s="3" t="s">
        <v>26</v>
      </c>
      <c r="G215" s="17">
        <f>' MARZO-18-1'!I208</f>
        <v>1293.7200000000003</v>
      </c>
      <c r="H215" s="51">
        <f>200+166.66</f>
        <v>366.65999999999997</v>
      </c>
      <c r="I215" s="17">
        <f t="shared" si="3"/>
        <v>927.06000000000029</v>
      </c>
      <c r="J215" s="126"/>
      <c r="K215" s="46"/>
    </row>
    <row r="216" spans="1:11" ht="24" customHeight="1">
      <c r="A216" s="11" t="s">
        <v>284</v>
      </c>
      <c r="B216" s="145" t="s">
        <v>285</v>
      </c>
      <c r="C216" s="55"/>
      <c r="D216" s="3" t="s">
        <v>11</v>
      </c>
      <c r="E216" s="3" t="s">
        <v>25</v>
      </c>
      <c r="F216" s="3" t="s">
        <v>26</v>
      </c>
      <c r="G216" s="17">
        <f>' MARZO-18-1'!I209</f>
        <v>17</v>
      </c>
      <c r="H216" s="51"/>
      <c r="I216" s="17">
        <f t="shared" si="3"/>
        <v>17</v>
      </c>
      <c r="J216" s="45"/>
      <c r="K216" s="46"/>
    </row>
    <row r="217" spans="1:11" ht="102" customHeight="1">
      <c r="A217" s="144" t="s">
        <v>289</v>
      </c>
      <c r="B217" s="54" t="s">
        <v>288</v>
      </c>
      <c r="C217" s="55" t="s">
        <v>1057</v>
      </c>
      <c r="D217" s="3"/>
      <c r="E217" s="3"/>
      <c r="F217" s="3"/>
      <c r="G217" s="17">
        <f>' MARZO-18-1'!I210</f>
        <v>0</v>
      </c>
      <c r="H217" s="275"/>
      <c r="I217" s="17"/>
      <c r="J217" s="45"/>
      <c r="K217" s="46"/>
    </row>
    <row r="218" spans="1:11" ht="24" customHeight="1">
      <c r="A218" s="11" t="s">
        <v>290</v>
      </c>
      <c r="B218" s="145" t="s">
        <v>291</v>
      </c>
      <c r="C218" s="55"/>
      <c r="D218" s="3" t="s">
        <v>11</v>
      </c>
      <c r="E218" s="3" t="s">
        <v>25</v>
      </c>
      <c r="F218" s="3" t="s">
        <v>26</v>
      </c>
      <c r="G218" s="17">
        <f>' MARZO-18-1'!I211</f>
        <v>500</v>
      </c>
      <c r="H218" s="51"/>
      <c r="I218" s="17">
        <f t="shared" si="3"/>
        <v>500</v>
      </c>
      <c r="J218" s="45"/>
      <c r="K218" s="46"/>
    </row>
    <row r="219" spans="1:11" ht="24" customHeight="1">
      <c r="A219" s="11" t="s">
        <v>292</v>
      </c>
      <c r="B219" s="145" t="s">
        <v>293</v>
      </c>
      <c r="C219" s="55"/>
      <c r="D219" s="3" t="s">
        <v>11</v>
      </c>
      <c r="E219" s="3" t="s">
        <v>25</v>
      </c>
      <c r="F219" s="3" t="s">
        <v>26</v>
      </c>
      <c r="G219" s="17">
        <f>' MARZO-18-1'!I212</f>
        <v>0</v>
      </c>
      <c r="H219" s="51"/>
      <c r="I219" s="17">
        <f t="shared" si="3"/>
        <v>0</v>
      </c>
      <c r="J219" s="45"/>
      <c r="K219" s="280"/>
    </row>
    <row r="220" spans="1:11" ht="18" customHeight="1">
      <c r="A220" s="11" t="s">
        <v>294</v>
      </c>
      <c r="B220" s="145" t="s">
        <v>295</v>
      </c>
      <c r="C220" s="55"/>
      <c r="D220" s="3" t="s">
        <v>11</v>
      </c>
      <c r="E220" s="3" t="s">
        <v>25</v>
      </c>
      <c r="F220" s="3" t="s">
        <v>26</v>
      </c>
      <c r="G220" s="17">
        <f>' MARZO-18-1'!I213</f>
        <v>98.7</v>
      </c>
      <c r="H220" s="51"/>
      <c r="I220" s="17">
        <f t="shared" si="3"/>
        <v>98.7</v>
      </c>
      <c r="J220" s="45"/>
      <c r="K220" s="46"/>
    </row>
    <row r="221" spans="1:11" ht="19.5" customHeight="1">
      <c r="A221" s="11" t="s">
        <v>296</v>
      </c>
      <c r="B221" s="145" t="s">
        <v>297</v>
      </c>
      <c r="C221" s="55" t="s">
        <v>1057</v>
      </c>
      <c r="D221" s="3" t="s">
        <v>11</v>
      </c>
      <c r="E221" s="3" t="s">
        <v>25</v>
      </c>
      <c r="F221" s="3" t="s">
        <v>26</v>
      </c>
      <c r="G221" s="17">
        <f>' MARZO-18-1'!I214</f>
        <v>40400</v>
      </c>
      <c r="H221" s="51">
        <v>4800</v>
      </c>
      <c r="I221" s="17">
        <f t="shared" si="3"/>
        <v>35600</v>
      </c>
      <c r="J221" s="45"/>
      <c r="K221" s="46"/>
    </row>
    <row r="222" spans="1:11" ht="21" customHeight="1">
      <c r="A222" s="11" t="s">
        <v>298</v>
      </c>
      <c r="B222" s="145" t="s">
        <v>299</v>
      </c>
      <c r="C222" s="55" t="s">
        <v>1057</v>
      </c>
      <c r="D222" s="3" t="s">
        <v>11</v>
      </c>
      <c r="E222" s="3" t="s">
        <v>25</v>
      </c>
      <c r="F222" s="3" t="s">
        <v>26</v>
      </c>
      <c r="G222" s="17">
        <f>' MARZO-18-1'!I215</f>
        <v>2000</v>
      </c>
      <c r="H222" s="51"/>
      <c r="I222" s="17">
        <f t="shared" si="3"/>
        <v>2000</v>
      </c>
      <c r="J222" s="45"/>
      <c r="K222" s="46"/>
    </row>
    <row r="223" spans="1:11" ht="75" customHeight="1">
      <c r="A223" s="144" t="s">
        <v>300</v>
      </c>
      <c r="B223" s="54" t="s">
        <v>301</v>
      </c>
      <c r="C223" s="55" t="s">
        <v>1052</v>
      </c>
      <c r="D223" s="3"/>
      <c r="E223" s="3"/>
      <c r="F223" s="3"/>
      <c r="G223" s="17">
        <f>' MARZO-18-1'!I216</f>
        <v>0</v>
      </c>
      <c r="H223" s="51"/>
      <c r="I223" s="17"/>
      <c r="J223" s="45"/>
      <c r="K223" s="46"/>
    </row>
    <row r="224" spans="1:11" ht="18.75" customHeight="1">
      <c r="A224" s="11" t="s">
        <v>302</v>
      </c>
      <c r="B224" s="145" t="s">
        <v>309</v>
      </c>
      <c r="C224" s="55" t="s">
        <v>1052</v>
      </c>
      <c r="D224" s="3" t="s">
        <v>11</v>
      </c>
      <c r="E224" s="3" t="s">
        <v>25</v>
      </c>
      <c r="F224" s="3" t="s">
        <v>26</v>
      </c>
      <c r="G224" s="17">
        <f>' MARZO-18-1'!I217</f>
        <v>3333.37</v>
      </c>
      <c r="H224" s="51">
        <f>(333.33+333.33+666.67)</f>
        <v>1333.33</v>
      </c>
      <c r="I224" s="17">
        <f t="shared" si="3"/>
        <v>2000.04</v>
      </c>
      <c r="J224" s="45"/>
      <c r="K224" s="46"/>
    </row>
    <row r="225" spans="1:11" ht="18.75" customHeight="1">
      <c r="A225" s="11" t="s">
        <v>303</v>
      </c>
      <c r="B225" s="145" t="s">
        <v>310</v>
      </c>
      <c r="C225" s="55"/>
      <c r="D225" s="3" t="s">
        <v>11</v>
      </c>
      <c r="E225" s="3" t="s">
        <v>25</v>
      </c>
      <c r="F225" s="3" t="s">
        <v>26</v>
      </c>
      <c r="G225" s="17">
        <f>' MARZO-18-1'!I218</f>
        <v>5000</v>
      </c>
      <c r="H225" s="51"/>
      <c r="I225" s="17">
        <f t="shared" si="3"/>
        <v>5000</v>
      </c>
      <c r="J225" s="45"/>
      <c r="K225" s="46"/>
    </row>
    <row r="226" spans="1:11" ht="24.75" customHeight="1">
      <c r="A226" s="11" t="s">
        <v>304</v>
      </c>
      <c r="B226" s="145" t="s">
        <v>311</v>
      </c>
      <c r="C226" s="55"/>
      <c r="D226" s="3" t="s">
        <v>11</v>
      </c>
      <c r="E226" s="3" t="s">
        <v>25</v>
      </c>
      <c r="F226" s="3" t="s">
        <v>26</v>
      </c>
      <c r="G226" s="17">
        <f>' MARZO-18-1'!I219</f>
        <v>5000</v>
      </c>
      <c r="H226" s="51"/>
      <c r="I226" s="17">
        <f t="shared" si="3"/>
        <v>5000</v>
      </c>
      <c r="J226" s="45"/>
      <c r="K226" s="46"/>
    </row>
    <row r="227" spans="1:11" ht="16.5" customHeight="1">
      <c r="A227" s="11" t="s">
        <v>305</v>
      </c>
      <c r="B227" s="145" t="s">
        <v>312</v>
      </c>
      <c r="C227" s="55"/>
      <c r="D227" s="3" t="s">
        <v>11</v>
      </c>
      <c r="E227" s="3" t="s">
        <v>25</v>
      </c>
      <c r="F227" s="3" t="s">
        <v>26</v>
      </c>
      <c r="G227" s="17">
        <f>' MARZO-18-1'!I220</f>
        <v>1427</v>
      </c>
      <c r="H227" s="51"/>
      <c r="I227" s="17">
        <f t="shared" si="3"/>
        <v>1427</v>
      </c>
      <c r="J227" s="45"/>
      <c r="K227" s="46"/>
    </row>
    <row r="228" spans="1:11" ht="22.5" customHeight="1">
      <c r="A228" s="11" t="s">
        <v>306</v>
      </c>
      <c r="B228" s="145" t="s">
        <v>313</v>
      </c>
      <c r="C228" s="55"/>
      <c r="D228" s="3" t="s">
        <v>11</v>
      </c>
      <c r="E228" s="3" t="s">
        <v>25</v>
      </c>
      <c r="F228" s="3" t="s">
        <v>26</v>
      </c>
      <c r="G228" s="17">
        <f>' MARZO-18-1'!I221</f>
        <v>6985</v>
      </c>
      <c r="H228" s="51">
        <v>66.66</v>
      </c>
      <c r="I228" s="17">
        <f t="shared" si="3"/>
        <v>6918.34</v>
      </c>
      <c r="J228" s="45"/>
      <c r="K228" s="46"/>
    </row>
    <row r="229" spans="1:11" ht="19.5" customHeight="1">
      <c r="A229" s="11" t="s">
        <v>307</v>
      </c>
      <c r="B229" s="145" t="s">
        <v>314</v>
      </c>
      <c r="C229" s="55"/>
      <c r="D229" s="3" t="s">
        <v>11</v>
      </c>
      <c r="E229" s="3" t="s">
        <v>25</v>
      </c>
      <c r="F229" s="3" t="s">
        <v>26</v>
      </c>
      <c r="G229" s="17">
        <f>' MARZO-18-1'!I222</f>
        <v>12</v>
      </c>
      <c r="H229" s="51"/>
      <c r="I229" s="17">
        <f t="shared" si="3"/>
        <v>12</v>
      </c>
      <c r="J229" s="45"/>
      <c r="K229" s="46"/>
    </row>
    <row r="230" spans="1:11" ht="24" customHeight="1">
      <c r="A230" s="11" t="s">
        <v>308</v>
      </c>
      <c r="B230" s="145" t="s">
        <v>315</v>
      </c>
      <c r="C230" s="55"/>
      <c r="D230" s="3" t="s">
        <v>11</v>
      </c>
      <c r="E230" s="3" t="s">
        <v>25</v>
      </c>
      <c r="F230" s="3" t="s">
        <v>26</v>
      </c>
      <c r="G230" s="17">
        <f>' MARZO-18-1'!I223</f>
        <v>1000</v>
      </c>
      <c r="H230" s="51"/>
      <c r="I230" s="17">
        <f t="shared" si="3"/>
        <v>1000</v>
      </c>
      <c r="J230" s="45"/>
      <c r="K230" s="46"/>
    </row>
    <row r="231" spans="1:11" ht="72.75" customHeight="1">
      <c r="A231" s="144" t="s">
        <v>316</v>
      </c>
      <c r="B231" s="54" t="s">
        <v>317</v>
      </c>
      <c r="C231" s="55" t="s">
        <v>1058</v>
      </c>
      <c r="D231" s="3"/>
      <c r="E231" s="3"/>
      <c r="F231" s="3"/>
      <c r="G231" s="17">
        <f>' MARZO-18-1'!I224</f>
        <v>0</v>
      </c>
      <c r="H231" s="51"/>
      <c r="I231" s="17"/>
      <c r="J231" s="45"/>
      <c r="K231" s="46"/>
    </row>
    <row r="232" spans="1:11" ht="20.25" customHeight="1">
      <c r="A232" s="11" t="s">
        <v>318</v>
      </c>
      <c r="B232" s="145" t="s">
        <v>322</v>
      </c>
      <c r="C232" s="55" t="s">
        <v>1058</v>
      </c>
      <c r="D232" s="3" t="s">
        <v>11</v>
      </c>
      <c r="E232" s="3" t="s">
        <v>25</v>
      </c>
      <c r="F232" s="3" t="s">
        <v>26</v>
      </c>
      <c r="G232" s="17">
        <f>' MARZO-18-1'!I225</f>
        <v>2666.67</v>
      </c>
      <c r="H232" s="51">
        <f>(666.66+333.33)</f>
        <v>999.99</v>
      </c>
      <c r="I232" s="17">
        <f t="shared" ref="I232:I266" si="4">G232-H232+J232-K232</f>
        <v>1666.68</v>
      </c>
      <c r="J232" s="45"/>
      <c r="K232" s="46"/>
    </row>
    <row r="233" spans="1:11" ht="36.75" customHeight="1">
      <c r="A233" s="11" t="s">
        <v>1009</v>
      </c>
      <c r="B233" s="145" t="s">
        <v>1011</v>
      </c>
      <c r="C233" s="55"/>
      <c r="D233" s="3" t="s">
        <v>11</v>
      </c>
      <c r="E233" s="3" t="s">
        <v>25</v>
      </c>
      <c r="F233" s="3" t="s">
        <v>26</v>
      </c>
      <c r="G233" s="17">
        <f>' MARZO-18-1'!I226</f>
        <v>400</v>
      </c>
      <c r="H233" s="51"/>
      <c r="I233" s="17">
        <f t="shared" si="4"/>
        <v>400</v>
      </c>
      <c r="J233" s="126"/>
      <c r="K233" s="46"/>
    </row>
    <row r="234" spans="1:11" ht="31.5" customHeight="1">
      <c r="A234" s="11" t="s">
        <v>319</v>
      </c>
      <c r="B234" s="145" t="s">
        <v>1010</v>
      </c>
      <c r="C234" s="55" t="s">
        <v>1058</v>
      </c>
      <c r="D234" s="3" t="s">
        <v>11</v>
      </c>
      <c r="E234" s="3" t="s">
        <v>25</v>
      </c>
      <c r="F234" s="3" t="s">
        <v>26</v>
      </c>
      <c r="G234" s="17">
        <f>' MARZO-18-1'!I227</f>
        <v>2000</v>
      </c>
      <c r="H234" s="51">
        <v>245</v>
      </c>
      <c r="I234" s="17">
        <f t="shared" si="4"/>
        <v>1755</v>
      </c>
      <c r="J234" s="45"/>
      <c r="K234" s="260"/>
    </row>
    <row r="235" spans="1:11" ht="20.25" customHeight="1">
      <c r="A235" s="11" t="s">
        <v>320</v>
      </c>
      <c r="B235" s="145" t="s">
        <v>324</v>
      </c>
      <c r="C235" s="55"/>
      <c r="D235" s="3" t="s">
        <v>11</v>
      </c>
      <c r="E235" s="3" t="s">
        <v>25</v>
      </c>
      <c r="F235" s="3" t="s">
        <v>26</v>
      </c>
      <c r="G235" s="17">
        <f>' MARZO-18-1'!I228</f>
        <v>18.7</v>
      </c>
      <c r="H235" s="51"/>
      <c r="I235" s="17">
        <f t="shared" si="4"/>
        <v>18.7</v>
      </c>
      <c r="J235" s="45"/>
      <c r="K235" s="46"/>
    </row>
    <row r="236" spans="1:11" ht="29.25" customHeight="1">
      <c r="A236" s="11" t="s">
        <v>321</v>
      </c>
      <c r="B236" s="145" t="s">
        <v>325</v>
      </c>
      <c r="C236" s="55"/>
      <c r="D236" s="3" t="s">
        <v>11</v>
      </c>
      <c r="E236" s="3" t="s">
        <v>25</v>
      </c>
      <c r="F236" s="3" t="s">
        <v>26</v>
      </c>
      <c r="G236" s="17">
        <f>' MARZO-18-1'!I229</f>
        <v>1980</v>
      </c>
      <c r="H236" s="51"/>
      <c r="I236" s="17">
        <f t="shared" si="4"/>
        <v>1980</v>
      </c>
      <c r="J236" s="45"/>
      <c r="K236" s="46"/>
    </row>
    <row r="237" spans="1:11" ht="66" customHeight="1">
      <c r="A237" s="271" t="s">
        <v>326</v>
      </c>
      <c r="B237" s="54" t="s">
        <v>327</v>
      </c>
      <c r="C237" s="55"/>
      <c r="D237" s="3"/>
      <c r="E237" s="3"/>
      <c r="F237" s="3"/>
      <c r="G237" s="17">
        <f>' MARZO-18-1'!I230</f>
        <v>0</v>
      </c>
      <c r="H237" s="51"/>
      <c r="I237" s="17"/>
      <c r="J237" s="45"/>
      <c r="K237" s="46"/>
    </row>
    <row r="238" spans="1:11" ht="23.25" customHeight="1">
      <c r="A238" s="11" t="s">
        <v>328</v>
      </c>
      <c r="B238" s="145" t="s">
        <v>329</v>
      </c>
      <c r="C238" s="55"/>
      <c r="D238" s="3" t="s">
        <v>11</v>
      </c>
      <c r="E238" s="3" t="s">
        <v>25</v>
      </c>
      <c r="F238" s="3" t="s">
        <v>26</v>
      </c>
      <c r="G238" s="17">
        <f>' MARZO-18-1'!I231</f>
        <v>3259.4</v>
      </c>
      <c r="H238" s="51"/>
      <c r="I238" s="17">
        <f t="shared" si="4"/>
        <v>3259.4</v>
      </c>
      <c r="J238" s="45"/>
      <c r="K238" s="46"/>
    </row>
    <row r="239" spans="1:11" ht="26.25" customHeight="1">
      <c r="A239" s="11" t="s">
        <v>330</v>
      </c>
      <c r="B239" s="145" t="s">
        <v>331</v>
      </c>
      <c r="C239" s="55"/>
      <c r="D239" s="3" t="s">
        <v>11</v>
      </c>
      <c r="E239" s="3" t="s">
        <v>25</v>
      </c>
      <c r="F239" s="3" t="s">
        <v>26</v>
      </c>
      <c r="G239" s="17">
        <f>' MARZO-18-1'!I232</f>
        <v>2000</v>
      </c>
      <c r="H239" s="51"/>
      <c r="I239" s="17">
        <f t="shared" si="4"/>
        <v>2000</v>
      </c>
      <c r="J239" s="45"/>
      <c r="K239" s="46"/>
    </row>
    <row r="240" spans="1:11" ht="18.75" customHeight="1">
      <c r="A240" s="11" t="s">
        <v>332</v>
      </c>
      <c r="B240" s="145" t="s">
        <v>333</v>
      </c>
      <c r="C240" s="55"/>
      <c r="D240" s="3" t="s">
        <v>11</v>
      </c>
      <c r="E240" s="3" t="s">
        <v>25</v>
      </c>
      <c r="F240" s="3" t="s">
        <v>26</v>
      </c>
      <c r="G240" s="17">
        <f>' MARZO-18-1'!I233</f>
        <v>20</v>
      </c>
      <c r="H240" s="51"/>
      <c r="I240" s="17">
        <f t="shared" si="4"/>
        <v>20</v>
      </c>
      <c r="J240" s="45"/>
      <c r="K240" s="46"/>
    </row>
    <row r="241" spans="1:11" ht="18" customHeight="1">
      <c r="A241" s="11" t="s">
        <v>334</v>
      </c>
      <c r="B241" s="145" t="s">
        <v>335</v>
      </c>
      <c r="C241" s="55"/>
      <c r="D241" s="3" t="s">
        <v>11</v>
      </c>
      <c r="E241" s="3" t="s">
        <v>25</v>
      </c>
      <c r="F241" s="3" t="s">
        <v>26</v>
      </c>
      <c r="G241" s="17">
        <f>' MARZO-18-1'!I234</f>
        <v>1720.6</v>
      </c>
      <c r="H241" s="51"/>
      <c r="I241" s="17">
        <f t="shared" si="4"/>
        <v>1720.6</v>
      </c>
      <c r="J241" s="45"/>
      <c r="K241" s="46"/>
    </row>
    <row r="242" spans="1:11" ht="24.75" customHeight="1">
      <c r="A242" s="11" t="s">
        <v>336</v>
      </c>
      <c r="B242" s="145" t="s">
        <v>337</v>
      </c>
      <c r="C242" s="55"/>
      <c r="D242" s="3" t="s">
        <v>11</v>
      </c>
      <c r="E242" s="3" t="s">
        <v>25</v>
      </c>
      <c r="F242" s="3" t="s">
        <v>26</v>
      </c>
      <c r="G242" s="17">
        <f>' MARZO-18-1'!I235</f>
        <v>3000</v>
      </c>
      <c r="H242" s="51"/>
      <c r="I242" s="17">
        <f t="shared" si="4"/>
        <v>3000</v>
      </c>
      <c r="J242" s="45"/>
      <c r="K242" s="46"/>
    </row>
    <row r="243" spans="1:11" ht="60.75" customHeight="1">
      <c r="A243" s="144" t="s">
        <v>338</v>
      </c>
      <c r="B243" s="54" t="s">
        <v>339</v>
      </c>
      <c r="C243" s="55" t="s">
        <v>1059</v>
      </c>
      <c r="D243" s="3"/>
      <c r="E243" s="3"/>
      <c r="F243" s="3"/>
      <c r="G243" s="17">
        <f>' MARZO-18-1'!I236</f>
        <v>0</v>
      </c>
      <c r="H243" s="51"/>
      <c r="I243" s="17"/>
      <c r="J243" s="45"/>
      <c r="K243" s="46"/>
    </row>
    <row r="244" spans="1:11" ht="18.75" customHeight="1">
      <c r="A244" s="11" t="s">
        <v>340</v>
      </c>
      <c r="B244" s="145" t="s">
        <v>344</v>
      </c>
      <c r="C244" s="55"/>
      <c r="D244" s="3" t="s">
        <v>11</v>
      </c>
      <c r="E244" s="3" t="s">
        <v>25</v>
      </c>
      <c r="F244" s="3" t="s">
        <v>26</v>
      </c>
      <c r="G244" s="17">
        <f>' MARZO-18-1'!I237</f>
        <v>2130</v>
      </c>
      <c r="H244" s="51"/>
      <c r="I244" s="17">
        <f t="shared" si="4"/>
        <v>0</v>
      </c>
      <c r="J244" s="45"/>
      <c r="K244" s="280">
        <v>2130</v>
      </c>
    </row>
    <row r="245" spans="1:11" ht="31.5" customHeight="1">
      <c r="A245" s="11" t="s">
        <v>341</v>
      </c>
      <c r="B245" s="145" t="s">
        <v>345</v>
      </c>
      <c r="C245" s="55" t="s">
        <v>1059</v>
      </c>
      <c r="D245" s="3" t="s">
        <v>11</v>
      </c>
      <c r="E245" s="3" t="s">
        <v>25</v>
      </c>
      <c r="F245" s="3" t="s">
        <v>26</v>
      </c>
      <c r="G245" s="17">
        <f>' MARZO-18-1'!I238</f>
        <v>900</v>
      </c>
      <c r="H245" s="51">
        <v>617.9</v>
      </c>
      <c r="I245" s="17">
        <f t="shared" si="4"/>
        <v>0</v>
      </c>
      <c r="J245" s="45"/>
      <c r="K245" s="280">
        <v>282.10000000000002</v>
      </c>
    </row>
    <row r="246" spans="1:11" ht="20.25" customHeight="1">
      <c r="A246" s="11" t="s">
        <v>342</v>
      </c>
      <c r="B246" s="145" t="s">
        <v>346</v>
      </c>
      <c r="C246" s="55"/>
      <c r="D246" s="3" t="s">
        <v>11</v>
      </c>
      <c r="E246" s="3" t="s">
        <v>25</v>
      </c>
      <c r="F246" s="3" t="s">
        <v>26</v>
      </c>
      <c r="G246" s="17">
        <f>' MARZO-18-1'!I239</f>
        <v>17</v>
      </c>
      <c r="H246" s="51"/>
      <c r="I246" s="17">
        <f t="shared" si="4"/>
        <v>0</v>
      </c>
      <c r="J246" s="45"/>
      <c r="K246" s="280">
        <v>17</v>
      </c>
    </row>
    <row r="247" spans="1:11" ht="24" customHeight="1">
      <c r="A247" s="11" t="s">
        <v>343</v>
      </c>
      <c r="B247" s="145" t="s">
        <v>347</v>
      </c>
      <c r="C247" s="55"/>
      <c r="D247" s="3" t="s">
        <v>11</v>
      </c>
      <c r="E247" s="3" t="s">
        <v>25</v>
      </c>
      <c r="F247" s="3" t="s">
        <v>26</v>
      </c>
      <c r="G247" s="17">
        <f>' MARZO-18-1'!I240</f>
        <v>80</v>
      </c>
      <c r="H247" s="51"/>
      <c r="I247" s="17">
        <f t="shared" si="4"/>
        <v>0</v>
      </c>
      <c r="J247" s="45"/>
      <c r="K247" s="280">
        <v>80</v>
      </c>
    </row>
    <row r="248" spans="1:11" ht="70.5" customHeight="1">
      <c r="A248" s="144" t="s">
        <v>348</v>
      </c>
      <c r="B248" s="54" t="s">
        <v>349</v>
      </c>
      <c r="C248" s="55"/>
      <c r="D248" s="3"/>
      <c r="E248" s="3"/>
      <c r="F248" s="3"/>
      <c r="G248" s="17">
        <f>' MARZO-18-1'!I241</f>
        <v>0</v>
      </c>
      <c r="H248" s="51"/>
      <c r="I248" s="17"/>
      <c r="J248" s="45"/>
      <c r="K248" s="46"/>
    </row>
    <row r="249" spans="1:11" ht="23.25" customHeight="1">
      <c r="A249" s="11" t="s">
        <v>350</v>
      </c>
      <c r="B249" s="145" t="s">
        <v>355</v>
      </c>
      <c r="C249" s="55"/>
      <c r="D249" s="3" t="s">
        <v>11</v>
      </c>
      <c r="E249" s="3" t="s">
        <v>25</v>
      </c>
      <c r="F249" s="3" t="s">
        <v>26</v>
      </c>
      <c r="G249" s="17">
        <f>' MARZO-18-1'!I242</f>
        <v>7000</v>
      </c>
      <c r="H249" s="51"/>
      <c r="I249" s="17">
        <f t="shared" si="4"/>
        <v>7000</v>
      </c>
      <c r="J249" s="45"/>
      <c r="K249" s="46"/>
    </row>
    <row r="250" spans="1:11" ht="22.5" customHeight="1">
      <c r="A250" s="11" t="s">
        <v>351</v>
      </c>
      <c r="B250" s="145" t="s">
        <v>354</v>
      </c>
      <c r="C250" s="55"/>
      <c r="D250" s="3" t="s">
        <v>11</v>
      </c>
      <c r="E250" s="3" t="s">
        <v>25</v>
      </c>
      <c r="F250" s="3" t="s">
        <v>26</v>
      </c>
      <c r="G250" s="17">
        <f>' MARZO-18-1'!I243</f>
        <v>2000</v>
      </c>
      <c r="H250" s="51"/>
      <c r="I250" s="17">
        <f t="shared" si="4"/>
        <v>2000</v>
      </c>
      <c r="J250" s="45"/>
      <c r="K250" s="46"/>
    </row>
    <row r="251" spans="1:11" ht="24.75" customHeight="1">
      <c r="A251" s="11" t="s">
        <v>352</v>
      </c>
      <c r="B251" s="145" t="s">
        <v>356</v>
      </c>
      <c r="C251" s="55"/>
      <c r="D251" s="3" t="s">
        <v>11</v>
      </c>
      <c r="E251" s="3" t="s">
        <v>25</v>
      </c>
      <c r="F251" s="3" t="s">
        <v>26</v>
      </c>
      <c r="G251" s="17">
        <f>' MARZO-18-1'!I244</f>
        <v>18.7</v>
      </c>
      <c r="H251" s="51"/>
      <c r="I251" s="17">
        <f t="shared" si="4"/>
        <v>18.7</v>
      </c>
      <c r="J251" s="45"/>
      <c r="K251" s="46"/>
    </row>
    <row r="252" spans="1:11" ht="24.75" customHeight="1">
      <c r="A252" s="11" t="s">
        <v>353</v>
      </c>
      <c r="B252" s="145" t="s">
        <v>357</v>
      </c>
      <c r="C252" s="55"/>
      <c r="D252" s="3" t="s">
        <v>11</v>
      </c>
      <c r="E252" s="3" t="s">
        <v>25</v>
      </c>
      <c r="F252" s="3" t="s">
        <v>26</v>
      </c>
      <c r="G252" s="17">
        <f>' MARZO-18-1'!I245</f>
        <v>980</v>
      </c>
      <c r="H252" s="51"/>
      <c r="I252" s="17">
        <f t="shared" si="4"/>
        <v>980</v>
      </c>
      <c r="J252" s="45"/>
      <c r="K252" s="46"/>
    </row>
    <row r="253" spans="1:11" ht="59.25" customHeight="1">
      <c r="A253" s="144" t="s">
        <v>358</v>
      </c>
      <c r="B253" s="54" t="s">
        <v>359</v>
      </c>
      <c r="C253" s="55"/>
      <c r="D253" s="3"/>
      <c r="E253" s="3"/>
      <c r="F253" s="3"/>
      <c r="G253" s="17">
        <f>' MARZO-18-1'!I246</f>
        <v>0</v>
      </c>
      <c r="H253" s="51"/>
      <c r="I253" s="17"/>
      <c r="J253" s="45"/>
      <c r="K253" s="46"/>
    </row>
    <row r="254" spans="1:11" ht="18.75" customHeight="1">
      <c r="A254" s="11" t="s">
        <v>361</v>
      </c>
      <c r="B254" s="146" t="s">
        <v>360</v>
      </c>
      <c r="C254" s="55"/>
      <c r="D254" s="3" t="s">
        <v>11</v>
      </c>
      <c r="E254" s="3" t="s">
        <v>25</v>
      </c>
      <c r="F254" s="3" t="s">
        <v>26</v>
      </c>
      <c r="G254" s="17">
        <f>' MARZO-18-1'!I247</f>
        <v>3000</v>
      </c>
      <c r="H254" s="51"/>
      <c r="I254" s="17">
        <f t="shared" si="4"/>
        <v>3000</v>
      </c>
      <c r="J254" s="45"/>
      <c r="K254" s="46"/>
    </row>
    <row r="255" spans="1:11" ht="18.75" customHeight="1">
      <c r="A255" s="11" t="s">
        <v>362</v>
      </c>
      <c r="B255" s="145" t="s">
        <v>365</v>
      </c>
      <c r="C255" s="55"/>
      <c r="D255" s="3" t="s">
        <v>11</v>
      </c>
      <c r="E255" s="3" t="s">
        <v>25</v>
      </c>
      <c r="F255" s="3" t="s">
        <v>26</v>
      </c>
      <c r="G255" s="17">
        <f>' MARZO-18-1'!I248</f>
        <v>500</v>
      </c>
      <c r="H255" s="51"/>
      <c r="I255" s="17">
        <f t="shared" si="4"/>
        <v>500</v>
      </c>
      <c r="J255" s="45"/>
      <c r="K255" s="46"/>
    </row>
    <row r="256" spans="1:11" ht="24.75" customHeight="1">
      <c r="A256" s="11" t="s">
        <v>363</v>
      </c>
      <c r="B256" s="145" t="s">
        <v>366</v>
      </c>
      <c r="C256" s="55"/>
      <c r="D256" s="3" t="s">
        <v>11</v>
      </c>
      <c r="E256" s="3" t="s">
        <v>25</v>
      </c>
      <c r="F256" s="3" t="s">
        <v>26</v>
      </c>
      <c r="G256" s="17">
        <f>' MARZO-18-1'!I249</f>
        <v>200</v>
      </c>
      <c r="H256" s="51"/>
      <c r="I256" s="17">
        <f t="shared" si="4"/>
        <v>200</v>
      </c>
      <c r="J256" s="45"/>
      <c r="K256" s="46"/>
    </row>
    <row r="257" spans="1:11" ht="28.5" customHeight="1">
      <c r="A257" s="11" t="s">
        <v>364</v>
      </c>
      <c r="B257" s="146" t="s">
        <v>367</v>
      </c>
      <c r="C257" s="55"/>
      <c r="D257" s="3" t="s">
        <v>11</v>
      </c>
      <c r="E257" s="3" t="s">
        <v>25</v>
      </c>
      <c r="F257" s="3" t="s">
        <v>26</v>
      </c>
      <c r="G257" s="17">
        <f>' MARZO-18-1'!I250</f>
        <v>7280</v>
      </c>
      <c r="H257" s="51"/>
      <c r="I257" s="17">
        <f t="shared" si="4"/>
        <v>7280</v>
      </c>
      <c r="J257" s="45"/>
      <c r="K257" s="46"/>
    </row>
    <row r="258" spans="1:11" ht="27.75" customHeight="1">
      <c r="A258" s="11" t="s">
        <v>368</v>
      </c>
      <c r="B258" s="145" t="s">
        <v>369</v>
      </c>
      <c r="C258" s="55"/>
      <c r="D258" s="3" t="s">
        <v>11</v>
      </c>
      <c r="E258" s="3" t="s">
        <v>25</v>
      </c>
      <c r="F258" s="3" t="s">
        <v>26</v>
      </c>
      <c r="G258" s="17">
        <f>' MARZO-18-1'!I251</f>
        <v>3000</v>
      </c>
      <c r="H258" s="51"/>
      <c r="I258" s="17">
        <f t="shared" si="4"/>
        <v>3000</v>
      </c>
      <c r="J258" s="45"/>
      <c r="K258" s="46"/>
    </row>
    <row r="259" spans="1:11" ht="23.25" customHeight="1">
      <c r="A259" s="11" t="s">
        <v>370</v>
      </c>
      <c r="B259" s="145" t="s">
        <v>371</v>
      </c>
      <c r="C259" s="55"/>
      <c r="D259" s="3" t="s">
        <v>11</v>
      </c>
      <c r="E259" s="3" t="s">
        <v>25</v>
      </c>
      <c r="F259" s="3" t="s">
        <v>26</v>
      </c>
      <c r="G259" s="17">
        <f>' MARZO-18-1'!I252</f>
        <v>1000</v>
      </c>
      <c r="H259" s="51"/>
      <c r="I259" s="17">
        <f t="shared" si="4"/>
        <v>1000</v>
      </c>
      <c r="J259" s="45"/>
      <c r="K259" s="46"/>
    </row>
    <row r="260" spans="1:11" ht="24" customHeight="1">
      <c r="A260" s="11" t="s">
        <v>372</v>
      </c>
      <c r="B260" s="145" t="s">
        <v>373</v>
      </c>
      <c r="C260" s="55"/>
      <c r="D260" s="3" t="s">
        <v>11</v>
      </c>
      <c r="E260" s="3" t="s">
        <v>25</v>
      </c>
      <c r="F260" s="3" t="s">
        <v>26</v>
      </c>
      <c r="G260" s="17">
        <f>' MARZO-18-1'!I253</f>
        <v>20</v>
      </c>
      <c r="H260" s="51"/>
      <c r="I260" s="17">
        <f t="shared" si="4"/>
        <v>20</v>
      </c>
      <c r="J260" s="45"/>
      <c r="K260" s="46"/>
    </row>
    <row r="261" spans="1:11" ht="78.75" customHeight="1">
      <c r="A261" s="144" t="s">
        <v>374</v>
      </c>
      <c r="B261" s="54" t="s">
        <v>375</v>
      </c>
      <c r="C261" s="55"/>
      <c r="D261" s="3"/>
      <c r="E261" s="3"/>
      <c r="F261" s="3"/>
      <c r="G261" s="17">
        <f>' MARZO-18-1'!I254</f>
        <v>0</v>
      </c>
      <c r="H261" s="51"/>
      <c r="I261" s="17"/>
      <c r="J261" s="45"/>
      <c r="K261" s="46"/>
    </row>
    <row r="262" spans="1:11" ht="24" customHeight="1">
      <c r="A262" s="11" t="s">
        <v>376</v>
      </c>
      <c r="B262" s="146" t="s">
        <v>377</v>
      </c>
      <c r="C262" s="55"/>
      <c r="D262" s="3" t="s">
        <v>11</v>
      </c>
      <c r="E262" s="3" t="s">
        <v>25</v>
      </c>
      <c r="F262" s="3" t="s">
        <v>26</v>
      </c>
      <c r="G262" s="17">
        <f>' MARZO-18-1'!I255</f>
        <v>5000</v>
      </c>
      <c r="H262" s="51"/>
      <c r="I262" s="17">
        <f t="shared" si="4"/>
        <v>5000</v>
      </c>
      <c r="J262" s="45"/>
      <c r="K262" s="46"/>
    </row>
    <row r="263" spans="1:11" ht="28.5" customHeight="1">
      <c r="A263" s="11" t="s">
        <v>383</v>
      </c>
      <c r="B263" s="145" t="s">
        <v>378</v>
      </c>
      <c r="C263" s="55"/>
      <c r="D263" s="3" t="s">
        <v>11</v>
      </c>
      <c r="E263" s="3" t="s">
        <v>25</v>
      </c>
      <c r="F263" s="3" t="s">
        <v>26</v>
      </c>
      <c r="G263" s="17">
        <f>' MARZO-18-1'!I256</f>
        <v>200</v>
      </c>
      <c r="H263" s="51"/>
      <c r="I263" s="17">
        <f t="shared" si="4"/>
        <v>200</v>
      </c>
      <c r="J263" s="45"/>
      <c r="K263" s="46"/>
    </row>
    <row r="264" spans="1:11" ht="33" customHeight="1">
      <c r="A264" s="11" t="s">
        <v>384</v>
      </c>
      <c r="B264" s="146" t="s">
        <v>379</v>
      </c>
      <c r="C264" s="55"/>
      <c r="D264" s="3" t="s">
        <v>11</v>
      </c>
      <c r="E264" s="3" t="s">
        <v>25</v>
      </c>
      <c r="F264" s="3" t="s">
        <v>26</v>
      </c>
      <c r="G264" s="17">
        <f>' MARZO-18-1'!I257</f>
        <v>6000</v>
      </c>
      <c r="H264" s="51"/>
      <c r="I264" s="17">
        <f t="shared" si="4"/>
        <v>6000</v>
      </c>
      <c r="J264" s="45"/>
      <c r="K264" s="46"/>
    </row>
    <row r="265" spans="1:11" ht="41.25" customHeight="1">
      <c r="A265" s="11" t="s">
        <v>385</v>
      </c>
      <c r="B265" s="145" t="s">
        <v>380</v>
      </c>
      <c r="C265" s="55"/>
      <c r="D265" s="3" t="s">
        <v>11</v>
      </c>
      <c r="E265" s="3" t="s">
        <v>25</v>
      </c>
      <c r="F265" s="3" t="s">
        <v>26</v>
      </c>
      <c r="G265" s="17">
        <f>' MARZO-18-1'!I258</f>
        <v>2000</v>
      </c>
      <c r="H265" s="51"/>
      <c r="I265" s="17">
        <f t="shared" si="4"/>
        <v>2000</v>
      </c>
      <c r="J265" s="45"/>
      <c r="K265" s="46"/>
    </row>
    <row r="266" spans="1:11" ht="30" customHeight="1">
      <c r="A266" s="11" t="s">
        <v>386</v>
      </c>
      <c r="B266" s="145" t="s">
        <v>381</v>
      </c>
      <c r="C266" s="55"/>
      <c r="D266" s="3" t="s">
        <v>11</v>
      </c>
      <c r="E266" s="3" t="s">
        <v>25</v>
      </c>
      <c r="F266" s="3" t="s">
        <v>26</v>
      </c>
      <c r="G266" s="17">
        <f>' MARZO-18-1'!I259</f>
        <v>1780</v>
      </c>
      <c r="H266" s="51"/>
      <c r="I266" s="17">
        <f t="shared" si="4"/>
        <v>1780</v>
      </c>
      <c r="J266" s="45"/>
      <c r="K266" s="46"/>
    </row>
    <row r="267" spans="1:11" ht="27" customHeight="1">
      <c r="A267" s="11" t="s">
        <v>387</v>
      </c>
      <c r="B267" s="145" t="s">
        <v>382</v>
      </c>
      <c r="C267" s="6"/>
      <c r="D267" s="3" t="s">
        <v>11</v>
      </c>
      <c r="E267" s="3" t="s">
        <v>25</v>
      </c>
      <c r="F267" s="3" t="s">
        <v>26</v>
      </c>
      <c r="G267" s="17">
        <f>' MARZO-18-1'!I260</f>
        <v>20</v>
      </c>
      <c r="H267" s="51"/>
      <c r="I267" s="17">
        <f t="shared" si="3"/>
        <v>20</v>
      </c>
      <c r="J267" s="45"/>
      <c r="K267" s="46"/>
    </row>
    <row r="268" spans="1:11" ht="143.25" customHeight="1">
      <c r="A268" s="144" t="s">
        <v>388</v>
      </c>
      <c r="B268" s="54" t="s">
        <v>391</v>
      </c>
      <c r="C268" s="55"/>
      <c r="D268" s="14"/>
      <c r="E268" s="14"/>
      <c r="F268" s="14"/>
      <c r="G268" s="17">
        <f>' MARZO-18-1'!I261</f>
        <v>0</v>
      </c>
      <c r="H268" s="51"/>
      <c r="I268" s="17"/>
      <c r="J268" s="62"/>
      <c r="K268" s="63"/>
    </row>
    <row r="269" spans="1:11" ht="29.25">
      <c r="A269" s="11" t="s">
        <v>389</v>
      </c>
      <c r="B269" s="54" t="s">
        <v>390</v>
      </c>
      <c r="C269" s="55"/>
      <c r="D269" s="14" t="s">
        <v>11</v>
      </c>
      <c r="E269" s="14" t="s">
        <v>25</v>
      </c>
      <c r="F269" s="14" t="s">
        <v>26</v>
      </c>
      <c r="G269" s="17">
        <f>' MARZO-18-1'!I262</f>
        <v>10000</v>
      </c>
      <c r="H269" s="51"/>
      <c r="I269" s="17">
        <f t="shared" si="3"/>
        <v>10000</v>
      </c>
      <c r="J269" s="62"/>
      <c r="K269" s="63"/>
    </row>
    <row r="270" spans="1:11" ht="68.25" customHeight="1">
      <c r="A270" s="144" t="s">
        <v>392</v>
      </c>
      <c r="B270" s="54" t="s">
        <v>393</v>
      </c>
      <c r="C270" s="55" t="s">
        <v>1064</v>
      </c>
      <c r="D270" s="14"/>
      <c r="E270" s="14"/>
      <c r="F270" s="14"/>
      <c r="G270" s="17">
        <f>' MARZO-18-1'!I263</f>
        <v>0</v>
      </c>
      <c r="H270" s="51"/>
      <c r="I270" s="17"/>
      <c r="J270" s="62"/>
      <c r="K270" s="63"/>
    </row>
    <row r="271" spans="1:11">
      <c r="A271" s="11">
        <v>51999</v>
      </c>
      <c r="B271" s="54" t="s">
        <v>394</v>
      </c>
      <c r="C271" s="55"/>
      <c r="D271" s="14" t="s">
        <v>11</v>
      </c>
      <c r="E271" s="14" t="s">
        <v>25</v>
      </c>
      <c r="F271" s="14" t="s">
        <v>26</v>
      </c>
      <c r="G271" s="17">
        <f>' MARZO-18-1'!I264</f>
        <v>1100</v>
      </c>
      <c r="H271" s="51">
        <v>375</v>
      </c>
      <c r="I271" s="17">
        <f t="shared" si="3"/>
        <v>725</v>
      </c>
      <c r="J271" s="108"/>
      <c r="K271" s="63"/>
    </row>
    <row r="272" spans="1:11" ht="29.25">
      <c r="A272" s="11">
        <v>54112</v>
      </c>
      <c r="B272" s="54" t="s">
        <v>395</v>
      </c>
      <c r="C272" s="55"/>
      <c r="D272" s="14" t="s">
        <v>11</v>
      </c>
      <c r="E272" s="14" t="s">
        <v>25</v>
      </c>
      <c r="F272" s="14" t="s">
        <v>26</v>
      </c>
      <c r="G272" s="17">
        <f>' MARZO-18-1'!I265</f>
        <v>2000</v>
      </c>
      <c r="H272" s="51"/>
      <c r="I272" s="17">
        <f t="shared" si="3"/>
        <v>2000</v>
      </c>
      <c r="J272" s="62"/>
      <c r="K272" s="63"/>
    </row>
    <row r="273" spans="1:11" ht="29.25">
      <c r="A273" s="11">
        <v>54199</v>
      </c>
      <c r="B273" s="54" t="s">
        <v>396</v>
      </c>
      <c r="C273" s="55"/>
      <c r="D273" s="14" t="s">
        <v>11</v>
      </c>
      <c r="E273" s="14" t="s">
        <v>25</v>
      </c>
      <c r="F273" s="14" t="s">
        <v>26</v>
      </c>
      <c r="G273" s="17">
        <f>' MARZO-18-1'!I266</f>
        <v>1000</v>
      </c>
      <c r="H273" s="51"/>
      <c r="I273" s="17">
        <f t="shared" ref="I273:I328" si="5">G273-H273+J273-K273</f>
        <v>1000</v>
      </c>
      <c r="J273" s="62"/>
      <c r="K273" s="63"/>
    </row>
    <row r="274" spans="1:11">
      <c r="A274" s="11">
        <v>54305</v>
      </c>
      <c r="B274" s="54" t="s">
        <v>397</v>
      </c>
      <c r="C274" s="55"/>
      <c r="D274" s="14" t="s">
        <v>11</v>
      </c>
      <c r="E274" s="14" t="s">
        <v>25</v>
      </c>
      <c r="F274" s="14" t="s">
        <v>26</v>
      </c>
      <c r="G274" s="17">
        <f>' MARZO-18-1'!I267</f>
        <v>5091.2</v>
      </c>
      <c r="H274" s="51"/>
      <c r="I274" s="17">
        <f t="shared" si="5"/>
        <v>5091.2</v>
      </c>
      <c r="J274" s="62"/>
      <c r="K274" s="108"/>
    </row>
    <row r="275" spans="1:11" ht="30">
      <c r="A275" s="11">
        <v>54313</v>
      </c>
      <c r="B275" s="54" t="s">
        <v>398</v>
      </c>
      <c r="C275" s="55" t="s">
        <v>1064</v>
      </c>
      <c r="D275" s="14" t="s">
        <v>11</v>
      </c>
      <c r="E275" s="14" t="s">
        <v>25</v>
      </c>
      <c r="F275" s="14" t="s">
        <v>26</v>
      </c>
      <c r="G275" s="17">
        <f>' MARZO-18-1'!I268</f>
        <v>5000</v>
      </c>
      <c r="H275" s="51">
        <v>4733</v>
      </c>
      <c r="I275" s="17">
        <f t="shared" si="5"/>
        <v>267</v>
      </c>
      <c r="J275" s="62"/>
      <c r="K275" s="63"/>
    </row>
    <row r="276" spans="1:11" ht="30">
      <c r="A276" s="11">
        <v>54399</v>
      </c>
      <c r="B276" s="54" t="s">
        <v>399</v>
      </c>
      <c r="C276" s="55"/>
      <c r="D276" s="14" t="s">
        <v>11</v>
      </c>
      <c r="E276" s="14" t="s">
        <v>25</v>
      </c>
      <c r="F276" s="14" t="s">
        <v>26</v>
      </c>
      <c r="G276" s="17">
        <f>' MARZO-18-1'!I269</f>
        <v>2000</v>
      </c>
      <c r="H276" s="51"/>
      <c r="I276" s="17">
        <f t="shared" si="5"/>
        <v>2000</v>
      </c>
      <c r="J276" s="62"/>
      <c r="K276" s="63"/>
    </row>
    <row r="277" spans="1:11" ht="30">
      <c r="A277" s="11">
        <v>55603</v>
      </c>
      <c r="B277" s="54" t="s">
        <v>400</v>
      </c>
      <c r="C277" s="55"/>
      <c r="D277" s="14" t="s">
        <v>11</v>
      </c>
      <c r="E277" s="14" t="s">
        <v>25</v>
      </c>
      <c r="F277" s="14" t="s">
        <v>26</v>
      </c>
      <c r="G277" s="17">
        <f>' MARZO-18-1'!I270</f>
        <v>17</v>
      </c>
      <c r="H277" s="51"/>
      <c r="I277" s="17">
        <f t="shared" si="5"/>
        <v>17</v>
      </c>
      <c r="J277" s="62"/>
      <c r="K277" s="63"/>
    </row>
    <row r="278" spans="1:11" ht="75.75" customHeight="1">
      <c r="A278" s="144" t="s">
        <v>401</v>
      </c>
      <c r="B278" s="54" t="s">
        <v>402</v>
      </c>
      <c r="C278" s="55" t="s">
        <v>1063</v>
      </c>
      <c r="D278" s="14"/>
      <c r="E278" s="14"/>
      <c r="F278" s="14"/>
      <c r="G278" s="17">
        <f>' MARZO-18-1'!I271</f>
        <v>0</v>
      </c>
      <c r="H278" s="51"/>
      <c r="I278" s="17"/>
      <c r="J278" s="62"/>
      <c r="K278" s="63"/>
    </row>
    <row r="279" spans="1:11" ht="20.25" customHeight="1">
      <c r="A279" s="147">
        <v>54119</v>
      </c>
      <c r="B279" s="145" t="s">
        <v>403</v>
      </c>
      <c r="C279" s="55" t="s">
        <v>1063</v>
      </c>
      <c r="D279" s="14" t="s">
        <v>11</v>
      </c>
      <c r="E279" s="14" t="s">
        <v>25</v>
      </c>
      <c r="F279" s="14" t="s">
        <v>26</v>
      </c>
      <c r="G279" s="17">
        <f>' MARZO-18-1'!I272</f>
        <v>14150</v>
      </c>
      <c r="H279" s="51">
        <f>556.9+16202.07</f>
        <v>16758.97</v>
      </c>
      <c r="I279" s="17">
        <f t="shared" si="5"/>
        <v>391.02999999999884</v>
      </c>
      <c r="J279" s="108">
        <f>3000</f>
        <v>3000</v>
      </c>
      <c r="K279" s="63"/>
    </row>
    <row r="280" spans="1:11" ht="39.75" customHeight="1">
      <c r="A280" s="147">
        <v>51999</v>
      </c>
      <c r="B280" s="145" t="s">
        <v>1051</v>
      </c>
      <c r="C280" s="55" t="s">
        <v>1063</v>
      </c>
      <c r="D280" s="14" t="s">
        <v>11</v>
      </c>
      <c r="E280" s="14" t="s">
        <v>25</v>
      </c>
      <c r="F280" s="14" t="s">
        <v>26</v>
      </c>
      <c r="G280" s="17"/>
      <c r="H280" s="51">
        <f>(330+146.33+1700)</f>
        <v>2176.33</v>
      </c>
      <c r="I280" s="17">
        <f t="shared" si="5"/>
        <v>823.67000000000007</v>
      </c>
      <c r="J280" s="108">
        <f>2000+1000</f>
        <v>3000</v>
      </c>
      <c r="K280" s="63"/>
    </row>
    <row r="281" spans="1:11" ht="24">
      <c r="A281" s="147">
        <v>54112</v>
      </c>
      <c r="B281" s="145" t="s">
        <v>404</v>
      </c>
      <c r="C281" s="55"/>
      <c r="D281" s="14" t="s">
        <v>11</v>
      </c>
      <c r="E281" s="14" t="s">
        <v>25</v>
      </c>
      <c r="F281" s="14" t="s">
        <v>26</v>
      </c>
      <c r="G281" s="17">
        <f>' MARZO-18-1'!I273</f>
        <v>1000</v>
      </c>
      <c r="H281" s="51"/>
      <c r="I281" s="17">
        <f t="shared" si="5"/>
        <v>0</v>
      </c>
      <c r="J281" s="62"/>
      <c r="K281" s="302">
        <v>1000</v>
      </c>
    </row>
    <row r="282" spans="1:11" ht="22.5" customHeight="1">
      <c r="A282" s="147">
        <v>54199</v>
      </c>
      <c r="B282" s="145" t="s">
        <v>405</v>
      </c>
      <c r="C282" s="55"/>
      <c r="D282" s="14" t="s">
        <v>11</v>
      </c>
      <c r="E282" s="14" t="s">
        <v>25</v>
      </c>
      <c r="F282" s="14" t="s">
        <v>26</v>
      </c>
      <c r="G282" s="17">
        <f>' MARZO-18-1'!I274</f>
        <v>845</v>
      </c>
      <c r="H282" s="51"/>
      <c r="I282" s="17">
        <f t="shared" si="5"/>
        <v>0</v>
      </c>
      <c r="J282" s="62"/>
      <c r="K282" s="302">
        <v>845</v>
      </c>
    </row>
    <row r="283" spans="1:11" ht="24">
      <c r="A283" s="147">
        <v>54399</v>
      </c>
      <c r="B283" s="145" t="s">
        <v>406</v>
      </c>
      <c r="C283" s="55"/>
      <c r="D283" s="14" t="s">
        <v>11</v>
      </c>
      <c r="E283" s="14" t="s">
        <v>25</v>
      </c>
      <c r="F283" s="14" t="s">
        <v>26</v>
      </c>
      <c r="G283" s="17">
        <f>' MARZO-18-1'!I275</f>
        <v>4835</v>
      </c>
      <c r="H283" s="51"/>
      <c r="I283" s="17">
        <f t="shared" si="5"/>
        <v>680</v>
      </c>
      <c r="J283" s="62"/>
      <c r="K283" s="302">
        <f>2000+2155</f>
        <v>4155</v>
      </c>
    </row>
    <row r="284" spans="1:11" ht="23.25" customHeight="1">
      <c r="A284" s="147">
        <v>55603</v>
      </c>
      <c r="B284" s="145" t="s">
        <v>407</v>
      </c>
      <c r="C284" s="55"/>
      <c r="D284" s="14" t="s">
        <v>11</v>
      </c>
      <c r="E284" s="14" t="s">
        <v>25</v>
      </c>
      <c r="F284" s="14" t="s">
        <v>26</v>
      </c>
      <c r="G284" s="17">
        <f>' MARZO-18-1'!I285</f>
        <v>8.6999999999999993</v>
      </c>
      <c r="H284" s="309">
        <v>1.7</v>
      </c>
      <c r="I284" s="17">
        <f t="shared" si="5"/>
        <v>6.9999999999999991</v>
      </c>
      <c r="J284" s="62"/>
      <c r="K284" s="63"/>
    </row>
    <row r="285" spans="1:11" s="213" customFormat="1" ht="58.5" customHeight="1">
      <c r="A285" s="144" t="s">
        <v>408</v>
      </c>
      <c r="B285" s="54" t="s">
        <v>409</v>
      </c>
      <c r="C285" s="55" t="s">
        <v>1062</v>
      </c>
      <c r="D285" s="14"/>
      <c r="E285" s="14"/>
      <c r="F285" s="14"/>
      <c r="G285" s="17"/>
      <c r="H285" s="51"/>
      <c r="I285" s="17"/>
      <c r="J285" s="62"/>
      <c r="K285" s="63"/>
    </row>
    <row r="286" spans="1:11" ht="29.25">
      <c r="A286" s="11">
        <v>51999</v>
      </c>
      <c r="B286" s="54" t="s">
        <v>410</v>
      </c>
      <c r="C286" s="55"/>
      <c r="D286" s="14" t="s">
        <v>11</v>
      </c>
      <c r="E286" s="14" t="s">
        <v>25</v>
      </c>
      <c r="F286" s="14" t="s">
        <v>26</v>
      </c>
      <c r="G286" s="17">
        <f>' MARZO-18-1'!I278</f>
        <v>4000</v>
      </c>
      <c r="H286" s="51"/>
      <c r="I286" s="17">
        <f t="shared" si="5"/>
        <v>4000</v>
      </c>
      <c r="J286" s="62"/>
      <c r="K286" s="63"/>
    </row>
    <row r="287" spans="1:11" ht="29.25">
      <c r="A287" s="11">
        <v>54111</v>
      </c>
      <c r="B287" s="54" t="s">
        <v>411</v>
      </c>
      <c r="C287" s="55"/>
      <c r="D287" s="14" t="s">
        <v>11</v>
      </c>
      <c r="E287" s="14" t="s">
        <v>25</v>
      </c>
      <c r="F287" s="14" t="s">
        <v>26</v>
      </c>
      <c r="G287" s="17">
        <f>' MARZO-18-1'!I279</f>
        <v>2933.08</v>
      </c>
      <c r="H287" s="51"/>
      <c r="I287" s="17">
        <f t="shared" si="5"/>
        <v>2933.08</v>
      </c>
      <c r="J287" s="62"/>
      <c r="K287" s="63"/>
    </row>
    <row r="288" spans="1:11" ht="29.25">
      <c r="A288" s="11">
        <v>54112</v>
      </c>
      <c r="B288" s="54" t="s">
        <v>412</v>
      </c>
      <c r="C288" s="55"/>
      <c r="D288" s="14" t="s">
        <v>11</v>
      </c>
      <c r="E288" s="14" t="s">
        <v>25</v>
      </c>
      <c r="F288" s="14" t="s">
        <v>26</v>
      </c>
      <c r="G288" s="17">
        <f>' MARZO-18-1'!I280</f>
        <v>1969.55</v>
      </c>
      <c r="H288" s="51"/>
      <c r="I288" s="17">
        <f t="shared" si="5"/>
        <v>1969.55</v>
      </c>
      <c r="J288" s="62"/>
      <c r="K288" s="63"/>
    </row>
    <row r="289" spans="1:11" ht="30">
      <c r="A289" s="11">
        <v>54118</v>
      </c>
      <c r="B289" s="54" t="s">
        <v>413</v>
      </c>
      <c r="C289" s="55" t="s">
        <v>1062</v>
      </c>
      <c r="D289" s="14" t="s">
        <v>11</v>
      </c>
      <c r="E289" s="14" t="s">
        <v>25</v>
      </c>
      <c r="F289" s="14" t="s">
        <v>26</v>
      </c>
      <c r="G289" s="17">
        <f>' MARZO-18-1'!I281</f>
        <v>3968.06</v>
      </c>
      <c r="H289" s="51">
        <v>65.3</v>
      </c>
      <c r="I289" s="17">
        <f t="shared" si="5"/>
        <v>3902.7599999999998</v>
      </c>
      <c r="J289" s="62"/>
      <c r="K289" s="63"/>
    </row>
    <row r="290" spans="1:11" ht="29.25">
      <c r="A290" s="11">
        <v>54199</v>
      </c>
      <c r="B290" s="54" t="s">
        <v>414</v>
      </c>
      <c r="C290" s="55"/>
      <c r="D290" s="14" t="s">
        <v>11</v>
      </c>
      <c r="E290" s="14" t="s">
        <v>25</v>
      </c>
      <c r="F290" s="14" t="s">
        <v>26</v>
      </c>
      <c r="G290" s="17">
        <f>' MARZO-18-1'!I282</f>
        <v>987</v>
      </c>
      <c r="H290" s="51"/>
      <c r="I290" s="17">
        <f t="shared" si="5"/>
        <v>987</v>
      </c>
      <c r="J290" s="62"/>
      <c r="K290" s="63"/>
    </row>
    <row r="291" spans="1:11" ht="30">
      <c r="A291" s="11">
        <v>54301</v>
      </c>
      <c r="B291" s="54" t="s">
        <v>415</v>
      </c>
      <c r="C291" s="55"/>
      <c r="D291" s="14" t="s">
        <v>11</v>
      </c>
      <c r="E291" s="14" t="s">
        <v>25</v>
      </c>
      <c r="F291" s="14" t="s">
        <v>26</v>
      </c>
      <c r="G291" s="17">
        <f>' MARZO-18-1'!I283</f>
        <v>3000</v>
      </c>
      <c r="H291" s="51"/>
      <c r="I291" s="17">
        <f t="shared" si="5"/>
        <v>3000</v>
      </c>
      <c r="J291" s="62"/>
      <c r="K291" s="63"/>
    </row>
    <row r="292" spans="1:11" ht="30">
      <c r="A292" s="11">
        <v>54399</v>
      </c>
      <c r="B292" s="54" t="s">
        <v>416</v>
      </c>
      <c r="C292" s="55"/>
      <c r="D292" s="14" t="s">
        <v>11</v>
      </c>
      <c r="E292" s="14" t="s">
        <v>25</v>
      </c>
      <c r="F292" s="14" t="s">
        <v>26</v>
      </c>
      <c r="G292" s="17">
        <f>' MARZO-18-1'!I284</f>
        <v>1813.5</v>
      </c>
      <c r="H292" s="51"/>
      <c r="I292" s="17">
        <f t="shared" si="5"/>
        <v>1813.5</v>
      </c>
      <c r="J292" s="62"/>
      <c r="K292" s="63"/>
    </row>
    <row r="293" spans="1:11" ht="29.25">
      <c r="A293" s="11">
        <v>55603</v>
      </c>
      <c r="B293" s="54" t="s">
        <v>417</v>
      </c>
      <c r="C293" s="55"/>
      <c r="D293" s="14" t="s">
        <v>11</v>
      </c>
      <c r="E293" s="14" t="s">
        <v>25</v>
      </c>
      <c r="F293" s="14" t="s">
        <v>26</v>
      </c>
      <c r="G293" s="17">
        <f>' MARZO-18-1'!I285</f>
        <v>8.6999999999999993</v>
      </c>
      <c r="H293" s="51"/>
      <c r="I293" s="17">
        <f t="shared" si="5"/>
        <v>8.6999999999999993</v>
      </c>
      <c r="J293" s="62"/>
      <c r="K293" s="63"/>
    </row>
    <row r="294" spans="1:11" ht="64.5" customHeight="1">
      <c r="A294" s="144" t="s">
        <v>418</v>
      </c>
      <c r="B294" s="54" t="s">
        <v>419</v>
      </c>
      <c r="C294" s="55" t="s">
        <v>1061</v>
      </c>
      <c r="D294" s="14"/>
      <c r="E294" s="14"/>
      <c r="F294" s="14"/>
      <c r="G294" s="17"/>
      <c r="H294" s="51"/>
      <c r="I294" s="17"/>
      <c r="J294" s="62"/>
      <c r="K294" s="63"/>
    </row>
    <row r="295" spans="1:11">
      <c r="A295" s="11">
        <v>51202</v>
      </c>
      <c r="B295" s="54" t="s">
        <v>420</v>
      </c>
      <c r="C295" s="55"/>
      <c r="D295" s="14" t="s">
        <v>11</v>
      </c>
      <c r="E295" s="14" t="s">
        <v>25</v>
      </c>
      <c r="F295" s="14" t="s">
        <v>26</v>
      </c>
      <c r="G295" s="17">
        <f>' MARZO-18-1'!I287</f>
        <v>10000</v>
      </c>
      <c r="H295" s="51"/>
      <c r="I295" s="17">
        <f t="shared" si="5"/>
        <v>10000</v>
      </c>
      <c r="J295" s="62"/>
      <c r="K295" s="63"/>
    </row>
    <row r="296" spans="1:11" ht="25.5" customHeight="1">
      <c r="A296" s="11">
        <v>54110</v>
      </c>
      <c r="B296" s="54" t="s">
        <v>421</v>
      </c>
      <c r="C296" s="55"/>
      <c r="D296" s="14" t="s">
        <v>11</v>
      </c>
      <c r="E296" s="14" t="s">
        <v>25</v>
      </c>
      <c r="F296" s="14" t="s">
        <v>26</v>
      </c>
      <c r="G296" s="17">
        <f>' MARZO-18-1'!I288</f>
        <v>5000</v>
      </c>
      <c r="H296" s="51"/>
      <c r="I296" s="17">
        <f t="shared" si="5"/>
        <v>5000</v>
      </c>
      <c r="J296" s="62"/>
      <c r="K296" s="63"/>
    </row>
    <row r="297" spans="1:11" ht="29.25">
      <c r="A297" s="11">
        <v>54111</v>
      </c>
      <c r="B297" s="54" t="s">
        <v>422</v>
      </c>
      <c r="C297" s="55" t="s">
        <v>1061</v>
      </c>
      <c r="D297" s="14" t="s">
        <v>11</v>
      </c>
      <c r="E297" s="14" t="s">
        <v>25</v>
      </c>
      <c r="F297" s="14" t="s">
        <v>26</v>
      </c>
      <c r="G297" s="17">
        <f>' MARZO-18-1'!I289</f>
        <v>6724</v>
      </c>
      <c r="H297" s="51">
        <f>1190+477</f>
        <v>1667</v>
      </c>
      <c r="I297" s="17">
        <f t="shared" si="5"/>
        <v>5057</v>
      </c>
      <c r="J297" s="108"/>
      <c r="K297" s="63"/>
    </row>
    <row r="298" spans="1:11" ht="29.25">
      <c r="A298" s="11">
        <v>54112</v>
      </c>
      <c r="B298" s="54" t="s">
        <v>423</v>
      </c>
      <c r="C298" s="55"/>
      <c r="D298" s="14" t="s">
        <v>11</v>
      </c>
      <c r="E298" s="14" t="s">
        <v>25</v>
      </c>
      <c r="F298" s="14" t="s">
        <v>26</v>
      </c>
      <c r="G298" s="17">
        <f>' MARZO-18-1'!I290</f>
        <v>9981.25</v>
      </c>
      <c r="H298" s="51"/>
      <c r="I298" s="17">
        <f t="shared" si="5"/>
        <v>9981.25</v>
      </c>
      <c r="J298" s="62"/>
      <c r="K298" s="63"/>
    </row>
    <row r="299" spans="1:11" ht="29.25">
      <c r="A299" s="11">
        <v>54313</v>
      </c>
      <c r="B299" s="54" t="s">
        <v>424</v>
      </c>
      <c r="C299" s="55"/>
      <c r="D299" s="14" t="s">
        <v>11</v>
      </c>
      <c r="E299" s="14" t="s">
        <v>25</v>
      </c>
      <c r="F299" s="14" t="s">
        <v>26</v>
      </c>
      <c r="G299" s="17">
        <f>' MARZO-18-1'!I291</f>
        <v>490</v>
      </c>
      <c r="H299" s="51"/>
      <c r="I299" s="17">
        <f t="shared" si="5"/>
        <v>490</v>
      </c>
      <c r="J299" s="62"/>
      <c r="K299" s="63"/>
    </row>
    <row r="300" spans="1:11" ht="29.25">
      <c r="A300" s="11">
        <v>54316</v>
      </c>
      <c r="B300" s="54" t="s">
        <v>425</v>
      </c>
      <c r="C300" s="55" t="s">
        <v>1061</v>
      </c>
      <c r="D300" s="14" t="s">
        <v>11</v>
      </c>
      <c r="E300" s="14" t="s">
        <v>25</v>
      </c>
      <c r="F300" s="14" t="s">
        <v>26</v>
      </c>
      <c r="G300" s="17">
        <f>' MARZO-18-1'!I292</f>
        <v>420</v>
      </c>
      <c r="H300" s="51">
        <v>150</v>
      </c>
      <c r="I300" s="17">
        <f t="shared" si="5"/>
        <v>270</v>
      </c>
      <c r="J300" s="108"/>
      <c r="K300" s="63"/>
    </row>
    <row r="301" spans="1:11" ht="30">
      <c r="A301" s="11">
        <v>54399</v>
      </c>
      <c r="B301" s="54" t="s">
        <v>426</v>
      </c>
      <c r="C301" s="55"/>
      <c r="D301" s="14" t="s">
        <v>11</v>
      </c>
      <c r="E301" s="14" t="s">
        <v>25</v>
      </c>
      <c r="F301" s="14" t="s">
        <v>26</v>
      </c>
      <c r="G301" s="17">
        <f>' MARZO-18-1'!I293</f>
        <v>5000</v>
      </c>
      <c r="H301" s="51"/>
      <c r="I301" s="17">
        <f t="shared" si="5"/>
        <v>5000</v>
      </c>
      <c r="J301" s="62"/>
      <c r="K301" s="63"/>
    </row>
    <row r="302" spans="1:11">
      <c r="A302" s="11">
        <v>55603</v>
      </c>
      <c r="B302" s="54" t="s">
        <v>427</v>
      </c>
      <c r="C302" s="55"/>
      <c r="D302" s="14" t="s">
        <v>11</v>
      </c>
      <c r="E302" s="14" t="s">
        <v>25</v>
      </c>
      <c r="F302" s="14" t="s">
        <v>26</v>
      </c>
      <c r="G302" s="17">
        <f>' MARZO-18-1'!I294</f>
        <v>8.6999999999999993</v>
      </c>
      <c r="H302" s="51"/>
      <c r="I302" s="17">
        <f t="shared" si="5"/>
        <v>8.6999999999999993</v>
      </c>
      <c r="J302" s="62"/>
      <c r="K302" s="63"/>
    </row>
    <row r="303" spans="1:11" ht="20.25" customHeight="1">
      <c r="A303" s="11">
        <v>55799</v>
      </c>
      <c r="B303" s="54" t="s">
        <v>428</v>
      </c>
      <c r="C303" s="55"/>
      <c r="D303" s="14" t="s">
        <v>11</v>
      </c>
      <c r="E303" s="14" t="s">
        <v>25</v>
      </c>
      <c r="F303" s="14" t="s">
        <v>26</v>
      </c>
      <c r="G303" s="17">
        <f>' MARZO-18-1'!I295</f>
        <v>10000</v>
      </c>
      <c r="H303" s="51"/>
      <c r="I303" s="17">
        <f t="shared" si="5"/>
        <v>10000</v>
      </c>
      <c r="J303" s="62"/>
      <c r="K303" s="63"/>
    </row>
    <row r="304" spans="1:11" ht="77.25" customHeight="1">
      <c r="A304" s="144" t="s">
        <v>429</v>
      </c>
      <c r="B304" s="54" t="s">
        <v>430</v>
      </c>
      <c r="C304" s="55" t="s">
        <v>1060</v>
      </c>
      <c r="D304" s="14"/>
      <c r="E304" s="14"/>
      <c r="F304" s="14"/>
      <c r="G304" s="17"/>
      <c r="H304" s="51"/>
      <c r="I304" s="17"/>
      <c r="J304" s="62"/>
      <c r="K304" s="63"/>
    </row>
    <row r="305" spans="1:11" ht="33.75" customHeight="1">
      <c r="A305" s="148">
        <v>54199</v>
      </c>
      <c r="B305" s="54" t="s">
        <v>431</v>
      </c>
      <c r="C305" s="55" t="s">
        <v>1060</v>
      </c>
      <c r="D305" s="14" t="s">
        <v>11</v>
      </c>
      <c r="E305" s="14" t="s">
        <v>25</v>
      </c>
      <c r="F305" s="14" t="s">
        <v>26</v>
      </c>
      <c r="G305" s="17">
        <f>' MARZO-18-1'!I297</f>
        <v>9500</v>
      </c>
      <c r="H305" s="51">
        <v>3500</v>
      </c>
      <c r="I305" s="17">
        <f t="shared" si="5"/>
        <v>6000</v>
      </c>
      <c r="J305" s="62"/>
      <c r="K305" s="63"/>
    </row>
    <row r="306" spans="1:11" ht="30" customHeight="1">
      <c r="A306" s="148">
        <v>54314</v>
      </c>
      <c r="B306" s="54" t="s">
        <v>432</v>
      </c>
      <c r="C306" s="55" t="s">
        <v>1060</v>
      </c>
      <c r="D306" s="14" t="s">
        <v>11</v>
      </c>
      <c r="E306" s="14" t="s">
        <v>25</v>
      </c>
      <c r="F306" s="14" t="s">
        <v>26</v>
      </c>
      <c r="G306" s="17">
        <f>' MARZO-18-1'!I298</f>
        <v>11358.56</v>
      </c>
      <c r="H306" s="51">
        <f>1800+340</f>
        <v>2140</v>
      </c>
      <c r="I306" s="17">
        <f t="shared" si="5"/>
        <v>9218.56</v>
      </c>
      <c r="J306" s="62"/>
      <c r="K306" s="63"/>
    </row>
    <row r="307" spans="1:11" ht="30.75" customHeight="1">
      <c r="A307" s="148">
        <v>54399</v>
      </c>
      <c r="B307" s="54" t="s">
        <v>433</v>
      </c>
      <c r="C307" s="55"/>
      <c r="D307" s="14" t="s">
        <v>11</v>
      </c>
      <c r="E307" s="14" t="s">
        <v>25</v>
      </c>
      <c r="F307" s="14" t="s">
        <v>26</v>
      </c>
      <c r="G307" s="17">
        <f>' MARZO-18-1'!I299</f>
        <v>5000</v>
      </c>
      <c r="H307" s="51"/>
      <c r="I307" s="17">
        <f t="shared" si="5"/>
        <v>5000</v>
      </c>
      <c r="J307" s="62"/>
      <c r="K307" s="63"/>
    </row>
    <row r="308" spans="1:11" ht="33" customHeight="1">
      <c r="A308" s="148">
        <v>55603</v>
      </c>
      <c r="B308" s="54" t="s">
        <v>434</v>
      </c>
      <c r="C308" s="55"/>
      <c r="D308" s="14" t="s">
        <v>11</v>
      </c>
      <c r="E308" s="14" t="s">
        <v>25</v>
      </c>
      <c r="F308" s="14" t="s">
        <v>26</v>
      </c>
      <c r="G308" s="17">
        <f>' MARZO-18-1'!I300</f>
        <v>6.9999999999999991</v>
      </c>
      <c r="H308" s="51"/>
      <c r="I308" s="17">
        <f t="shared" si="5"/>
        <v>6.9999999999999991</v>
      </c>
      <c r="J308" s="62"/>
      <c r="K308" s="63"/>
    </row>
    <row r="309" spans="1:11" ht="31.5" customHeight="1">
      <c r="A309" s="148">
        <v>56303</v>
      </c>
      <c r="B309" s="54" t="s">
        <v>986</v>
      </c>
      <c r="C309" s="55"/>
      <c r="D309" s="14" t="s">
        <v>11</v>
      </c>
      <c r="E309" s="14" t="s">
        <v>25</v>
      </c>
      <c r="F309" s="14" t="s">
        <v>26</v>
      </c>
      <c r="G309" s="17">
        <f>' MARZO-18-1'!I301</f>
        <v>9990</v>
      </c>
      <c r="H309" s="51"/>
      <c r="I309" s="17">
        <f t="shared" si="5"/>
        <v>9990</v>
      </c>
      <c r="J309" s="62"/>
      <c r="K309" s="63"/>
    </row>
    <row r="310" spans="1:11" ht="77.25" customHeight="1">
      <c r="A310" s="144" t="s">
        <v>437</v>
      </c>
      <c r="B310" s="54" t="s">
        <v>436</v>
      </c>
      <c r="C310" s="55"/>
      <c r="D310" s="14" t="s">
        <v>11</v>
      </c>
      <c r="E310" s="14" t="s">
        <v>25</v>
      </c>
      <c r="F310" s="14" t="s">
        <v>26</v>
      </c>
      <c r="G310" s="17"/>
      <c r="H310" s="51"/>
      <c r="I310" s="17"/>
      <c r="J310" s="62"/>
      <c r="K310" s="63"/>
    </row>
    <row r="311" spans="1:11" ht="28.5" customHeight="1">
      <c r="A311" s="148">
        <v>54199</v>
      </c>
      <c r="B311" s="54" t="s">
        <v>438</v>
      </c>
      <c r="C311" s="55"/>
      <c r="D311" s="14" t="s">
        <v>11</v>
      </c>
      <c r="E311" s="14" t="s">
        <v>25</v>
      </c>
      <c r="F311" s="14" t="s">
        <v>26</v>
      </c>
      <c r="G311" s="17">
        <f>' MARZO-18-1'!I303</f>
        <v>725</v>
      </c>
      <c r="H311" s="51"/>
      <c r="I311" s="17">
        <f t="shared" si="5"/>
        <v>0</v>
      </c>
      <c r="J311" s="62"/>
      <c r="K311" s="281">
        <v>725</v>
      </c>
    </row>
    <row r="312" spans="1:11" ht="15" customHeight="1">
      <c r="A312" s="148">
        <v>54314</v>
      </c>
      <c r="B312" s="54" t="s">
        <v>439</v>
      </c>
      <c r="C312" s="55"/>
      <c r="D312" s="14" t="s">
        <v>11</v>
      </c>
      <c r="E312" s="14" t="s">
        <v>25</v>
      </c>
      <c r="F312" s="14" t="s">
        <v>26</v>
      </c>
      <c r="G312" s="17">
        <f>' MARZO-18-1'!I304</f>
        <v>237.5</v>
      </c>
      <c r="H312" s="51"/>
      <c r="I312" s="17">
        <f t="shared" si="5"/>
        <v>0</v>
      </c>
      <c r="J312" s="62"/>
      <c r="K312" s="281">
        <v>237.5</v>
      </c>
    </row>
    <row r="313" spans="1:11" ht="27.75" customHeight="1">
      <c r="A313" s="148">
        <v>54399</v>
      </c>
      <c r="B313" s="54" t="s">
        <v>440</v>
      </c>
      <c r="C313" s="55"/>
      <c r="D313" s="14" t="s">
        <v>11</v>
      </c>
      <c r="E313" s="14" t="s">
        <v>25</v>
      </c>
      <c r="F313" s="14" t="s">
        <v>26</v>
      </c>
      <c r="G313" s="17">
        <f>' MARZO-18-1'!I305</f>
        <v>100</v>
      </c>
      <c r="H313" s="51"/>
      <c r="I313" s="17">
        <f t="shared" si="5"/>
        <v>0</v>
      </c>
      <c r="J313" s="62"/>
      <c r="K313" s="281">
        <v>100</v>
      </c>
    </row>
    <row r="314" spans="1:11" ht="29.25" customHeight="1">
      <c r="A314" s="148">
        <v>55603</v>
      </c>
      <c r="B314" s="54" t="s">
        <v>441</v>
      </c>
      <c r="C314" s="55"/>
      <c r="D314" s="14" t="s">
        <v>11</v>
      </c>
      <c r="E314" s="14" t="s">
        <v>25</v>
      </c>
      <c r="F314" s="14" t="s">
        <v>26</v>
      </c>
      <c r="G314" s="17">
        <f>' MARZO-18-1'!I306</f>
        <v>7</v>
      </c>
      <c r="H314" s="51"/>
      <c r="I314" s="17">
        <f t="shared" si="5"/>
        <v>0</v>
      </c>
      <c r="J314" s="62"/>
      <c r="K314" s="281">
        <v>7</v>
      </c>
    </row>
    <row r="315" spans="1:11" ht="18" customHeight="1">
      <c r="A315" s="148">
        <v>55799</v>
      </c>
      <c r="B315" s="54" t="s">
        <v>442</v>
      </c>
      <c r="C315" s="55"/>
      <c r="D315" s="14" t="s">
        <v>11</v>
      </c>
      <c r="E315" s="14" t="s">
        <v>25</v>
      </c>
      <c r="F315" s="14" t="s">
        <v>26</v>
      </c>
      <c r="G315" s="17">
        <f>' MARZO-18-1'!I307</f>
        <v>100</v>
      </c>
      <c r="H315" s="51"/>
      <c r="I315" s="17">
        <f t="shared" si="5"/>
        <v>0</v>
      </c>
      <c r="J315" s="62"/>
      <c r="K315" s="281">
        <v>100</v>
      </c>
    </row>
    <row r="316" spans="1:11" ht="68.25" customHeight="1">
      <c r="A316" s="144" t="s">
        <v>443</v>
      </c>
      <c r="B316" s="54" t="s">
        <v>444</v>
      </c>
      <c r="C316" s="55"/>
      <c r="D316" s="14"/>
      <c r="E316" s="14"/>
      <c r="F316" s="14"/>
      <c r="G316" s="17"/>
      <c r="H316" s="51"/>
      <c r="I316" s="17"/>
      <c r="J316" s="62"/>
      <c r="K316" s="63"/>
    </row>
    <row r="317" spans="1:11" ht="27.75" customHeight="1">
      <c r="A317" s="148">
        <v>54199</v>
      </c>
      <c r="B317" s="54" t="s">
        <v>445</v>
      </c>
      <c r="C317" s="55"/>
      <c r="D317" s="14" t="s">
        <v>11</v>
      </c>
      <c r="E317" s="14" t="s">
        <v>25</v>
      </c>
      <c r="F317" s="14" t="s">
        <v>26</v>
      </c>
      <c r="G317" s="17">
        <f>' MARZO-18-1'!I309</f>
        <v>6000</v>
      </c>
      <c r="H317" s="51"/>
      <c r="I317" s="17">
        <f t="shared" si="5"/>
        <v>6000</v>
      </c>
      <c r="J317" s="62"/>
      <c r="K317" s="63"/>
    </row>
    <row r="318" spans="1:11" ht="24.75" customHeight="1">
      <c r="A318" s="148">
        <v>54314</v>
      </c>
      <c r="B318" s="54" t="s">
        <v>446</v>
      </c>
      <c r="C318" s="55"/>
      <c r="D318" s="14" t="s">
        <v>11</v>
      </c>
      <c r="E318" s="14" t="s">
        <v>25</v>
      </c>
      <c r="F318" s="14" t="s">
        <v>26</v>
      </c>
      <c r="G318" s="17">
        <f>' MARZO-18-1'!I310</f>
        <v>30000</v>
      </c>
      <c r="H318" s="51"/>
      <c r="I318" s="17">
        <f t="shared" si="5"/>
        <v>30000</v>
      </c>
      <c r="J318" s="62"/>
      <c r="K318" s="63"/>
    </row>
    <row r="319" spans="1:11" ht="33.75" customHeight="1">
      <c r="A319" s="148">
        <v>54313</v>
      </c>
      <c r="B319" s="54" t="s">
        <v>447</v>
      </c>
      <c r="C319" s="55"/>
      <c r="D319" s="14" t="s">
        <v>11</v>
      </c>
      <c r="E319" s="14" t="s">
        <v>25</v>
      </c>
      <c r="F319" s="14" t="s">
        <v>26</v>
      </c>
      <c r="G319" s="17">
        <f>' MARZO-18-1'!I311</f>
        <v>2990</v>
      </c>
      <c r="H319" s="51"/>
      <c r="I319" s="17">
        <f t="shared" si="5"/>
        <v>2990</v>
      </c>
      <c r="J319" s="62"/>
      <c r="K319" s="63"/>
    </row>
    <row r="320" spans="1:11" ht="28.5" customHeight="1">
      <c r="A320" s="148">
        <v>55399</v>
      </c>
      <c r="B320" s="149" t="s">
        <v>450</v>
      </c>
      <c r="C320" s="55"/>
      <c r="D320" s="14" t="s">
        <v>11</v>
      </c>
      <c r="E320" s="14" t="s">
        <v>25</v>
      </c>
      <c r="F320" s="14" t="s">
        <v>26</v>
      </c>
      <c r="G320" s="17">
        <f>' MARZO-18-1'!I312</f>
        <v>1000</v>
      </c>
      <c r="H320" s="51"/>
      <c r="I320" s="17">
        <f t="shared" si="5"/>
        <v>1000</v>
      </c>
      <c r="J320" s="62"/>
      <c r="K320" s="63"/>
    </row>
    <row r="321" spans="1:11" ht="30.75" customHeight="1">
      <c r="A321" s="148">
        <v>55603</v>
      </c>
      <c r="B321" s="54" t="s">
        <v>448</v>
      </c>
      <c r="C321" s="55"/>
      <c r="D321" s="14" t="s">
        <v>11</v>
      </c>
      <c r="E321" s="14" t="s">
        <v>25</v>
      </c>
      <c r="F321" s="14" t="s">
        <v>26</v>
      </c>
      <c r="G321" s="17">
        <f>' MARZO-18-1'!I313</f>
        <v>10</v>
      </c>
      <c r="H321" s="51"/>
      <c r="I321" s="17">
        <f t="shared" si="5"/>
        <v>10</v>
      </c>
      <c r="J321" s="62"/>
      <c r="K321" s="63"/>
    </row>
    <row r="322" spans="1:11" ht="31.5" customHeight="1">
      <c r="A322" s="148">
        <v>56603</v>
      </c>
      <c r="B322" s="54" t="s">
        <v>449</v>
      </c>
      <c r="C322" s="55"/>
      <c r="D322" s="14" t="s">
        <v>11</v>
      </c>
      <c r="E322" s="14" t="s">
        <v>25</v>
      </c>
      <c r="F322" s="14" t="s">
        <v>26</v>
      </c>
      <c r="G322" s="17">
        <f>' MARZO-18-1'!I314</f>
        <v>5000</v>
      </c>
      <c r="H322" s="51"/>
      <c r="I322" s="17">
        <f t="shared" si="5"/>
        <v>5000</v>
      </c>
      <c r="J322" s="62"/>
      <c r="K322" s="63"/>
    </row>
    <row r="323" spans="1:11" ht="74.25" customHeight="1">
      <c r="A323" s="144" t="s">
        <v>451</v>
      </c>
      <c r="B323" s="54" t="s">
        <v>452</v>
      </c>
      <c r="C323" s="55"/>
      <c r="D323" s="14"/>
      <c r="E323" s="14"/>
      <c r="F323" s="14"/>
      <c r="G323" s="17"/>
      <c r="H323" s="51"/>
      <c r="I323" s="17"/>
      <c r="J323" s="52"/>
      <c r="K323" s="52"/>
    </row>
    <row r="324" spans="1:11" ht="30.75" customHeight="1">
      <c r="A324" s="4">
        <v>54199</v>
      </c>
      <c r="B324" s="5" t="s">
        <v>453</v>
      </c>
      <c r="C324" s="10"/>
      <c r="D324" s="14" t="s">
        <v>11</v>
      </c>
      <c r="E324" s="14" t="s">
        <v>25</v>
      </c>
      <c r="F324" s="14" t="s">
        <v>26</v>
      </c>
      <c r="G324" s="17">
        <f>' MARZO-18-1'!I316</f>
        <v>3000</v>
      </c>
      <c r="H324" s="51"/>
      <c r="I324" s="17">
        <f t="shared" si="5"/>
        <v>3000</v>
      </c>
      <c r="J324" s="44"/>
      <c r="K324" s="44"/>
    </row>
    <row r="325" spans="1:11" ht="40.5" customHeight="1">
      <c r="A325" s="11">
        <v>54314</v>
      </c>
      <c r="B325" s="150" t="s">
        <v>454</v>
      </c>
      <c r="C325" s="55"/>
      <c r="D325" s="14" t="s">
        <v>11</v>
      </c>
      <c r="E325" s="14" t="s">
        <v>25</v>
      </c>
      <c r="F325" s="14" t="s">
        <v>26</v>
      </c>
      <c r="G325" s="17">
        <f>' MARZO-18-1'!I317</f>
        <v>6000</v>
      </c>
      <c r="H325" s="51"/>
      <c r="I325" s="17">
        <f t="shared" si="5"/>
        <v>6000</v>
      </c>
      <c r="J325" s="62"/>
      <c r="K325" s="63"/>
    </row>
    <row r="326" spans="1:11" ht="43.5" customHeight="1">
      <c r="A326" s="11">
        <v>54399</v>
      </c>
      <c r="B326" s="150" t="s">
        <v>455</v>
      </c>
      <c r="C326" s="13"/>
      <c r="D326" s="14" t="s">
        <v>11</v>
      </c>
      <c r="E326" s="14" t="s">
        <v>25</v>
      </c>
      <c r="F326" s="14" t="s">
        <v>26</v>
      </c>
      <c r="G326" s="17">
        <f>' MARZO-18-1'!I318</f>
        <v>0</v>
      </c>
      <c r="H326" s="51"/>
      <c r="I326" s="17">
        <f t="shared" si="5"/>
        <v>0</v>
      </c>
      <c r="J326" s="52"/>
      <c r="K326" s="52"/>
    </row>
    <row r="327" spans="1:11" ht="29.25">
      <c r="A327" s="4">
        <v>55603</v>
      </c>
      <c r="B327" s="150" t="s">
        <v>456</v>
      </c>
      <c r="C327" s="9"/>
      <c r="D327" s="14" t="s">
        <v>11</v>
      </c>
      <c r="E327" s="14" t="s">
        <v>25</v>
      </c>
      <c r="F327" s="14" t="s">
        <v>26</v>
      </c>
      <c r="G327" s="17">
        <f>' MARZO-18-1'!I319</f>
        <v>10</v>
      </c>
      <c r="H327" s="51"/>
      <c r="I327" s="17">
        <f t="shared" si="5"/>
        <v>10</v>
      </c>
      <c r="J327" s="44"/>
      <c r="K327" s="44"/>
    </row>
    <row r="328" spans="1:11" ht="37.5" customHeight="1">
      <c r="A328" s="4">
        <v>55799</v>
      </c>
      <c r="B328" s="150" t="s">
        <v>457</v>
      </c>
      <c r="C328" s="9"/>
      <c r="D328" s="14" t="s">
        <v>11</v>
      </c>
      <c r="E328" s="14" t="s">
        <v>25</v>
      </c>
      <c r="F328" s="14" t="s">
        <v>26</v>
      </c>
      <c r="G328" s="17">
        <f>' MARZO-18-1'!I320</f>
        <v>1269.74</v>
      </c>
      <c r="H328" s="51"/>
      <c r="I328" s="17">
        <f t="shared" si="5"/>
        <v>1269.74</v>
      </c>
      <c r="J328" s="44"/>
      <c r="K328" s="44"/>
    </row>
    <row r="329" spans="1:11" ht="68.25" customHeight="1">
      <c r="A329" s="144" t="s">
        <v>459</v>
      </c>
      <c r="B329" s="54" t="s">
        <v>458</v>
      </c>
      <c r="C329" s="9"/>
      <c r="D329" s="3"/>
      <c r="E329" s="3"/>
      <c r="F329" s="3"/>
      <c r="G329" s="17"/>
      <c r="H329" s="51"/>
      <c r="I329" s="17"/>
      <c r="J329" s="44"/>
      <c r="K329" s="44"/>
    </row>
    <row r="330" spans="1:11" ht="25.5" customHeight="1">
      <c r="A330" s="4">
        <v>54314</v>
      </c>
      <c r="B330" s="70" t="s">
        <v>460</v>
      </c>
      <c r="C330" s="5"/>
      <c r="D330" s="14" t="s">
        <v>11</v>
      </c>
      <c r="E330" s="14" t="s">
        <v>25</v>
      </c>
      <c r="F330" s="14" t="s">
        <v>26</v>
      </c>
      <c r="G330" s="17">
        <f>' MARZO-18-1'!I322</f>
        <v>1949.81</v>
      </c>
      <c r="H330" s="51"/>
      <c r="I330" s="17">
        <f>G330-H330+J330-K330</f>
        <v>1370.1399999999999</v>
      </c>
      <c r="J330" s="44"/>
      <c r="K330" s="285">
        <v>579.66999999999996</v>
      </c>
    </row>
    <row r="331" spans="1:11" ht="63.75" customHeight="1">
      <c r="A331" s="144" t="s">
        <v>461</v>
      </c>
      <c r="B331" s="54" t="s">
        <v>470</v>
      </c>
      <c r="C331" s="55"/>
      <c r="D331" s="14"/>
      <c r="E331" s="14"/>
      <c r="F331" s="14"/>
      <c r="G331" s="17"/>
      <c r="H331" s="51"/>
      <c r="I331" s="17"/>
      <c r="J331" s="62"/>
      <c r="K331" s="63"/>
    </row>
    <row r="332" spans="1:11" ht="33" customHeight="1">
      <c r="A332" s="11">
        <v>54199</v>
      </c>
      <c r="B332" s="70" t="s">
        <v>462</v>
      </c>
      <c r="C332" s="55"/>
      <c r="D332" s="14" t="s">
        <v>11</v>
      </c>
      <c r="E332" s="14" t="s">
        <v>25</v>
      </c>
      <c r="F332" s="14" t="s">
        <v>26</v>
      </c>
      <c r="G332" s="17">
        <f>' MARZO-18-1'!I324</f>
        <v>2000</v>
      </c>
      <c r="H332" s="51"/>
      <c r="I332" s="17">
        <f>G332-H332+J332-K332</f>
        <v>2000</v>
      </c>
      <c r="J332" s="62"/>
      <c r="K332" s="63"/>
    </row>
    <row r="333" spans="1:11" ht="36.75" customHeight="1">
      <c r="A333" s="11">
        <v>54314</v>
      </c>
      <c r="B333" s="151" t="s">
        <v>463</v>
      </c>
      <c r="C333" s="55"/>
      <c r="D333" s="14" t="s">
        <v>11</v>
      </c>
      <c r="E333" s="14" t="s">
        <v>25</v>
      </c>
      <c r="F333" s="14" t="s">
        <v>26</v>
      </c>
      <c r="G333" s="17">
        <f>' MARZO-18-1'!I325</f>
        <v>22000</v>
      </c>
      <c r="H333" s="51"/>
      <c r="I333" s="17">
        <f t="shared" ref="I333:I399" si="6">G333-H333+J333-K333</f>
        <v>22000</v>
      </c>
      <c r="J333" s="62"/>
      <c r="K333" s="63"/>
    </row>
    <row r="334" spans="1:11" ht="39" customHeight="1">
      <c r="A334" s="11">
        <v>54313</v>
      </c>
      <c r="B334" s="151" t="s">
        <v>464</v>
      </c>
      <c r="C334" s="55"/>
      <c r="D334" s="14" t="s">
        <v>11</v>
      </c>
      <c r="E334" s="14" t="s">
        <v>25</v>
      </c>
      <c r="F334" s="14" t="s">
        <v>26</v>
      </c>
      <c r="G334" s="17">
        <f>' MARZO-18-1'!I326</f>
        <v>5000</v>
      </c>
      <c r="H334" s="51"/>
      <c r="I334" s="17">
        <f t="shared" si="6"/>
        <v>5000</v>
      </c>
      <c r="J334" s="62"/>
      <c r="K334" s="63"/>
    </row>
    <row r="335" spans="1:11" ht="33.75" customHeight="1">
      <c r="A335" s="11">
        <v>54399</v>
      </c>
      <c r="B335" s="151" t="s">
        <v>465</v>
      </c>
      <c r="C335" s="13"/>
      <c r="D335" s="14" t="s">
        <v>11</v>
      </c>
      <c r="E335" s="14" t="s">
        <v>25</v>
      </c>
      <c r="F335" s="14" t="s">
        <v>26</v>
      </c>
      <c r="G335" s="17">
        <f>' MARZO-18-1'!I327</f>
        <v>990</v>
      </c>
      <c r="H335" s="51"/>
      <c r="I335" s="17">
        <f t="shared" si="6"/>
        <v>990</v>
      </c>
      <c r="J335" s="52"/>
      <c r="K335" s="52"/>
    </row>
    <row r="336" spans="1:11" ht="35.25" customHeight="1">
      <c r="A336" s="11">
        <v>55603</v>
      </c>
      <c r="B336" s="151" t="s">
        <v>466</v>
      </c>
      <c r="C336" s="13"/>
      <c r="D336" s="14" t="s">
        <v>11</v>
      </c>
      <c r="E336" s="14" t="s">
        <v>25</v>
      </c>
      <c r="F336" s="14" t="s">
        <v>26</v>
      </c>
      <c r="G336" s="17">
        <f>' MARZO-18-1'!I328</f>
        <v>10</v>
      </c>
      <c r="H336" s="51"/>
      <c r="I336" s="17">
        <f t="shared" si="6"/>
        <v>10</v>
      </c>
      <c r="J336" s="52"/>
      <c r="K336" s="52"/>
    </row>
    <row r="337" spans="1:11" ht="34.5" customHeight="1">
      <c r="A337" s="11">
        <v>56603</v>
      </c>
      <c r="B337" s="151" t="s">
        <v>467</v>
      </c>
      <c r="C337" s="61"/>
      <c r="D337" s="14" t="s">
        <v>11</v>
      </c>
      <c r="E337" s="14" t="s">
        <v>25</v>
      </c>
      <c r="F337" s="14" t="s">
        <v>26</v>
      </c>
      <c r="G337" s="17">
        <f>' MARZO-18-1'!I329</f>
        <v>5000</v>
      </c>
      <c r="H337" s="51"/>
      <c r="I337" s="17">
        <f t="shared" si="6"/>
        <v>5000</v>
      </c>
      <c r="J337" s="11"/>
      <c r="K337" s="54"/>
    </row>
    <row r="338" spans="1:11" ht="68.25" customHeight="1">
      <c r="A338" s="144" t="s">
        <v>468</v>
      </c>
      <c r="B338" s="54" t="s">
        <v>987</v>
      </c>
      <c r="C338" s="61" t="s">
        <v>1065</v>
      </c>
      <c r="D338" s="14"/>
      <c r="E338" s="14"/>
      <c r="F338" s="14"/>
      <c r="G338" s="17"/>
      <c r="H338" s="51"/>
      <c r="I338" s="17"/>
      <c r="J338" s="52"/>
      <c r="K338" s="52"/>
    </row>
    <row r="339" spans="1:11" ht="33" customHeight="1">
      <c r="A339" s="11">
        <v>51202</v>
      </c>
      <c r="B339" s="70" t="s">
        <v>471</v>
      </c>
      <c r="C339" s="61" t="s">
        <v>1065</v>
      </c>
      <c r="D339" s="14" t="s">
        <v>11</v>
      </c>
      <c r="E339" s="14" t="s">
        <v>25</v>
      </c>
      <c r="F339" s="14" t="s">
        <v>26</v>
      </c>
      <c r="G339" s="17">
        <f>' MARZO-18-1'!I331</f>
        <v>614.46999999999957</v>
      </c>
      <c r="H339" s="51">
        <f>233.33+186.67+124.44+124.44</f>
        <v>668.88000000000011</v>
      </c>
      <c r="I339" s="17">
        <f t="shared" si="6"/>
        <v>745.58999999999946</v>
      </c>
      <c r="J339" s="237">
        <v>800</v>
      </c>
      <c r="K339" s="52"/>
    </row>
    <row r="340" spans="1:11" ht="34.5" customHeight="1">
      <c r="A340" s="11">
        <v>54111</v>
      </c>
      <c r="B340" s="70" t="s">
        <v>472</v>
      </c>
      <c r="C340" s="61" t="s">
        <v>1065</v>
      </c>
      <c r="D340" s="14" t="s">
        <v>11</v>
      </c>
      <c r="E340" s="14" t="s">
        <v>25</v>
      </c>
      <c r="F340" s="14" t="s">
        <v>26</v>
      </c>
      <c r="G340" s="17">
        <f>' MARZO-18-1'!I332</f>
        <v>883.90000000000009</v>
      </c>
      <c r="H340" s="51">
        <v>420.15</v>
      </c>
      <c r="I340" s="17">
        <f t="shared" si="6"/>
        <v>463.75000000000011</v>
      </c>
      <c r="J340" s="44"/>
      <c r="K340" s="44"/>
    </row>
    <row r="341" spans="1:11" ht="41.25" customHeight="1">
      <c r="A341" s="11">
        <v>54112</v>
      </c>
      <c r="B341" s="70" t="s">
        <v>473</v>
      </c>
      <c r="C341" s="12"/>
      <c r="D341" s="14" t="s">
        <v>11</v>
      </c>
      <c r="E341" s="14" t="s">
        <v>25</v>
      </c>
      <c r="F341" s="14" t="s">
        <v>26</v>
      </c>
      <c r="G341" s="17">
        <f>' MARZO-18-1'!I333</f>
        <v>799.15</v>
      </c>
      <c r="H341" s="51"/>
      <c r="I341" s="17">
        <f t="shared" si="6"/>
        <v>399.15</v>
      </c>
      <c r="J341" s="44"/>
      <c r="K341" s="278">
        <v>400</v>
      </c>
    </row>
    <row r="342" spans="1:11" ht="29.25">
      <c r="A342" s="11">
        <v>54118</v>
      </c>
      <c r="B342" s="151" t="s">
        <v>474</v>
      </c>
      <c r="C342" s="61" t="s">
        <v>1065</v>
      </c>
      <c r="D342" s="14" t="s">
        <v>11</v>
      </c>
      <c r="E342" s="14" t="s">
        <v>25</v>
      </c>
      <c r="F342" s="14" t="s">
        <v>26</v>
      </c>
      <c r="G342" s="17">
        <f>' MARZO-18-1'!I334</f>
        <v>1477.65</v>
      </c>
      <c r="H342" s="51">
        <f>(93.85+864.5)</f>
        <v>958.35</v>
      </c>
      <c r="I342" s="17">
        <f t="shared" si="6"/>
        <v>119.30000000000007</v>
      </c>
      <c r="J342" s="44"/>
      <c r="K342" s="278">
        <v>400</v>
      </c>
    </row>
    <row r="343" spans="1:11" ht="29.25">
      <c r="A343" s="11">
        <v>54313</v>
      </c>
      <c r="B343" s="151" t="s">
        <v>475</v>
      </c>
      <c r="C343" s="12"/>
      <c r="D343" s="14" t="s">
        <v>11</v>
      </c>
      <c r="E343" s="14" t="s">
        <v>25</v>
      </c>
      <c r="F343" s="14" t="s">
        <v>26</v>
      </c>
      <c r="G343" s="17">
        <f>' MARZO-18-1'!I335</f>
        <v>250</v>
      </c>
      <c r="H343" s="51"/>
      <c r="I343" s="17">
        <f t="shared" si="6"/>
        <v>250</v>
      </c>
      <c r="J343" s="44"/>
      <c r="K343" s="44"/>
    </row>
    <row r="344" spans="1:11" ht="29.25">
      <c r="A344" s="152">
        <v>55603</v>
      </c>
      <c r="B344" s="151" t="s">
        <v>476</v>
      </c>
      <c r="C344" s="154"/>
      <c r="D344" s="14" t="s">
        <v>11</v>
      </c>
      <c r="E344" s="14" t="s">
        <v>25</v>
      </c>
      <c r="F344" s="14" t="s">
        <v>26</v>
      </c>
      <c r="G344" s="17">
        <f>' MARZO-18-1'!I336</f>
        <v>7</v>
      </c>
      <c r="H344" s="157"/>
      <c r="I344" s="17">
        <f t="shared" si="6"/>
        <v>7</v>
      </c>
      <c r="J344" s="159"/>
      <c r="K344" s="159"/>
    </row>
    <row r="345" spans="1:11" ht="85.5">
      <c r="A345" s="144" t="s">
        <v>477</v>
      </c>
      <c r="B345" s="54" t="s">
        <v>478</v>
      </c>
      <c r="C345" s="154"/>
      <c r="D345" s="155"/>
      <c r="E345" s="155"/>
      <c r="F345" s="155"/>
      <c r="G345" s="17"/>
      <c r="H345" s="157"/>
      <c r="I345" s="158"/>
      <c r="J345" s="159"/>
      <c r="K345" s="159"/>
    </row>
    <row r="346" spans="1:11" ht="29.25">
      <c r="A346" s="152">
        <v>51202</v>
      </c>
      <c r="B346" s="164" t="s">
        <v>479</v>
      </c>
      <c r="C346" s="154"/>
      <c r="D346" s="14" t="s">
        <v>11</v>
      </c>
      <c r="E346" s="14" t="s">
        <v>25</v>
      </c>
      <c r="F346" s="14" t="s">
        <v>26</v>
      </c>
      <c r="G346" s="17">
        <f>' MARZO-18-1'!I338</f>
        <v>4000</v>
      </c>
      <c r="H346" s="157"/>
      <c r="I346" s="17">
        <f t="shared" si="6"/>
        <v>4000</v>
      </c>
      <c r="J346" s="159"/>
      <c r="K346" s="159"/>
    </row>
    <row r="347" spans="1:11" ht="44.25">
      <c r="A347" s="152">
        <v>54111</v>
      </c>
      <c r="B347" s="164" t="s">
        <v>480</v>
      </c>
      <c r="C347" s="154"/>
      <c r="D347" s="14" t="s">
        <v>11</v>
      </c>
      <c r="E347" s="14" t="s">
        <v>25</v>
      </c>
      <c r="F347" s="14" t="s">
        <v>26</v>
      </c>
      <c r="G347" s="17">
        <f>' MARZO-18-1'!I339</f>
        <v>4000</v>
      </c>
      <c r="H347" s="157"/>
      <c r="I347" s="17">
        <f t="shared" si="6"/>
        <v>4000</v>
      </c>
      <c r="J347" s="159"/>
      <c r="K347" s="159"/>
    </row>
    <row r="348" spans="1:11" ht="30">
      <c r="A348" s="152">
        <v>54112</v>
      </c>
      <c r="B348" s="164" t="s">
        <v>481</v>
      </c>
      <c r="C348" s="154"/>
      <c r="D348" s="14" t="s">
        <v>11</v>
      </c>
      <c r="E348" s="14" t="s">
        <v>25</v>
      </c>
      <c r="F348" s="14" t="s">
        <v>26</v>
      </c>
      <c r="G348" s="17">
        <f>' MARZO-18-1'!I340</f>
        <v>2000</v>
      </c>
      <c r="H348" s="157"/>
      <c r="I348" s="17">
        <f t="shared" si="6"/>
        <v>2000</v>
      </c>
      <c r="J348" s="159"/>
      <c r="K348" s="159"/>
    </row>
    <row r="349" spans="1:11" ht="29.25">
      <c r="A349" s="152">
        <v>54118</v>
      </c>
      <c r="B349" s="164" t="s">
        <v>482</v>
      </c>
      <c r="C349" s="154"/>
      <c r="D349" s="14" t="s">
        <v>11</v>
      </c>
      <c r="E349" s="14" t="s">
        <v>25</v>
      </c>
      <c r="F349" s="14" t="s">
        <v>26</v>
      </c>
      <c r="G349" s="17">
        <f>' MARZO-18-1'!I341</f>
        <v>700</v>
      </c>
      <c r="H349" s="157"/>
      <c r="I349" s="17">
        <f t="shared" si="6"/>
        <v>700</v>
      </c>
      <c r="J349" s="159"/>
      <c r="K349" s="159"/>
    </row>
    <row r="350" spans="1:11" ht="30">
      <c r="A350" s="152">
        <v>54313</v>
      </c>
      <c r="B350" s="164" t="s">
        <v>483</v>
      </c>
      <c r="C350" s="154"/>
      <c r="D350" s="14" t="s">
        <v>11</v>
      </c>
      <c r="E350" s="14" t="s">
        <v>25</v>
      </c>
      <c r="F350" s="14" t="s">
        <v>26</v>
      </c>
      <c r="G350" s="17">
        <f>' MARZO-18-1'!I342</f>
        <v>300</v>
      </c>
      <c r="H350" s="157"/>
      <c r="I350" s="17">
        <f t="shared" si="6"/>
        <v>300</v>
      </c>
      <c r="J350" s="159"/>
      <c r="K350" s="159"/>
    </row>
    <row r="351" spans="1:11" ht="30">
      <c r="A351" s="152">
        <v>54399</v>
      </c>
      <c r="B351" s="164" t="s">
        <v>484</v>
      </c>
      <c r="C351" s="154"/>
      <c r="D351" s="14" t="s">
        <v>11</v>
      </c>
      <c r="E351" s="14" t="s">
        <v>25</v>
      </c>
      <c r="F351" s="14" t="s">
        <v>26</v>
      </c>
      <c r="G351" s="17">
        <f>' MARZO-18-1'!I343</f>
        <v>990</v>
      </c>
      <c r="H351" s="157"/>
      <c r="I351" s="17">
        <f t="shared" si="6"/>
        <v>990</v>
      </c>
      <c r="J351" s="159"/>
      <c r="K351" s="159"/>
    </row>
    <row r="352" spans="1:11" ht="29.25">
      <c r="A352" s="152">
        <v>55603</v>
      </c>
      <c r="B352" s="164" t="s">
        <v>485</v>
      </c>
      <c r="C352" s="154"/>
      <c r="D352" s="14" t="s">
        <v>11</v>
      </c>
      <c r="E352" s="14" t="s">
        <v>25</v>
      </c>
      <c r="F352" s="14" t="s">
        <v>26</v>
      </c>
      <c r="G352" s="17">
        <f>' MARZO-18-1'!I344</f>
        <v>10</v>
      </c>
      <c r="H352" s="157"/>
      <c r="I352" s="17">
        <f t="shared" si="6"/>
        <v>10</v>
      </c>
      <c r="J352" s="159"/>
      <c r="K352" s="159"/>
    </row>
    <row r="353" spans="1:11" ht="80.25" customHeight="1">
      <c r="A353" s="144" t="s">
        <v>486</v>
      </c>
      <c r="B353" s="54" t="s">
        <v>487</v>
      </c>
      <c r="C353" s="154"/>
      <c r="D353" s="155"/>
      <c r="E353" s="155"/>
      <c r="F353" s="155"/>
      <c r="G353" s="17"/>
      <c r="H353" s="157"/>
      <c r="I353" s="158"/>
      <c r="J353" s="159"/>
      <c r="K353" s="159"/>
    </row>
    <row r="354" spans="1:11" ht="29.25">
      <c r="A354" s="152">
        <v>51202</v>
      </c>
      <c r="B354" s="164" t="s">
        <v>488</v>
      </c>
      <c r="C354" s="154"/>
      <c r="D354" s="14" t="s">
        <v>11</v>
      </c>
      <c r="E354" s="14" t="s">
        <v>25</v>
      </c>
      <c r="F354" s="14" t="s">
        <v>26</v>
      </c>
      <c r="G354" s="17">
        <f>' MARZO-18-1'!I346</f>
        <v>10000</v>
      </c>
      <c r="H354" s="157"/>
      <c r="I354" s="17">
        <f t="shared" si="6"/>
        <v>10000</v>
      </c>
      <c r="J354" s="159"/>
      <c r="K354" s="159"/>
    </row>
    <row r="355" spans="1:11" ht="29.25">
      <c r="A355" s="152">
        <v>51999</v>
      </c>
      <c r="B355" s="164" t="s">
        <v>489</v>
      </c>
      <c r="C355" s="154"/>
      <c r="D355" s="14" t="s">
        <v>11</v>
      </c>
      <c r="E355" s="14" t="s">
        <v>25</v>
      </c>
      <c r="F355" s="14" t="s">
        <v>26</v>
      </c>
      <c r="G355" s="17">
        <f>' MARZO-18-1'!I347</f>
        <v>5000</v>
      </c>
      <c r="H355" s="157"/>
      <c r="I355" s="17">
        <f t="shared" si="6"/>
        <v>5000</v>
      </c>
      <c r="J355" s="159"/>
      <c r="K355" s="159"/>
    </row>
    <row r="356" spans="1:11" ht="29.25">
      <c r="A356" s="152">
        <v>54111</v>
      </c>
      <c r="B356" s="164" t="s">
        <v>490</v>
      </c>
      <c r="C356" s="154"/>
      <c r="D356" s="14" t="s">
        <v>11</v>
      </c>
      <c r="E356" s="14" t="s">
        <v>25</v>
      </c>
      <c r="F356" s="14" t="s">
        <v>26</v>
      </c>
      <c r="G356" s="17">
        <f>' MARZO-18-1'!I348</f>
        <v>11000</v>
      </c>
      <c r="H356" s="157"/>
      <c r="I356" s="17">
        <f t="shared" si="6"/>
        <v>11000</v>
      </c>
      <c r="J356" s="159"/>
      <c r="K356" s="159"/>
    </row>
    <row r="357" spans="1:11" ht="29.25">
      <c r="A357" s="152">
        <v>54112</v>
      </c>
      <c r="B357" s="164" t="s">
        <v>491</v>
      </c>
      <c r="C357" s="154"/>
      <c r="D357" s="14" t="s">
        <v>11</v>
      </c>
      <c r="E357" s="14" t="s">
        <v>25</v>
      </c>
      <c r="F357" s="14" t="s">
        <v>26</v>
      </c>
      <c r="G357" s="17">
        <f>' MARZO-18-1'!I349</f>
        <v>5000</v>
      </c>
      <c r="H357" s="157"/>
      <c r="I357" s="17">
        <f t="shared" si="6"/>
        <v>5000</v>
      </c>
      <c r="J357" s="159"/>
      <c r="K357" s="159"/>
    </row>
    <row r="358" spans="1:11" ht="29.25">
      <c r="A358" s="152">
        <v>54118</v>
      </c>
      <c r="B358" s="164" t="s">
        <v>492</v>
      </c>
      <c r="C358" s="154"/>
      <c r="D358" s="14" t="s">
        <v>11</v>
      </c>
      <c r="E358" s="14" t="s">
        <v>25</v>
      </c>
      <c r="F358" s="14" t="s">
        <v>26</v>
      </c>
      <c r="G358" s="17">
        <f>' MARZO-18-1'!I350</f>
        <v>4988.16</v>
      </c>
      <c r="H358" s="157"/>
      <c r="I358" s="17">
        <f t="shared" si="6"/>
        <v>4988.16</v>
      </c>
      <c r="J358" s="159"/>
      <c r="K358" s="159"/>
    </row>
    <row r="359" spans="1:11" ht="29.25">
      <c r="A359" s="152">
        <v>54199</v>
      </c>
      <c r="B359" s="164" t="s">
        <v>493</v>
      </c>
      <c r="C359" s="154"/>
      <c r="D359" s="14" t="s">
        <v>11</v>
      </c>
      <c r="E359" s="14" t="s">
        <v>25</v>
      </c>
      <c r="F359" s="14" t="s">
        <v>26</v>
      </c>
      <c r="G359" s="17">
        <f>' MARZO-18-1'!I351</f>
        <v>990</v>
      </c>
      <c r="H359" s="157"/>
      <c r="I359" s="17">
        <f t="shared" si="6"/>
        <v>990</v>
      </c>
      <c r="J359" s="159"/>
      <c r="K359" s="159"/>
    </row>
    <row r="360" spans="1:11" ht="29.25">
      <c r="A360" s="152">
        <v>54399</v>
      </c>
      <c r="B360" s="164" t="s">
        <v>494</v>
      </c>
      <c r="C360" s="154"/>
      <c r="D360" s="14" t="s">
        <v>11</v>
      </c>
      <c r="E360" s="14" t="s">
        <v>25</v>
      </c>
      <c r="F360" s="14" t="s">
        <v>26</v>
      </c>
      <c r="G360" s="17">
        <f>' MARZO-18-1'!I352</f>
        <v>3000</v>
      </c>
      <c r="H360" s="157"/>
      <c r="I360" s="17">
        <f t="shared" si="6"/>
        <v>3000</v>
      </c>
      <c r="J360" s="159"/>
      <c r="K360" s="159"/>
    </row>
    <row r="361" spans="1:11" ht="29.25">
      <c r="A361" s="152">
        <v>55603</v>
      </c>
      <c r="B361" s="164" t="s">
        <v>495</v>
      </c>
      <c r="C361" s="154"/>
      <c r="D361" s="14" t="s">
        <v>11</v>
      </c>
      <c r="E361" s="14" t="s">
        <v>25</v>
      </c>
      <c r="F361" s="14" t="s">
        <v>26</v>
      </c>
      <c r="G361" s="17">
        <f>' MARZO-18-1'!I353</f>
        <v>10</v>
      </c>
      <c r="H361" s="157"/>
      <c r="I361" s="17">
        <f t="shared" si="6"/>
        <v>10</v>
      </c>
      <c r="J361" s="159"/>
      <c r="K361" s="159"/>
    </row>
    <row r="362" spans="1:11" ht="55.5">
      <c r="A362" s="144" t="s">
        <v>504</v>
      </c>
      <c r="B362" s="54" t="s">
        <v>496</v>
      </c>
      <c r="C362" s="154" t="s">
        <v>1066</v>
      </c>
      <c r="D362" s="155"/>
      <c r="E362" s="155"/>
      <c r="F362" s="155"/>
      <c r="G362" s="17"/>
      <c r="H362" s="157"/>
      <c r="I362" s="158"/>
      <c r="J362" s="159"/>
      <c r="K362" s="159"/>
    </row>
    <row r="363" spans="1:11" ht="29.25">
      <c r="A363" s="152">
        <v>51202</v>
      </c>
      <c r="B363" s="164" t="s">
        <v>500</v>
      </c>
      <c r="C363" s="154"/>
      <c r="D363" s="14" t="s">
        <v>11</v>
      </c>
      <c r="E363" s="14" t="s">
        <v>25</v>
      </c>
      <c r="F363" s="14" t="s">
        <v>26</v>
      </c>
      <c r="G363" s="17">
        <f>' MARZO-18-1'!I355</f>
        <v>5000</v>
      </c>
      <c r="H363" s="157"/>
      <c r="I363" s="17">
        <f t="shared" si="6"/>
        <v>5000</v>
      </c>
      <c r="J363" s="159"/>
      <c r="K363" s="159"/>
    </row>
    <row r="364" spans="1:11" ht="29.25">
      <c r="A364" s="152">
        <v>54111</v>
      </c>
      <c r="B364" s="164" t="s">
        <v>499</v>
      </c>
      <c r="C364" s="154" t="s">
        <v>1066</v>
      </c>
      <c r="D364" s="14" t="s">
        <v>11</v>
      </c>
      <c r="E364" s="14" t="s">
        <v>25</v>
      </c>
      <c r="F364" s="14" t="s">
        <v>26</v>
      </c>
      <c r="G364" s="17">
        <f>' MARZO-18-1'!I356</f>
        <v>6000</v>
      </c>
      <c r="H364" s="157">
        <v>40</v>
      </c>
      <c r="I364" s="17">
        <f t="shared" si="6"/>
        <v>5960</v>
      </c>
      <c r="J364" s="159"/>
      <c r="K364" s="159"/>
    </row>
    <row r="365" spans="1:11" ht="29.25">
      <c r="A365" s="152">
        <v>54112</v>
      </c>
      <c r="B365" s="164" t="s">
        <v>497</v>
      </c>
      <c r="C365" s="154" t="s">
        <v>1066</v>
      </c>
      <c r="D365" s="14" t="s">
        <v>11</v>
      </c>
      <c r="E365" s="14" t="s">
        <v>25</v>
      </c>
      <c r="F365" s="14" t="s">
        <v>26</v>
      </c>
      <c r="G365" s="17">
        <f>' MARZO-18-1'!I357</f>
        <v>5730.9</v>
      </c>
      <c r="H365" s="157">
        <v>185.6</v>
      </c>
      <c r="I365" s="17">
        <f t="shared" si="6"/>
        <v>5545.2999999999993</v>
      </c>
      <c r="J365" s="159"/>
      <c r="K365" s="159"/>
    </row>
    <row r="366" spans="1:11" ht="29.25">
      <c r="A366" s="152">
        <v>54118</v>
      </c>
      <c r="B366" s="164" t="s">
        <v>498</v>
      </c>
      <c r="C366" s="154"/>
      <c r="D366" s="14" t="s">
        <v>11</v>
      </c>
      <c r="E366" s="14" t="s">
        <v>25</v>
      </c>
      <c r="F366" s="14" t="s">
        <v>26</v>
      </c>
      <c r="G366" s="17">
        <f>' MARZO-18-1'!I358</f>
        <v>1700</v>
      </c>
      <c r="H366" s="157"/>
      <c r="I366" s="17">
        <f t="shared" si="6"/>
        <v>1700</v>
      </c>
      <c r="J366" s="159"/>
      <c r="K366" s="159"/>
    </row>
    <row r="367" spans="1:11" ht="29.25">
      <c r="A367" s="152">
        <v>54313</v>
      </c>
      <c r="B367" s="164" t="s">
        <v>501</v>
      </c>
      <c r="C367" s="154"/>
      <c r="D367" s="14" t="s">
        <v>11</v>
      </c>
      <c r="E367" s="14" t="s">
        <v>25</v>
      </c>
      <c r="F367" s="14" t="s">
        <v>26</v>
      </c>
      <c r="G367" s="17">
        <f>' MARZO-18-1'!I359</f>
        <v>300</v>
      </c>
      <c r="H367" s="157"/>
      <c r="I367" s="17">
        <f t="shared" si="6"/>
        <v>300</v>
      </c>
      <c r="J367" s="159"/>
      <c r="K367" s="159"/>
    </row>
    <row r="368" spans="1:11" ht="29.25">
      <c r="A368" s="152">
        <v>54399</v>
      </c>
      <c r="B368" s="164" t="s">
        <v>502</v>
      </c>
      <c r="C368" s="154"/>
      <c r="D368" s="14" t="s">
        <v>11</v>
      </c>
      <c r="E368" s="14" t="s">
        <v>25</v>
      </c>
      <c r="F368" s="14" t="s">
        <v>26</v>
      </c>
      <c r="G368" s="17">
        <f>' MARZO-18-1'!I360</f>
        <v>990</v>
      </c>
      <c r="H368" s="157"/>
      <c r="I368" s="17">
        <f t="shared" si="6"/>
        <v>990</v>
      </c>
      <c r="J368" s="159"/>
      <c r="K368" s="159"/>
    </row>
    <row r="369" spans="1:11" ht="29.25">
      <c r="A369" s="152">
        <v>55603</v>
      </c>
      <c r="B369" s="164" t="s">
        <v>503</v>
      </c>
      <c r="C369" s="154"/>
      <c r="D369" s="14" t="s">
        <v>11</v>
      </c>
      <c r="E369" s="14" t="s">
        <v>25</v>
      </c>
      <c r="F369" s="14" t="s">
        <v>26</v>
      </c>
      <c r="G369" s="17">
        <f>' MARZO-18-1'!I361</f>
        <v>6.9999999999999991</v>
      </c>
      <c r="H369" s="157"/>
      <c r="I369" s="17">
        <f t="shared" si="6"/>
        <v>6.9999999999999991</v>
      </c>
      <c r="J369" s="159"/>
      <c r="K369" s="159"/>
    </row>
    <row r="370" spans="1:11" ht="84.75">
      <c r="A370" s="144" t="s">
        <v>505</v>
      </c>
      <c r="B370" s="53" t="s">
        <v>510</v>
      </c>
      <c r="C370" s="154"/>
      <c r="D370" s="155"/>
      <c r="E370" s="155"/>
      <c r="F370" s="155"/>
      <c r="G370" s="17"/>
      <c r="H370" s="157"/>
      <c r="I370" s="158"/>
      <c r="J370" s="159"/>
      <c r="K370" s="159"/>
    </row>
    <row r="371" spans="1:11" ht="29.25">
      <c r="A371" s="152">
        <v>51999</v>
      </c>
      <c r="B371" s="153" t="s">
        <v>506</v>
      </c>
      <c r="C371" s="154"/>
      <c r="D371" s="14" t="s">
        <v>11</v>
      </c>
      <c r="E371" s="14" t="s">
        <v>25</v>
      </c>
      <c r="F371" s="14" t="s">
        <v>26</v>
      </c>
      <c r="G371" s="17">
        <f>' MARZO-18-1'!I363</f>
        <v>1500</v>
      </c>
      <c r="H371" s="157"/>
      <c r="I371" s="17">
        <f t="shared" si="6"/>
        <v>1500</v>
      </c>
      <c r="J371" s="159"/>
      <c r="K371" s="159"/>
    </row>
    <row r="372" spans="1:11" ht="29.25">
      <c r="A372" s="152">
        <v>54199</v>
      </c>
      <c r="B372" s="153" t="s">
        <v>507</v>
      </c>
      <c r="C372" s="154"/>
      <c r="D372" s="14" t="s">
        <v>11</v>
      </c>
      <c r="E372" s="14" t="s">
        <v>25</v>
      </c>
      <c r="F372" s="14" t="s">
        <v>26</v>
      </c>
      <c r="G372" s="17">
        <f>' MARZO-18-1'!I364</f>
        <v>990</v>
      </c>
      <c r="H372" s="157"/>
      <c r="I372" s="17">
        <f t="shared" si="6"/>
        <v>990</v>
      </c>
      <c r="J372" s="159"/>
      <c r="K372" s="159"/>
    </row>
    <row r="373" spans="1:11" ht="43.5">
      <c r="A373" s="152">
        <v>54399</v>
      </c>
      <c r="B373" s="153" t="s">
        <v>508</v>
      </c>
      <c r="C373" s="154"/>
      <c r="D373" s="14" t="s">
        <v>11</v>
      </c>
      <c r="E373" s="14" t="s">
        <v>25</v>
      </c>
      <c r="F373" s="14" t="s">
        <v>26</v>
      </c>
      <c r="G373" s="17">
        <f>' MARZO-18-1'!I365</f>
        <v>500</v>
      </c>
      <c r="H373" s="157"/>
      <c r="I373" s="17">
        <f t="shared" si="6"/>
        <v>500</v>
      </c>
      <c r="J373" s="159"/>
      <c r="K373" s="159"/>
    </row>
    <row r="374" spans="1:11" ht="29.25">
      <c r="A374" s="152">
        <v>55603</v>
      </c>
      <c r="B374" s="153" t="s">
        <v>509</v>
      </c>
      <c r="C374" s="154"/>
      <c r="D374" s="14" t="s">
        <v>11</v>
      </c>
      <c r="E374" s="14" t="s">
        <v>25</v>
      </c>
      <c r="F374" s="14" t="s">
        <v>26</v>
      </c>
      <c r="G374" s="17">
        <f>' MARZO-18-1'!I366</f>
        <v>10</v>
      </c>
      <c r="H374" s="157"/>
      <c r="I374" s="17">
        <f t="shared" si="6"/>
        <v>10</v>
      </c>
      <c r="J374" s="159"/>
      <c r="K374" s="159"/>
    </row>
    <row r="375" spans="1:11" ht="94.5" customHeight="1">
      <c r="A375" s="144" t="s">
        <v>511</v>
      </c>
      <c r="B375" s="53" t="s">
        <v>512</v>
      </c>
      <c r="C375" s="154"/>
      <c r="D375" s="155"/>
      <c r="E375" s="155"/>
      <c r="F375" s="155"/>
      <c r="G375" s="17"/>
      <c r="H375" s="157"/>
      <c r="I375" s="158"/>
      <c r="J375" s="159"/>
      <c r="K375" s="159"/>
    </row>
    <row r="376" spans="1:11" ht="29.25">
      <c r="A376" s="152">
        <v>51999</v>
      </c>
      <c r="B376" s="164" t="s">
        <v>513</v>
      </c>
      <c r="C376" s="154"/>
      <c r="D376" s="14" t="s">
        <v>11</v>
      </c>
      <c r="E376" s="14" t="s">
        <v>25</v>
      </c>
      <c r="F376" s="14" t="s">
        <v>26</v>
      </c>
      <c r="G376" s="17">
        <f>' MARZO-18-1'!I368</f>
        <v>1000</v>
      </c>
      <c r="H376" s="157"/>
      <c r="I376" s="17">
        <f t="shared" si="6"/>
        <v>1000</v>
      </c>
      <c r="J376" s="159"/>
      <c r="K376" s="159"/>
    </row>
    <row r="377" spans="1:11" ht="29.25">
      <c r="A377" s="152">
        <v>54115</v>
      </c>
      <c r="B377" s="164" t="s">
        <v>514</v>
      </c>
      <c r="C377" s="154"/>
      <c r="D377" s="14" t="s">
        <v>11</v>
      </c>
      <c r="E377" s="14" t="s">
        <v>25</v>
      </c>
      <c r="F377" s="14" t="s">
        <v>26</v>
      </c>
      <c r="G377" s="17">
        <f>' MARZO-18-1'!I369</f>
        <v>1990</v>
      </c>
      <c r="H377" s="157"/>
      <c r="I377" s="17">
        <f t="shared" si="6"/>
        <v>1990</v>
      </c>
      <c r="J377" s="159"/>
      <c r="K377" s="159"/>
    </row>
    <row r="378" spans="1:11" ht="29.25">
      <c r="A378" s="152">
        <v>61104</v>
      </c>
      <c r="B378" s="164" t="s">
        <v>515</v>
      </c>
      <c r="C378" s="154"/>
      <c r="D378" s="14" t="s">
        <v>11</v>
      </c>
      <c r="E378" s="14" t="s">
        <v>25</v>
      </c>
      <c r="F378" s="14" t="s">
        <v>26</v>
      </c>
      <c r="G378" s="17">
        <f>' MARZO-18-1'!I370</f>
        <v>2000</v>
      </c>
      <c r="H378" s="157"/>
      <c r="I378" s="17">
        <f t="shared" si="6"/>
        <v>2000</v>
      </c>
      <c r="J378" s="159"/>
      <c r="K378" s="159"/>
    </row>
    <row r="379" spans="1:11" ht="29.25">
      <c r="A379" s="152">
        <v>55603</v>
      </c>
      <c r="B379" s="164" t="s">
        <v>516</v>
      </c>
      <c r="C379" s="154"/>
      <c r="D379" s="14" t="s">
        <v>11</v>
      </c>
      <c r="E379" s="14" t="s">
        <v>25</v>
      </c>
      <c r="F379" s="14" t="s">
        <v>26</v>
      </c>
      <c r="G379" s="17">
        <f>' MARZO-18-1'!I371</f>
        <v>10</v>
      </c>
      <c r="H379" s="157"/>
      <c r="I379" s="17">
        <f t="shared" si="6"/>
        <v>10</v>
      </c>
      <c r="J379" s="159"/>
      <c r="K379" s="159"/>
    </row>
    <row r="380" spans="1:11" ht="63" customHeight="1">
      <c r="A380" s="144" t="s">
        <v>517</v>
      </c>
      <c r="B380" s="53" t="s">
        <v>518</v>
      </c>
      <c r="C380" s="154"/>
      <c r="D380" s="155"/>
      <c r="E380" s="155"/>
      <c r="F380" s="155"/>
      <c r="G380" s="17"/>
      <c r="H380" s="157"/>
      <c r="I380" s="158"/>
      <c r="J380" s="159"/>
      <c r="K380" s="159"/>
    </row>
    <row r="381" spans="1:11" ht="29.25">
      <c r="A381" s="152">
        <v>51999</v>
      </c>
      <c r="B381" s="164" t="s">
        <v>519</v>
      </c>
      <c r="C381" s="154"/>
      <c r="D381" s="14" t="s">
        <v>11</v>
      </c>
      <c r="E381" s="14" t="s">
        <v>25</v>
      </c>
      <c r="F381" s="14" t="s">
        <v>26</v>
      </c>
      <c r="G381" s="17">
        <f>' MARZO-18-1'!I373</f>
        <v>10000</v>
      </c>
      <c r="H381" s="157"/>
      <c r="I381" s="17">
        <f t="shared" si="6"/>
        <v>10000</v>
      </c>
      <c r="J381" s="159"/>
      <c r="K381" s="159"/>
    </row>
    <row r="382" spans="1:11" ht="30">
      <c r="A382" s="152">
        <v>54313</v>
      </c>
      <c r="B382" s="164" t="s">
        <v>520</v>
      </c>
      <c r="C382" s="154"/>
      <c r="D382" s="14" t="s">
        <v>11</v>
      </c>
      <c r="E382" s="14" t="s">
        <v>25</v>
      </c>
      <c r="F382" s="14" t="s">
        <v>26</v>
      </c>
      <c r="G382" s="17">
        <f>' MARZO-18-1'!I374</f>
        <v>500</v>
      </c>
      <c r="H382" s="157"/>
      <c r="I382" s="17">
        <f t="shared" si="6"/>
        <v>500</v>
      </c>
      <c r="J382" s="159"/>
      <c r="K382" s="159"/>
    </row>
    <row r="383" spans="1:11" ht="30">
      <c r="A383" s="152">
        <v>54399</v>
      </c>
      <c r="B383" s="164" t="s">
        <v>521</v>
      </c>
      <c r="C383" s="154"/>
      <c r="D383" s="14" t="s">
        <v>11</v>
      </c>
      <c r="E383" s="14" t="s">
        <v>25</v>
      </c>
      <c r="F383" s="14" t="s">
        <v>26</v>
      </c>
      <c r="G383" s="17">
        <f>' MARZO-18-1'!I375</f>
        <v>990</v>
      </c>
      <c r="H383" s="157"/>
      <c r="I383" s="17">
        <f t="shared" si="6"/>
        <v>990</v>
      </c>
      <c r="J383" s="159"/>
      <c r="K383" s="159"/>
    </row>
    <row r="384" spans="1:11" ht="29.25">
      <c r="A384" s="152">
        <v>54599</v>
      </c>
      <c r="B384" s="164" t="s">
        <v>522</v>
      </c>
      <c r="C384" s="154"/>
      <c r="D384" s="14" t="s">
        <v>11</v>
      </c>
      <c r="E384" s="14" t="s">
        <v>25</v>
      </c>
      <c r="F384" s="14" t="s">
        <v>26</v>
      </c>
      <c r="G384" s="17">
        <f>' MARZO-18-1'!I376</f>
        <v>13500</v>
      </c>
      <c r="H384" s="157"/>
      <c r="I384" s="17">
        <f t="shared" si="6"/>
        <v>13500</v>
      </c>
      <c r="J384" s="159"/>
      <c r="K384" s="159"/>
    </row>
    <row r="385" spans="1:11" ht="29.25">
      <c r="A385" s="152">
        <v>55603</v>
      </c>
      <c r="B385" s="164" t="s">
        <v>523</v>
      </c>
      <c r="C385" s="154"/>
      <c r="D385" s="14" t="s">
        <v>11</v>
      </c>
      <c r="E385" s="14" t="s">
        <v>25</v>
      </c>
      <c r="F385" s="14" t="s">
        <v>26</v>
      </c>
      <c r="G385" s="17">
        <f>' MARZO-18-1'!I377</f>
        <v>10</v>
      </c>
      <c r="H385" s="157"/>
      <c r="I385" s="17">
        <f t="shared" si="6"/>
        <v>10</v>
      </c>
      <c r="J385" s="159"/>
      <c r="K385" s="159"/>
    </row>
    <row r="386" spans="1:11" ht="69.75">
      <c r="A386" s="144" t="s">
        <v>524</v>
      </c>
      <c r="B386" s="53" t="s">
        <v>525</v>
      </c>
      <c r="C386" s="154"/>
      <c r="D386" s="14" t="s">
        <v>11</v>
      </c>
      <c r="E386" s="14" t="s">
        <v>25</v>
      </c>
      <c r="F386" s="14" t="s">
        <v>26</v>
      </c>
      <c r="G386" s="17">
        <f>' MARZO-18-1'!I378</f>
        <v>5504.86</v>
      </c>
      <c r="H386" s="157"/>
      <c r="I386" s="158">
        <f t="shared" si="6"/>
        <v>5504.86</v>
      </c>
      <c r="J386" s="159"/>
      <c r="K386" s="159"/>
    </row>
    <row r="387" spans="1:11" ht="44.25">
      <c r="A387" s="144" t="s">
        <v>526</v>
      </c>
      <c r="B387" s="53" t="s">
        <v>527</v>
      </c>
      <c r="C387" s="154"/>
      <c r="D387" s="14" t="s">
        <v>11</v>
      </c>
      <c r="E387" s="14" t="s">
        <v>25</v>
      </c>
      <c r="F387" s="14" t="s">
        <v>26</v>
      </c>
      <c r="G387" s="17">
        <f>' MARZO-18-1'!I379</f>
        <v>15000</v>
      </c>
      <c r="H387" s="157"/>
      <c r="I387" s="158">
        <f t="shared" si="6"/>
        <v>15000</v>
      </c>
      <c r="J387" s="159"/>
      <c r="K387" s="159"/>
    </row>
    <row r="388" spans="1:11" ht="39.75">
      <c r="A388" s="144" t="s">
        <v>528</v>
      </c>
      <c r="B388" s="53" t="s">
        <v>529</v>
      </c>
      <c r="C388" s="154"/>
      <c r="D388" s="14" t="s">
        <v>11</v>
      </c>
      <c r="E388" s="14" t="s">
        <v>25</v>
      </c>
      <c r="F388" s="14" t="s">
        <v>26</v>
      </c>
      <c r="G388" s="17">
        <f>' MARZO-18-1'!I380</f>
        <v>8000</v>
      </c>
      <c r="H388" s="157"/>
      <c r="I388" s="158">
        <f t="shared" si="6"/>
        <v>8000</v>
      </c>
      <c r="J388" s="159"/>
      <c r="K388" s="159"/>
    </row>
    <row r="389" spans="1:11" ht="39.75">
      <c r="A389" s="144" t="s">
        <v>530</v>
      </c>
      <c r="B389" s="53" t="s">
        <v>531</v>
      </c>
      <c r="C389" s="154"/>
      <c r="D389" s="14" t="s">
        <v>11</v>
      </c>
      <c r="E389" s="14" t="s">
        <v>25</v>
      </c>
      <c r="F389" s="14" t="s">
        <v>26</v>
      </c>
      <c r="G389" s="17">
        <f>' MARZO-18-1'!I381</f>
        <v>15000</v>
      </c>
      <c r="H389" s="157"/>
      <c r="I389" s="158">
        <f t="shared" si="6"/>
        <v>15000</v>
      </c>
      <c r="J389" s="159"/>
      <c r="K389" s="159"/>
    </row>
    <row r="390" spans="1:11" ht="55.5">
      <c r="A390" s="144" t="s">
        <v>532</v>
      </c>
      <c r="B390" s="53" t="s">
        <v>533</v>
      </c>
      <c r="C390" s="154"/>
      <c r="D390" s="155"/>
      <c r="E390" s="155"/>
      <c r="F390" s="155"/>
      <c r="G390" s="17"/>
      <c r="H390" s="157"/>
      <c r="I390" s="158"/>
      <c r="J390" s="159"/>
      <c r="K390" s="159"/>
    </row>
    <row r="391" spans="1:11">
      <c r="A391" s="152">
        <v>51202</v>
      </c>
      <c r="B391" s="153" t="s">
        <v>534</v>
      </c>
      <c r="C391" s="154"/>
      <c r="D391" s="14" t="s">
        <v>11</v>
      </c>
      <c r="E391" s="14" t="s">
        <v>25</v>
      </c>
      <c r="F391" s="14" t="s">
        <v>26</v>
      </c>
      <c r="G391" s="17">
        <f>' MARZO-18-1'!I383</f>
        <v>8000</v>
      </c>
      <c r="H391" s="157"/>
      <c r="I391" s="158">
        <f t="shared" si="6"/>
        <v>8000</v>
      </c>
      <c r="J391" s="159"/>
      <c r="K391" s="159"/>
    </row>
    <row r="392" spans="1:11" ht="29.25">
      <c r="A392" s="152">
        <v>54111</v>
      </c>
      <c r="B392" s="153" t="s">
        <v>535</v>
      </c>
      <c r="C392" s="154"/>
      <c r="D392" s="14" t="s">
        <v>11</v>
      </c>
      <c r="E392" s="14" t="s">
        <v>25</v>
      </c>
      <c r="F392" s="14" t="s">
        <v>26</v>
      </c>
      <c r="G392" s="17">
        <f>' MARZO-18-1'!I384</f>
        <v>5500</v>
      </c>
      <c r="H392" s="157"/>
      <c r="I392" s="158">
        <f t="shared" si="6"/>
        <v>5500</v>
      </c>
      <c r="J392" s="159"/>
      <c r="K392" s="159"/>
    </row>
    <row r="393" spans="1:11" ht="29.25">
      <c r="A393" s="152">
        <v>54112</v>
      </c>
      <c r="B393" s="153" t="s">
        <v>536</v>
      </c>
      <c r="C393" s="154"/>
      <c r="D393" s="14" t="s">
        <v>11</v>
      </c>
      <c r="E393" s="14" t="s">
        <v>25</v>
      </c>
      <c r="F393" s="14" t="s">
        <v>26</v>
      </c>
      <c r="G393" s="17">
        <f>' MARZO-18-1'!I385</f>
        <v>5000</v>
      </c>
      <c r="H393" s="157"/>
      <c r="I393" s="158">
        <f t="shared" si="6"/>
        <v>5000</v>
      </c>
      <c r="J393" s="159"/>
      <c r="K393" s="159"/>
    </row>
    <row r="394" spans="1:11" ht="30">
      <c r="A394" s="152">
        <v>54313</v>
      </c>
      <c r="B394" s="153" t="s">
        <v>537</v>
      </c>
      <c r="C394" s="154"/>
      <c r="D394" s="14" t="s">
        <v>11</v>
      </c>
      <c r="E394" s="14" t="s">
        <v>25</v>
      </c>
      <c r="F394" s="14" t="s">
        <v>26</v>
      </c>
      <c r="G394" s="17">
        <f>' MARZO-18-1'!I386</f>
        <v>500</v>
      </c>
      <c r="H394" s="157"/>
      <c r="I394" s="158">
        <f t="shared" si="6"/>
        <v>500</v>
      </c>
      <c r="J394" s="159"/>
      <c r="K394" s="159"/>
    </row>
    <row r="395" spans="1:11" ht="30">
      <c r="A395" s="152">
        <v>54399</v>
      </c>
      <c r="B395" s="153" t="s">
        <v>538</v>
      </c>
      <c r="C395" s="154"/>
      <c r="D395" s="14" t="s">
        <v>11</v>
      </c>
      <c r="E395" s="14" t="s">
        <v>25</v>
      </c>
      <c r="F395" s="14" t="s">
        <v>26</v>
      </c>
      <c r="G395" s="17">
        <f>' MARZO-18-1'!I387</f>
        <v>990</v>
      </c>
      <c r="H395" s="157"/>
      <c r="I395" s="158">
        <f t="shared" si="6"/>
        <v>990</v>
      </c>
      <c r="J395" s="159"/>
      <c r="K395" s="159"/>
    </row>
    <row r="396" spans="1:11" ht="29.25">
      <c r="A396" s="152">
        <v>55603</v>
      </c>
      <c r="B396" s="153" t="s">
        <v>539</v>
      </c>
      <c r="C396" s="154"/>
      <c r="D396" s="14" t="s">
        <v>11</v>
      </c>
      <c r="E396" s="14" t="s">
        <v>25</v>
      </c>
      <c r="F396" s="14" t="s">
        <v>26</v>
      </c>
      <c r="G396" s="17">
        <f>' MARZO-18-1'!I388</f>
        <v>10</v>
      </c>
      <c r="H396" s="157"/>
      <c r="I396" s="158">
        <f t="shared" si="6"/>
        <v>10</v>
      </c>
      <c r="J396" s="159"/>
      <c r="K396" s="159"/>
    </row>
    <row r="397" spans="1:11" ht="55.5">
      <c r="A397" s="144" t="s">
        <v>540</v>
      </c>
      <c r="B397" s="53" t="s">
        <v>541</v>
      </c>
      <c r="C397" s="154"/>
      <c r="D397" s="155"/>
      <c r="E397" s="155"/>
      <c r="F397" s="155"/>
      <c r="G397" s="17"/>
      <c r="H397" s="157"/>
      <c r="I397" s="158"/>
      <c r="J397" s="159"/>
      <c r="K397" s="159"/>
    </row>
    <row r="398" spans="1:11" ht="29.25">
      <c r="A398" s="152">
        <v>51202</v>
      </c>
      <c r="B398" s="153" t="s">
        <v>542</v>
      </c>
      <c r="C398" s="154"/>
      <c r="D398" s="14" t="s">
        <v>11</v>
      </c>
      <c r="E398" s="14" t="s">
        <v>25</v>
      </c>
      <c r="F398" s="14" t="s">
        <v>26</v>
      </c>
      <c r="G398" s="17">
        <f>' MARZO-18-1'!I390</f>
        <v>5000</v>
      </c>
      <c r="H398" s="157"/>
      <c r="I398" s="158">
        <f t="shared" si="6"/>
        <v>5000</v>
      </c>
      <c r="J398" s="159"/>
      <c r="K398" s="159"/>
    </row>
    <row r="399" spans="1:11" ht="39.75" customHeight="1">
      <c r="A399" s="152">
        <v>54111</v>
      </c>
      <c r="B399" s="153" t="s">
        <v>543</v>
      </c>
      <c r="C399" s="154"/>
      <c r="D399" s="14" t="s">
        <v>11</v>
      </c>
      <c r="E399" s="14" t="s">
        <v>25</v>
      </c>
      <c r="F399" s="14" t="s">
        <v>26</v>
      </c>
      <c r="G399" s="17">
        <f>' MARZO-18-1'!I391</f>
        <v>5500</v>
      </c>
      <c r="H399" s="157"/>
      <c r="I399" s="158">
        <f t="shared" si="6"/>
        <v>5500</v>
      </c>
      <c r="J399" s="159"/>
      <c r="K399" s="159"/>
    </row>
    <row r="400" spans="1:11" ht="35.25" customHeight="1">
      <c r="A400" s="152">
        <v>54112</v>
      </c>
      <c r="B400" s="153" t="s">
        <v>544</v>
      </c>
      <c r="C400" s="154"/>
      <c r="D400" s="14" t="s">
        <v>11</v>
      </c>
      <c r="E400" s="14" t="s">
        <v>25</v>
      </c>
      <c r="F400" s="14" t="s">
        <v>26</v>
      </c>
      <c r="G400" s="17">
        <f>' MARZO-18-1'!I392</f>
        <v>3000</v>
      </c>
      <c r="H400" s="157"/>
      <c r="I400" s="158">
        <f t="shared" ref="I400:I408" si="7">G400-H400+J400-K400</f>
        <v>3000</v>
      </c>
      <c r="J400" s="159"/>
      <c r="K400" s="159"/>
    </row>
    <row r="401" spans="1:27" ht="36.75" customHeight="1">
      <c r="A401" s="152">
        <v>54313</v>
      </c>
      <c r="B401" s="153" t="s">
        <v>545</v>
      </c>
      <c r="C401" s="154"/>
      <c r="D401" s="14" t="s">
        <v>11</v>
      </c>
      <c r="E401" s="14" t="s">
        <v>25</v>
      </c>
      <c r="F401" s="14" t="s">
        <v>26</v>
      </c>
      <c r="G401" s="17">
        <f>' MARZO-18-1'!I393</f>
        <v>500</v>
      </c>
      <c r="H401" s="157"/>
      <c r="I401" s="158">
        <f t="shared" si="7"/>
        <v>500</v>
      </c>
      <c r="J401" s="159"/>
      <c r="K401" s="159"/>
      <c r="M401" s="167"/>
      <c r="N401" s="167"/>
      <c r="O401" s="167"/>
      <c r="P401" s="167"/>
      <c r="Q401" s="167"/>
    </row>
    <row r="402" spans="1:27" ht="34.5" customHeight="1">
      <c r="A402" s="152">
        <v>54399</v>
      </c>
      <c r="B402" s="153" t="s">
        <v>546</v>
      </c>
      <c r="C402" s="154"/>
      <c r="D402" s="14" t="s">
        <v>11</v>
      </c>
      <c r="E402" s="14" t="s">
        <v>25</v>
      </c>
      <c r="F402" s="14" t="s">
        <v>26</v>
      </c>
      <c r="G402" s="17">
        <f>' MARZO-18-1'!I394</f>
        <v>990</v>
      </c>
      <c r="H402" s="157"/>
      <c r="I402" s="158">
        <f t="shared" si="7"/>
        <v>990</v>
      </c>
      <c r="J402" s="159"/>
      <c r="K402" s="159"/>
      <c r="M402" s="167"/>
      <c r="N402" s="167"/>
      <c r="O402" s="167"/>
      <c r="P402" s="167"/>
      <c r="Q402" s="167"/>
    </row>
    <row r="403" spans="1:27" s="47" customFormat="1" ht="29.25">
      <c r="A403" s="11">
        <v>55603</v>
      </c>
      <c r="B403" s="153" t="s">
        <v>547</v>
      </c>
      <c r="C403" s="12"/>
      <c r="D403" s="14" t="s">
        <v>11</v>
      </c>
      <c r="E403" s="14" t="s">
        <v>25</v>
      </c>
      <c r="F403" s="14" t="s">
        <v>26</v>
      </c>
      <c r="G403" s="17">
        <f>' MARZO-18-1'!I395</f>
        <v>10</v>
      </c>
      <c r="H403" s="51"/>
      <c r="I403" s="158">
        <f t="shared" si="7"/>
        <v>10</v>
      </c>
      <c r="J403" s="44"/>
      <c r="K403" s="44"/>
      <c r="L403" s="165"/>
      <c r="M403" s="167"/>
      <c r="N403" s="167"/>
      <c r="O403" s="167"/>
      <c r="P403" s="167"/>
      <c r="Q403" s="167"/>
      <c r="R403" s="167"/>
      <c r="S403" s="167"/>
      <c r="T403" s="167"/>
      <c r="U403" s="167"/>
      <c r="V403" s="167"/>
      <c r="W403" s="167"/>
      <c r="X403" s="167"/>
      <c r="Y403" s="167"/>
      <c r="Z403" s="167"/>
      <c r="AA403" s="166"/>
    </row>
    <row r="404" spans="1:27" s="47" customFormat="1" ht="28.5">
      <c r="A404" s="144" t="s">
        <v>548</v>
      </c>
      <c r="B404" s="53" t="s">
        <v>549</v>
      </c>
      <c r="C404" s="12"/>
      <c r="D404" s="14" t="s">
        <v>11</v>
      </c>
      <c r="E404" s="14" t="s">
        <v>25</v>
      </c>
      <c r="F404" s="14" t="s">
        <v>26</v>
      </c>
      <c r="G404" s="17">
        <f>' MARZO-18-1'!I396</f>
        <v>5000</v>
      </c>
      <c r="H404" s="51"/>
      <c r="I404" s="17">
        <f t="shared" si="7"/>
        <v>5000</v>
      </c>
      <c r="J404" s="44"/>
      <c r="K404" s="44"/>
      <c r="L404" s="165"/>
      <c r="M404" s="167"/>
      <c r="N404" s="167"/>
      <c r="O404" s="167"/>
      <c r="P404" s="167"/>
      <c r="Q404" s="167"/>
      <c r="R404" s="167"/>
      <c r="S404" s="167"/>
      <c r="T404" s="167"/>
      <c r="U404" s="167"/>
      <c r="V404" s="167"/>
      <c r="W404" s="167"/>
      <c r="X404" s="167"/>
      <c r="Y404" s="167"/>
      <c r="Z404" s="167"/>
      <c r="AA404" s="166"/>
    </row>
    <row r="405" spans="1:27" s="47" customFormat="1" ht="40.5">
      <c r="A405" s="144" t="s">
        <v>550</v>
      </c>
      <c r="B405" s="53" t="s">
        <v>1026</v>
      </c>
      <c r="C405" s="12"/>
      <c r="D405" s="3"/>
      <c r="E405" s="3"/>
      <c r="F405" s="3"/>
      <c r="G405" s="17">
        <f>' MARZO-18-1'!I397</f>
        <v>0</v>
      </c>
      <c r="H405" s="51"/>
      <c r="I405" s="17"/>
      <c r="J405" s="44"/>
      <c r="K405" s="52"/>
      <c r="L405" s="165"/>
      <c r="M405" s="167"/>
      <c r="N405" s="167"/>
      <c r="O405" s="167"/>
      <c r="P405" s="167"/>
      <c r="Q405" s="167"/>
      <c r="R405" s="167"/>
      <c r="S405" s="167"/>
      <c r="T405" s="167"/>
      <c r="U405" s="167"/>
      <c r="V405" s="167"/>
      <c r="W405" s="167"/>
      <c r="X405" s="167"/>
      <c r="Y405" s="167"/>
      <c r="Z405" s="167"/>
      <c r="AA405" s="166"/>
    </row>
    <row r="406" spans="1:27" s="47" customFormat="1" ht="20.25" customHeight="1">
      <c r="A406" s="11">
        <v>51999</v>
      </c>
      <c r="B406" s="70" t="s">
        <v>552</v>
      </c>
      <c r="C406" s="12"/>
      <c r="D406" s="14" t="s">
        <v>11</v>
      </c>
      <c r="E406" s="14" t="s">
        <v>25</v>
      </c>
      <c r="F406" s="14" t="s">
        <v>26</v>
      </c>
      <c r="G406" s="17">
        <f>' MARZO-18-1'!I398</f>
        <v>0</v>
      </c>
      <c r="H406" s="51"/>
      <c r="I406" s="17">
        <f t="shared" si="7"/>
        <v>0</v>
      </c>
      <c r="J406" s="44"/>
      <c r="K406" s="266"/>
      <c r="L406" s="165"/>
      <c r="M406" s="167"/>
      <c r="N406" s="167"/>
      <c r="O406" s="167"/>
      <c r="P406" s="167"/>
      <c r="Q406" s="167"/>
      <c r="R406" s="167"/>
      <c r="S406" s="167"/>
      <c r="T406" s="167"/>
      <c r="U406" s="167"/>
      <c r="V406" s="167"/>
      <c r="W406" s="167"/>
      <c r="X406" s="167"/>
      <c r="Y406" s="167"/>
      <c r="Z406" s="167"/>
    </row>
    <row r="407" spans="1:27" s="47" customFormat="1" ht="23.25" customHeight="1">
      <c r="A407" s="11">
        <v>54399</v>
      </c>
      <c r="B407" s="70" t="s">
        <v>553</v>
      </c>
      <c r="C407" s="12"/>
      <c r="D407" s="14" t="s">
        <v>11</v>
      </c>
      <c r="E407" s="14" t="s">
        <v>25</v>
      </c>
      <c r="F407" s="14" t="s">
        <v>26</v>
      </c>
      <c r="G407" s="17">
        <f>' MARZO-18-1'!I399</f>
        <v>0</v>
      </c>
      <c r="H407" s="51"/>
      <c r="I407" s="17">
        <f t="shared" si="7"/>
        <v>0</v>
      </c>
      <c r="J407" s="44"/>
      <c r="K407" s="266"/>
      <c r="L407" s="165"/>
      <c r="M407" s="167"/>
      <c r="N407" s="167"/>
      <c r="O407" s="167"/>
      <c r="P407" s="167"/>
      <c r="Q407" s="167"/>
      <c r="R407" s="167"/>
      <c r="S407" s="167"/>
      <c r="T407" s="167"/>
      <c r="U407" s="167"/>
      <c r="V407" s="167"/>
      <c r="W407" s="167"/>
      <c r="X407" s="167"/>
      <c r="Y407" s="167"/>
      <c r="Z407" s="167"/>
    </row>
    <row r="408" spans="1:27" s="47" customFormat="1" ht="20.25" customHeight="1">
      <c r="A408" s="11">
        <v>54599</v>
      </c>
      <c r="B408" s="70" t="s">
        <v>554</v>
      </c>
      <c r="C408" s="12"/>
      <c r="D408" s="14" t="s">
        <v>11</v>
      </c>
      <c r="E408" s="14" t="s">
        <v>25</v>
      </c>
      <c r="F408" s="14" t="s">
        <v>26</v>
      </c>
      <c r="G408" s="17">
        <f>' MARZO-18-1'!I400</f>
        <v>0</v>
      </c>
      <c r="H408" s="51"/>
      <c r="I408" s="17">
        <f t="shared" si="7"/>
        <v>0</v>
      </c>
      <c r="J408" s="44"/>
      <c r="K408" s="266"/>
      <c r="L408" s="165"/>
      <c r="M408" s="167"/>
      <c r="N408" s="167"/>
      <c r="O408" s="167"/>
      <c r="P408" s="167"/>
      <c r="Q408" s="167"/>
      <c r="R408" s="167"/>
      <c r="S408" s="167"/>
      <c r="T408" s="167"/>
      <c r="U408" s="167"/>
      <c r="V408" s="167"/>
      <c r="W408" s="167"/>
      <c r="X408" s="167"/>
      <c r="Y408" s="167"/>
      <c r="Z408" s="167"/>
    </row>
    <row r="409" spans="1:27" s="47" customFormat="1">
      <c r="B409" s="5"/>
      <c r="C409" s="12"/>
      <c r="D409" s="3"/>
      <c r="E409" s="3"/>
      <c r="F409" s="3"/>
      <c r="G409" s="17">
        <f>' MARZO-18-1'!I402</f>
        <v>0</v>
      </c>
      <c r="H409" s="51"/>
      <c r="I409" s="17"/>
      <c r="J409" s="44"/>
      <c r="K409" s="44"/>
      <c r="L409" s="165"/>
      <c r="M409" s="167"/>
      <c r="N409" s="167"/>
      <c r="O409" s="167"/>
      <c r="P409" s="167"/>
      <c r="Q409" s="167"/>
      <c r="R409" s="167"/>
      <c r="S409" s="167"/>
      <c r="T409" s="167"/>
      <c r="U409" s="167"/>
      <c r="V409" s="167"/>
      <c r="W409" s="167"/>
      <c r="X409" s="167"/>
      <c r="Y409" s="167"/>
      <c r="Z409" s="167"/>
    </row>
    <row r="410" spans="1:27" s="47" customFormat="1">
      <c r="A410" s="11"/>
      <c r="B410" s="5"/>
      <c r="C410" s="12"/>
      <c r="D410" s="3"/>
      <c r="E410" s="3"/>
      <c r="F410" s="3"/>
      <c r="G410" s="17"/>
      <c r="H410" s="51"/>
      <c r="I410" s="17"/>
      <c r="J410" s="44"/>
      <c r="K410" s="44"/>
      <c r="L410" s="165"/>
      <c r="M410" s="167"/>
      <c r="N410" s="167"/>
      <c r="O410" s="167"/>
      <c r="P410" s="167"/>
      <c r="Q410" s="167"/>
      <c r="R410" s="167"/>
      <c r="S410" s="167"/>
      <c r="T410" s="167"/>
      <c r="U410" s="167"/>
      <c r="V410" s="167"/>
      <c r="W410" s="167"/>
      <c r="X410" s="167"/>
      <c r="Y410" s="167"/>
      <c r="Z410" s="167"/>
    </row>
    <row r="411" spans="1:27">
      <c r="A411" s="160"/>
      <c r="B411" s="161" t="s">
        <v>17</v>
      </c>
      <c r="C411" s="161"/>
      <c r="D411" s="161"/>
      <c r="E411" s="161"/>
      <c r="F411" s="161"/>
      <c r="G411" s="17">
        <f>' MARZO-18-1'!I403</f>
        <v>888068.14000000025</v>
      </c>
      <c r="H411" s="163">
        <f>SUM(H156:H410)</f>
        <v>72751.200000000012</v>
      </c>
      <c r="I411" s="162">
        <f>SUM(I156:I410)</f>
        <v>803316.94000000018</v>
      </c>
      <c r="J411" s="162">
        <f>SUM(J156:J410)</f>
        <v>20405</v>
      </c>
      <c r="K411" s="162">
        <f>SUM(K156:K410)</f>
        <v>32404.999999999996</v>
      </c>
      <c r="M411" s="167"/>
      <c r="N411" s="167"/>
      <c r="O411" s="167"/>
      <c r="P411" s="167"/>
      <c r="Q411" s="167"/>
      <c r="R411" s="167"/>
      <c r="S411" s="167"/>
      <c r="T411" s="167"/>
      <c r="U411" s="167"/>
      <c r="V411" s="167"/>
      <c r="W411" s="167"/>
      <c r="X411" s="167"/>
      <c r="Y411" s="167"/>
      <c r="Z411" s="167"/>
    </row>
    <row r="412" spans="1:27" ht="58.5">
      <c r="A412" s="11" t="s">
        <v>555</v>
      </c>
      <c r="B412" s="57" t="s">
        <v>557</v>
      </c>
      <c r="C412" s="58"/>
      <c r="D412" s="14" t="s">
        <v>18</v>
      </c>
      <c r="E412" s="14" t="s">
        <v>28</v>
      </c>
      <c r="F412" s="14" t="s">
        <v>26</v>
      </c>
      <c r="G412" s="17">
        <f>' MARZO-18-1'!I404</f>
        <v>1000</v>
      </c>
      <c r="H412" s="51"/>
      <c r="I412" s="17">
        <f t="shared" ref="I412:I480" si="8">G412-H412+J412-K412</f>
        <v>1000</v>
      </c>
      <c r="J412" s="52"/>
      <c r="K412" s="52"/>
      <c r="M412" s="167"/>
      <c r="N412" s="167"/>
      <c r="O412" s="167"/>
      <c r="P412" s="167"/>
      <c r="Q412" s="167"/>
      <c r="R412" s="167"/>
      <c r="S412" s="167"/>
      <c r="T412" s="167"/>
      <c r="U412" s="167"/>
      <c r="V412" s="167"/>
      <c r="W412" s="167"/>
      <c r="X412" s="167"/>
      <c r="Y412" s="167"/>
      <c r="Z412" s="167"/>
    </row>
    <row r="413" spans="1:27" ht="58.5">
      <c r="A413" s="11" t="s">
        <v>556</v>
      </c>
      <c r="B413" s="57" t="s">
        <v>558</v>
      </c>
      <c r="C413" s="58"/>
      <c r="D413" s="14" t="s">
        <v>18</v>
      </c>
      <c r="E413" s="14" t="s">
        <v>28</v>
      </c>
      <c r="F413" s="14" t="s">
        <v>26</v>
      </c>
      <c r="G413" s="17">
        <f>' MARZO-18-1'!I405</f>
        <v>7000</v>
      </c>
      <c r="H413" s="51"/>
      <c r="I413" s="17">
        <f t="shared" si="8"/>
        <v>7000</v>
      </c>
      <c r="J413" s="52"/>
      <c r="K413" s="52"/>
      <c r="M413" s="167"/>
      <c r="N413" s="167"/>
      <c r="O413" s="167"/>
      <c r="P413" s="167"/>
      <c r="Q413" s="167"/>
    </row>
    <row r="414" spans="1:27" ht="72.75">
      <c r="A414" s="11" t="s">
        <v>560</v>
      </c>
      <c r="B414" s="57" t="s">
        <v>559</v>
      </c>
      <c r="C414" s="59"/>
      <c r="D414" s="14" t="s">
        <v>18</v>
      </c>
      <c r="E414" s="14" t="s">
        <v>28</v>
      </c>
      <c r="F414" s="14" t="s">
        <v>26</v>
      </c>
      <c r="G414" s="17">
        <f>' MARZO-18-1'!I406</f>
        <v>2000</v>
      </c>
      <c r="H414" s="51"/>
      <c r="I414" s="17">
        <f t="shared" si="8"/>
        <v>2000</v>
      </c>
      <c r="J414" s="52"/>
      <c r="K414" s="52"/>
    </row>
    <row r="415" spans="1:27" ht="72.75">
      <c r="A415" s="11" t="s">
        <v>561</v>
      </c>
      <c r="B415" s="57" t="s">
        <v>562</v>
      </c>
      <c r="C415" s="59"/>
      <c r="D415" s="14" t="s">
        <v>18</v>
      </c>
      <c r="E415" s="14" t="s">
        <v>28</v>
      </c>
      <c r="F415" s="14" t="s">
        <v>26</v>
      </c>
      <c r="G415" s="17">
        <f>' MARZO-18-1'!I407</f>
        <v>1990</v>
      </c>
      <c r="H415" s="51"/>
      <c r="I415" s="17">
        <f t="shared" si="8"/>
        <v>1990</v>
      </c>
      <c r="J415" s="56"/>
      <c r="K415" s="56"/>
    </row>
    <row r="416" spans="1:27" ht="72.75">
      <c r="A416" s="11" t="s">
        <v>564</v>
      </c>
      <c r="B416" s="57" t="s">
        <v>563</v>
      </c>
      <c r="C416" s="59"/>
      <c r="D416" s="14" t="s">
        <v>18</v>
      </c>
      <c r="E416" s="14" t="s">
        <v>28</v>
      </c>
      <c r="F416" s="14" t="s">
        <v>26</v>
      </c>
      <c r="G416" s="17">
        <f>' MARZO-18-1'!I408</f>
        <v>3000</v>
      </c>
      <c r="H416" s="51"/>
      <c r="I416" s="17">
        <f t="shared" si="8"/>
        <v>3000</v>
      </c>
      <c r="J416" s="52"/>
      <c r="K416" s="52"/>
    </row>
    <row r="417" spans="1:11" ht="72.75">
      <c r="A417" s="11" t="s">
        <v>566</v>
      </c>
      <c r="B417" s="57" t="s">
        <v>567</v>
      </c>
      <c r="C417" s="286" t="s">
        <v>1072</v>
      </c>
      <c r="D417" s="14" t="s">
        <v>18</v>
      </c>
      <c r="E417" s="14" t="s">
        <v>28</v>
      </c>
      <c r="F417" s="14" t="s">
        <v>26</v>
      </c>
      <c r="G417" s="17">
        <f>' MARZO-18-1'!I409</f>
        <v>36242</v>
      </c>
      <c r="H417" s="51">
        <f>(12600.13+4500+18570+6930)</f>
        <v>42600.13</v>
      </c>
      <c r="I417" s="18">
        <f t="shared" si="8"/>
        <v>641.87000000000262</v>
      </c>
      <c r="J417" s="137">
        <v>7000</v>
      </c>
      <c r="K417" s="52"/>
    </row>
    <row r="418" spans="1:11" ht="72.75">
      <c r="A418" s="11" t="s">
        <v>565</v>
      </c>
      <c r="B418" s="57" t="s">
        <v>568</v>
      </c>
      <c r="C418" s="59"/>
      <c r="D418" s="14" t="s">
        <v>18</v>
      </c>
      <c r="E418" s="14" t="s">
        <v>28</v>
      </c>
      <c r="F418" s="14" t="s">
        <v>26</v>
      </c>
      <c r="G418" s="17">
        <f>' MARZO-18-1'!I410</f>
        <v>4147.03</v>
      </c>
      <c r="H418" s="51"/>
      <c r="I418" s="17">
        <f t="shared" si="8"/>
        <v>4147.03</v>
      </c>
      <c r="J418" s="52"/>
      <c r="K418" s="52"/>
    </row>
    <row r="419" spans="1:11" ht="72.75">
      <c r="A419" s="11" t="s">
        <v>569</v>
      </c>
      <c r="B419" s="57" t="s">
        <v>570</v>
      </c>
      <c r="C419" s="286" t="s">
        <v>1072</v>
      </c>
      <c r="D419" s="14" t="s">
        <v>18</v>
      </c>
      <c r="E419" s="14" t="s">
        <v>28</v>
      </c>
      <c r="F419" s="14" t="s">
        <v>26</v>
      </c>
      <c r="G419" s="17">
        <f>' MARZO-18-1'!I411</f>
        <v>9600</v>
      </c>
      <c r="H419" s="51">
        <f>2600</f>
        <v>2600</v>
      </c>
      <c r="I419" s="17">
        <f t="shared" si="8"/>
        <v>7000</v>
      </c>
      <c r="J419" s="52"/>
      <c r="K419" s="52"/>
    </row>
    <row r="420" spans="1:11" ht="72.75">
      <c r="A420" s="11" t="s">
        <v>571</v>
      </c>
      <c r="B420" s="57" t="s">
        <v>572</v>
      </c>
      <c r="C420" s="286" t="s">
        <v>1072</v>
      </c>
      <c r="D420" s="14" t="s">
        <v>18</v>
      </c>
      <c r="E420" s="14" t="s">
        <v>28</v>
      </c>
      <c r="F420" s="14" t="s">
        <v>26</v>
      </c>
      <c r="G420" s="17">
        <f>' MARZO-18-1'!I412</f>
        <v>25000</v>
      </c>
      <c r="H420" s="51">
        <f>12635</f>
        <v>12635</v>
      </c>
      <c r="I420" s="17">
        <f t="shared" si="8"/>
        <v>5365</v>
      </c>
      <c r="J420" s="137"/>
      <c r="K420" s="137">
        <v>7000</v>
      </c>
    </row>
    <row r="421" spans="1:11" ht="72.75">
      <c r="A421" s="11" t="s">
        <v>969</v>
      </c>
      <c r="B421" s="57" t="s">
        <v>970</v>
      </c>
      <c r="C421" s="59"/>
      <c r="D421" s="14" t="s">
        <v>18</v>
      </c>
      <c r="E421" s="14" t="s">
        <v>28</v>
      </c>
      <c r="F421" s="14" t="s">
        <v>26</v>
      </c>
      <c r="G421" s="17">
        <f>' MARZO-18-1'!I413</f>
        <v>6.9999999999999991</v>
      </c>
      <c r="H421" s="51"/>
      <c r="I421" s="17">
        <f t="shared" si="8"/>
        <v>6.9999999999999991</v>
      </c>
      <c r="J421" s="52"/>
      <c r="K421" s="52"/>
    </row>
    <row r="422" spans="1:11" ht="31.5" customHeight="1">
      <c r="A422" s="11">
        <v>54109</v>
      </c>
      <c r="B422" s="54" t="s">
        <v>1012</v>
      </c>
      <c r="C422" s="13"/>
      <c r="D422" s="14" t="s">
        <v>18</v>
      </c>
      <c r="E422" s="14" t="s">
        <v>28</v>
      </c>
      <c r="F422" s="14" t="s">
        <v>26</v>
      </c>
      <c r="G422" s="17">
        <f>' MARZO-18-1'!I414</f>
        <v>2339.9799999999996</v>
      </c>
      <c r="H422" s="51"/>
      <c r="I422" s="17">
        <f t="shared" si="8"/>
        <v>2339.9799999999996</v>
      </c>
      <c r="J422" s="52"/>
      <c r="K422" s="52"/>
    </row>
    <row r="423" spans="1:11" ht="60">
      <c r="A423" s="11" t="s">
        <v>574</v>
      </c>
      <c r="B423" s="54" t="s">
        <v>575</v>
      </c>
      <c r="C423" s="61" t="s">
        <v>1071</v>
      </c>
      <c r="D423" s="14" t="s">
        <v>18</v>
      </c>
      <c r="E423" s="14" t="s">
        <v>28</v>
      </c>
      <c r="F423" s="14" t="s">
        <v>26</v>
      </c>
      <c r="G423" s="17">
        <f>' MARZO-18-1'!I415</f>
        <v>5182.1000000000004</v>
      </c>
      <c r="H423" s="51">
        <f>825.25+82</f>
        <v>907.25</v>
      </c>
      <c r="I423" s="17">
        <f t="shared" si="8"/>
        <v>4274.8500000000004</v>
      </c>
      <c r="J423" s="52"/>
      <c r="K423" s="52"/>
    </row>
    <row r="424" spans="1:11" ht="75">
      <c r="A424" s="11" t="s">
        <v>212</v>
      </c>
      <c r="B424" s="54" t="s">
        <v>576</v>
      </c>
      <c r="C424" s="61" t="s">
        <v>1071</v>
      </c>
      <c r="D424" s="14" t="s">
        <v>18</v>
      </c>
      <c r="E424" s="14" t="s">
        <v>28</v>
      </c>
      <c r="F424" s="14" t="s">
        <v>26</v>
      </c>
      <c r="G424" s="17">
        <f>' MARZO-18-1'!I416</f>
        <v>11584.95</v>
      </c>
      <c r="H424" s="51">
        <f>(306+240)</f>
        <v>546</v>
      </c>
      <c r="I424" s="17">
        <f t="shared" si="8"/>
        <v>11038.95</v>
      </c>
      <c r="J424" s="52"/>
      <c r="K424" s="52"/>
    </row>
    <row r="425" spans="1:11" ht="74.25">
      <c r="A425" s="11" t="s">
        <v>577</v>
      </c>
      <c r="B425" s="54" t="s">
        <v>578</v>
      </c>
      <c r="C425" s="13"/>
      <c r="D425" s="14" t="s">
        <v>18</v>
      </c>
      <c r="E425" s="14" t="s">
        <v>28</v>
      </c>
      <c r="F425" s="14" t="s">
        <v>26</v>
      </c>
      <c r="G425" s="17">
        <f>' MARZO-18-1'!I417</f>
        <v>14524.08</v>
      </c>
      <c r="H425" s="51"/>
      <c r="I425" s="17">
        <f t="shared" si="8"/>
        <v>14524.08</v>
      </c>
      <c r="J425" s="56"/>
      <c r="K425" s="56"/>
    </row>
    <row r="426" spans="1:11" s="220" customFormat="1" ht="30">
      <c r="A426" s="11" t="s">
        <v>218</v>
      </c>
      <c r="B426" s="54" t="s">
        <v>579</v>
      </c>
      <c r="C426" s="13"/>
      <c r="D426" s="14" t="s">
        <v>18</v>
      </c>
      <c r="E426" s="14" t="s">
        <v>28</v>
      </c>
      <c r="F426" s="14" t="s">
        <v>26</v>
      </c>
      <c r="G426" s="17">
        <f>' MARZO-18-1'!I418</f>
        <v>7</v>
      </c>
      <c r="H426" s="51"/>
      <c r="I426" s="17">
        <f t="shared" si="8"/>
        <v>7</v>
      </c>
      <c r="J426" s="56"/>
      <c r="K426" s="56"/>
    </row>
    <row r="427" spans="1:11" s="229" customFormat="1" ht="9.75" customHeight="1">
      <c r="A427" s="221"/>
      <c r="B427" s="222"/>
      <c r="C427" s="223"/>
      <c r="D427" s="224"/>
      <c r="E427" s="224"/>
      <c r="F427" s="224"/>
      <c r="G427" s="17">
        <f>' MARZO-18-1'!I419</f>
        <v>0</v>
      </c>
      <c r="H427" s="226"/>
      <c r="I427" s="227"/>
      <c r="J427" s="228"/>
      <c r="K427" s="228"/>
    </row>
    <row r="428" spans="1:11" ht="44.25">
      <c r="A428" s="214" t="s">
        <v>988</v>
      </c>
      <c r="B428" s="215" t="s">
        <v>581</v>
      </c>
      <c r="C428" s="61" t="s">
        <v>995</v>
      </c>
      <c r="D428" s="187" t="s">
        <v>18</v>
      </c>
      <c r="E428" s="187" t="s">
        <v>28</v>
      </c>
      <c r="F428" s="187" t="s">
        <v>27</v>
      </c>
      <c r="G428" s="17">
        <f>' MARZO-18-1'!I420</f>
        <v>18427.940000000002</v>
      </c>
      <c r="H428" s="218">
        <f>801.8+921.15</f>
        <v>1722.9499999999998</v>
      </c>
      <c r="I428" s="189">
        <f t="shared" si="8"/>
        <v>16704.990000000002</v>
      </c>
      <c r="J428" s="219"/>
      <c r="K428" s="219"/>
    </row>
    <row r="429" spans="1:11" ht="30">
      <c r="A429" s="11" t="s">
        <v>235</v>
      </c>
      <c r="B429" s="54" t="s">
        <v>582</v>
      </c>
      <c r="C429" s="13"/>
      <c r="D429" s="14" t="s">
        <v>18</v>
      </c>
      <c r="E429" s="14" t="s">
        <v>28</v>
      </c>
      <c r="F429" s="14" t="s">
        <v>27</v>
      </c>
      <c r="G429" s="17">
        <f>' MARZO-18-1'!I421</f>
        <v>6.9999999999999991</v>
      </c>
      <c r="H429" s="51"/>
      <c r="I429" s="17">
        <f t="shared" si="8"/>
        <v>6.9999999999999991</v>
      </c>
      <c r="J429" s="56"/>
      <c r="K429" s="56"/>
    </row>
    <row r="430" spans="1:11" ht="96" customHeight="1">
      <c r="A430" s="11" t="s">
        <v>200</v>
      </c>
      <c r="B430" s="53" t="s">
        <v>584</v>
      </c>
      <c r="C430" s="61"/>
      <c r="D430" s="14"/>
      <c r="E430" s="14"/>
      <c r="F430" s="14"/>
      <c r="G430" s="17">
        <f>' MARZO-18-1'!I422</f>
        <v>0</v>
      </c>
      <c r="H430" s="51"/>
      <c r="I430" s="17"/>
      <c r="J430" s="56"/>
      <c r="K430" s="56"/>
    </row>
    <row r="431" spans="1:11" ht="30">
      <c r="A431" s="11">
        <v>54111</v>
      </c>
      <c r="B431" s="54" t="s">
        <v>583</v>
      </c>
      <c r="C431" s="13"/>
      <c r="D431" s="14" t="s">
        <v>18</v>
      </c>
      <c r="E431" s="14" t="s">
        <v>28</v>
      </c>
      <c r="F431" s="14" t="s">
        <v>27</v>
      </c>
      <c r="G431" s="17">
        <f>' MARZO-18-1'!I423</f>
        <v>139.35</v>
      </c>
      <c r="H431" s="51"/>
      <c r="I431" s="17">
        <f t="shared" si="8"/>
        <v>0</v>
      </c>
      <c r="J431" s="56"/>
      <c r="K431" s="300">
        <v>139.35</v>
      </c>
    </row>
    <row r="432" spans="1:11" ht="75">
      <c r="A432" s="141" t="s">
        <v>201</v>
      </c>
      <c r="B432" s="53" t="s">
        <v>585</v>
      </c>
      <c r="C432" s="13"/>
      <c r="D432" s="14"/>
      <c r="E432" s="14"/>
      <c r="F432" s="14"/>
      <c r="G432" s="17">
        <f>' MARZO-18-1'!I424</f>
        <v>0</v>
      </c>
      <c r="H432" s="51"/>
      <c r="I432" s="17"/>
      <c r="J432" s="56"/>
      <c r="K432" s="56"/>
    </row>
    <row r="433" spans="1:11" ht="29.25">
      <c r="A433" s="11">
        <v>54110</v>
      </c>
      <c r="B433" s="54" t="s">
        <v>586</v>
      </c>
      <c r="C433" s="13"/>
      <c r="D433" s="14" t="s">
        <v>18</v>
      </c>
      <c r="E433" s="14" t="s">
        <v>28</v>
      </c>
      <c r="F433" s="14" t="s">
        <v>27</v>
      </c>
      <c r="G433" s="17">
        <f>' MARZO-18-1'!I425</f>
        <v>30</v>
      </c>
      <c r="H433" s="51"/>
      <c r="I433" s="17">
        <f t="shared" si="8"/>
        <v>0</v>
      </c>
      <c r="J433" s="56"/>
      <c r="K433" s="300">
        <v>30</v>
      </c>
    </row>
    <row r="434" spans="1:11" ht="30">
      <c r="A434" s="11">
        <v>54111</v>
      </c>
      <c r="B434" s="54" t="s">
        <v>587</v>
      </c>
      <c r="C434" s="13"/>
      <c r="D434" s="14" t="s">
        <v>18</v>
      </c>
      <c r="E434" s="14" t="s">
        <v>28</v>
      </c>
      <c r="F434" s="14" t="s">
        <v>27</v>
      </c>
      <c r="G434" s="17">
        <f>' MARZO-18-1'!I426</f>
        <v>107.15999999999994</v>
      </c>
      <c r="H434" s="51"/>
      <c r="I434" s="17">
        <f t="shared" si="8"/>
        <v>0</v>
      </c>
      <c r="J434" s="56"/>
      <c r="K434" s="300">
        <v>107.16</v>
      </c>
    </row>
    <row r="435" spans="1:11" ht="29.25">
      <c r="A435" s="11">
        <v>54112</v>
      </c>
      <c r="B435" s="54" t="s">
        <v>588</v>
      </c>
      <c r="C435" s="59"/>
      <c r="D435" s="14" t="s">
        <v>18</v>
      </c>
      <c r="E435" s="14" t="s">
        <v>28</v>
      </c>
      <c r="F435" s="14" t="s">
        <v>27</v>
      </c>
      <c r="G435" s="17">
        <f>' MARZO-18-1'!I427</f>
        <v>0</v>
      </c>
      <c r="H435" s="51"/>
      <c r="I435" s="17">
        <f t="shared" si="8"/>
        <v>0</v>
      </c>
      <c r="J435" s="56"/>
      <c r="K435" s="300"/>
    </row>
    <row r="436" spans="1:11" ht="29.25">
      <c r="A436" s="11">
        <v>55603</v>
      </c>
      <c r="B436" s="54" t="s">
        <v>974</v>
      </c>
      <c r="C436" s="55"/>
      <c r="D436" s="14" t="s">
        <v>18</v>
      </c>
      <c r="E436" s="14" t="s">
        <v>28</v>
      </c>
      <c r="F436" s="14" t="s">
        <v>27</v>
      </c>
      <c r="G436" s="17">
        <f>' MARZO-18-1'!I428</f>
        <v>0.30000000000000004</v>
      </c>
      <c r="H436" s="51"/>
      <c r="I436" s="17">
        <f t="shared" si="8"/>
        <v>0</v>
      </c>
      <c r="J436" s="11"/>
      <c r="K436" s="129">
        <v>0.3</v>
      </c>
    </row>
    <row r="437" spans="1:11" ht="90">
      <c r="A437" s="11" t="s">
        <v>220</v>
      </c>
      <c r="B437" s="53" t="s">
        <v>966</v>
      </c>
      <c r="C437" s="55"/>
      <c r="D437" s="14"/>
      <c r="E437" s="14"/>
      <c r="F437" s="14"/>
      <c r="G437" s="17">
        <f>' MARZO-18-1'!I429</f>
        <v>0</v>
      </c>
      <c r="H437" s="51"/>
      <c r="I437" s="17"/>
      <c r="J437" s="11"/>
      <c r="K437" s="54"/>
    </row>
    <row r="438" spans="1:11" ht="29.25">
      <c r="A438" s="11">
        <v>51202</v>
      </c>
      <c r="B438" s="54" t="s">
        <v>589</v>
      </c>
      <c r="C438" s="55"/>
      <c r="D438" s="14" t="s">
        <v>18</v>
      </c>
      <c r="E438" s="14" t="s">
        <v>28</v>
      </c>
      <c r="F438" s="14" t="s">
        <v>27</v>
      </c>
      <c r="G438" s="17">
        <f>' MARZO-18-1'!I430</f>
        <v>0</v>
      </c>
      <c r="H438" s="51"/>
      <c r="I438" s="17">
        <f t="shared" si="8"/>
        <v>0</v>
      </c>
      <c r="J438" s="11"/>
      <c r="K438" s="251"/>
    </row>
    <row r="439" spans="1:11" ht="29.25" customHeight="1">
      <c r="A439" s="11">
        <v>54110</v>
      </c>
      <c r="B439" s="54" t="s">
        <v>590</v>
      </c>
      <c r="C439" s="55"/>
      <c r="D439" s="14" t="s">
        <v>18</v>
      </c>
      <c r="E439" s="14" t="s">
        <v>28</v>
      </c>
      <c r="F439" s="14" t="s">
        <v>27</v>
      </c>
      <c r="G439" s="17">
        <f>' MARZO-18-1'!I431</f>
        <v>0</v>
      </c>
      <c r="H439" s="51"/>
      <c r="I439" s="17">
        <f t="shared" si="8"/>
        <v>0</v>
      </c>
      <c r="J439" s="11"/>
      <c r="K439" s="251"/>
    </row>
    <row r="440" spans="1:11" ht="30">
      <c r="A440" s="11">
        <v>54111</v>
      </c>
      <c r="B440" s="54" t="s">
        <v>591</v>
      </c>
      <c r="C440" s="55"/>
      <c r="D440" s="14" t="s">
        <v>18</v>
      </c>
      <c r="E440" s="14" t="s">
        <v>28</v>
      </c>
      <c r="F440" s="14" t="s">
        <v>27</v>
      </c>
      <c r="G440" s="17">
        <f>' MARZO-18-1'!I432</f>
        <v>1.3199999999999363</v>
      </c>
      <c r="H440" s="51"/>
      <c r="I440" s="17">
        <f t="shared" si="8"/>
        <v>-6.3726801613483985E-14</v>
      </c>
      <c r="J440" s="252"/>
      <c r="K440" s="251">
        <v>1.32</v>
      </c>
    </row>
    <row r="441" spans="1:11" ht="29.25">
      <c r="A441" s="11">
        <v>54112</v>
      </c>
      <c r="B441" s="54" t="s">
        <v>592</v>
      </c>
      <c r="C441" s="55"/>
      <c r="D441" s="14" t="s">
        <v>18</v>
      </c>
      <c r="E441" s="14" t="s">
        <v>28</v>
      </c>
      <c r="F441" s="14" t="s">
        <v>27</v>
      </c>
      <c r="G441" s="17">
        <f>' MARZO-18-1'!I433</f>
        <v>0</v>
      </c>
      <c r="H441" s="51"/>
      <c r="I441" s="17">
        <f t="shared" si="8"/>
        <v>0</v>
      </c>
      <c r="J441" s="11"/>
      <c r="K441" s="251"/>
    </row>
    <row r="442" spans="1:11" ht="29.25">
      <c r="A442" s="11">
        <v>54313</v>
      </c>
      <c r="B442" s="54" t="s">
        <v>593</v>
      </c>
      <c r="C442" s="55"/>
      <c r="D442" s="14" t="s">
        <v>18</v>
      </c>
      <c r="E442" s="14" t="s">
        <v>28</v>
      </c>
      <c r="F442" s="14" t="s">
        <v>27</v>
      </c>
      <c r="G442" s="17">
        <f>' MARZO-18-1'!I434</f>
        <v>0</v>
      </c>
      <c r="H442" s="51"/>
      <c r="I442" s="17">
        <f t="shared" si="8"/>
        <v>0</v>
      </c>
      <c r="J442" s="11"/>
      <c r="K442" s="251"/>
    </row>
    <row r="443" spans="1:11" ht="105" customHeight="1">
      <c r="A443" s="11" t="s">
        <v>238</v>
      </c>
      <c r="B443" s="53" t="s">
        <v>595</v>
      </c>
      <c r="C443" s="55" t="s">
        <v>1048</v>
      </c>
      <c r="D443" s="14"/>
      <c r="E443" s="14"/>
      <c r="F443" s="14"/>
      <c r="G443" s="17">
        <f>' MARZO-18-1'!I435</f>
        <v>0</v>
      </c>
      <c r="H443" s="51"/>
      <c r="I443" s="17"/>
      <c r="J443" s="11"/>
      <c r="K443" s="54"/>
    </row>
    <row r="444" spans="1:11" ht="29.25">
      <c r="A444" s="11">
        <v>51202</v>
      </c>
      <c r="B444" s="54" t="s">
        <v>594</v>
      </c>
      <c r="C444" s="55" t="s">
        <v>1048</v>
      </c>
      <c r="D444" s="14" t="s">
        <v>18</v>
      </c>
      <c r="E444" s="14" t="s">
        <v>28</v>
      </c>
      <c r="F444" s="14" t="s">
        <v>27</v>
      </c>
      <c r="G444" s="17">
        <f>' MARZO-18-1'!I436</f>
        <v>4331.1099999999997</v>
      </c>
      <c r="H444" s="51">
        <f>(124.44+186.67+186.67+233.33+166.67+186.67+133.33+133.33+88.89)</f>
        <v>1440</v>
      </c>
      <c r="I444" s="17">
        <f t="shared" si="8"/>
        <v>1391.1099999999997</v>
      </c>
      <c r="J444" s="272"/>
      <c r="K444" s="129">
        <v>1500</v>
      </c>
    </row>
    <row r="445" spans="1:11" ht="29.25">
      <c r="A445" s="11">
        <v>54110</v>
      </c>
      <c r="B445" s="54" t="s">
        <v>596</v>
      </c>
      <c r="C445" s="55"/>
      <c r="D445" s="14" t="s">
        <v>18</v>
      </c>
      <c r="E445" s="14" t="s">
        <v>28</v>
      </c>
      <c r="F445" s="14" t="s">
        <v>27</v>
      </c>
      <c r="G445" s="17">
        <f>' MARZO-18-1'!I437</f>
        <v>452.8</v>
      </c>
      <c r="H445" s="51"/>
      <c r="I445" s="17">
        <f t="shared" si="8"/>
        <v>240.85000000000002</v>
      </c>
      <c r="J445" s="272"/>
      <c r="K445" s="129">
        <f>211.95</f>
        <v>211.95</v>
      </c>
    </row>
    <row r="446" spans="1:11" ht="29.25">
      <c r="A446" s="11">
        <v>54111</v>
      </c>
      <c r="B446" s="54" t="s">
        <v>597</v>
      </c>
      <c r="C446" s="55" t="s">
        <v>1048</v>
      </c>
      <c r="D446" s="14" t="s">
        <v>18</v>
      </c>
      <c r="E446" s="14" t="s">
        <v>28</v>
      </c>
      <c r="F446" s="14" t="s">
        <v>27</v>
      </c>
      <c r="G446" s="17">
        <f>' MARZO-18-1'!I438</f>
        <v>139.63999999999942</v>
      </c>
      <c r="H446" s="51">
        <f>(2406.5+1187.5+5588+1102+4834)</f>
        <v>15118</v>
      </c>
      <c r="I446" s="18">
        <f t="shared" si="8"/>
        <v>0</v>
      </c>
      <c r="J446" s="128">
        <f>12000+2978.36</f>
        <v>14978.36</v>
      </c>
      <c r="K446" s="129"/>
    </row>
    <row r="447" spans="1:11" ht="29.25">
      <c r="A447" s="11">
        <v>54112</v>
      </c>
      <c r="B447" s="54" t="s">
        <v>598</v>
      </c>
      <c r="C447" s="55"/>
      <c r="D447" s="14" t="s">
        <v>18</v>
      </c>
      <c r="E447" s="14" t="s">
        <v>28</v>
      </c>
      <c r="F447" s="14" t="s">
        <v>27</v>
      </c>
      <c r="G447" s="17">
        <f>' MARZO-18-1'!I439</f>
        <v>4965</v>
      </c>
      <c r="H447" s="51"/>
      <c r="I447" s="17">
        <f t="shared" si="8"/>
        <v>1855.6400000000003</v>
      </c>
      <c r="J447" s="128"/>
      <c r="K447" s="129">
        <f>2500+2465-1855.64</f>
        <v>3109.3599999999997</v>
      </c>
    </row>
    <row r="448" spans="1:11" ht="29.25">
      <c r="A448" s="11">
        <v>54118</v>
      </c>
      <c r="B448" s="54" t="s">
        <v>599</v>
      </c>
      <c r="C448" s="55"/>
      <c r="D448" s="14" t="s">
        <v>18</v>
      </c>
      <c r="E448" s="14" t="s">
        <v>28</v>
      </c>
      <c r="F448" s="14" t="s">
        <v>27</v>
      </c>
      <c r="G448" s="17">
        <f>' MARZO-18-1'!I440</f>
        <v>5689.25</v>
      </c>
      <c r="H448" s="51"/>
      <c r="I448" s="17">
        <f t="shared" si="8"/>
        <v>0</v>
      </c>
      <c r="J448" s="142"/>
      <c r="K448" s="142">
        <f>3000+2000+689.25</f>
        <v>5689.25</v>
      </c>
    </row>
    <row r="449" spans="1:11" ht="29.25">
      <c r="A449" s="11">
        <v>54304</v>
      </c>
      <c r="B449" s="54" t="s">
        <v>600</v>
      </c>
      <c r="C449" s="55"/>
      <c r="D449" s="14" t="s">
        <v>18</v>
      </c>
      <c r="E449" s="14" t="s">
        <v>28</v>
      </c>
      <c r="F449" s="14" t="s">
        <v>27</v>
      </c>
      <c r="G449" s="17">
        <f>' MARZO-18-1'!I441</f>
        <v>4500</v>
      </c>
      <c r="H449" s="51"/>
      <c r="I449" s="17">
        <f t="shared" si="8"/>
        <v>0</v>
      </c>
      <c r="J449" s="56"/>
      <c r="K449" s="237">
        <f>600+3000+900</f>
        <v>4500</v>
      </c>
    </row>
    <row r="450" spans="1:11" ht="29.25">
      <c r="A450" s="11">
        <v>54313</v>
      </c>
      <c r="B450" s="54" t="s">
        <v>601</v>
      </c>
      <c r="C450" s="55"/>
      <c r="D450" s="14" t="s">
        <v>18</v>
      </c>
      <c r="E450" s="14" t="s">
        <v>28</v>
      </c>
      <c r="F450" s="14" t="s">
        <v>27</v>
      </c>
      <c r="G450" s="17">
        <f>' MARZO-18-1'!I442</f>
        <v>13</v>
      </c>
      <c r="H450" s="51"/>
      <c r="I450" s="17">
        <f t="shared" si="8"/>
        <v>0</v>
      </c>
      <c r="J450" s="56"/>
      <c r="K450" s="237">
        <f>13</f>
        <v>13</v>
      </c>
    </row>
    <row r="451" spans="1:11" ht="57.75">
      <c r="A451" s="11">
        <v>54316</v>
      </c>
      <c r="B451" s="54" t="s">
        <v>1047</v>
      </c>
      <c r="C451" s="55"/>
      <c r="D451" s="14" t="s">
        <v>18</v>
      </c>
      <c r="E451" s="14" t="s">
        <v>28</v>
      </c>
      <c r="F451" s="14" t="s">
        <v>27</v>
      </c>
      <c r="G451" s="17"/>
      <c r="H451" s="51">
        <v>553.5</v>
      </c>
      <c r="I451" s="17">
        <f t="shared" si="8"/>
        <v>0</v>
      </c>
      <c r="J451" s="137">
        <v>600</v>
      </c>
      <c r="K451" s="237">
        <v>46.5</v>
      </c>
    </row>
    <row r="452" spans="1:11" ht="29.25">
      <c r="A452" s="11">
        <v>54399</v>
      </c>
      <c r="B452" s="54" t="s">
        <v>602</v>
      </c>
      <c r="C452" s="13"/>
      <c r="D452" s="14" t="s">
        <v>18</v>
      </c>
      <c r="E452" s="14" t="s">
        <v>28</v>
      </c>
      <c r="F452" s="14" t="s">
        <v>27</v>
      </c>
      <c r="G452" s="17">
        <f>' MARZO-18-1'!I443</f>
        <v>500</v>
      </c>
      <c r="H452" s="51"/>
      <c r="I452" s="17">
        <f t="shared" si="8"/>
        <v>0</v>
      </c>
      <c r="J452" s="56"/>
      <c r="K452" s="300">
        <v>500</v>
      </c>
    </row>
    <row r="453" spans="1:11" ht="29.25">
      <c r="A453" s="11">
        <v>55603</v>
      </c>
      <c r="B453" s="54" t="s">
        <v>603</v>
      </c>
      <c r="C453" s="55"/>
      <c r="D453" s="14" t="s">
        <v>18</v>
      </c>
      <c r="E453" s="14" t="s">
        <v>28</v>
      </c>
      <c r="F453" s="14" t="s">
        <v>27</v>
      </c>
      <c r="G453" s="17">
        <f>' MARZO-18-1'!I444</f>
        <v>8.3000000000000007</v>
      </c>
      <c r="H453" s="51"/>
      <c r="I453" s="17">
        <f t="shared" si="8"/>
        <v>0</v>
      </c>
      <c r="J453" s="56"/>
      <c r="K453" s="300">
        <v>8.3000000000000007</v>
      </c>
    </row>
    <row r="454" spans="1:11" ht="102.75" customHeight="1">
      <c r="A454" s="141" t="s">
        <v>256</v>
      </c>
      <c r="B454" s="53" t="s">
        <v>982</v>
      </c>
      <c r="C454" s="13"/>
      <c r="D454" s="14"/>
      <c r="E454" s="14"/>
      <c r="F454" s="14"/>
      <c r="G454" s="17">
        <f>' MARZO-18-1'!I445</f>
        <v>0</v>
      </c>
      <c r="H454" s="51"/>
      <c r="I454" s="17"/>
      <c r="J454" s="56"/>
      <c r="K454" s="56"/>
    </row>
    <row r="455" spans="1:11" ht="29.25">
      <c r="A455" s="11">
        <v>51202</v>
      </c>
      <c r="B455" s="53" t="s">
        <v>605</v>
      </c>
      <c r="C455" s="13"/>
      <c r="D455" s="14" t="s">
        <v>18</v>
      </c>
      <c r="E455" s="14" t="s">
        <v>28</v>
      </c>
      <c r="F455" s="14" t="s">
        <v>27</v>
      </c>
      <c r="G455" s="17">
        <f>' MARZO-18-1'!I446</f>
        <v>1628.8999999999996</v>
      </c>
      <c r="H455" s="51"/>
      <c r="I455" s="17">
        <f t="shared" si="8"/>
        <v>1628.8999999999996</v>
      </c>
      <c r="J455" s="237"/>
      <c r="K455" s="237"/>
    </row>
    <row r="456" spans="1:11" ht="29.25">
      <c r="A456" s="11">
        <v>54110</v>
      </c>
      <c r="B456" s="53" t="s">
        <v>606</v>
      </c>
      <c r="C456" s="13"/>
      <c r="D456" s="14" t="s">
        <v>18</v>
      </c>
      <c r="E456" s="14" t="s">
        <v>28</v>
      </c>
      <c r="F456" s="14" t="s">
        <v>27</v>
      </c>
      <c r="G456" s="17">
        <f>' MARZO-18-1'!I447</f>
        <v>236.42</v>
      </c>
      <c r="H456" s="51"/>
      <c r="I456" s="17">
        <f t="shared" si="8"/>
        <v>236.42</v>
      </c>
      <c r="J456" s="237"/>
      <c r="K456" s="237"/>
    </row>
    <row r="457" spans="1:11" ht="30">
      <c r="A457" s="11">
        <v>54111</v>
      </c>
      <c r="B457" s="53" t="s">
        <v>607</v>
      </c>
      <c r="C457" s="13"/>
      <c r="D457" s="14" t="s">
        <v>18</v>
      </c>
      <c r="E457" s="14" t="s">
        <v>28</v>
      </c>
      <c r="F457" s="14" t="s">
        <v>27</v>
      </c>
      <c r="G457" s="17">
        <f>' MARZO-18-1'!I448</f>
        <v>1166.0400000000009</v>
      </c>
      <c r="H457" s="212"/>
      <c r="I457" s="17">
        <f t="shared" si="8"/>
        <v>1166.0400000000009</v>
      </c>
      <c r="J457" s="253"/>
      <c r="K457" s="237"/>
    </row>
    <row r="458" spans="1:11" ht="29.25">
      <c r="A458" s="11">
        <v>54112</v>
      </c>
      <c r="B458" s="53" t="s">
        <v>608</v>
      </c>
      <c r="C458" s="13"/>
      <c r="D458" s="14" t="s">
        <v>18</v>
      </c>
      <c r="E458" s="14" t="s">
        <v>28</v>
      </c>
      <c r="F458" s="14" t="s">
        <v>27</v>
      </c>
      <c r="G458" s="17">
        <f>' MARZO-18-1'!I449</f>
        <v>0</v>
      </c>
      <c r="H458" s="51"/>
      <c r="I458" s="17">
        <f t="shared" si="8"/>
        <v>0</v>
      </c>
      <c r="J458" s="237"/>
      <c r="K458" s="253"/>
    </row>
    <row r="459" spans="1:11" ht="29.25">
      <c r="A459" s="11">
        <v>54118</v>
      </c>
      <c r="B459" s="53" t="s">
        <v>609</v>
      </c>
      <c r="C459" s="13"/>
      <c r="D459" s="14" t="s">
        <v>18</v>
      </c>
      <c r="E459" s="14" t="s">
        <v>28</v>
      </c>
      <c r="F459" s="14" t="s">
        <v>27</v>
      </c>
      <c r="G459" s="17">
        <f>' MARZO-18-1'!I450</f>
        <v>0</v>
      </c>
      <c r="H459" s="51"/>
      <c r="I459" s="17">
        <f t="shared" si="8"/>
        <v>0</v>
      </c>
      <c r="J459" s="237"/>
      <c r="K459" s="237"/>
    </row>
    <row r="460" spans="1:11" ht="29.25">
      <c r="A460" s="11">
        <v>54304</v>
      </c>
      <c r="B460" s="53" t="s">
        <v>610</v>
      </c>
      <c r="C460" s="13"/>
      <c r="D460" s="14" t="s">
        <v>18</v>
      </c>
      <c r="E460" s="14" t="s">
        <v>28</v>
      </c>
      <c r="F460" s="14" t="s">
        <v>27</v>
      </c>
      <c r="G460" s="17">
        <f>' MARZO-18-1'!I451</f>
        <v>200</v>
      </c>
      <c r="H460" s="51"/>
      <c r="I460" s="17">
        <f t="shared" si="8"/>
        <v>200</v>
      </c>
      <c r="J460" s="56"/>
      <c r="K460" s="56"/>
    </row>
    <row r="461" spans="1:11" ht="29.25">
      <c r="A461" s="11">
        <v>54313</v>
      </c>
      <c r="B461" s="53" t="s">
        <v>611</v>
      </c>
      <c r="C461" s="13"/>
      <c r="D461" s="14" t="s">
        <v>18</v>
      </c>
      <c r="E461" s="14" t="s">
        <v>28</v>
      </c>
      <c r="F461" s="14" t="s">
        <v>27</v>
      </c>
      <c r="G461" s="17">
        <f>' MARZO-18-1'!I452</f>
        <v>110</v>
      </c>
      <c r="H461" s="51"/>
      <c r="I461" s="17">
        <f t="shared" si="8"/>
        <v>110</v>
      </c>
      <c r="J461" s="56"/>
      <c r="K461" s="56"/>
    </row>
    <row r="462" spans="1:11" ht="105">
      <c r="A462" s="141" t="s">
        <v>264</v>
      </c>
      <c r="B462" s="53" t="s">
        <v>981</v>
      </c>
      <c r="C462" s="13"/>
      <c r="D462" s="14"/>
      <c r="E462" s="14"/>
      <c r="F462" s="14"/>
      <c r="G462" s="17">
        <f>' MARZO-18-1'!I453</f>
        <v>0</v>
      </c>
      <c r="H462" s="51"/>
      <c r="I462" s="17"/>
      <c r="J462" s="56"/>
      <c r="K462" s="56"/>
    </row>
    <row r="463" spans="1:11" ht="29.25">
      <c r="A463" s="11">
        <v>51202</v>
      </c>
      <c r="B463" s="53" t="s">
        <v>613</v>
      </c>
      <c r="C463" s="13"/>
      <c r="D463" s="14" t="s">
        <v>18</v>
      </c>
      <c r="E463" s="14" t="s">
        <v>28</v>
      </c>
      <c r="F463" s="14" t="s">
        <v>27</v>
      </c>
      <c r="G463" s="17">
        <f>' MARZO-18-1'!I454</f>
        <v>746.66</v>
      </c>
      <c r="H463" s="51"/>
      <c r="I463" s="17">
        <f t="shared" si="8"/>
        <v>746.66</v>
      </c>
      <c r="J463" s="56"/>
      <c r="K463" s="56"/>
    </row>
    <row r="464" spans="1:11" ht="29.25">
      <c r="A464" s="11">
        <v>54110</v>
      </c>
      <c r="B464" s="53" t="s">
        <v>614</v>
      </c>
      <c r="C464" s="13"/>
      <c r="D464" s="14" t="s">
        <v>18</v>
      </c>
      <c r="E464" s="14" t="s">
        <v>28</v>
      </c>
      <c r="F464" s="14" t="s">
        <v>27</v>
      </c>
      <c r="G464" s="17">
        <f>' MARZO-18-1'!I455</f>
        <v>26.909999999999997</v>
      </c>
      <c r="H464" s="51"/>
      <c r="I464" s="17">
        <f t="shared" si="8"/>
        <v>26.909999999999997</v>
      </c>
      <c r="J464" s="56"/>
      <c r="K464" s="127"/>
    </row>
    <row r="465" spans="1:11" ht="43.5">
      <c r="A465" s="11">
        <v>54111</v>
      </c>
      <c r="B465" s="53" t="s">
        <v>615</v>
      </c>
      <c r="C465" s="13"/>
      <c r="D465" s="14" t="s">
        <v>18</v>
      </c>
      <c r="E465" s="14" t="s">
        <v>28</v>
      </c>
      <c r="F465" s="14" t="s">
        <v>27</v>
      </c>
      <c r="G465" s="17">
        <f>' MARZO-18-1'!I456</f>
        <v>682.25</v>
      </c>
      <c r="H465" s="51"/>
      <c r="I465" s="17">
        <f t="shared" si="8"/>
        <v>682.25</v>
      </c>
      <c r="J465" s="239"/>
      <c r="K465" s="237"/>
    </row>
    <row r="466" spans="1:11" ht="43.5">
      <c r="A466" s="11">
        <v>54112</v>
      </c>
      <c r="B466" s="53" t="s">
        <v>616</v>
      </c>
      <c r="C466" s="13"/>
      <c r="D466" s="14" t="s">
        <v>18</v>
      </c>
      <c r="E466" s="14" t="s">
        <v>28</v>
      </c>
      <c r="F466" s="14" t="s">
        <v>27</v>
      </c>
      <c r="G466" s="17">
        <f>' MARZO-18-1'!I457</f>
        <v>0</v>
      </c>
      <c r="H466" s="51"/>
      <c r="I466" s="17">
        <f t="shared" si="8"/>
        <v>0</v>
      </c>
      <c r="J466" s="56"/>
      <c r="K466" s="127"/>
    </row>
    <row r="467" spans="1:11" ht="43.5">
      <c r="A467" s="11">
        <v>54118</v>
      </c>
      <c r="B467" s="53" t="s">
        <v>617</v>
      </c>
      <c r="C467" s="13"/>
      <c r="D467" s="14" t="s">
        <v>18</v>
      </c>
      <c r="E467" s="14" t="s">
        <v>28</v>
      </c>
      <c r="F467" s="14" t="s">
        <v>27</v>
      </c>
      <c r="G467" s="17">
        <f>' MARZO-18-1'!I458</f>
        <v>0.62999999999999901</v>
      </c>
      <c r="H467" s="51"/>
      <c r="I467" s="17">
        <f t="shared" si="8"/>
        <v>0.62999999999999901</v>
      </c>
      <c r="J467" s="56"/>
      <c r="K467" s="137"/>
    </row>
    <row r="468" spans="1:11" ht="43.5">
      <c r="A468" s="11">
        <v>54304</v>
      </c>
      <c r="B468" s="53" t="s">
        <v>618</v>
      </c>
      <c r="C468" s="13"/>
      <c r="D468" s="14" t="s">
        <v>18</v>
      </c>
      <c r="E468" s="14" t="s">
        <v>28</v>
      </c>
      <c r="F468" s="14" t="s">
        <v>27</v>
      </c>
      <c r="G468" s="17">
        <f>' MARZO-18-1'!I459</f>
        <v>0</v>
      </c>
      <c r="H468" s="51"/>
      <c r="I468" s="17">
        <f t="shared" si="8"/>
        <v>0</v>
      </c>
      <c r="J468" s="56"/>
      <c r="K468" s="142"/>
    </row>
    <row r="469" spans="1:11" ht="43.5">
      <c r="A469" s="11">
        <v>54313</v>
      </c>
      <c r="B469" s="53" t="s">
        <v>619</v>
      </c>
      <c r="C469" s="13"/>
      <c r="D469" s="14" t="s">
        <v>18</v>
      </c>
      <c r="E469" s="14" t="s">
        <v>28</v>
      </c>
      <c r="F469" s="14" t="s">
        <v>27</v>
      </c>
      <c r="G469" s="17">
        <f>' MARZO-18-1'!I460</f>
        <v>0</v>
      </c>
      <c r="H469" s="51"/>
      <c r="I469" s="17">
        <f t="shared" si="8"/>
        <v>0</v>
      </c>
      <c r="J469" s="237"/>
      <c r="K469" s="137"/>
    </row>
    <row r="470" spans="1:11" ht="105">
      <c r="A470" s="144" t="s">
        <v>269</v>
      </c>
      <c r="B470" s="53" t="s">
        <v>983</v>
      </c>
      <c r="C470" s="13"/>
      <c r="D470" s="14"/>
      <c r="E470" s="14"/>
      <c r="F470" s="14"/>
      <c r="G470" s="17">
        <f>' MARZO-18-1'!I461</f>
        <v>0</v>
      </c>
      <c r="H470" s="51"/>
      <c r="I470" s="17"/>
      <c r="J470" s="56"/>
      <c r="K470" s="56"/>
    </row>
    <row r="471" spans="1:11" ht="29.25">
      <c r="A471" s="11">
        <v>51202</v>
      </c>
      <c r="B471" s="54" t="s">
        <v>620</v>
      </c>
      <c r="C471" s="13"/>
      <c r="D471" s="14" t="s">
        <v>18</v>
      </c>
      <c r="E471" s="14" t="s">
        <v>28</v>
      </c>
      <c r="F471" s="14" t="s">
        <v>27</v>
      </c>
      <c r="G471" s="17">
        <f>' MARZO-18-1'!I462</f>
        <v>6000</v>
      </c>
      <c r="H471" s="51"/>
      <c r="I471" s="17">
        <f t="shared" si="8"/>
        <v>6000</v>
      </c>
      <c r="J471" s="56"/>
      <c r="K471" s="56"/>
    </row>
    <row r="472" spans="1:11" ht="35.25" customHeight="1">
      <c r="A472" s="11">
        <v>54110</v>
      </c>
      <c r="B472" s="54" t="s">
        <v>622</v>
      </c>
      <c r="C472" s="13"/>
      <c r="D472" s="14" t="s">
        <v>18</v>
      </c>
      <c r="E472" s="14" t="s">
        <v>28</v>
      </c>
      <c r="F472" s="14" t="s">
        <v>27</v>
      </c>
      <c r="G472" s="17">
        <f>' MARZO-18-1'!I463</f>
        <v>300</v>
      </c>
      <c r="H472" s="51"/>
      <c r="I472" s="17">
        <f t="shared" si="8"/>
        <v>300</v>
      </c>
      <c r="J472" s="56"/>
      <c r="K472" s="56"/>
    </row>
    <row r="473" spans="1:11" ht="43.5">
      <c r="A473" s="11">
        <v>54111</v>
      </c>
      <c r="B473" s="54" t="s">
        <v>621</v>
      </c>
      <c r="C473" s="13"/>
      <c r="D473" s="14" t="s">
        <v>18</v>
      </c>
      <c r="E473" s="14" t="s">
        <v>28</v>
      </c>
      <c r="F473" s="14" t="s">
        <v>27</v>
      </c>
      <c r="G473" s="17">
        <f>' MARZO-18-1'!I464</f>
        <v>10000</v>
      </c>
      <c r="H473" s="51"/>
      <c r="I473" s="17">
        <f t="shared" si="8"/>
        <v>10000</v>
      </c>
      <c r="J473" s="56"/>
      <c r="K473" s="56"/>
    </row>
    <row r="474" spans="1:11" ht="43.5">
      <c r="A474" s="11">
        <v>54112</v>
      </c>
      <c r="B474" s="54" t="s">
        <v>623</v>
      </c>
      <c r="C474" s="13"/>
      <c r="D474" s="14" t="s">
        <v>18</v>
      </c>
      <c r="E474" s="14" t="s">
        <v>28</v>
      </c>
      <c r="F474" s="14" t="s">
        <v>27</v>
      </c>
      <c r="G474" s="17">
        <f>' MARZO-18-1'!I465</f>
        <v>2695.87</v>
      </c>
      <c r="H474" s="51"/>
      <c r="I474" s="17">
        <f t="shared" si="8"/>
        <v>2695.87</v>
      </c>
      <c r="J474" s="56"/>
      <c r="K474" s="56"/>
    </row>
    <row r="475" spans="1:11" ht="43.5">
      <c r="A475" s="11">
        <v>54118</v>
      </c>
      <c r="B475" s="54" t="s">
        <v>624</v>
      </c>
      <c r="C475" s="13"/>
      <c r="D475" s="14" t="s">
        <v>18</v>
      </c>
      <c r="E475" s="14" t="s">
        <v>28</v>
      </c>
      <c r="F475" s="14" t="s">
        <v>27</v>
      </c>
      <c r="G475" s="17">
        <f>' MARZO-18-1'!I466</f>
        <v>200</v>
      </c>
      <c r="H475" s="51"/>
      <c r="I475" s="17">
        <f t="shared" si="8"/>
        <v>200</v>
      </c>
      <c r="J475" s="56"/>
      <c r="K475" s="56"/>
    </row>
    <row r="476" spans="1:11" ht="43.5">
      <c r="A476" s="11">
        <v>54304</v>
      </c>
      <c r="B476" s="54" t="s">
        <v>625</v>
      </c>
      <c r="C476" s="13"/>
      <c r="D476" s="14" t="s">
        <v>18</v>
      </c>
      <c r="E476" s="14" t="s">
        <v>28</v>
      </c>
      <c r="F476" s="14" t="s">
        <v>27</v>
      </c>
      <c r="G476" s="17">
        <f>' MARZO-18-1'!I467</f>
        <v>500</v>
      </c>
      <c r="H476" s="51"/>
      <c r="I476" s="17">
        <f t="shared" si="8"/>
        <v>500</v>
      </c>
      <c r="J476" s="56"/>
      <c r="K476" s="56"/>
    </row>
    <row r="477" spans="1:11" ht="43.5">
      <c r="A477" s="11">
        <v>54313</v>
      </c>
      <c r="B477" s="54" t="s">
        <v>626</v>
      </c>
      <c r="C477" s="13"/>
      <c r="D477" s="14" t="s">
        <v>18</v>
      </c>
      <c r="E477" s="14" t="s">
        <v>28</v>
      </c>
      <c r="F477" s="14" t="s">
        <v>27</v>
      </c>
      <c r="G477" s="17">
        <f>' MARZO-18-1'!I468</f>
        <v>300</v>
      </c>
      <c r="H477" s="51"/>
      <c r="I477" s="17">
        <f t="shared" si="8"/>
        <v>300</v>
      </c>
      <c r="J477" s="56"/>
      <c r="K477" s="56"/>
    </row>
    <row r="478" spans="1:11" ht="105">
      <c r="A478" s="144" t="s">
        <v>289</v>
      </c>
      <c r="B478" s="53" t="s">
        <v>984</v>
      </c>
      <c r="C478" s="13"/>
      <c r="D478" s="14"/>
      <c r="E478" s="14"/>
      <c r="F478" s="14"/>
      <c r="G478" s="17">
        <f>' MARZO-18-1'!I469</f>
        <v>0</v>
      </c>
      <c r="H478" s="51"/>
      <c r="I478" s="17"/>
      <c r="J478" s="56"/>
      <c r="K478" s="56"/>
    </row>
    <row r="479" spans="1:11" ht="29.25">
      <c r="A479" s="11">
        <v>51202</v>
      </c>
      <c r="B479" s="53" t="s">
        <v>628</v>
      </c>
      <c r="C479" s="13"/>
      <c r="D479" s="14" t="s">
        <v>18</v>
      </c>
      <c r="E479" s="14" t="s">
        <v>28</v>
      </c>
      <c r="F479" s="14" t="s">
        <v>27</v>
      </c>
      <c r="G479" s="17">
        <f>' MARZO-18-1'!I470</f>
        <v>0</v>
      </c>
      <c r="H479" s="108"/>
      <c r="I479" s="17">
        <f t="shared" si="8"/>
        <v>0</v>
      </c>
      <c r="J479" s="56"/>
      <c r="K479" s="142"/>
    </row>
    <row r="480" spans="1:11" ht="29.25">
      <c r="A480" s="11">
        <v>54110</v>
      </c>
      <c r="B480" s="53" t="s">
        <v>629</v>
      </c>
      <c r="C480" s="13"/>
      <c r="D480" s="14" t="s">
        <v>18</v>
      </c>
      <c r="E480" s="14" t="s">
        <v>28</v>
      </c>
      <c r="F480" s="14" t="s">
        <v>27</v>
      </c>
      <c r="G480" s="17">
        <f>' MARZO-18-1'!I471</f>
        <v>0</v>
      </c>
      <c r="H480" s="51"/>
      <c r="I480" s="17">
        <f t="shared" si="8"/>
        <v>0</v>
      </c>
      <c r="J480" s="56"/>
      <c r="K480" s="142"/>
    </row>
    <row r="481" spans="1:11" ht="29.25">
      <c r="A481" s="11">
        <v>54111</v>
      </c>
      <c r="B481" s="53" t="s">
        <v>630</v>
      </c>
      <c r="C481" s="13"/>
      <c r="D481" s="14" t="s">
        <v>18</v>
      </c>
      <c r="E481" s="14" t="s">
        <v>28</v>
      </c>
      <c r="F481" s="14" t="s">
        <v>27</v>
      </c>
      <c r="G481" s="17">
        <f>' MARZO-18-1'!I472</f>
        <v>172.5</v>
      </c>
      <c r="H481" s="51"/>
      <c r="I481" s="17">
        <f t="shared" ref="I481:I544" si="9">G481-H481+J481-K481</f>
        <v>0</v>
      </c>
      <c r="J481" s="142"/>
      <c r="K481" s="142">
        <v>172.5</v>
      </c>
    </row>
    <row r="482" spans="1:11" ht="29.25">
      <c r="A482" s="11">
        <v>54112</v>
      </c>
      <c r="B482" s="53" t="s">
        <v>631</v>
      </c>
      <c r="C482" s="13"/>
      <c r="D482" s="14" t="s">
        <v>18</v>
      </c>
      <c r="E482" s="14" t="s">
        <v>28</v>
      </c>
      <c r="F482" s="14" t="s">
        <v>27</v>
      </c>
      <c r="G482" s="17">
        <f>' MARZO-18-1'!I473</f>
        <v>0</v>
      </c>
      <c r="H482" s="51"/>
      <c r="I482" s="17">
        <f t="shared" si="9"/>
        <v>0</v>
      </c>
      <c r="J482" s="56"/>
      <c r="K482" s="142"/>
    </row>
    <row r="483" spans="1:11" ht="29.25">
      <c r="A483" s="11">
        <v>54118</v>
      </c>
      <c r="B483" s="53" t="s">
        <v>632</v>
      </c>
      <c r="C483" s="13"/>
      <c r="D483" s="14" t="s">
        <v>18</v>
      </c>
      <c r="E483" s="14" t="s">
        <v>28</v>
      </c>
      <c r="F483" s="14" t="s">
        <v>27</v>
      </c>
      <c r="G483" s="17">
        <f>' MARZO-18-1'!I474</f>
        <v>0</v>
      </c>
      <c r="H483" s="51"/>
      <c r="I483" s="17">
        <f t="shared" si="9"/>
        <v>0</v>
      </c>
      <c r="J483" s="56"/>
      <c r="K483" s="137"/>
    </row>
    <row r="484" spans="1:11" ht="29.25">
      <c r="A484" s="11">
        <v>54304</v>
      </c>
      <c r="B484" s="53" t="s">
        <v>633</v>
      </c>
      <c r="C484" s="13"/>
      <c r="D484" s="14" t="s">
        <v>18</v>
      </c>
      <c r="E484" s="14" t="s">
        <v>28</v>
      </c>
      <c r="F484" s="14" t="s">
        <v>27</v>
      </c>
      <c r="G484" s="17">
        <f>' MARZO-18-1'!I475</f>
        <v>0</v>
      </c>
      <c r="H484" s="51"/>
      <c r="I484" s="17">
        <f t="shared" si="9"/>
        <v>0</v>
      </c>
      <c r="J484" s="56"/>
      <c r="K484" s="137"/>
    </row>
    <row r="485" spans="1:11" ht="29.25">
      <c r="A485" s="11">
        <v>54313</v>
      </c>
      <c r="B485" s="53" t="s">
        <v>634</v>
      </c>
      <c r="C485" s="13"/>
      <c r="D485" s="14" t="s">
        <v>18</v>
      </c>
      <c r="E485" s="14" t="s">
        <v>28</v>
      </c>
      <c r="F485" s="14" t="s">
        <v>27</v>
      </c>
      <c r="G485" s="17">
        <f>' MARZO-18-1'!I476</f>
        <v>10</v>
      </c>
      <c r="H485" s="51"/>
      <c r="I485" s="17">
        <f t="shared" si="9"/>
        <v>0</v>
      </c>
      <c r="J485" s="56"/>
      <c r="K485" s="142">
        <v>10</v>
      </c>
    </row>
    <row r="486" spans="1:11" ht="90">
      <c r="A486" s="141" t="s">
        <v>300</v>
      </c>
      <c r="B486" s="53" t="s">
        <v>635</v>
      </c>
      <c r="C486" s="13"/>
      <c r="D486" s="14"/>
      <c r="E486" s="14"/>
      <c r="F486" s="14"/>
      <c r="G486" s="17"/>
      <c r="H486" s="51"/>
      <c r="I486" s="17"/>
      <c r="J486" s="56"/>
      <c r="K486" s="56"/>
    </row>
    <row r="487" spans="1:11" ht="29.25">
      <c r="A487" s="11">
        <v>51202</v>
      </c>
      <c r="B487" s="53" t="s">
        <v>636</v>
      </c>
      <c r="C487" s="13"/>
      <c r="D487" s="14" t="s">
        <v>18</v>
      </c>
      <c r="E487" s="14" t="s">
        <v>28</v>
      </c>
      <c r="F487" s="14" t="s">
        <v>27</v>
      </c>
      <c r="G487" s="17">
        <f>' MARZO-18-1'!I478</f>
        <v>0</v>
      </c>
      <c r="H487" s="51"/>
      <c r="I487" s="17">
        <f t="shared" si="9"/>
        <v>0</v>
      </c>
      <c r="J487" s="56"/>
      <c r="K487" s="142"/>
    </row>
    <row r="488" spans="1:11" ht="29.25">
      <c r="A488" s="11">
        <v>54110</v>
      </c>
      <c r="B488" s="53" t="s">
        <v>637</v>
      </c>
      <c r="C488" s="13"/>
      <c r="D488" s="14" t="s">
        <v>18</v>
      </c>
      <c r="E488" s="14" t="s">
        <v>28</v>
      </c>
      <c r="F488" s="14" t="s">
        <v>27</v>
      </c>
      <c r="G488" s="17">
        <f>' MARZO-18-1'!I479</f>
        <v>0</v>
      </c>
      <c r="H488" s="51"/>
      <c r="I488" s="17">
        <f t="shared" si="9"/>
        <v>0</v>
      </c>
      <c r="J488" s="56"/>
      <c r="K488" s="142"/>
    </row>
    <row r="489" spans="1:11" ht="29.25">
      <c r="A489" s="11">
        <v>54111</v>
      </c>
      <c r="B489" s="53" t="s">
        <v>638</v>
      </c>
      <c r="C489" s="13"/>
      <c r="D489" s="14" t="s">
        <v>18</v>
      </c>
      <c r="E489" s="14" t="s">
        <v>28</v>
      </c>
      <c r="F489" s="14" t="s">
        <v>27</v>
      </c>
      <c r="G489" s="17">
        <f>' MARZO-18-1'!I480</f>
        <v>1.8207657603852567E-13</v>
      </c>
      <c r="H489" s="211"/>
      <c r="I489" s="17">
        <f t="shared" si="9"/>
        <v>1.8207657603852567E-13</v>
      </c>
      <c r="J489" s="142"/>
      <c r="K489" s="137"/>
    </row>
    <row r="490" spans="1:11" ht="29.25">
      <c r="A490" s="11">
        <v>54304</v>
      </c>
      <c r="B490" s="53" t="s">
        <v>639</v>
      </c>
      <c r="C490" s="55"/>
      <c r="D490" s="14" t="s">
        <v>18</v>
      </c>
      <c r="E490" s="14" t="s">
        <v>28</v>
      </c>
      <c r="F490" s="14" t="s">
        <v>27</v>
      </c>
      <c r="G490" s="17">
        <f>' MARZO-18-1'!I481</f>
        <v>0</v>
      </c>
      <c r="H490" s="51"/>
      <c r="I490" s="17">
        <f t="shared" si="9"/>
        <v>0</v>
      </c>
      <c r="J490" s="56"/>
      <c r="K490" s="142"/>
    </row>
    <row r="491" spans="1:11" ht="38.25" customHeight="1">
      <c r="A491" s="11">
        <v>54313</v>
      </c>
      <c r="B491" s="53" t="s">
        <v>640</v>
      </c>
      <c r="C491" s="60"/>
      <c r="D491" s="14" t="s">
        <v>18</v>
      </c>
      <c r="E491" s="14" t="s">
        <v>28</v>
      </c>
      <c r="F491" s="14" t="s">
        <v>27</v>
      </c>
      <c r="G491" s="17">
        <f>' MARZO-18-1'!I482</f>
        <v>0</v>
      </c>
      <c r="H491" s="51"/>
      <c r="I491" s="17">
        <f t="shared" si="9"/>
        <v>0</v>
      </c>
      <c r="J491" s="56"/>
      <c r="K491" s="142"/>
    </row>
    <row r="492" spans="1:11" ht="91.5" customHeight="1">
      <c r="A492" s="141" t="s">
        <v>316</v>
      </c>
      <c r="B492" s="53" t="s">
        <v>641</v>
      </c>
      <c r="C492" s="60" t="s">
        <v>1013</v>
      </c>
      <c r="D492" s="14"/>
      <c r="E492" s="14"/>
      <c r="F492" s="14"/>
      <c r="G492" s="17">
        <f>' MARZO-18-1'!I483</f>
        <v>0</v>
      </c>
      <c r="H492" s="51"/>
      <c r="I492" s="17"/>
      <c r="J492" s="56"/>
      <c r="K492" s="56"/>
    </row>
    <row r="493" spans="1:11" ht="38.25" customHeight="1">
      <c r="A493" s="11">
        <v>51202</v>
      </c>
      <c r="B493" s="53" t="s">
        <v>642</v>
      </c>
      <c r="C493" s="60"/>
      <c r="D493" s="14" t="s">
        <v>18</v>
      </c>
      <c r="E493" s="14" t="s">
        <v>28</v>
      </c>
      <c r="F493" s="14" t="s">
        <v>27</v>
      </c>
      <c r="G493" s="17">
        <f>' MARZO-18-1'!I484</f>
        <v>7.2830630415410269E-14</v>
      </c>
      <c r="H493" s="51"/>
      <c r="I493" s="17">
        <f t="shared" si="9"/>
        <v>7.2830630415410269E-14</v>
      </c>
      <c r="J493" s="56"/>
      <c r="K493" s="142"/>
    </row>
    <row r="494" spans="1:11" ht="38.25" customHeight="1">
      <c r="A494" s="11">
        <v>54110</v>
      </c>
      <c r="B494" s="53" t="s">
        <v>643</v>
      </c>
      <c r="C494" s="60"/>
      <c r="D494" s="14" t="s">
        <v>18</v>
      </c>
      <c r="E494" s="14" t="s">
        <v>28</v>
      </c>
      <c r="F494" s="14" t="s">
        <v>27</v>
      </c>
      <c r="G494" s="17">
        <f>' MARZO-18-1'!I485</f>
        <v>0</v>
      </c>
      <c r="H494" s="51"/>
      <c r="I494" s="17">
        <f t="shared" si="9"/>
        <v>0</v>
      </c>
      <c r="J494" s="56"/>
      <c r="K494" s="142"/>
    </row>
    <row r="495" spans="1:11" ht="38.25" customHeight="1">
      <c r="A495" s="11">
        <v>54111</v>
      </c>
      <c r="B495" s="53" t="s">
        <v>644</v>
      </c>
      <c r="C495" s="60"/>
      <c r="D495" s="14" t="s">
        <v>18</v>
      </c>
      <c r="E495" s="14" t="s">
        <v>28</v>
      </c>
      <c r="F495" s="14" t="s">
        <v>27</v>
      </c>
      <c r="G495" s="17">
        <f>' MARZO-18-1'!I486</f>
        <v>2.2737367544323206E-13</v>
      </c>
      <c r="H495" s="51"/>
      <c r="I495" s="17">
        <f t="shared" si="9"/>
        <v>2.2737367544323206E-13</v>
      </c>
      <c r="J495" s="137"/>
      <c r="K495" s="142"/>
    </row>
    <row r="496" spans="1:11" ht="38.25" customHeight="1">
      <c r="A496" s="11">
        <v>54304</v>
      </c>
      <c r="B496" s="53" t="s">
        <v>645</v>
      </c>
      <c r="C496" s="60"/>
      <c r="D496" s="14" t="s">
        <v>18</v>
      </c>
      <c r="E496" s="14" t="s">
        <v>28</v>
      </c>
      <c r="F496" s="14" t="s">
        <v>27</v>
      </c>
      <c r="G496" s="17">
        <f>' MARZO-18-1'!I487</f>
        <v>0</v>
      </c>
      <c r="H496" s="51"/>
      <c r="I496" s="17">
        <f t="shared" si="9"/>
        <v>0</v>
      </c>
      <c r="J496" s="56"/>
      <c r="K496" s="142"/>
    </row>
    <row r="497" spans="1:11" ht="38.25" customHeight="1">
      <c r="A497" s="11">
        <v>54313</v>
      </c>
      <c r="B497" s="53" t="s">
        <v>646</v>
      </c>
      <c r="C497" s="60"/>
      <c r="D497" s="14" t="s">
        <v>18</v>
      </c>
      <c r="E497" s="14" t="s">
        <v>28</v>
      </c>
      <c r="F497" s="14" t="s">
        <v>27</v>
      </c>
      <c r="G497" s="17">
        <f>' MARZO-18-1'!I488</f>
        <v>300</v>
      </c>
      <c r="H497" s="51"/>
      <c r="I497" s="17">
        <f t="shared" si="9"/>
        <v>0</v>
      </c>
      <c r="J497" s="56"/>
      <c r="K497" s="142">
        <f>300</f>
        <v>300</v>
      </c>
    </row>
    <row r="498" spans="1:11" ht="93.75" customHeight="1">
      <c r="A498" s="240" t="s">
        <v>326</v>
      </c>
      <c r="B498" s="53" t="s">
        <v>647</v>
      </c>
      <c r="C498" s="60" t="s">
        <v>162</v>
      </c>
      <c r="D498" s="14"/>
      <c r="E498" s="14"/>
      <c r="F498" s="14"/>
      <c r="G498" s="17">
        <f>' MARZO-18-1'!I489</f>
        <v>0</v>
      </c>
      <c r="H498" s="51"/>
      <c r="I498" s="17"/>
      <c r="J498" s="56"/>
      <c r="K498" s="56"/>
    </row>
    <row r="499" spans="1:11" ht="38.25" customHeight="1">
      <c r="A499" s="11">
        <v>51202</v>
      </c>
      <c r="B499" s="53" t="s">
        <v>648</v>
      </c>
      <c r="C499" s="60" t="s">
        <v>162</v>
      </c>
      <c r="D499" s="14" t="s">
        <v>18</v>
      </c>
      <c r="E499" s="14" t="s">
        <v>28</v>
      </c>
      <c r="F499" s="14" t="s">
        <v>27</v>
      </c>
      <c r="G499" s="17">
        <f>' MARZO-18-1'!I490</f>
        <v>5833.3599999999988</v>
      </c>
      <c r="H499" s="51">
        <f>(124.44+186.67+124.44+186.67+186.67+233.33+166.67+133.33+133.33+88.89+88.89+88.89+88.89)</f>
        <v>1831.1100000000004</v>
      </c>
      <c r="I499" s="17">
        <f t="shared" si="9"/>
        <v>0</v>
      </c>
      <c r="J499" s="301">
        <f>788.89</f>
        <v>788.89</v>
      </c>
      <c r="K499" s="237">
        <v>4791.1400000000003</v>
      </c>
    </row>
    <row r="500" spans="1:11" ht="38.25" customHeight="1">
      <c r="A500" s="11">
        <v>54110</v>
      </c>
      <c r="B500" s="53" t="s">
        <v>649</v>
      </c>
      <c r="C500" s="60"/>
      <c r="D500" s="14" t="s">
        <v>18</v>
      </c>
      <c r="E500" s="14" t="s">
        <v>28</v>
      </c>
      <c r="F500" s="14" t="s">
        <v>27</v>
      </c>
      <c r="G500" s="17">
        <f>' MARZO-18-1'!I491</f>
        <v>269.2</v>
      </c>
      <c r="H500" s="51"/>
      <c r="I500" s="17">
        <f t="shared" si="9"/>
        <v>0</v>
      </c>
      <c r="J500" s="237"/>
      <c r="K500" s="237">
        <v>269.2</v>
      </c>
    </row>
    <row r="501" spans="1:11" ht="38.25" customHeight="1">
      <c r="A501" s="11">
        <v>54111</v>
      </c>
      <c r="B501" s="53" t="s">
        <v>650</v>
      </c>
      <c r="C501" s="60" t="s">
        <v>162</v>
      </c>
      <c r="D501" s="14" t="s">
        <v>18</v>
      </c>
      <c r="E501" s="14" t="s">
        <v>28</v>
      </c>
      <c r="F501" s="14" t="s">
        <v>27</v>
      </c>
      <c r="G501" s="17">
        <f>' MARZO-18-1'!I492</f>
        <v>3523.25</v>
      </c>
      <c r="H501" s="51">
        <f>(240+7090+1995+5038.75+525)</f>
        <v>14888.75</v>
      </c>
      <c r="I501" s="18">
        <f t="shared" si="9"/>
        <v>0</v>
      </c>
      <c r="J501" s="237">
        <v>11365.5</v>
      </c>
      <c r="K501" s="237"/>
    </row>
    <row r="502" spans="1:11" ht="29.25">
      <c r="A502" s="11">
        <v>54112</v>
      </c>
      <c r="B502" s="53" t="s">
        <v>651</v>
      </c>
      <c r="C502" s="13"/>
      <c r="D502" s="14" t="s">
        <v>18</v>
      </c>
      <c r="E502" s="14" t="s">
        <v>28</v>
      </c>
      <c r="F502" s="14" t="s">
        <v>27</v>
      </c>
      <c r="G502" s="17">
        <f>' MARZO-18-1'!I493</f>
        <v>3000</v>
      </c>
      <c r="H502" s="51"/>
      <c r="I502" s="17">
        <f t="shared" si="9"/>
        <v>0</v>
      </c>
      <c r="J502" s="237"/>
      <c r="K502" s="237">
        <v>3000</v>
      </c>
    </row>
    <row r="503" spans="1:11" ht="29.25">
      <c r="A503" s="11">
        <v>54118</v>
      </c>
      <c r="B503" s="53" t="s">
        <v>652</v>
      </c>
      <c r="C503" s="13"/>
      <c r="D503" s="14" t="s">
        <v>18</v>
      </c>
      <c r="E503" s="14" t="s">
        <v>28</v>
      </c>
      <c r="F503" s="14" t="s">
        <v>27</v>
      </c>
      <c r="G503" s="17">
        <f>' MARZO-18-1'!I494</f>
        <v>1687.55</v>
      </c>
      <c r="H503" s="51"/>
      <c r="I503" s="17">
        <f t="shared" si="9"/>
        <v>0</v>
      </c>
      <c r="J503" s="237"/>
      <c r="K503" s="237">
        <v>1687.55</v>
      </c>
    </row>
    <row r="504" spans="1:11" ht="29.25">
      <c r="A504" s="11">
        <v>54304</v>
      </c>
      <c r="B504" s="53" t="s">
        <v>653</v>
      </c>
      <c r="C504" s="13"/>
      <c r="D504" s="14" t="s">
        <v>18</v>
      </c>
      <c r="E504" s="14" t="s">
        <v>28</v>
      </c>
      <c r="F504" s="14" t="s">
        <v>27</v>
      </c>
      <c r="G504" s="17">
        <f>' MARZO-18-1'!I495</f>
        <v>1395.87</v>
      </c>
      <c r="H504" s="51"/>
      <c r="I504" s="17">
        <f t="shared" si="9"/>
        <v>0</v>
      </c>
      <c r="J504" s="237"/>
      <c r="K504" s="237">
        <v>1395.87</v>
      </c>
    </row>
    <row r="505" spans="1:11" ht="29.25">
      <c r="A505" s="11">
        <v>54313</v>
      </c>
      <c r="B505" s="53" t="s">
        <v>654</v>
      </c>
      <c r="C505" s="13"/>
      <c r="D505" s="14" t="s">
        <v>18</v>
      </c>
      <c r="E505" s="14" t="s">
        <v>28</v>
      </c>
      <c r="F505" s="14" t="s">
        <v>27</v>
      </c>
      <c r="G505" s="17">
        <f>' MARZO-18-1'!I496</f>
        <v>300</v>
      </c>
      <c r="H505" s="51"/>
      <c r="I505" s="17">
        <f t="shared" si="9"/>
        <v>250</v>
      </c>
      <c r="J505" s="237"/>
      <c r="K505" s="237">
        <v>50</v>
      </c>
    </row>
    <row r="506" spans="1:11" ht="29.25">
      <c r="A506" s="11">
        <v>54399</v>
      </c>
      <c r="B506" s="53" t="s">
        <v>655</v>
      </c>
      <c r="C506" s="13"/>
      <c r="D506" s="14" t="s">
        <v>18</v>
      </c>
      <c r="E506" s="14" t="s">
        <v>28</v>
      </c>
      <c r="F506" s="14" t="s">
        <v>27</v>
      </c>
      <c r="G506" s="17">
        <f>' MARZO-18-1'!I497</f>
        <v>200</v>
      </c>
      <c r="H506" s="51"/>
      <c r="I506" s="17">
        <f t="shared" si="9"/>
        <v>0</v>
      </c>
      <c r="J506" s="237"/>
      <c r="K506" s="237">
        <f>200</f>
        <v>200</v>
      </c>
    </row>
    <row r="507" spans="1:11" ht="75">
      <c r="A507" s="141" t="s">
        <v>338</v>
      </c>
      <c r="B507" s="53" t="s">
        <v>656</v>
      </c>
      <c r="C507" s="13"/>
      <c r="D507" s="14"/>
      <c r="E507" s="14"/>
      <c r="F507" s="14"/>
      <c r="G507" s="17">
        <f>' MARZO-18-1'!I498</f>
        <v>0</v>
      </c>
      <c r="H507" s="51"/>
      <c r="I507" s="17"/>
      <c r="J507" s="56"/>
      <c r="K507" s="56"/>
    </row>
    <row r="508" spans="1:11" ht="29.25">
      <c r="A508" s="11">
        <v>51202</v>
      </c>
      <c r="B508" s="54" t="s">
        <v>657</v>
      </c>
      <c r="C508" s="13"/>
      <c r="D508" s="14" t="s">
        <v>18</v>
      </c>
      <c r="E508" s="14" t="s">
        <v>28</v>
      </c>
      <c r="F508" s="14" t="s">
        <v>27</v>
      </c>
      <c r="G508" s="17">
        <f>' MARZO-18-1'!I499</f>
        <v>0</v>
      </c>
      <c r="H508" s="51"/>
      <c r="I508" s="17">
        <f t="shared" si="9"/>
        <v>0</v>
      </c>
      <c r="J508" s="56"/>
      <c r="K508" s="137"/>
    </row>
    <row r="509" spans="1:11" ht="29.25">
      <c r="A509" s="11">
        <v>54110</v>
      </c>
      <c r="B509" s="54" t="s">
        <v>658</v>
      </c>
      <c r="C509" s="13"/>
      <c r="D509" s="14" t="s">
        <v>18</v>
      </c>
      <c r="E509" s="14" t="s">
        <v>28</v>
      </c>
      <c r="F509" s="14" t="s">
        <v>27</v>
      </c>
      <c r="G509" s="17">
        <f>' MARZO-18-1'!I500</f>
        <v>0</v>
      </c>
      <c r="H509" s="51"/>
      <c r="I509" s="17">
        <f t="shared" si="9"/>
        <v>0</v>
      </c>
      <c r="J509" s="56"/>
      <c r="K509" s="137"/>
    </row>
    <row r="510" spans="1:11" ht="44.25">
      <c r="A510" s="11">
        <v>54111</v>
      </c>
      <c r="B510" s="54" t="s">
        <v>659</v>
      </c>
      <c r="C510" s="13"/>
      <c r="D510" s="14" t="s">
        <v>18</v>
      </c>
      <c r="E510" s="14" t="s">
        <v>28</v>
      </c>
      <c r="F510" s="14" t="s">
        <v>27</v>
      </c>
      <c r="G510" s="17">
        <f>' MARZO-18-1'!I501</f>
        <v>0</v>
      </c>
      <c r="H510" s="51"/>
      <c r="I510" s="17">
        <f t="shared" si="9"/>
        <v>0</v>
      </c>
      <c r="J510" s="56"/>
      <c r="K510" s="137"/>
    </row>
    <row r="511" spans="1:11" ht="44.25">
      <c r="A511" s="11">
        <v>54112</v>
      </c>
      <c r="B511" s="54" t="s">
        <v>660</v>
      </c>
      <c r="C511" s="13"/>
      <c r="D511" s="14" t="s">
        <v>18</v>
      </c>
      <c r="E511" s="14" t="s">
        <v>28</v>
      </c>
      <c r="F511" s="14" t="s">
        <v>27</v>
      </c>
      <c r="G511" s="17">
        <f>' MARZO-18-1'!I502</f>
        <v>0</v>
      </c>
      <c r="H511" s="51"/>
      <c r="I511" s="17">
        <f t="shared" si="9"/>
        <v>0</v>
      </c>
      <c r="J511" s="56"/>
      <c r="K511" s="137"/>
    </row>
    <row r="512" spans="1:11" ht="44.25">
      <c r="A512" s="11">
        <v>54304</v>
      </c>
      <c r="B512" s="54" t="s">
        <v>661</v>
      </c>
      <c r="C512" s="13"/>
      <c r="D512" s="14" t="s">
        <v>18</v>
      </c>
      <c r="E512" s="14" t="s">
        <v>28</v>
      </c>
      <c r="F512" s="14" t="s">
        <v>27</v>
      </c>
      <c r="G512" s="17">
        <f>' MARZO-18-1'!I503</f>
        <v>0</v>
      </c>
      <c r="H512" s="51"/>
      <c r="I512" s="17">
        <f t="shared" si="9"/>
        <v>0</v>
      </c>
      <c r="J512" s="56"/>
      <c r="K512" s="137"/>
    </row>
    <row r="513" spans="1:11" ht="44.25">
      <c r="A513" s="11">
        <v>54313</v>
      </c>
      <c r="B513" s="54" t="s">
        <v>662</v>
      </c>
      <c r="C513" s="13"/>
      <c r="D513" s="14" t="s">
        <v>18</v>
      </c>
      <c r="E513" s="14" t="s">
        <v>28</v>
      </c>
      <c r="F513" s="14" t="s">
        <v>27</v>
      </c>
      <c r="G513" s="17">
        <f>' MARZO-18-1'!I504</f>
        <v>0</v>
      </c>
      <c r="H513" s="51"/>
      <c r="I513" s="17">
        <f t="shared" si="9"/>
        <v>0</v>
      </c>
      <c r="J513" s="56"/>
      <c r="K513" s="137"/>
    </row>
    <row r="514" spans="1:11" ht="44.25">
      <c r="A514" s="11">
        <v>54399</v>
      </c>
      <c r="B514" s="54" t="s">
        <v>663</v>
      </c>
      <c r="C514" s="13"/>
      <c r="D514" s="14" t="s">
        <v>18</v>
      </c>
      <c r="E514" s="14" t="s">
        <v>28</v>
      </c>
      <c r="F514" s="14" t="s">
        <v>27</v>
      </c>
      <c r="G514" s="17">
        <f>' MARZO-18-1'!I505</f>
        <v>0</v>
      </c>
      <c r="H514" s="51"/>
      <c r="I514" s="17">
        <f t="shared" si="9"/>
        <v>0</v>
      </c>
      <c r="J514" s="56"/>
      <c r="K514" s="137"/>
    </row>
    <row r="515" spans="1:11" ht="29.25">
      <c r="A515" s="11">
        <v>55603</v>
      </c>
      <c r="B515" s="54" t="s">
        <v>664</v>
      </c>
      <c r="C515" s="13"/>
      <c r="D515" s="14" t="s">
        <v>18</v>
      </c>
      <c r="E515" s="14" t="s">
        <v>28</v>
      </c>
      <c r="F515" s="14" t="s">
        <v>27</v>
      </c>
      <c r="G515" s="17">
        <f>' MARZO-18-1'!I506</f>
        <v>0</v>
      </c>
      <c r="H515" s="51"/>
      <c r="I515" s="17">
        <f t="shared" si="9"/>
        <v>0</v>
      </c>
      <c r="J515" s="56"/>
      <c r="K515" s="137"/>
    </row>
    <row r="516" spans="1:11" ht="90">
      <c r="A516" s="141" t="s">
        <v>348</v>
      </c>
      <c r="B516" s="53" t="s">
        <v>665</v>
      </c>
      <c r="C516" s="13"/>
      <c r="D516" s="14"/>
      <c r="E516" s="14"/>
      <c r="F516" s="14"/>
      <c r="G516" s="17">
        <f>' MARZO-18-1'!I507</f>
        <v>0</v>
      </c>
      <c r="H516" s="51"/>
      <c r="I516" s="17"/>
      <c r="J516" s="56"/>
      <c r="K516" s="56"/>
    </row>
    <row r="517" spans="1:11" ht="29.25">
      <c r="A517" s="11">
        <v>51202</v>
      </c>
      <c r="B517" s="54" t="s">
        <v>666</v>
      </c>
      <c r="C517" s="13"/>
      <c r="D517" s="14" t="s">
        <v>18</v>
      </c>
      <c r="E517" s="14" t="s">
        <v>28</v>
      </c>
      <c r="F517" s="14" t="s">
        <v>27</v>
      </c>
      <c r="G517" s="17">
        <f>' MARZO-18-1'!I508</f>
        <v>3790</v>
      </c>
      <c r="H517" s="51"/>
      <c r="I517" s="17">
        <f t="shared" si="9"/>
        <v>3790</v>
      </c>
      <c r="J517" s="56"/>
      <c r="K517" s="56"/>
    </row>
    <row r="518" spans="1:11" ht="29.25">
      <c r="A518" s="11">
        <v>54110</v>
      </c>
      <c r="B518" s="54" t="s">
        <v>667</v>
      </c>
      <c r="C518" s="13"/>
      <c r="D518" s="14" t="s">
        <v>18</v>
      </c>
      <c r="E518" s="14" t="s">
        <v>28</v>
      </c>
      <c r="F518" s="14" t="s">
        <v>27</v>
      </c>
      <c r="G518" s="17">
        <f>' MARZO-18-1'!I509</f>
        <v>200</v>
      </c>
      <c r="H518" s="51"/>
      <c r="I518" s="17">
        <f t="shared" si="9"/>
        <v>200</v>
      </c>
      <c r="J518" s="56"/>
      <c r="K518" s="56"/>
    </row>
    <row r="519" spans="1:11" ht="44.25">
      <c r="A519" s="11">
        <v>54111</v>
      </c>
      <c r="B519" s="54" t="s">
        <v>668</v>
      </c>
      <c r="C519" s="13"/>
      <c r="D519" s="14" t="s">
        <v>18</v>
      </c>
      <c r="E519" s="14" t="s">
        <v>28</v>
      </c>
      <c r="F519" s="14" t="s">
        <v>27</v>
      </c>
      <c r="G519" s="17">
        <f>' MARZO-18-1'!I510</f>
        <v>5200</v>
      </c>
      <c r="H519" s="51"/>
      <c r="I519" s="17">
        <f t="shared" si="9"/>
        <v>5200</v>
      </c>
      <c r="J519" s="56"/>
      <c r="K519" s="56"/>
    </row>
    <row r="520" spans="1:11" ht="44.25">
      <c r="A520" s="11">
        <v>54112</v>
      </c>
      <c r="B520" s="54" t="s">
        <v>669</v>
      </c>
      <c r="C520" s="13"/>
      <c r="D520" s="14" t="s">
        <v>18</v>
      </c>
      <c r="E520" s="14" t="s">
        <v>28</v>
      </c>
      <c r="F520" s="14" t="s">
        <v>27</v>
      </c>
      <c r="G520" s="17">
        <f>' MARZO-18-1'!I511</f>
        <v>200</v>
      </c>
      <c r="H520" s="51"/>
      <c r="I520" s="17">
        <f t="shared" si="9"/>
        <v>200</v>
      </c>
      <c r="J520" s="56"/>
      <c r="K520" s="56"/>
    </row>
    <row r="521" spans="1:11" ht="44.25">
      <c r="A521" s="11">
        <v>54313</v>
      </c>
      <c r="B521" s="54" t="s">
        <v>670</v>
      </c>
      <c r="C521" s="13"/>
      <c r="D521" s="14" t="s">
        <v>18</v>
      </c>
      <c r="E521" s="14" t="s">
        <v>28</v>
      </c>
      <c r="F521" s="14" t="s">
        <v>27</v>
      </c>
      <c r="G521" s="17">
        <f>' MARZO-18-1'!I512</f>
        <v>300</v>
      </c>
      <c r="H521" s="51"/>
      <c r="I521" s="17">
        <f t="shared" si="9"/>
        <v>300</v>
      </c>
      <c r="J521" s="56"/>
      <c r="K521" s="56"/>
    </row>
    <row r="522" spans="1:11" ht="44.25">
      <c r="A522" s="11">
        <v>54399</v>
      </c>
      <c r="B522" s="54" t="s">
        <v>671</v>
      </c>
      <c r="C522" s="13"/>
      <c r="D522" s="14" t="s">
        <v>18</v>
      </c>
      <c r="E522" s="14" t="s">
        <v>28</v>
      </c>
      <c r="F522" s="14" t="s">
        <v>27</v>
      </c>
      <c r="G522" s="17">
        <f>' MARZO-18-1'!I513</f>
        <v>300</v>
      </c>
      <c r="H522" s="51"/>
      <c r="I522" s="17">
        <f t="shared" si="9"/>
        <v>300</v>
      </c>
      <c r="J522" s="56"/>
      <c r="K522" s="56"/>
    </row>
    <row r="523" spans="1:11" ht="29.25">
      <c r="A523" s="11">
        <v>55603</v>
      </c>
      <c r="B523" s="54" t="s">
        <v>672</v>
      </c>
      <c r="C523" s="13"/>
      <c r="D523" s="14" t="s">
        <v>18</v>
      </c>
      <c r="E523" s="14" t="s">
        <v>28</v>
      </c>
      <c r="F523" s="14" t="s">
        <v>27</v>
      </c>
      <c r="G523" s="17">
        <f>' MARZO-18-1'!I514</f>
        <v>10</v>
      </c>
      <c r="H523" s="51"/>
      <c r="I523" s="17">
        <f t="shared" si="9"/>
        <v>10</v>
      </c>
      <c r="J523" s="56"/>
      <c r="K523" s="56"/>
    </row>
    <row r="524" spans="1:11" ht="119.25" customHeight="1">
      <c r="A524" s="141" t="s">
        <v>358</v>
      </c>
      <c r="B524" s="53" t="s">
        <v>673</v>
      </c>
      <c r="C524" s="13"/>
      <c r="D524" s="14"/>
      <c r="E524" s="14"/>
      <c r="F524" s="14"/>
      <c r="G524" s="17">
        <f>' MARZO-18-1'!I515</f>
        <v>0</v>
      </c>
      <c r="H524" s="51"/>
      <c r="I524" s="17"/>
      <c r="J524" s="56"/>
      <c r="K524" s="56"/>
    </row>
    <row r="525" spans="1:11" ht="29.25">
      <c r="A525" s="11">
        <v>51202</v>
      </c>
      <c r="B525" s="54" t="s">
        <v>674</v>
      </c>
      <c r="C525" s="13"/>
      <c r="D525" s="14" t="s">
        <v>18</v>
      </c>
      <c r="E525" s="14" t="s">
        <v>28</v>
      </c>
      <c r="F525" s="14" t="s">
        <v>27</v>
      </c>
      <c r="G525" s="17">
        <f>' MARZO-18-1'!I516</f>
        <v>8000</v>
      </c>
      <c r="H525" s="51"/>
      <c r="I525" s="17">
        <f t="shared" si="9"/>
        <v>8000</v>
      </c>
      <c r="J525" s="56"/>
      <c r="K525" s="56"/>
    </row>
    <row r="526" spans="1:11" ht="29.25">
      <c r="A526" s="11">
        <v>54110</v>
      </c>
      <c r="B526" s="54" t="s">
        <v>675</v>
      </c>
      <c r="C526" s="13"/>
      <c r="D526" s="14" t="s">
        <v>18</v>
      </c>
      <c r="E526" s="14" t="s">
        <v>28</v>
      </c>
      <c r="F526" s="14" t="s">
        <v>27</v>
      </c>
      <c r="G526" s="17">
        <f>' MARZO-18-1'!I517</f>
        <v>300</v>
      </c>
      <c r="H526" s="51"/>
      <c r="I526" s="17">
        <f t="shared" si="9"/>
        <v>300</v>
      </c>
      <c r="J526" s="56"/>
      <c r="K526" s="56"/>
    </row>
    <row r="527" spans="1:11" ht="29.25">
      <c r="A527" s="11">
        <v>54111</v>
      </c>
      <c r="B527" s="54" t="s">
        <v>677</v>
      </c>
      <c r="C527" s="13"/>
      <c r="D527" s="14" t="s">
        <v>18</v>
      </c>
      <c r="E527" s="14" t="s">
        <v>28</v>
      </c>
      <c r="F527" s="14" t="s">
        <v>27</v>
      </c>
      <c r="G527" s="17">
        <f>' MARZO-18-1'!I518</f>
        <v>10000</v>
      </c>
      <c r="H527" s="51"/>
      <c r="I527" s="17">
        <f t="shared" si="9"/>
        <v>10000</v>
      </c>
      <c r="J527" s="56"/>
      <c r="K527" s="56"/>
    </row>
    <row r="528" spans="1:11" ht="29.25">
      <c r="A528" s="11">
        <v>54112</v>
      </c>
      <c r="B528" s="54" t="s">
        <v>676</v>
      </c>
      <c r="C528" s="13"/>
      <c r="D528" s="14" t="s">
        <v>18</v>
      </c>
      <c r="E528" s="14" t="s">
        <v>28</v>
      </c>
      <c r="F528" s="14" t="s">
        <v>27</v>
      </c>
      <c r="G528" s="17">
        <f>' MARZO-18-1'!I519</f>
        <v>2000</v>
      </c>
      <c r="H528" s="51"/>
      <c r="I528" s="17">
        <f t="shared" si="9"/>
        <v>2000</v>
      </c>
      <c r="J528" s="56"/>
      <c r="K528" s="56"/>
    </row>
    <row r="529" spans="1:11" ht="29.25">
      <c r="A529" s="11">
        <v>54118</v>
      </c>
      <c r="B529" s="54" t="s">
        <v>678</v>
      </c>
      <c r="C529" s="13"/>
      <c r="D529" s="14" t="s">
        <v>18</v>
      </c>
      <c r="E529" s="14" t="s">
        <v>28</v>
      </c>
      <c r="F529" s="14" t="s">
        <v>27</v>
      </c>
      <c r="G529" s="17">
        <f>' MARZO-18-1'!I520</f>
        <v>1290</v>
      </c>
      <c r="H529" s="51"/>
      <c r="I529" s="17">
        <f t="shared" si="9"/>
        <v>1290</v>
      </c>
      <c r="J529" s="56"/>
      <c r="K529" s="56"/>
    </row>
    <row r="530" spans="1:11" ht="29.25">
      <c r="A530" s="11">
        <v>54313</v>
      </c>
      <c r="B530" s="54" t="s">
        <v>679</v>
      </c>
      <c r="C530" s="13"/>
      <c r="D530" s="14" t="s">
        <v>18</v>
      </c>
      <c r="E530" s="14" t="s">
        <v>28</v>
      </c>
      <c r="F530" s="14" t="s">
        <v>27</v>
      </c>
      <c r="G530" s="17">
        <f>' MARZO-18-1'!I521</f>
        <v>300</v>
      </c>
      <c r="H530" s="51"/>
      <c r="I530" s="17">
        <f t="shared" si="9"/>
        <v>300</v>
      </c>
      <c r="J530" s="56"/>
      <c r="K530" s="56"/>
    </row>
    <row r="531" spans="1:11" ht="36.75" customHeight="1">
      <c r="A531" s="11">
        <v>54399</v>
      </c>
      <c r="B531" s="54" t="s">
        <v>680</v>
      </c>
      <c r="C531" s="13"/>
      <c r="D531" s="14" t="s">
        <v>18</v>
      </c>
      <c r="E531" s="14" t="s">
        <v>28</v>
      </c>
      <c r="F531" s="14" t="s">
        <v>27</v>
      </c>
      <c r="G531" s="17">
        <f>' MARZO-18-1'!I522</f>
        <v>200</v>
      </c>
      <c r="H531" s="51"/>
      <c r="I531" s="17">
        <f t="shared" si="9"/>
        <v>200</v>
      </c>
      <c r="J531" s="56"/>
      <c r="K531" s="56"/>
    </row>
    <row r="532" spans="1:11" ht="29.25">
      <c r="A532" s="11">
        <v>55603</v>
      </c>
      <c r="B532" s="54" t="s">
        <v>681</v>
      </c>
      <c r="C532" s="13"/>
      <c r="D532" s="14" t="s">
        <v>18</v>
      </c>
      <c r="E532" s="14" t="s">
        <v>28</v>
      </c>
      <c r="F532" s="14" t="s">
        <v>27</v>
      </c>
      <c r="G532" s="17">
        <f>' MARZO-18-1'!I523</f>
        <v>10</v>
      </c>
      <c r="H532" s="51"/>
      <c r="I532" s="17">
        <f t="shared" si="9"/>
        <v>10</v>
      </c>
      <c r="J532" s="56"/>
      <c r="K532" s="56"/>
    </row>
    <row r="533" spans="1:11" ht="74.25">
      <c r="A533" s="141" t="s">
        <v>374</v>
      </c>
      <c r="B533" s="53" t="s">
        <v>690</v>
      </c>
      <c r="C533" s="13"/>
      <c r="D533" s="14"/>
      <c r="E533" s="14"/>
      <c r="F533" s="14"/>
      <c r="G533" s="17">
        <f>' MARZO-18-1'!I524</f>
        <v>0</v>
      </c>
      <c r="H533" s="51"/>
      <c r="I533" s="17"/>
      <c r="J533" s="56"/>
      <c r="K533" s="56"/>
    </row>
    <row r="534" spans="1:11">
      <c r="A534" s="11">
        <v>51202</v>
      </c>
      <c r="B534" s="54" t="s">
        <v>682</v>
      </c>
      <c r="C534" s="13"/>
      <c r="D534" s="14" t="s">
        <v>18</v>
      </c>
      <c r="E534" s="14" t="s">
        <v>28</v>
      </c>
      <c r="F534" s="14" t="s">
        <v>27</v>
      </c>
      <c r="G534" s="17">
        <f>' MARZO-18-1'!I525</f>
        <v>8900</v>
      </c>
      <c r="H534" s="51"/>
      <c r="I534" s="17">
        <f t="shared" si="9"/>
        <v>8900</v>
      </c>
      <c r="J534" s="56"/>
      <c r="K534" s="56"/>
    </row>
    <row r="535" spans="1:11" ht="29.25">
      <c r="A535" s="11">
        <v>54110</v>
      </c>
      <c r="B535" s="54" t="s">
        <v>683</v>
      </c>
      <c r="C535" s="13"/>
      <c r="D535" s="14" t="s">
        <v>18</v>
      </c>
      <c r="E535" s="14" t="s">
        <v>28</v>
      </c>
      <c r="F535" s="14" t="s">
        <v>27</v>
      </c>
      <c r="G535" s="17">
        <f>' MARZO-18-1'!I526</f>
        <v>300</v>
      </c>
      <c r="H535" s="51"/>
      <c r="I535" s="17">
        <f t="shared" si="9"/>
        <v>300</v>
      </c>
      <c r="J535" s="56"/>
      <c r="K535" s="56"/>
    </row>
    <row r="536" spans="1:11" ht="30">
      <c r="A536" s="11">
        <v>54111</v>
      </c>
      <c r="B536" s="53" t="s">
        <v>689</v>
      </c>
      <c r="C536" s="13"/>
      <c r="D536" s="14" t="s">
        <v>18</v>
      </c>
      <c r="E536" s="14" t="s">
        <v>28</v>
      </c>
      <c r="F536" s="14" t="s">
        <v>27</v>
      </c>
      <c r="G536" s="17">
        <f>' MARZO-18-1'!I527</f>
        <v>12000</v>
      </c>
      <c r="H536" s="51"/>
      <c r="I536" s="17">
        <f t="shared" si="9"/>
        <v>12000</v>
      </c>
      <c r="J536" s="56"/>
      <c r="K536" s="56"/>
    </row>
    <row r="537" spans="1:11" ht="29.25">
      <c r="A537" s="11">
        <v>54112</v>
      </c>
      <c r="B537" s="53" t="s">
        <v>684</v>
      </c>
      <c r="C537" s="13"/>
      <c r="D537" s="14" t="s">
        <v>18</v>
      </c>
      <c r="E537" s="14" t="s">
        <v>28</v>
      </c>
      <c r="F537" s="14" t="s">
        <v>27</v>
      </c>
      <c r="G537" s="17">
        <f>' MARZO-18-1'!I528</f>
        <v>2000</v>
      </c>
      <c r="H537" s="51"/>
      <c r="I537" s="17">
        <f t="shared" si="9"/>
        <v>2000</v>
      </c>
      <c r="J537" s="56"/>
      <c r="K537" s="56"/>
    </row>
    <row r="538" spans="1:11" ht="29.25">
      <c r="A538" s="11">
        <v>54118</v>
      </c>
      <c r="B538" s="53" t="s">
        <v>685</v>
      </c>
      <c r="C538" s="13"/>
      <c r="D538" s="14" t="s">
        <v>18</v>
      </c>
      <c r="E538" s="14" t="s">
        <v>28</v>
      </c>
      <c r="F538" s="14" t="s">
        <v>27</v>
      </c>
      <c r="G538" s="17">
        <f>' MARZO-18-1'!I529</f>
        <v>1290</v>
      </c>
      <c r="H538" s="51"/>
      <c r="I538" s="17">
        <f t="shared" si="9"/>
        <v>1290</v>
      </c>
      <c r="J538" s="56"/>
      <c r="K538" s="56"/>
    </row>
    <row r="539" spans="1:11" ht="29.25">
      <c r="A539" s="11">
        <v>54313</v>
      </c>
      <c r="B539" s="53" t="s">
        <v>686</v>
      </c>
      <c r="C539" s="13"/>
      <c r="D539" s="14" t="s">
        <v>18</v>
      </c>
      <c r="E539" s="14" t="s">
        <v>28</v>
      </c>
      <c r="F539" s="14" t="s">
        <v>27</v>
      </c>
      <c r="G539" s="17">
        <f>' MARZO-18-1'!I530</f>
        <v>300</v>
      </c>
      <c r="H539" s="51"/>
      <c r="I539" s="17">
        <f t="shared" si="9"/>
        <v>300</v>
      </c>
      <c r="J539" s="56"/>
      <c r="K539" s="56"/>
    </row>
    <row r="540" spans="1:11" ht="29.25">
      <c r="A540" s="11">
        <v>54399</v>
      </c>
      <c r="B540" s="54" t="s">
        <v>687</v>
      </c>
      <c r="C540" s="13"/>
      <c r="D540" s="14" t="s">
        <v>18</v>
      </c>
      <c r="E540" s="14" t="s">
        <v>28</v>
      </c>
      <c r="F540" s="14" t="s">
        <v>27</v>
      </c>
      <c r="G540" s="17">
        <f>' MARZO-18-1'!I531</f>
        <v>200</v>
      </c>
      <c r="H540" s="51"/>
      <c r="I540" s="17">
        <f t="shared" si="9"/>
        <v>200</v>
      </c>
      <c r="J540" s="56"/>
      <c r="K540" s="56"/>
    </row>
    <row r="541" spans="1:11" ht="29.25">
      <c r="A541" s="11">
        <v>55603</v>
      </c>
      <c r="B541" s="53" t="s">
        <v>688</v>
      </c>
      <c r="C541" s="13"/>
      <c r="D541" s="14" t="s">
        <v>18</v>
      </c>
      <c r="E541" s="14" t="s">
        <v>28</v>
      </c>
      <c r="F541" s="14" t="s">
        <v>27</v>
      </c>
      <c r="G541" s="17">
        <f>' MARZO-18-1'!I532</f>
        <v>10</v>
      </c>
      <c r="H541" s="51"/>
      <c r="I541" s="17">
        <f t="shared" si="9"/>
        <v>10</v>
      </c>
      <c r="J541" s="56"/>
      <c r="K541" s="56"/>
    </row>
    <row r="542" spans="1:11" ht="60">
      <c r="A542" s="141" t="s">
        <v>388</v>
      </c>
      <c r="B542" s="53" t="s">
        <v>699</v>
      </c>
      <c r="C542" s="13"/>
      <c r="D542" s="14"/>
      <c r="E542" s="14"/>
      <c r="F542" s="14"/>
      <c r="G542" s="17">
        <f>' MARZO-18-1'!I533</f>
        <v>0</v>
      </c>
      <c r="H542" s="51"/>
      <c r="I542" s="17"/>
      <c r="J542" s="56"/>
      <c r="K542" s="56"/>
    </row>
    <row r="543" spans="1:11" ht="29.25">
      <c r="A543" s="11">
        <v>51202</v>
      </c>
      <c r="B543" s="54" t="s">
        <v>691</v>
      </c>
      <c r="C543" s="13"/>
      <c r="D543" s="14" t="s">
        <v>18</v>
      </c>
      <c r="E543" s="14" t="s">
        <v>28</v>
      </c>
      <c r="F543" s="14" t="s">
        <v>27</v>
      </c>
      <c r="G543" s="17">
        <f>' MARZO-18-1'!I534</f>
        <v>8900</v>
      </c>
      <c r="H543" s="51"/>
      <c r="I543" s="17">
        <f t="shared" si="9"/>
        <v>8900</v>
      </c>
      <c r="J543" s="56"/>
      <c r="K543" s="56"/>
    </row>
    <row r="544" spans="1:11" ht="29.25">
      <c r="A544" s="11">
        <v>54110</v>
      </c>
      <c r="B544" s="54" t="s">
        <v>692</v>
      </c>
      <c r="C544" s="13"/>
      <c r="D544" s="14" t="s">
        <v>18</v>
      </c>
      <c r="E544" s="14" t="s">
        <v>28</v>
      </c>
      <c r="F544" s="14" t="s">
        <v>27</v>
      </c>
      <c r="G544" s="17">
        <f>' MARZO-18-1'!I535</f>
        <v>300</v>
      </c>
      <c r="H544" s="51"/>
      <c r="I544" s="17">
        <f t="shared" si="9"/>
        <v>300</v>
      </c>
      <c r="J544" s="56"/>
      <c r="K544" s="56"/>
    </row>
    <row r="545" spans="1:11" ht="44.25">
      <c r="A545" s="11">
        <v>54111</v>
      </c>
      <c r="B545" s="53" t="s">
        <v>693</v>
      </c>
      <c r="C545" s="13"/>
      <c r="D545" s="14" t="s">
        <v>18</v>
      </c>
      <c r="E545" s="14" t="s">
        <v>28</v>
      </c>
      <c r="F545" s="14" t="s">
        <v>27</v>
      </c>
      <c r="G545" s="17">
        <f>' MARZO-18-1'!I536</f>
        <v>12000</v>
      </c>
      <c r="H545" s="51"/>
      <c r="I545" s="17">
        <f t="shared" ref="I545:I555" si="10">G545-H545+J545-K545</f>
        <v>12000</v>
      </c>
      <c r="J545" s="56"/>
      <c r="K545" s="56"/>
    </row>
    <row r="546" spans="1:11" ht="29.25">
      <c r="A546" s="11">
        <v>54112</v>
      </c>
      <c r="B546" s="54" t="s">
        <v>694</v>
      </c>
      <c r="C546" s="13"/>
      <c r="D546" s="14" t="s">
        <v>18</v>
      </c>
      <c r="E546" s="14" t="s">
        <v>28</v>
      </c>
      <c r="F546" s="14" t="s">
        <v>27</v>
      </c>
      <c r="G546" s="17">
        <f>' MARZO-18-1'!I537</f>
        <v>2000</v>
      </c>
      <c r="H546" s="51"/>
      <c r="I546" s="17">
        <f t="shared" si="10"/>
        <v>2000</v>
      </c>
      <c r="J546" s="56"/>
      <c r="K546" s="56"/>
    </row>
    <row r="547" spans="1:11" ht="29.25">
      <c r="A547" s="11">
        <v>54118</v>
      </c>
      <c r="B547" s="54" t="s">
        <v>695</v>
      </c>
      <c r="C547" s="13"/>
      <c r="D547" s="14" t="s">
        <v>18</v>
      </c>
      <c r="E547" s="14" t="s">
        <v>28</v>
      </c>
      <c r="F547" s="14" t="s">
        <v>27</v>
      </c>
      <c r="G547" s="17">
        <f>' MARZO-18-1'!I538</f>
        <v>1290</v>
      </c>
      <c r="H547" s="51"/>
      <c r="I547" s="17">
        <f t="shared" si="10"/>
        <v>1290</v>
      </c>
      <c r="J547" s="56"/>
      <c r="K547" s="56"/>
    </row>
    <row r="548" spans="1:11" ht="44.25">
      <c r="A548" s="11">
        <v>54313</v>
      </c>
      <c r="B548" s="53" t="s">
        <v>696</v>
      </c>
      <c r="C548" s="13"/>
      <c r="D548" s="14" t="s">
        <v>18</v>
      </c>
      <c r="E548" s="14" t="s">
        <v>28</v>
      </c>
      <c r="F548" s="14" t="s">
        <v>27</v>
      </c>
      <c r="G548" s="17">
        <f>' MARZO-18-1'!I539</f>
        <v>300</v>
      </c>
      <c r="H548" s="51"/>
      <c r="I548" s="17">
        <f t="shared" si="10"/>
        <v>300</v>
      </c>
      <c r="J548" s="56"/>
      <c r="K548" s="56"/>
    </row>
    <row r="549" spans="1:11" ht="29.25">
      <c r="A549" s="11">
        <v>54399</v>
      </c>
      <c r="B549" s="54" t="s">
        <v>697</v>
      </c>
      <c r="C549" s="13"/>
      <c r="D549" s="14" t="s">
        <v>18</v>
      </c>
      <c r="E549" s="14" t="s">
        <v>28</v>
      </c>
      <c r="F549" s="14" t="s">
        <v>27</v>
      </c>
      <c r="G549" s="17">
        <f>' MARZO-18-1'!I540</f>
        <v>200</v>
      </c>
      <c r="H549" s="51"/>
      <c r="I549" s="17">
        <f t="shared" si="10"/>
        <v>200</v>
      </c>
      <c r="J549" s="56"/>
      <c r="K549" s="56"/>
    </row>
    <row r="550" spans="1:11" ht="29.25">
      <c r="A550" s="11">
        <v>55603</v>
      </c>
      <c r="B550" s="54" t="s">
        <v>698</v>
      </c>
      <c r="C550" s="13"/>
      <c r="D550" s="14" t="s">
        <v>18</v>
      </c>
      <c r="E550" s="14" t="s">
        <v>28</v>
      </c>
      <c r="F550" s="14" t="s">
        <v>27</v>
      </c>
      <c r="G550" s="17">
        <f>' MARZO-18-1'!I541</f>
        <v>10</v>
      </c>
      <c r="H550" s="51"/>
      <c r="I550" s="17">
        <f t="shared" si="10"/>
        <v>10</v>
      </c>
      <c r="J550" s="56"/>
      <c r="K550" s="56"/>
    </row>
    <row r="551" spans="1:11" ht="60">
      <c r="A551" s="141" t="s">
        <v>392</v>
      </c>
      <c r="B551" s="53" t="s">
        <v>700</v>
      </c>
      <c r="C551" s="13"/>
      <c r="D551" s="14"/>
      <c r="E551" s="14"/>
      <c r="F551" s="14"/>
      <c r="G551" s="17">
        <f>' MARZO-18-1'!I542</f>
        <v>0</v>
      </c>
      <c r="H551" s="51"/>
      <c r="I551" s="17"/>
      <c r="J551" s="56"/>
      <c r="K551" s="56"/>
    </row>
    <row r="552" spans="1:11" ht="29.25">
      <c r="A552" s="11">
        <v>51202</v>
      </c>
      <c r="B552" s="54" t="s">
        <v>701</v>
      </c>
      <c r="C552" s="13"/>
      <c r="D552" s="14" t="s">
        <v>18</v>
      </c>
      <c r="E552" s="14" t="s">
        <v>28</v>
      </c>
      <c r="F552" s="14" t="s">
        <v>27</v>
      </c>
      <c r="G552" s="17">
        <f>' MARZO-18-1'!I543</f>
        <v>4640</v>
      </c>
      <c r="H552" s="51"/>
      <c r="I552" s="17">
        <f t="shared" si="10"/>
        <v>4640</v>
      </c>
      <c r="J552" s="56"/>
      <c r="K552" s="56"/>
    </row>
    <row r="553" spans="1:11" ht="29.25">
      <c r="A553" s="11">
        <v>54110</v>
      </c>
      <c r="B553" s="53" t="s">
        <v>702</v>
      </c>
      <c r="C553" s="13"/>
      <c r="D553" s="14" t="s">
        <v>18</v>
      </c>
      <c r="E553" s="14" t="s">
        <v>28</v>
      </c>
      <c r="F553" s="14" t="s">
        <v>27</v>
      </c>
      <c r="G553" s="17">
        <f>' MARZO-18-1'!I544</f>
        <v>100</v>
      </c>
      <c r="H553" s="51"/>
      <c r="I553" s="17">
        <f t="shared" si="10"/>
        <v>100</v>
      </c>
      <c r="J553" s="56"/>
      <c r="K553" s="56"/>
    </row>
    <row r="554" spans="1:11" ht="44.25">
      <c r="A554" s="11">
        <v>54111</v>
      </c>
      <c r="B554" s="53" t="s">
        <v>703</v>
      </c>
      <c r="C554" s="13"/>
      <c r="D554" s="14" t="s">
        <v>18</v>
      </c>
      <c r="E554" s="14" t="s">
        <v>28</v>
      </c>
      <c r="F554" s="14" t="s">
        <v>27</v>
      </c>
      <c r="G554" s="17">
        <f>' MARZO-18-1'!I545</f>
        <v>5000</v>
      </c>
      <c r="H554" s="51"/>
      <c r="I554" s="17">
        <f t="shared" si="10"/>
        <v>5000</v>
      </c>
      <c r="J554" s="56"/>
      <c r="K554" s="56"/>
    </row>
    <row r="555" spans="1:11" ht="44.25">
      <c r="A555" s="11">
        <v>54313</v>
      </c>
      <c r="B555" s="53" t="s">
        <v>704</v>
      </c>
      <c r="C555" s="13"/>
      <c r="D555" s="14" t="s">
        <v>18</v>
      </c>
      <c r="E555" s="14" t="s">
        <v>28</v>
      </c>
      <c r="F555" s="14" t="s">
        <v>27</v>
      </c>
      <c r="G555" s="17">
        <f>' MARZO-18-1'!I546</f>
        <v>250</v>
      </c>
      <c r="H555" s="51"/>
      <c r="I555" s="17">
        <f t="shared" si="10"/>
        <v>250</v>
      </c>
      <c r="J555" s="56"/>
      <c r="K555" s="56"/>
    </row>
    <row r="556" spans="1:11" ht="29.25">
      <c r="A556" s="11">
        <v>55603</v>
      </c>
      <c r="B556" s="53" t="s">
        <v>705</v>
      </c>
      <c r="C556" s="13"/>
      <c r="D556" s="14" t="s">
        <v>18</v>
      </c>
      <c r="E556" s="14" t="s">
        <v>28</v>
      </c>
      <c r="F556" s="14" t="s">
        <v>27</v>
      </c>
      <c r="G556" s="17">
        <f>' MARZO-18-1'!I547</f>
        <v>10</v>
      </c>
      <c r="H556" s="51"/>
      <c r="I556" s="17">
        <f>G556-H556+J556-K556</f>
        <v>10</v>
      </c>
      <c r="J556" s="56"/>
      <c r="K556" s="56"/>
    </row>
    <row r="557" spans="1:11" ht="105">
      <c r="A557" s="141" t="s">
        <v>401</v>
      </c>
      <c r="B557" s="53" t="s">
        <v>706</v>
      </c>
      <c r="C557" s="13"/>
      <c r="D557" s="14"/>
      <c r="E557" s="14"/>
      <c r="F557" s="14"/>
      <c r="G557" s="17">
        <f>' MARZO-18-1'!I548</f>
        <v>0</v>
      </c>
      <c r="H557" s="51"/>
      <c r="I557" s="17"/>
      <c r="J557" s="56"/>
      <c r="K557" s="56"/>
    </row>
    <row r="558" spans="1:11" ht="29.25">
      <c r="A558" s="11">
        <v>51202</v>
      </c>
      <c r="B558" s="54" t="s">
        <v>707</v>
      </c>
      <c r="C558" s="13"/>
      <c r="D558" s="14" t="s">
        <v>18</v>
      </c>
      <c r="E558" s="14" t="s">
        <v>28</v>
      </c>
      <c r="F558" s="14" t="s">
        <v>27</v>
      </c>
      <c r="G558" s="17">
        <f>' MARZO-18-1'!I549</f>
        <v>7000</v>
      </c>
      <c r="H558" s="51"/>
      <c r="I558" s="17">
        <f>G558-H558+J558-K558</f>
        <v>7000</v>
      </c>
      <c r="J558" s="56"/>
      <c r="K558" s="56"/>
    </row>
    <row r="559" spans="1:11" ht="43.5">
      <c r="A559" s="11">
        <v>54110</v>
      </c>
      <c r="B559" s="54" t="s">
        <v>708</v>
      </c>
      <c r="C559" s="13"/>
      <c r="D559" s="14" t="s">
        <v>18</v>
      </c>
      <c r="E559" s="14" t="s">
        <v>28</v>
      </c>
      <c r="F559" s="14" t="s">
        <v>27</v>
      </c>
      <c r="G559" s="17">
        <f>' MARZO-18-1'!I550</f>
        <v>200</v>
      </c>
      <c r="H559" s="51"/>
      <c r="I559" s="17">
        <f t="shared" ref="I559:I599" si="11">G559-H559+J559-K559</f>
        <v>200</v>
      </c>
      <c r="J559" s="56"/>
      <c r="K559" s="56"/>
    </row>
    <row r="560" spans="1:11" ht="44.25">
      <c r="A560" s="11">
        <v>54111</v>
      </c>
      <c r="B560" s="54" t="s">
        <v>709</v>
      </c>
      <c r="C560" s="13"/>
      <c r="D560" s="14" t="s">
        <v>18</v>
      </c>
      <c r="E560" s="14" t="s">
        <v>28</v>
      </c>
      <c r="F560" s="14" t="s">
        <v>27</v>
      </c>
      <c r="G560" s="17">
        <f>' MARZO-18-1'!I551</f>
        <v>9290</v>
      </c>
      <c r="H560" s="51"/>
      <c r="I560" s="17">
        <f t="shared" si="11"/>
        <v>9290</v>
      </c>
      <c r="J560" s="56"/>
      <c r="K560" s="56"/>
    </row>
    <row r="561" spans="1:11" ht="43.5">
      <c r="A561" s="11">
        <v>54118</v>
      </c>
      <c r="B561" s="54" t="s">
        <v>710</v>
      </c>
      <c r="C561" s="13"/>
      <c r="D561" s="14" t="s">
        <v>18</v>
      </c>
      <c r="E561" s="14" t="s">
        <v>28</v>
      </c>
      <c r="F561" s="14" t="s">
        <v>27</v>
      </c>
      <c r="G561" s="17">
        <f>' MARZO-18-1'!I552</f>
        <v>3000</v>
      </c>
      <c r="H561" s="51"/>
      <c r="I561" s="17">
        <f t="shared" si="11"/>
        <v>3000</v>
      </c>
      <c r="J561" s="56"/>
      <c r="K561" s="56"/>
    </row>
    <row r="562" spans="1:11" ht="43.5">
      <c r="A562" s="11">
        <v>54313</v>
      </c>
      <c r="B562" s="54" t="s">
        <v>711</v>
      </c>
      <c r="C562" s="13"/>
      <c r="D562" s="14" t="s">
        <v>18</v>
      </c>
      <c r="E562" s="14" t="s">
        <v>28</v>
      </c>
      <c r="F562" s="14" t="s">
        <v>27</v>
      </c>
      <c r="G562" s="17">
        <f>' MARZO-18-1'!I553</f>
        <v>300</v>
      </c>
      <c r="H562" s="51"/>
      <c r="I562" s="17">
        <f t="shared" si="11"/>
        <v>300</v>
      </c>
      <c r="J562" s="56"/>
      <c r="K562" s="56"/>
    </row>
    <row r="563" spans="1:11" ht="44.25">
      <c r="A563" s="11">
        <v>54399</v>
      </c>
      <c r="B563" s="54" t="s">
        <v>712</v>
      </c>
      <c r="C563" s="13"/>
      <c r="D563" s="14" t="s">
        <v>18</v>
      </c>
      <c r="E563" s="14" t="s">
        <v>28</v>
      </c>
      <c r="F563" s="14" t="s">
        <v>27</v>
      </c>
      <c r="G563" s="17">
        <f>' MARZO-18-1'!I554</f>
        <v>200</v>
      </c>
      <c r="H563" s="51"/>
      <c r="I563" s="17">
        <f t="shared" si="11"/>
        <v>200</v>
      </c>
      <c r="J563" s="56"/>
      <c r="K563" s="56"/>
    </row>
    <row r="564" spans="1:11" ht="43.5">
      <c r="A564" s="11">
        <v>55603</v>
      </c>
      <c r="B564" s="53" t="s">
        <v>713</v>
      </c>
      <c r="C564" s="13"/>
      <c r="D564" s="14" t="s">
        <v>18</v>
      </c>
      <c r="E564" s="14" t="s">
        <v>28</v>
      </c>
      <c r="F564" s="14" t="s">
        <v>27</v>
      </c>
      <c r="G564" s="17">
        <f>' MARZO-18-1'!I555</f>
        <v>10</v>
      </c>
      <c r="H564" s="51"/>
      <c r="I564" s="17">
        <f t="shared" si="11"/>
        <v>10</v>
      </c>
      <c r="J564" s="56"/>
      <c r="K564" s="56"/>
    </row>
    <row r="565" spans="1:11" ht="59.25">
      <c r="A565" s="141" t="s">
        <v>408</v>
      </c>
      <c r="B565" s="53" t="s">
        <v>714</v>
      </c>
      <c r="C565" s="13"/>
      <c r="D565" s="14"/>
      <c r="E565" s="14"/>
      <c r="F565" s="14"/>
      <c r="G565" s="17">
        <f>' MARZO-18-1'!I556</f>
        <v>0</v>
      </c>
      <c r="H565" s="51"/>
      <c r="I565" s="17"/>
      <c r="J565" s="56"/>
      <c r="K565" s="56"/>
    </row>
    <row r="566" spans="1:11" ht="29.25">
      <c r="A566" s="11">
        <v>51202</v>
      </c>
      <c r="B566" s="54" t="s">
        <v>715</v>
      </c>
      <c r="C566" s="13"/>
      <c r="D566" s="14" t="s">
        <v>18</v>
      </c>
      <c r="E566" s="14" t="s">
        <v>28</v>
      </c>
      <c r="F566" s="14" t="s">
        <v>27</v>
      </c>
      <c r="G566" s="17">
        <f>' MARZO-18-1'!I557</f>
        <v>6190</v>
      </c>
      <c r="H566" s="51"/>
      <c r="I566" s="17">
        <f t="shared" si="11"/>
        <v>6190</v>
      </c>
      <c r="J566" s="56"/>
      <c r="K566" s="56"/>
    </row>
    <row r="567" spans="1:11" ht="29.25">
      <c r="A567" s="11">
        <v>54110</v>
      </c>
      <c r="B567" s="54" t="s">
        <v>716</v>
      </c>
      <c r="C567" s="13"/>
      <c r="D567" s="14" t="s">
        <v>18</v>
      </c>
      <c r="E567" s="14" t="s">
        <v>28</v>
      </c>
      <c r="F567" s="14" t="s">
        <v>27</v>
      </c>
      <c r="G567" s="17">
        <f>' MARZO-18-1'!I558</f>
        <v>300</v>
      </c>
      <c r="H567" s="51"/>
      <c r="I567" s="17">
        <f t="shared" si="11"/>
        <v>300</v>
      </c>
      <c r="J567" s="56"/>
      <c r="K567" s="56"/>
    </row>
    <row r="568" spans="1:11" ht="44.25">
      <c r="A568" s="11">
        <v>54111</v>
      </c>
      <c r="B568" s="54" t="s">
        <v>717</v>
      </c>
      <c r="C568" s="13"/>
      <c r="D568" s="14" t="s">
        <v>18</v>
      </c>
      <c r="E568" s="14" t="s">
        <v>28</v>
      </c>
      <c r="F568" s="14" t="s">
        <v>27</v>
      </c>
      <c r="G568" s="17">
        <f>' MARZO-18-1'!I559</f>
        <v>10000</v>
      </c>
      <c r="H568" s="51"/>
      <c r="I568" s="17">
        <f t="shared" si="11"/>
        <v>10000</v>
      </c>
      <c r="J568" s="56"/>
      <c r="K568" s="56"/>
    </row>
    <row r="569" spans="1:11" ht="43.5">
      <c r="A569" s="11">
        <v>54112</v>
      </c>
      <c r="B569" s="53" t="s">
        <v>718</v>
      </c>
      <c r="C569" s="13"/>
      <c r="D569" s="14" t="s">
        <v>18</v>
      </c>
      <c r="E569" s="14" t="s">
        <v>28</v>
      </c>
      <c r="F569" s="14" t="s">
        <v>27</v>
      </c>
      <c r="G569" s="17">
        <f>' MARZO-18-1'!I560</f>
        <v>2000</v>
      </c>
      <c r="H569" s="51"/>
      <c r="I569" s="17">
        <f t="shared" si="11"/>
        <v>2000</v>
      </c>
      <c r="J569" s="56"/>
      <c r="K569" s="56"/>
    </row>
    <row r="570" spans="1:11" ht="29.25">
      <c r="A570" s="11">
        <v>54118</v>
      </c>
      <c r="B570" s="54" t="s">
        <v>719</v>
      </c>
      <c r="C570" s="13"/>
      <c r="D570" s="14" t="s">
        <v>18</v>
      </c>
      <c r="E570" s="14" t="s">
        <v>28</v>
      </c>
      <c r="F570" s="14" t="s">
        <v>27</v>
      </c>
      <c r="G570" s="17">
        <f>' MARZO-18-1'!I561</f>
        <v>1000</v>
      </c>
      <c r="H570" s="51"/>
      <c r="I570" s="17">
        <f t="shared" si="11"/>
        <v>1000</v>
      </c>
      <c r="J570" s="56"/>
      <c r="K570" s="56"/>
    </row>
    <row r="571" spans="1:11" ht="44.25">
      <c r="A571" s="11">
        <v>54313</v>
      </c>
      <c r="B571" s="54" t="s">
        <v>720</v>
      </c>
      <c r="C571" s="13"/>
      <c r="D571" s="14" t="s">
        <v>18</v>
      </c>
      <c r="E571" s="14" t="s">
        <v>28</v>
      </c>
      <c r="F571" s="14" t="s">
        <v>27</v>
      </c>
      <c r="G571" s="17">
        <f>' MARZO-18-1'!I562</f>
        <v>300</v>
      </c>
      <c r="H571" s="51"/>
      <c r="I571" s="17">
        <f t="shared" si="11"/>
        <v>300</v>
      </c>
      <c r="J571" s="56"/>
      <c r="K571" s="56"/>
    </row>
    <row r="572" spans="1:11" ht="44.25">
      <c r="A572" s="11">
        <v>54399</v>
      </c>
      <c r="B572" s="53" t="s">
        <v>721</v>
      </c>
      <c r="C572" s="13"/>
      <c r="D572" s="14" t="s">
        <v>18</v>
      </c>
      <c r="E572" s="14" t="s">
        <v>28</v>
      </c>
      <c r="F572" s="14" t="s">
        <v>27</v>
      </c>
      <c r="G572" s="17">
        <f>' MARZO-18-1'!I563</f>
        <v>200</v>
      </c>
      <c r="H572" s="51"/>
      <c r="I572" s="17">
        <f t="shared" si="11"/>
        <v>200</v>
      </c>
      <c r="J572" s="56"/>
      <c r="K572" s="56"/>
    </row>
    <row r="573" spans="1:11" ht="29.25">
      <c r="A573" s="11">
        <v>55603</v>
      </c>
      <c r="B573" s="53" t="s">
        <v>722</v>
      </c>
      <c r="C573" s="13"/>
      <c r="D573" s="14" t="s">
        <v>18</v>
      </c>
      <c r="E573" s="14" t="s">
        <v>28</v>
      </c>
      <c r="F573" s="14" t="s">
        <v>27</v>
      </c>
      <c r="G573" s="17">
        <f>' MARZO-18-1'!I564</f>
        <v>10</v>
      </c>
      <c r="H573" s="51"/>
      <c r="I573" s="17">
        <f t="shared" si="11"/>
        <v>10</v>
      </c>
      <c r="J573" s="56"/>
      <c r="K573" s="56"/>
    </row>
    <row r="574" spans="1:11" ht="89.25">
      <c r="A574" s="141" t="s">
        <v>418</v>
      </c>
      <c r="B574" s="53" t="s">
        <v>723</v>
      </c>
      <c r="C574" s="13"/>
      <c r="D574" s="14"/>
      <c r="E574" s="14"/>
      <c r="F574" s="14"/>
      <c r="G574" s="17">
        <f>' MARZO-18-1'!I565</f>
        <v>0</v>
      </c>
      <c r="H574" s="51"/>
      <c r="I574" s="17"/>
      <c r="J574" s="56"/>
      <c r="K574" s="56"/>
    </row>
    <row r="575" spans="1:11" ht="29.25">
      <c r="A575" s="11">
        <v>51202</v>
      </c>
      <c r="B575" s="53" t="s">
        <v>724</v>
      </c>
      <c r="C575" s="13"/>
      <c r="D575" s="14" t="s">
        <v>18</v>
      </c>
      <c r="E575" s="14" t="s">
        <v>28</v>
      </c>
      <c r="F575" s="14" t="s">
        <v>27</v>
      </c>
      <c r="G575" s="17">
        <f>' MARZO-18-1'!I566</f>
        <v>7000</v>
      </c>
      <c r="H575" s="51"/>
      <c r="I575" s="17">
        <f t="shared" si="11"/>
        <v>7000</v>
      </c>
      <c r="J575" s="56"/>
      <c r="K575" s="56"/>
    </row>
    <row r="576" spans="1:11" ht="29.25">
      <c r="A576" s="11">
        <v>54110</v>
      </c>
      <c r="B576" s="53" t="s">
        <v>725</v>
      </c>
      <c r="C576" s="13"/>
      <c r="D576" s="14" t="s">
        <v>18</v>
      </c>
      <c r="E576" s="14" t="s">
        <v>28</v>
      </c>
      <c r="F576" s="14" t="s">
        <v>27</v>
      </c>
      <c r="G576" s="17">
        <f>' MARZO-18-1'!I567</f>
        <v>200</v>
      </c>
      <c r="H576" s="51"/>
      <c r="I576" s="17">
        <f t="shared" si="11"/>
        <v>200</v>
      </c>
      <c r="J576" s="56"/>
      <c r="K576" s="56"/>
    </row>
    <row r="577" spans="1:11" ht="29.25">
      <c r="A577" s="11">
        <v>54111</v>
      </c>
      <c r="B577" s="53" t="s">
        <v>726</v>
      </c>
      <c r="C577" s="13"/>
      <c r="D577" s="14" t="s">
        <v>18</v>
      </c>
      <c r="E577" s="14" t="s">
        <v>28</v>
      </c>
      <c r="F577" s="14" t="s">
        <v>27</v>
      </c>
      <c r="G577" s="17">
        <f>' MARZO-18-1'!I568</f>
        <v>9290</v>
      </c>
      <c r="H577" s="51"/>
      <c r="I577" s="17">
        <f t="shared" si="11"/>
        <v>9290</v>
      </c>
      <c r="J577" s="56"/>
      <c r="K577" s="56"/>
    </row>
    <row r="578" spans="1:11" ht="29.25">
      <c r="A578" s="11">
        <v>54118</v>
      </c>
      <c r="B578" s="53" t="s">
        <v>727</v>
      </c>
      <c r="C578" s="13"/>
      <c r="D578" s="14" t="s">
        <v>18</v>
      </c>
      <c r="E578" s="14" t="s">
        <v>28</v>
      </c>
      <c r="F578" s="14" t="s">
        <v>27</v>
      </c>
      <c r="G578" s="17">
        <f>' MARZO-18-1'!I569</f>
        <v>3000</v>
      </c>
      <c r="H578" s="51"/>
      <c r="I578" s="17">
        <f t="shared" si="11"/>
        <v>3000</v>
      </c>
      <c r="J578" s="56"/>
      <c r="K578" s="56"/>
    </row>
    <row r="579" spans="1:11" ht="29.25">
      <c r="A579" s="11">
        <v>54313</v>
      </c>
      <c r="B579" s="53" t="s">
        <v>728</v>
      </c>
      <c r="C579" s="13"/>
      <c r="D579" s="14" t="s">
        <v>18</v>
      </c>
      <c r="E579" s="14" t="s">
        <v>28</v>
      </c>
      <c r="F579" s="14" t="s">
        <v>27</v>
      </c>
      <c r="G579" s="17">
        <f>' MARZO-18-1'!I570</f>
        <v>300</v>
      </c>
      <c r="H579" s="51"/>
      <c r="I579" s="17">
        <f t="shared" si="11"/>
        <v>300</v>
      </c>
      <c r="J579" s="56"/>
      <c r="K579" s="56"/>
    </row>
    <row r="580" spans="1:11" ht="30">
      <c r="A580" s="11">
        <v>54399</v>
      </c>
      <c r="B580" s="53" t="s">
        <v>729</v>
      </c>
      <c r="C580" s="13"/>
      <c r="D580" s="14" t="s">
        <v>18</v>
      </c>
      <c r="E580" s="14" t="s">
        <v>28</v>
      </c>
      <c r="F580" s="14" t="s">
        <v>27</v>
      </c>
      <c r="G580" s="17">
        <f>' MARZO-18-1'!I571</f>
        <v>200</v>
      </c>
      <c r="H580" s="51"/>
      <c r="I580" s="17">
        <f t="shared" si="11"/>
        <v>200</v>
      </c>
      <c r="J580" s="56"/>
      <c r="K580" s="56"/>
    </row>
    <row r="581" spans="1:11" ht="29.25">
      <c r="A581" s="11">
        <v>55603</v>
      </c>
      <c r="B581" s="53" t="s">
        <v>730</v>
      </c>
      <c r="C581" s="13"/>
      <c r="D581" s="14" t="s">
        <v>18</v>
      </c>
      <c r="E581" s="14" t="s">
        <v>28</v>
      </c>
      <c r="F581" s="14" t="s">
        <v>27</v>
      </c>
      <c r="G581" s="17">
        <f>' MARZO-18-1'!I572</f>
        <v>10</v>
      </c>
      <c r="H581" s="51"/>
      <c r="I581" s="17">
        <f t="shared" si="11"/>
        <v>10</v>
      </c>
      <c r="J581" s="56"/>
      <c r="K581" s="56"/>
    </row>
    <row r="582" spans="1:11" ht="90">
      <c r="A582" s="141" t="s">
        <v>429</v>
      </c>
      <c r="B582" s="53" t="s">
        <v>731</v>
      </c>
      <c r="C582" s="13"/>
      <c r="D582" s="14"/>
      <c r="E582" s="14"/>
      <c r="F582" s="14"/>
      <c r="G582" s="17">
        <f>' MARZO-18-1'!I573</f>
        <v>0</v>
      </c>
      <c r="H582" s="51"/>
      <c r="I582" s="17"/>
      <c r="J582" s="56"/>
      <c r="K582" s="56"/>
    </row>
    <row r="583" spans="1:11">
      <c r="A583" s="11">
        <v>51202</v>
      </c>
      <c r="B583" s="53" t="s">
        <v>732</v>
      </c>
      <c r="C583" s="13"/>
      <c r="D583" s="14" t="s">
        <v>18</v>
      </c>
      <c r="E583" s="14" t="s">
        <v>28</v>
      </c>
      <c r="F583" s="14" t="s">
        <v>27</v>
      </c>
      <c r="G583" s="17">
        <f>' MARZO-18-1'!I574</f>
        <v>12190</v>
      </c>
      <c r="H583" s="51"/>
      <c r="I583" s="17">
        <f t="shared" si="11"/>
        <v>12190</v>
      </c>
      <c r="J583" s="56"/>
      <c r="K583" s="56"/>
    </row>
    <row r="584" spans="1:11" ht="29.25">
      <c r="A584" s="11">
        <v>54110</v>
      </c>
      <c r="B584" s="53" t="s">
        <v>733</v>
      </c>
      <c r="C584" s="13"/>
      <c r="D584" s="14" t="s">
        <v>18</v>
      </c>
      <c r="E584" s="14" t="s">
        <v>28</v>
      </c>
      <c r="F584" s="14" t="s">
        <v>27</v>
      </c>
      <c r="G584" s="17">
        <f>' MARZO-18-1'!I575</f>
        <v>300</v>
      </c>
      <c r="H584" s="51"/>
      <c r="I584" s="17">
        <f t="shared" si="11"/>
        <v>300</v>
      </c>
      <c r="J584" s="56"/>
      <c r="K584" s="56"/>
    </row>
    <row r="585" spans="1:11" ht="29.25">
      <c r="A585" s="11">
        <v>54111</v>
      </c>
      <c r="B585" s="53" t="s">
        <v>734</v>
      </c>
      <c r="C585" s="13"/>
      <c r="D585" s="14" t="s">
        <v>18</v>
      </c>
      <c r="E585" s="14" t="s">
        <v>28</v>
      </c>
      <c r="F585" s="14" t="s">
        <v>27</v>
      </c>
      <c r="G585" s="17">
        <f>' MARZO-18-1'!I576</f>
        <v>15000</v>
      </c>
      <c r="H585" s="51"/>
      <c r="I585" s="17">
        <f t="shared" si="11"/>
        <v>15000</v>
      </c>
      <c r="J585" s="56"/>
      <c r="K585" s="56"/>
    </row>
    <row r="586" spans="1:11" ht="29.25">
      <c r="A586" s="11">
        <v>54112</v>
      </c>
      <c r="B586" s="53" t="s">
        <v>735</v>
      </c>
      <c r="C586" s="13"/>
      <c r="D586" s="14" t="s">
        <v>18</v>
      </c>
      <c r="E586" s="14" t="s">
        <v>28</v>
      </c>
      <c r="F586" s="14" t="s">
        <v>27</v>
      </c>
      <c r="G586" s="17">
        <f>' MARZO-18-1'!I577</f>
        <v>8000</v>
      </c>
      <c r="H586" s="51"/>
      <c r="I586" s="17">
        <f t="shared" si="11"/>
        <v>8000</v>
      </c>
      <c r="J586" s="56"/>
      <c r="K586" s="56"/>
    </row>
    <row r="587" spans="1:11" ht="29.25">
      <c r="A587" s="11">
        <v>54118</v>
      </c>
      <c r="B587" s="53" t="s">
        <v>736</v>
      </c>
      <c r="C587" s="13"/>
      <c r="D587" s="14" t="s">
        <v>18</v>
      </c>
      <c r="E587" s="14" t="s">
        <v>28</v>
      </c>
      <c r="F587" s="14" t="s">
        <v>27</v>
      </c>
      <c r="G587" s="17">
        <f>' MARZO-18-1'!I578</f>
        <v>7000</v>
      </c>
      <c r="H587" s="51"/>
      <c r="I587" s="17">
        <f t="shared" si="11"/>
        <v>7000</v>
      </c>
      <c r="J587" s="56"/>
      <c r="K587" s="56"/>
    </row>
    <row r="588" spans="1:11" ht="29.25">
      <c r="A588" s="11">
        <v>54304</v>
      </c>
      <c r="B588" s="53" t="s">
        <v>737</v>
      </c>
      <c r="C588" s="13"/>
      <c r="D588" s="14" t="s">
        <v>18</v>
      </c>
      <c r="E588" s="14" t="s">
        <v>28</v>
      </c>
      <c r="F588" s="14" t="s">
        <v>27</v>
      </c>
      <c r="G588" s="17">
        <f>' MARZO-18-1'!I579</f>
        <v>2000</v>
      </c>
      <c r="H588" s="51"/>
      <c r="I588" s="17">
        <f t="shared" si="11"/>
        <v>2000</v>
      </c>
      <c r="J588" s="56"/>
      <c r="K588" s="56"/>
    </row>
    <row r="589" spans="1:11" ht="30">
      <c r="A589" s="11">
        <v>54313</v>
      </c>
      <c r="B589" s="53" t="s">
        <v>738</v>
      </c>
      <c r="C589" s="13"/>
      <c r="D589" s="14" t="s">
        <v>18</v>
      </c>
      <c r="E589" s="14" t="s">
        <v>28</v>
      </c>
      <c r="F589" s="14" t="s">
        <v>27</v>
      </c>
      <c r="G589" s="17">
        <f>' MARZO-18-1'!I580</f>
        <v>300</v>
      </c>
      <c r="H589" s="51"/>
      <c r="I589" s="17">
        <f t="shared" si="11"/>
        <v>300</v>
      </c>
      <c r="J589" s="56"/>
      <c r="K589" s="56"/>
    </row>
    <row r="590" spans="1:11" ht="29.25">
      <c r="A590" s="11">
        <v>54399</v>
      </c>
      <c r="B590" s="53" t="s">
        <v>739</v>
      </c>
      <c r="C590" s="13"/>
      <c r="D590" s="14" t="s">
        <v>18</v>
      </c>
      <c r="E590" s="14" t="s">
        <v>28</v>
      </c>
      <c r="F590" s="14" t="s">
        <v>27</v>
      </c>
      <c r="G590" s="17">
        <f>' MARZO-18-1'!I581</f>
        <v>200</v>
      </c>
      <c r="H590" s="51"/>
      <c r="I590" s="17">
        <f t="shared" si="11"/>
        <v>200</v>
      </c>
      <c r="J590" s="56"/>
      <c r="K590" s="56"/>
    </row>
    <row r="591" spans="1:11" ht="29.25">
      <c r="A591" s="11">
        <v>55603</v>
      </c>
      <c r="B591" s="53" t="s">
        <v>740</v>
      </c>
      <c r="C591" s="13"/>
      <c r="D591" s="14" t="s">
        <v>18</v>
      </c>
      <c r="E591" s="14" t="s">
        <v>28</v>
      </c>
      <c r="F591" s="14" t="s">
        <v>27</v>
      </c>
      <c r="G591" s="17">
        <f>' MARZO-18-1'!I582</f>
        <v>10</v>
      </c>
      <c r="H591" s="51"/>
      <c r="I591" s="17">
        <f t="shared" si="11"/>
        <v>10</v>
      </c>
      <c r="J591" s="56"/>
      <c r="K591" s="56"/>
    </row>
    <row r="592" spans="1:11" ht="75">
      <c r="A592" s="144" t="s">
        <v>437</v>
      </c>
      <c r="B592" s="53" t="s">
        <v>742</v>
      </c>
      <c r="C592" s="13"/>
      <c r="D592" s="14"/>
      <c r="E592" s="14"/>
      <c r="F592" s="14"/>
      <c r="G592" s="17">
        <f>' MARZO-18-1'!I583</f>
        <v>0</v>
      </c>
      <c r="H592" s="51"/>
      <c r="I592" s="17"/>
      <c r="J592" s="56"/>
      <c r="K592" s="56"/>
    </row>
    <row r="593" spans="1:11" ht="29.25">
      <c r="A593" s="11">
        <v>51202</v>
      </c>
      <c r="B593" s="53" t="s">
        <v>743</v>
      </c>
      <c r="C593" s="13"/>
      <c r="D593" s="14" t="s">
        <v>18</v>
      </c>
      <c r="E593" s="14" t="s">
        <v>28</v>
      </c>
      <c r="F593" s="14" t="s">
        <v>27</v>
      </c>
      <c r="G593" s="17">
        <f>' MARZO-18-1'!I584</f>
        <v>7000</v>
      </c>
      <c r="H593" s="51"/>
      <c r="I593" s="17">
        <f t="shared" si="11"/>
        <v>7000</v>
      </c>
      <c r="J593" s="56"/>
      <c r="K593" s="56"/>
    </row>
    <row r="594" spans="1:11" ht="29.25">
      <c r="A594" s="11">
        <v>54110</v>
      </c>
      <c r="B594" s="53" t="s">
        <v>744</v>
      </c>
      <c r="C594" s="13"/>
      <c r="D594" s="14" t="s">
        <v>18</v>
      </c>
      <c r="E594" s="14" t="s">
        <v>28</v>
      </c>
      <c r="F594" s="14" t="s">
        <v>27</v>
      </c>
      <c r="G594" s="17">
        <f>' MARZO-18-1'!I585</f>
        <v>200</v>
      </c>
      <c r="H594" s="51"/>
      <c r="I594" s="17">
        <f t="shared" si="11"/>
        <v>200</v>
      </c>
      <c r="J594" s="56"/>
      <c r="K594" s="56"/>
    </row>
    <row r="595" spans="1:11" ht="43.5">
      <c r="A595" s="11">
        <v>54111</v>
      </c>
      <c r="B595" s="53" t="s">
        <v>745</v>
      </c>
      <c r="C595" s="13"/>
      <c r="D595" s="14" t="s">
        <v>18</v>
      </c>
      <c r="E595" s="14" t="s">
        <v>28</v>
      </c>
      <c r="F595" s="14" t="s">
        <v>27</v>
      </c>
      <c r="G595" s="17">
        <f>' MARZO-18-1'!I586</f>
        <v>9290</v>
      </c>
      <c r="H595" s="51"/>
      <c r="I595" s="17">
        <f t="shared" si="11"/>
        <v>9290</v>
      </c>
      <c r="J595" s="56"/>
      <c r="K595" s="56"/>
    </row>
    <row r="596" spans="1:11" ht="43.5">
      <c r="A596" s="11">
        <v>54118</v>
      </c>
      <c r="B596" s="53" t="s">
        <v>746</v>
      </c>
      <c r="C596" s="13"/>
      <c r="D596" s="14" t="s">
        <v>18</v>
      </c>
      <c r="E596" s="14" t="s">
        <v>28</v>
      </c>
      <c r="F596" s="14" t="s">
        <v>27</v>
      </c>
      <c r="G596" s="17">
        <f>' MARZO-18-1'!I587</f>
        <v>3000</v>
      </c>
      <c r="H596" s="51"/>
      <c r="I596" s="17">
        <f t="shared" si="11"/>
        <v>3000</v>
      </c>
      <c r="J596" s="56"/>
      <c r="K596" s="56"/>
    </row>
    <row r="597" spans="1:11" ht="43.5">
      <c r="A597" s="11">
        <v>54313</v>
      </c>
      <c r="B597" s="53" t="s">
        <v>747</v>
      </c>
      <c r="C597" s="13"/>
      <c r="D597" s="14" t="s">
        <v>18</v>
      </c>
      <c r="E597" s="14" t="s">
        <v>28</v>
      </c>
      <c r="F597" s="14" t="s">
        <v>27</v>
      </c>
      <c r="G597" s="17">
        <f>' MARZO-18-1'!I588</f>
        <v>300</v>
      </c>
      <c r="H597" s="51"/>
      <c r="I597" s="17">
        <f t="shared" si="11"/>
        <v>300</v>
      </c>
      <c r="J597" s="56"/>
      <c r="K597" s="56"/>
    </row>
    <row r="598" spans="1:11" ht="44.25">
      <c r="A598" s="11">
        <v>54399</v>
      </c>
      <c r="B598" s="53" t="s">
        <v>748</v>
      </c>
      <c r="C598" s="13"/>
      <c r="D598" s="14" t="s">
        <v>18</v>
      </c>
      <c r="E598" s="14" t="s">
        <v>28</v>
      </c>
      <c r="F598" s="14" t="s">
        <v>27</v>
      </c>
      <c r="G598" s="17">
        <f>' MARZO-18-1'!I589</f>
        <v>200</v>
      </c>
      <c r="H598" s="51"/>
      <c r="I598" s="17">
        <f t="shared" si="11"/>
        <v>200</v>
      </c>
      <c r="J598" s="56"/>
      <c r="K598" s="56"/>
    </row>
    <row r="599" spans="1:11" ht="29.25">
      <c r="A599" s="11">
        <v>55603</v>
      </c>
      <c r="B599" s="53" t="s">
        <v>749</v>
      </c>
      <c r="C599" s="13"/>
      <c r="D599" s="14" t="s">
        <v>18</v>
      </c>
      <c r="E599" s="14" t="s">
        <v>28</v>
      </c>
      <c r="F599" s="14" t="s">
        <v>27</v>
      </c>
      <c r="G599" s="17">
        <f>' MARZO-18-1'!I590</f>
        <v>10</v>
      </c>
      <c r="H599" s="51"/>
      <c r="I599" s="17">
        <f t="shared" si="11"/>
        <v>10</v>
      </c>
      <c r="J599" s="56"/>
      <c r="K599" s="56"/>
    </row>
    <row r="600" spans="1:11">
      <c r="A600" s="11"/>
      <c r="B600" s="54"/>
      <c r="C600" s="13"/>
      <c r="D600" s="14"/>
      <c r="E600" s="14"/>
      <c r="F600" s="14"/>
      <c r="G600" s="17">
        <f>' MARZO-18-1'!I591</f>
        <v>0</v>
      </c>
      <c r="H600" s="51"/>
      <c r="I600" s="17"/>
      <c r="J600" s="56"/>
      <c r="K600" s="56"/>
    </row>
    <row r="601" spans="1:11" ht="60">
      <c r="A601" s="141" t="s">
        <v>443</v>
      </c>
      <c r="B601" s="53" t="s">
        <v>750</v>
      </c>
      <c r="C601" s="13"/>
      <c r="D601" s="14"/>
      <c r="E601" s="14"/>
      <c r="F601" s="14"/>
      <c r="G601" s="17">
        <f>' MARZO-18-1'!I592</f>
        <v>0</v>
      </c>
      <c r="H601" s="51"/>
      <c r="I601" s="17"/>
      <c r="J601" s="56"/>
      <c r="K601" s="56"/>
    </row>
    <row r="602" spans="1:11" ht="29.25">
      <c r="A602" s="11">
        <v>51202</v>
      </c>
      <c r="B602" s="53" t="s">
        <v>741</v>
      </c>
      <c r="C602" s="13"/>
      <c r="D602" s="14" t="s">
        <v>18</v>
      </c>
      <c r="E602" s="14" t="s">
        <v>28</v>
      </c>
      <c r="F602" s="14" t="s">
        <v>27</v>
      </c>
      <c r="G602" s="17">
        <f>' MARZO-18-1'!I593</f>
        <v>3000</v>
      </c>
      <c r="H602" s="51"/>
      <c r="I602" s="17">
        <f t="shared" ref="I602:I668" si="12">G602-H602+J602-K602</f>
        <v>3000</v>
      </c>
      <c r="J602" s="56"/>
      <c r="K602" s="56"/>
    </row>
    <row r="603" spans="1:11" ht="29.25">
      <c r="A603" s="11">
        <v>54110</v>
      </c>
      <c r="B603" s="53" t="s">
        <v>751</v>
      </c>
      <c r="C603" s="13"/>
      <c r="D603" s="14" t="s">
        <v>18</v>
      </c>
      <c r="E603" s="14" t="s">
        <v>28</v>
      </c>
      <c r="F603" s="14" t="s">
        <v>27</v>
      </c>
      <c r="G603" s="17">
        <f>' MARZO-18-1'!I594</f>
        <v>100</v>
      </c>
      <c r="H603" s="51"/>
      <c r="I603" s="17">
        <f t="shared" si="12"/>
        <v>100</v>
      </c>
      <c r="J603" s="56"/>
      <c r="K603" s="56"/>
    </row>
    <row r="604" spans="1:11" ht="43.5">
      <c r="A604" s="11">
        <v>54111</v>
      </c>
      <c r="B604" s="53" t="s">
        <v>752</v>
      </c>
      <c r="C604" s="13"/>
      <c r="D604" s="14" t="s">
        <v>18</v>
      </c>
      <c r="E604" s="14" t="s">
        <v>28</v>
      </c>
      <c r="F604" s="14" t="s">
        <v>27</v>
      </c>
      <c r="G604" s="17">
        <f>' MARZO-18-1'!I595</f>
        <v>2000</v>
      </c>
      <c r="H604" s="51"/>
      <c r="I604" s="17">
        <f t="shared" si="12"/>
        <v>2000</v>
      </c>
      <c r="J604" s="56"/>
      <c r="K604" s="56"/>
    </row>
    <row r="605" spans="1:11" ht="29.25">
      <c r="A605" s="11">
        <v>54118</v>
      </c>
      <c r="B605" s="53" t="s">
        <v>753</v>
      </c>
      <c r="C605" s="13"/>
      <c r="D605" s="14" t="s">
        <v>18</v>
      </c>
      <c r="E605" s="14" t="s">
        <v>28</v>
      </c>
      <c r="F605" s="14" t="s">
        <v>27</v>
      </c>
      <c r="G605" s="17">
        <f>' MARZO-18-1'!I596</f>
        <v>290</v>
      </c>
      <c r="H605" s="51"/>
      <c r="I605" s="17">
        <f t="shared" si="12"/>
        <v>290</v>
      </c>
      <c r="J605" s="56"/>
      <c r="K605" s="56"/>
    </row>
    <row r="606" spans="1:11" ht="29.25">
      <c r="A606" s="11">
        <v>54304</v>
      </c>
      <c r="B606" s="53" t="s">
        <v>754</v>
      </c>
      <c r="C606" s="13"/>
      <c r="D606" s="14" t="s">
        <v>18</v>
      </c>
      <c r="E606" s="14" t="s">
        <v>28</v>
      </c>
      <c r="F606" s="14" t="s">
        <v>27</v>
      </c>
      <c r="G606" s="17">
        <f>' MARZO-18-1'!I597</f>
        <v>100</v>
      </c>
      <c r="H606" s="51"/>
      <c r="I606" s="17">
        <f t="shared" si="12"/>
        <v>100</v>
      </c>
      <c r="J606" s="56"/>
      <c r="K606" s="56"/>
    </row>
    <row r="607" spans="1:11" ht="29.25">
      <c r="A607" s="11">
        <v>54313</v>
      </c>
      <c r="B607" s="53" t="s">
        <v>755</v>
      </c>
      <c r="C607" s="13"/>
      <c r="D607" s="14" t="s">
        <v>18</v>
      </c>
      <c r="E607" s="14" t="s">
        <v>28</v>
      </c>
      <c r="F607" s="14" t="s">
        <v>27</v>
      </c>
      <c r="G607" s="17">
        <f>' MARZO-18-1'!I598</f>
        <v>300</v>
      </c>
      <c r="H607" s="17"/>
      <c r="I607" s="17">
        <f t="shared" si="12"/>
        <v>300</v>
      </c>
      <c r="J607" s="56"/>
      <c r="K607" s="56"/>
    </row>
    <row r="608" spans="1:11" ht="43.5">
      <c r="A608" s="11">
        <v>54399</v>
      </c>
      <c r="B608" s="53" t="s">
        <v>756</v>
      </c>
      <c r="C608" s="13"/>
      <c r="D608" s="14" t="s">
        <v>18</v>
      </c>
      <c r="E608" s="14" t="s">
        <v>28</v>
      </c>
      <c r="F608" s="14" t="s">
        <v>27</v>
      </c>
      <c r="G608" s="17">
        <f>' MARZO-18-1'!I599</f>
        <v>200</v>
      </c>
      <c r="H608" s="51"/>
      <c r="I608" s="17">
        <f t="shared" si="12"/>
        <v>200</v>
      </c>
      <c r="J608" s="56"/>
      <c r="K608" s="56"/>
    </row>
    <row r="609" spans="1:11" ht="29.25">
      <c r="A609" s="11">
        <v>55603</v>
      </c>
      <c r="B609" s="53" t="s">
        <v>757</v>
      </c>
      <c r="C609" s="13"/>
      <c r="D609" s="14" t="s">
        <v>18</v>
      </c>
      <c r="E609" s="14" t="s">
        <v>28</v>
      </c>
      <c r="F609" s="14" t="s">
        <v>27</v>
      </c>
      <c r="G609" s="17">
        <f>' MARZO-18-1'!I600</f>
        <v>10</v>
      </c>
      <c r="H609" s="51"/>
      <c r="I609" s="17">
        <f t="shared" si="12"/>
        <v>10</v>
      </c>
      <c r="J609" s="56"/>
      <c r="K609" s="56"/>
    </row>
    <row r="610" spans="1:11" ht="60">
      <c r="A610" s="141" t="s">
        <v>451</v>
      </c>
      <c r="B610" s="53" t="s">
        <v>758</v>
      </c>
      <c r="C610" s="13"/>
      <c r="D610" s="14"/>
      <c r="E610" s="14"/>
      <c r="F610" s="14"/>
      <c r="G610" s="17">
        <f>' MARZO-18-1'!I601</f>
        <v>0</v>
      </c>
      <c r="H610" s="51"/>
      <c r="I610" s="17"/>
      <c r="J610" s="56"/>
      <c r="K610" s="56"/>
    </row>
    <row r="611" spans="1:11" ht="29.25">
      <c r="A611" s="11">
        <v>51202</v>
      </c>
      <c r="B611" s="54" t="s">
        <v>759</v>
      </c>
      <c r="C611" s="13"/>
      <c r="D611" s="14" t="s">
        <v>18</v>
      </c>
      <c r="E611" s="14" t="s">
        <v>28</v>
      </c>
      <c r="F611" s="14" t="s">
        <v>27</v>
      </c>
      <c r="G611" s="17">
        <f>' MARZO-18-1'!I602</f>
        <v>0</v>
      </c>
      <c r="H611" s="51"/>
      <c r="I611" s="17">
        <f t="shared" si="12"/>
        <v>0</v>
      </c>
      <c r="J611" s="56"/>
      <c r="K611" s="142"/>
    </row>
    <row r="612" spans="1:11" ht="29.25">
      <c r="A612" s="11">
        <v>54110</v>
      </c>
      <c r="B612" s="54" t="s">
        <v>760</v>
      </c>
      <c r="C612" s="13"/>
      <c r="D612" s="14" t="s">
        <v>18</v>
      </c>
      <c r="E612" s="14" t="s">
        <v>28</v>
      </c>
      <c r="F612" s="14" t="s">
        <v>27</v>
      </c>
      <c r="G612" s="17">
        <f>' MARZO-18-1'!I603</f>
        <v>0</v>
      </c>
      <c r="H612" s="51"/>
      <c r="I612" s="17">
        <f t="shared" si="12"/>
        <v>0</v>
      </c>
      <c r="J612" s="56"/>
      <c r="K612" s="142"/>
    </row>
    <row r="613" spans="1:11" ht="41.25" customHeight="1">
      <c r="A613" s="11">
        <v>54111</v>
      </c>
      <c r="B613" s="54" t="s">
        <v>761</v>
      </c>
      <c r="C613" s="13"/>
      <c r="D613" s="14" t="s">
        <v>18</v>
      </c>
      <c r="E613" s="14" t="s">
        <v>28</v>
      </c>
      <c r="F613" s="14" t="s">
        <v>27</v>
      </c>
      <c r="G613" s="17">
        <f>' MARZO-18-1'!I604</f>
        <v>0</v>
      </c>
      <c r="H613" s="51"/>
      <c r="I613" s="17">
        <f t="shared" si="12"/>
        <v>0</v>
      </c>
      <c r="J613" s="56"/>
      <c r="K613" s="142"/>
    </row>
    <row r="614" spans="1:11" ht="30" customHeight="1">
      <c r="A614" s="11">
        <v>54118</v>
      </c>
      <c r="B614" s="54" t="s">
        <v>762</v>
      </c>
      <c r="C614" s="13"/>
      <c r="D614" s="14" t="s">
        <v>18</v>
      </c>
      <c r="E614" s="14" t="s">
        <v>28</v>
      </c>
      <c r="F614" s="14" t="s">
        <v>27</v>
      </c>
      <c r="G614" s="17">
        <f>' MARZO-18-1'!I605</f>
        <v>0</v>
      </c>
      <c r="H614" s="51"/>
      <c r="I614" s="17">
        <f t="shared" si="12"/>
        <v>0</v>
      </c>
      <c r="J614" s="56"/>
      <c r="K614" s="142"/>
    </row>
    <row r="615" spans="1:11" ht="29.25">
      <c r="A615" s="11">
        <v>54313</v>
      </c>
      <c r="B615" s="54" t="s">
        <v>763</v>
      </c>
      <c r="C615" s="13"/>
      <c r="D615" s="14" t="s">
        <v>18</v>
      </c>
      <c r="E615" s="14" t="s">
        <v>28</v>
      </c>
      <c r="F615" s="14" t="s">
        <v>27</v>
      </c>
      <c r="G615" s="17">
        <f>' MARZO-18-1'!I606</f>
        <v>0</v>
      </c>
      <c r="H615" s="51"/>
      <c r="I615" s="17">
        <f t="shared" si="12"/>
        <v>0</v>
      </c>
      <c r="J615" s="56"/>
      <c r="K615" s="142"/>
    </row>
    <row r="616" spans="1:11" ht="44.25">
      <c r="A616" s="11">
        <v>54399</v>
      </c>
      <c r="B616" s="54" t="s">
        <v>764</v>
      </c>
      <c r="C616" s="13"/>
      <c r="D616" s="14" t="s">
        <v>18</v>
      </c>
      <c r="E616" s="14" t="s">
        <v>28</v>
      </c>
      <c r="F616" s="14" t="s">
        <v>27</v>
      </c>
      <c r="G616" s="17">
        <f>' MARZO-18-1'!I607</f>
        <v>0</v>
      </c>
      <c r="H616" s="51"/>
      <c r="I616" s="17">
        <f t="shared" si="12"/>
        <v>0</v>
      </c>
      <c r="J616" s="56"/>
      <c r="K616" s="142"/>
    </row>
    <row r="617" spans="1:11" ht="29.25">
      <c r="A617" s="11">
        <v>55603</v>
      </c>
      <c r="B617" s="54" t="s">
        <v>765</v>
      </c>
      <c r="C617" s="13"/>
      <c r="D617" s="14" t="s">
        <v>18</v>
      </c>
      <c r="E617" s="14" t="s">
        <v>28</v>
      </c>
      <c r="F617" s="14" t="s">
        <v>27</v>
      </c>
      <c r="G617" s="17">
        <f>' MARZO-18-1'!I608</f>
        <v>0</v>
      </c>
      <c r="H617" s="51"/>
      <c r="I617" s="17">
        <f t="shared" si="12"/>
        <v>0</v>
      </c>
      <c r="J617" s="56"/>
      <c r="K617" s="142"/>
    </row>
    <row r="618" spans="1:11" ht="78.75" customHeight="1">
      <c r="A618" s="141" t="s">
        <v>459</v>
      </c>
      <c r="B618" s="53" t="s">
        <v>766</v>
      </c>
      <c r="C618" s="13"/>
      <c r="D618" s="14"/>
      <c r="E618" s="14"/>
      <c r="F618" s="14"/>
      <c r="G618" s="17">
        <f>' MARZO-18-1'!I609</f>
        <v>0</v>
      </c>
      <c r="H618" s="51"/>
      <c r="I618" s="17"/>
      <c r="J618" s="56"/>
      <c r="K618" s="56"/>
    </row>
    <row r="619" spans="1:11" ht="29.25">
      <c r="A619" s="11">
        <v>51202</v>
      </c>
      <c r="B619" s="54" t="s">
        <v>767</v>
      </c>
      <c r="C619" s="13"/>
      <c r="D619" s="14" t="s">
        <v>18</v>
      </c>
      <c r="E619" s="14" t="s">
        <v>28</v>
      </c>
      <c r="F619" s="14" t="s">
        <v>27</v>
      </c>
      <c r="G619" s="17">
        <f>' MARZO-18-1'!I610</f>
        <v>0</v>
      </c>
      <c r="H619" s="51"/>
      <c r="I619" s="17">
        <f t="shared" si="12"/>
        <v>0</v>
      </c>
      <c r="J619" s="56"/>
      <c r="K619" s="137"/>
    </row>
    <row r="620" spans="1:11" ht="29.25">
      <c r="A620" s="11">
        <v>54110</v>
      </c>
      <c r="B620" s="54" t="s">
        <v>768</v>
      </c>
      <c r="C620" s="13"/>
      <c r="D620" s="14" t="s">
        <v>18</v>
      </c>
      <c r="E620" s="14" t="s">
        <v>28</v>
      </c>
      <c r="F620" s="14" t="s">
        <v>27</v>
      </c>
      <c r="G620" s="17">
        <f>' MARZO-18-1'!I611</f>
        <v>0</v>
      </c>
      <c r="H620" s="51"/>
      <c r="I620" s="17">
        <f t="shared" si="12"/>
        <v>0</v>
      </c>
      <c r="J620" s="56"/>
      <c r="K620" s="137"/>
    </row>
    <row r="621" spans="1:11" ht="43.5">
      <c r="A621" s="11">
        <v>54111</v>
      </c>
      <c r="B621" s="54" t="s">
        <v>769</v>
      </c>
      <c r="C621" s="13"/>
      <c r="D621" s="14" t="s">
        <v>18</v>
      </c>
      <c r="E621" s="14" t="s">
        <v>28</v>
      </c>
      <c r="F621" s="14" t="s">
        <v>27</v>
      </c>
      <c r="G621" s="17">
        <f>' MARZO-18-1'!I612</f>
        <v>0</v>
      </c>
      <c r="H621" s="51"/>
      <c r="I621" s="17">
        <f t="shared" si="12"/>
        <v>0</v>
      </c>
      <c r="J621" s="56"/>
      <c r="K621" s="137"/>
    </row>
    <row r="622" spans="1:11" ht="43.5">
      <c r="A622" s="11">
        <v>54118</v>
      </c>
      <c r="B622" s="54" t="s">
        <v>770</v>
      </c>
      <c r="C622" s="13"/>
      <c r="D622" s="14" t="s">
        <v>18</v>
      </c>
      <c r="E622" s="14" t="s">
        <v>28</v>
      </c>
      <c r="F622" s="14" t="s">
        <v>27</v>
      </c>
      <c r="G622" s="17">
        <f>' MARZO-18-1'!I613</f>
        <v>0</v>
      </c>
      <c r="H622" s="51"/>
      <c r="I622" s="17">
        <f t="shared" si="12"/>
        <v>0</v>
      </c>
      <c r="J622" s="56"/>
      <c r="K622" s="137"/>
    </row>
    <row r="623" spans="1:11" ht="44.25">
      <c r="A623" s="11">
        <v>54313</v>
      </c>
      <c r="B623" s="54" t="s">
        <v>771</v>
      </c>
      <c r="C623" s="13"/>
      <c r="D623" s="14" t="s">
        <v>18</v>
      </c>
      <c r="E623" s="14" t="s">
        <v>28</v>
      </c>
      <c r="F623" s="14" t="s">
        <v>27</v>
      </c>
      <c r="G623" s="17">
        <f>' MARZO-18-1'!I614</f>
        <v>0</v>
      </c>
      <c r="H623" s="51"/>
      <c r="I623" s="17">
        <f t="shared" si="12"/>
        <v>0</v>
      </c>
      <c r="J623" s="56"/>
      <c r="K623" s="137"/>
    </row>
    <row r="624" spans="1:11" ht="43.5">
      <c r="A624" s="11">
        <v>54399</v>
      </c>
      <c r="B624" s="54" t="s">
        <v>772</v>
      </c>
      <c r="C624" s="13"/>
      <c r="D624" s="14" t="s">
        <v>18</v>
      </c>
      <c r="E624" s="14" t="s">
        <v>28</v>
      </c>
      <c r="F624" s="14" t="s">
        <v>27</v>
      </c>
      <c r="G624" s="17">
        <f>' MARZO-18-1'!I615</f>
        <v>0</v>
      </c>
      <c r="H624" s="51"/>
      <c r="I624" s="17">
        <f t="shared" si="12"/>
        <v>0</v>
      </c>
      <c r="J624" s="56"/>
      <c r="K624" s="137"/>
    </row>
    <row r="625" spans="1:11" ht="43.5">
      <c r="A625" s="11">
        <v>55603</v>
      </c>
      <c r="B625" s="54" t="s">
        <v>773</v>
      </c>
      <c r="C625" s="13"/>
      <c r="D625" s="14" t="s">
        <v>18</v>
      </c>
      <c r="E625" s="14" t="s">
        <v>28</v>
      </c>
      <c r="F625" s="14" t="s">
        <v>27</v>
      </c>
      <c r="G625" s="17">
        <f>' MARZO-18-1'!I616</f>
        <v>0</v>
      </c>
      <c r="H625" s="51"/>
      <c r="I625" s="17">
        <f t="shared" si="12"/>
        <v>0</v>
      </c>
      <c r="J625" s="56"/>
      <c r="K625" s="137"/>
    </row>
    <row r="626" spans="1:11" ht="74.25">
      <c r="A626" s="11" t="s">
        <v>461</v>
      </c>
      <c r="B626" s="53" t="s">
        <v>774</v>
      </c>
      <c r="C626" s="13"/>
      <c r="D626" s="14"/>
      <c r="E626" s="14"/>
      <c r="F626" s="14"/>
      <c r="G626" s="17">
        <f>' MARZO-18-1'!I617</f>
        <v>0</v>
      </c>
      <c r="H626" s="51"/>
      <c r="I626" s="17"/>
      <c r="J626" s="56"/>
      <c r="K626" s="56"/>
    </row>
    <row r="627" spans="1:11" ht="29.25">
      <c r="A627" s="11">
        <v>51202</v>
      </c>
      <c r="B627" s="54" t="s">
        <v>775</v>
      </c>
      <c r="C627" s="13"/>
      <c r="D627" s="14" t="s">
        <v>18</v>
      </c>
      <c r="E627" s="14" t="s">
        <v>28</v>
      </c>
      <c r="F627" s="14" t="s">
        <v>27</v>
      </c>
      <c r="G627" s="17">
        <f>' MARZO-18-1'!I618</f>
        <v>7000</v>
      </c>
      <c r="H627" s="51"/>
      <c r="I627" s="17">
        <f t="shared" si="12"/>
        <v>7000</v>
      </c>
      <c r="J627" s="56"/>
      <c r="K627" s="56"/>
    </row>
    <row r="628" spans="1:11" ht="29.25">
      <c r="A628" s="11">
        <v>54110</v>
      </c>
      <c r="B628" s="54" t="s">
        <v>776</v>
      </c>
      <c r="C628" s="13"/>
      <c r="D628" s="14" t="s">
        <v>18</v>
      </c>
      <c r="E628" s="14" t="s">
        <v>28</v>
      </c>
      <c r="F628" s="14" t="s">
        <v>27</v>
      </c>
      <c r="G628" s="17">
        <f>' MARZO-18-1'!I619</f>
        <v>200</v>
      </c>
      <c r="H628" s="51"/>
      <c r="I628" s="17">
        <f t="shared" si="12"/>
        <v>200</v>
      </c>
      <c r="J628" s="56"/>
      <c r="K628" s="56"/>
    </row>
    <row r="629" spans="1:11" ht="44.25">
      <c r="A629" s="11">
        <v>54111</v>
      </c>
      <c r="B629" s="54" t="s">
        <v>777</v>
      </c>
      <c r="C629" s="13"/>
      <c r="D629" s="14" t="s">
        <v>18</v>
      </c>
      <c r="E629" s="14" t="s">
        <v>28</v>
      </c>
      <c r="F629" s="14" t="s">
        <v>27</v>
      </c>
      <c r="G629" s="17">
        <f>' MARZO-18-1'!I620</f>
        <v>9290</v>
      </c>
      <c r="H629" s="51"/>
      <c r="I629" s="17">
        <f t="shared" si="12"/>
        <v>9290</v>
      </c>
      <c r="J629" s="56"/>
      <c r="K629" s="56"/>
    </row>
    <row r="630" spans="1:11" ht="43.5">
      <c r="A630" s="11">
        <v>54118</v>
      </c>
      <c r="B630" s="54" t="s">
        <v>778</v>
      </c>
      <c r="C630" s="13"/>
      <c r="D630" s="14" t="s">
        <v>18</v>
      </c>
      <c r="E630" s="14" t="s">
        <v>28</v>
      </c>
      <c r="F630" s="14" t="s">
        <v>27</v>
      </c>
      <c r="G630" s="17">
        <f>' MARZO-18-1'!I621</f>
        <v>3000</v>
      </c>
      <c r="H630" s="51"/>
      <c r="I630" s="17">
        <f t="shared" si="12"/>
        <v>3000</v>
      </c>
      <c r="J630" s="56"/>
      <c r="K630" s="56"/>
    </row>
    <row r="631" spans="1:11" ht="43.5">
      <c r="A631" s="11">
        <v>54313</v>
      </c>
      <c r="B631" s="54" t="s">
        <v>779</v>
      </c>
      <c r="C631" s="13"/>
      <c r="D631" s="14" t="s">
        <v>18</v>
      </c>
      <c r="E631" s="14" t="s">
        <v>28</v>
      </c>
      <c r="F631" s="14" t="s">
        <v>27</v>
      </c>
      <c r="G631" s="17">
        <f>' MARZO-18-1'!I622</f>
        <v>300</v>
      </c>
      <c r="H631" s="51"/>
      <c r="I631" s="17">
        <f t="shared" si="12"/>
        <v>300</v>
      </c>
      <c r="J631" s="56"/>
      <c r="K631" s="56"/>
    </row>
    <row r="632" spans="1:11" ht="43.5">
      <c r="A632" s="11">
        <v>54399</v>
      </c>
      <c r="B632" s="54" t="s">
        <v>780</v>
      </c>
      <c r="C632" s="13"/>
      <c r="D632" s="14" t="s">
        <v>18</v>
      </c>
      <c r="E632" s="14" t="s">
        <v>28</v>
      </c>
      <c r="F632" s="14" t="s">
        <v>27</v>
      </c>
      <c r="G632" s="17">
        <f>' MARZO-18-1'!I623</f>
        <v>200</v>
      </c>
      <c r="H632" s="51"/>
      <c r="I632" s="17">
        <f t="shared" si="12"/>
        <v>200</v>
      </c>
      <c r="J632" s="56"/>
      <c r="K632" s="56"/>
    </row>
    <row r="633" spans="1:11" ht="43.5">
      <c r="A633" s="11">
        <v>55603</v>
      </c>
      <c r="B633" s="54" t="s">
        <v>781</v>
      </c>
      <c r="C633" s="13"/>
      <c r="D633" s="14" t="s">
        <v>18</v>
      </c>
      <c r="E633" s="14" t="s">
        <v>28</v>
      </c>
      <c r="F633" s="14" t="s">
        <v>27</v>
      </c>
      <c r="G633" s="17">
        <f>' MARZO-18-1'!I624</f>
        <v>10</v>
      </c>
      <c r="H633" s="51"/>
      <c r="I633" s="17">
        <f t="shared" si="12"/>
        <v>10</v>
      </c>
      <c r="J633" s="56"/>
      <c r="K633" s="56"/>
    </row>
    <row r="634" spans="1:11" ht="89.25">
      <c r="A634" s="141" t="s">
        <v>468</v>
      </c>
      <c r="B634" s="53" t="s">
        <v>782</v>
      </c>
      <c r="C634" s="13"/>
      <c r="D634" s="14"/>
      <c r="E634" s="14"/>
      <c r="F634" s="14"/>
      <c r="G634" s="17">
        <f>' MARZO-18-1'!I625</f>
        <v>0</v>
      </c>
      <c r="H634" s="51"/>
      <c r="I634" s="17"/>
      <c r="J634" s="56"/>
      <c r="K634" s="56"/>
    </row>
    <row r="635" spans="1:11" ht="29.25">
      <c r="A635" s="11">
        <v>51202</v>
      </c>
      <c r="B635" s="54" t="s">
        <v>783</v>
      </c>
      <c r="C635" s="13"/>
      <c r="D635" s="14" t="s">
        <v>18</v>
      </c>
      <c r="E635" s="14" t="s">
        <v>28</v>
      </c>
      <c r="F635" s="14" t="s">
        <v>27</v>
      </c>
      <c r="G635" s="17">
        <f>' MARZO-18-1'!I626</f>
        <v>7000</v>
      </c>
      <c r="H635" s="51"/>
      <c r="I635" s="17">
        <f t="shared" si="12"/>
        <v>7000</v>
      </c>
      <c r="J635" s="56"/>
      <c r="K635" s="56"/>
    </row>
    <row r="636" spans="1:11" ht="43.5">
      <c r="A636" s="11">
        <v>54110</v>
      </c>
      <c r="B636" s="54" t="s">
        <v>784</v>
      </c>
      <c r="C636" s="13"/>
      <c r="D636" s="14" t="s">
        <v>18</v>
      </c>
      <c r="E636" s="14" t="s">
        <v>28</v>
      </c>
      <c r="F636" s="14" t="s">
        <v>27</v>
      </c>
      <c r="G636" s="17">
        <f>' MARZO-18-1'!I627</f>
        <v>200</v>
      </c>
      <c r="H636" s="51"/>
      <c r="I636" s="17">
        <f t="shared" si="12"/>
        <v>200</v>
      </c>
      <c r="J636" s="56"/>
      <c r="K636" s="56"/>
    </row>
    <row r="637" spans="1:11" ht="44.25">
      <c r="A637" s="11">
        <v>54111</v>
      </c>
      <c r="B637" s="53" t="s">
        <v>785</v>
      </c>
      <c r="C637" s="13"/>
      <c r="D637" s="14" t="s">
        <v>18</v>
      </c>
      <c r="E637" s="14" t="s">
        <v>28</v>
      </c>
      <c r="F637" s="14" t="s">
        <v>27</v>
      </c>
      <c r="G637" s="17">
        <f>' MARZO-18-1'!I628</f>
        <v>9290</v>
      </c>
      <c r="H637" s="51"/>
      <c r="I637" s="17">
        <f t="shared" si="12"/>
        <v>9290</v>
      </c>
      <c r="J637" s="56"/>
      <c r="K637" s="56"/>
    </row>
    <row r="638" spans="1:11" ht="43.5">
      <c r="A638" s="11">
        <v>54118</v>
      </c>
      <c r="B638" s="54" t="s">
        <v>786</v>
      </c>
      <c r="C638" s="13"/>
      <c r="D638" s="14" t="s">
        <v>18</v>
      </c>
      <c r="E638" s="14" t="s">
        <v>28</v>
      </c>
      <c r="F638" s="14" t="s">
        <v>27</v>
      </c>
      <c r="G638" s="17">
        <f>' MARZO-18-1'!I629</f>
        <v>3000</v>
      </c>
      <c r="H638" s="51"/>
      <c r="I638" s="17">
        <f t="shared" si="12"/>
        <v>3000</v>
      </c>
      <c r="J638" s="56"/>
      <c r="K638" s="56"/>
    </row>
    <row r="639" spans="1:11" ht="44.25">
      <c r="A639" s="11">
        <v>54313</v>
      </c>
      <c r="B639" s="54" t="s">
        <v>787</v>
      </c>
      <c r="C639" s="13"/>
      <c r="D639" s="14" t="s">
        <v>18</v>
      </c>
      <c r="E639" s="14" t="s">
        <v>28</v>
      </c>
      <c r="F639" s="14" t="s">
        <v>27</v>
      </c>
      <c r="G639" s="17">
        <f>' MARZO-18-1'!I630</f>
        <v>300</v>
      </c>
      <c r="H639" s="51"/>
      <c r="I639" s="17">
        <f t="shared" si="12"/>
        <v>300</v>
      </c>
      <c r="J639" s="56"/>
      <c r="K639" s="56"/>
    </row>
    <row r="640" spans="1:11" ht="44.25">
      <c r="A640" s="11">
        <v>54399</v>
      </c>
      <c r="B640" s="54" t="s">
        <v>788</v>
      </c>
      <c r="C640" s="13"/>
      <c r="D640" s="14" t="s">
        <v>18</v>
      </c>
      <c r="E640" s="14" t="s">
        <v>28</v>
      </c>
      <c r="F640" s="14" t="s">
        <v>27</v>
      </c>
      <c r="G640" s="17">
        <f>' MARZO-18-1'!I631</f>
        <v>200</v>
      </c>
      <c r="H640" s="51"/>
      <c r="I640" s="17">
        <f t="shared" si="12"/>
        <v>200</v>
      </c>
      <c r="J640" s="56"/>
      <c r="K640" s="56"/>
    </row>
    <row r="641" spans="1:11" ht="40.5" customHeight="1">
      <c r="A641" s="11">
        <v>55603</v>
      </c>
      <c r="B641" s="54" t="s">
        <v>789</v>
      </c>
      <c r="C641" s="13"/>
      <c r="D641" s="14" t="s">
        <v>18</v>
      </c>
      <c r="E641" s="14" t="s">
        <v>28</v>
      </c>
      <c r="F641" s="14" t="s">
        <v>27</v>
      </c>
      <c r="G641" s="17">
        <f>' MARZO-18-1'!I632</f>
        <v>10</v>
      </c>
      <c r="H641" s="51"/>
      <c r="I641" s="17">
        <f t="shared" si="12"/>
        <v>10</v>
      </c>
      <c r="J641" s="56"/>
      <c r="K641" s="56"/>
    </row>
    <row r="642" spans="1:11" ht="60">
      <c r="A642" s="144" t="s">
        <v>477</v>
      </c>
      <c r="B642" s="53" t="s">
        <v>791</v>
      </c>
      <c r="C642" s="13"/>
      <c r="D642" s="14"/>
      <c r="E642" s="14"/>
      <c r="F642" s="14"/>
      <c r="G642" s="17">
        <f>' MARZO-18-1'!I633</f>
        <v>0</v>
      </c>
      <c r="H642" s="51"/>
      <c r="I642" s="17"/>
      <c r="J642" s="56"/>
      <c r="K642" s="56"/>
    </row>
    <row r="643" spans="1:11" ht="30">
      <c r="A643" s="11">
        <v>51202</v>
      </c>
      <c r="B643" s="54" t="s">
        <v>792</v>
      </c>
      <c r="C643" s="13"/>
      <c r="D643" s="14" t="s">
        <v>18</v>
      </c>
      <c r="E643" s="14" t="s">
        <v>28</v>
      </c>
      <c r="F643" s="14" t="s">
        <v>27</v>
      </c>
      <c r="G643" s="17">
        <f>' MARZO-18-1'!I634</f>
        <v>9000</v>
      </c>
      <c r="H643" s="51"/>
      <c r="I643" s="17">
        <f t="shared" si="12"/>
        <v>9000</v>
      </c>
      <c r="J643" s="56"/>
      <c r="K643" s="56"/>
    </row>
    <row r="644" spans="1:11" ht="30">
      <c r="A644" s="11">
        <v>54110</v>
      </c>
      <c r="B644" s="54" t="s">
        <v>793</v>
      </c>
      <c r="C644" s="13"/>
      <c r="D644" s="14" t="s">
        <v>18</v>
      </c>
      <c r="E644" s="14" t="s">
        <v>28</v>
      </c>
      <c r="F644" s="14" t="s">
        <v>27</v>
      </c>
      <c r="G644" s="17">
        <f>' MARZO-18-1'!I635</f>
        <v>200</v>
      </c>
      <c r="H644" s="51"/>
      <c r="I644" s="17">
        <f t="shared" si="12"/>
        <v>200</v>
      </c>
      <c r="J644" s="56"/>
      <c r="K644" s="56"/>
    </row>
    <row r="645" spans="1:11" ht="30">
      <c r="A645" s="11">
        <v>54111</v>
      </c>
      <c r="B645" s="54" t="s">
        <v>794</v>
      </c>
      <c r="C645" s="13"/>
      <c r="D645" s="14" t="s">
        <v>18</v>
      </c>
      <c r="E645" s="14" t="s">
        <v>28</v>
      </c>
      <c r="F645" s="14" t="s">
        <v>27</v>
      </c>
      <c r="G645" s="17">
        <f>' MARZO-18-1'!I636</f>
        <v>11290</v>
      </c>
      <c r="H645" s="51"/>
      <c r="I645" s="17">
        <f t="shared" si="12"/>
        <v>11290</v>
      </c>
      <c r="J645" s="56"/>
      <c r="K645" s="56"/>
    </row>
    <row r="646" spans="1:11" ht="30">
      <c r="A646" s="11">
        <v>54118</v>
      </c>
      <c r="B646" s="54" t="s">
        <v>795</v>
      </c>
      <c r="C646" s="13"/>
      <c r="D646" s="14" t="s">
        <v>18</v>
      </c>
      <c r="E646" s="14" t="s">
        <v>28</v>
      </c>
      <c r="F646" s="14" t="s">
        <v>27</v>
      </c>
      <c r="G646" s="17">
        <f>' MARZO-18-1'!I637</f>
        <v>3000</v>
      </c>
      <c r="H646" s="51"/>
      <c r="I646" s="17">
        <f t="shared" si="12"/>
        <v>3000</v>
      </c>
      <c r="J646" s="56"/>
      <c r="K646" s="56"/>
    </row>
    <row r="647" spans="1:11" ht="45">
      <c r="A647" s="11">
        <v>54313</v>
      </c>
      <c r="B647" s="54" t="s">
        <v>796</v>
      </c>
      <c r="C647" s="13"/>
      <c r="D647" s="14" t="s">
        <v>18</v>
      </c>
      <c r="E647" s="14" t="s">
        <v>28</v>
      </c>
      <c r="F647" s="14" t="s">
        <v>27</v>
      </c>
      <c r="G647" s="17">
        <f>' MARZO-18-1'!I638</f>
        <v>300</v>
      </c>
      <c r="H647" s="51"/>
      <c r="I647" s="17">
        <f t="shared" si="12"/>
        <v>300</v>
      </c>
      <c r="J647" s="56"/>
      <c r="K647" s="56"/>
    </row>
    <row r="648" spans="1:11" ht="30">
      <c r="A648" s="11">
        <v>54399</v>
      </c>
      <c r="B648" s="54" t="s">
        <v>797</v>
      </c>
      <c r="C648" s="13"/>
      <c r="D648" s="14" t="s">
        <v>18</v>
      </c>
      <c r="E648" s="14" t="s">
        <v>28</v>
      </c>
      <c r="F648" s="14" t="s">
        <v>27</v>
      </c>
      <c r="G648" s="17">
        <f>' MARZO-18-1'!I639</f>
        <v>1200</v>
      </c>
      <c r="H648" s="51"/>
      <c r="I648" s="17">
        <f t="shared" si="12"/>
        <v>1200</v>
      </c>
      <c r="J648" s="56"/>
      <c r="K648" s="56"/>
    </row>
    <row r="649" spans="1:11" ht="30">
      <c r="A649" s="11">
        <v>55603</v>
      </c>
      <c r="B649" s="54" t="s">
        <v>798</v>
      </c>
      <c r="C649" s="13"/>
      <c r="D649" s="14" t="s">
        <v>18</v>
      </c>
      <c r="E649" s="14" t="s">
        <v>28</v>
      </c>
      <c r="F649" s="14" t="s">
        <v>27</v>
      </c>
      <c r="G649" s="17">
        <f>' MARZO-18-1'!I640</f>
        <v>10</v>
      </c>
      <c r="H649" s="51"/>
      <c r="I649" s="17">
        <f t="shared" si="12"/>
        <v>10</v>
      </c>
      <c r="J649" s="56"/>
      <c r="K649" s="56"/>
    </row>
    <row r="650" spans="1:11" ht="60">
      <c r="A650" s="141" t="s">
        <v>486</v>
      </c>
      <c r="B650" s="53" t="s">
        <v>790</v>
      </c>
      <c r="C650" s="13"/>
      <c r="D650" s="14"/>
      <c r="E650" s="14"/>
      <c r="F650" s="14"/>
      <c r="G650" s="17">
        <f>' MARZO-18-1'!I641</f>
        <v>0</v>
      </c>
      <c r="H650" s="51"/>
      <c r="I650" s="17"/>
      <c r="J650" s="56"/>
      <c r="K650" s="56"/>
    </row>
    <row r="651" spans="1:11" ht="29.25">
      <c r="A651" s="11">
        <v>51202</v>
      </c>
      <c r="B651" s="54" t="s">
        <v>799</v>
      </c>
      <c r="C651" s="13"/>
      <c r="D651" s="14" t="s">
        <v>18</v>
      </c>
      <c r="E651" s="14" t="s">
        <v>28</v>
      </c>
      <c r="F651" s="14" t="s">
        <v>27</v>
      </c>
      <c r="G651" s="17">
        <f>' MARZO-18-1'!I642</f>
        <v>9000</v>
      </c>
      <c r="H651" s="51"/>
      <c r="I651" s="17">
        <f t="shared" si="12"/>
        <v>9000</v>
      </c>
      <c r="J651" s="56"/>
      <c r="K651" s="56"/>
    </row>
    <row r="652" spans="1:11" ht="29.25">
      <c r="A652" s="11">
        <v>54110</v>
      </c>
      <c r="B652" s="54" t="s">
        <v>800</v>
      </c>
      <c r="C652" s="13"/>
      <c r="D652" s="14" t="s">
        <v>18</v>
      </c>
      <c r="E652" s="14" t="s">
        <v>28</v>
      </c>
      <c r="F652" s="14" t="s">
        <v>27</v>
      </c>
      <c r="G652" s="17">
        <f>' MARZO-18-1'!I643</f>
        <v>200</v>
      </c>
      <c r="H652" s="51"/>
      <c r="I652" s="17">
        <f t="shared" si="12"/>
        <v>200</v>
      </c>
      <c r="J652" s="56"/>
      <c r="K652" s="56"/>
    </row>
    <row r="653" spans="1:11" ht="44.25">
      <c r="A653" s="11">
        <v>54111</v>
      </c>
      <c r="B653" s="54" t="s">
        <v>801</v>
      </c>
      <c r="C653" s="13"/>
      <c r="D653" s="14" t="s">
        <v>18</v>
      </c>
      <c r="E653" s="14" t="s">
        <v>28</v>
      </c>
      <c r="F653" s="14" t="s">
        <v>27</v>
      </c>
      <c r="G653" s="17">
        <f>' MARZO-18-1'!I644</f>
        <v>12290</v>
      </c>
      <c r="H653" s="51"/>
      <c r="I653" s="17">
        <f t="shared" si="12"/>
        <v>12290</v>
      </c>
      <c r="J653" s="56"/>
      <c r="K653" s="56"/>
    </row>
    <row r="654" spans="1:11" ht="29.25">
      <c r="A654" s="11">
        <v>54118</v>
      </c>
      <c r="B654" s="54" t="s">
        <v>802</v>
      </c>
      <c r="C654" s="13"/>
      <c r="D654" s="14" t="s">
        <v>18</v>
      </c>
      <c r="E654" s="14" t="s">
        <v>28</v>
      </c>
      <c r="F654" s="14" t="s">
        <v>27</v>
      </c>
      <c r="G654" s="17">
        <f>' MARZO-18-1'!I645</f>
        <v>3000</v>
      </c>
      <c r="H654" s="51"/>
      <c r="I654" s="17">
        <f t="shared" si="12"/>
        <v>3000</v>
      </c>
      <c r="J654" s="56"/>
      <c r="K654" s="56"/>
    </row>
    <row r="655" spans="1:11" ht="43.5">
      <c r="A655" s="11">
        <v>54313</v>
      </c>
      <c r="B655" s="54" t="s">
        <v>803</v>
      </c>
      <c r="C655" s="13"/>
      <c r="D655" s="14" t="s">
        <v>18</v>
      </c>
      <c r="E655" s="14" t="s">
        <v>28</v>
      </c>
      <c r="F655" s="14" t="s">
        <v>27</v>
      </c>
      <c r="G655" s="17">
        <f>' MARZO-18-1'!I646</f>
        <v>300</v>
      </c>
      <c r="H655" s="51"/>
      <c r="I655" s="17">
        <f t="shared" si="12"/>
        <v>300</v>
      </c>
      <c r="J655" s="56"/>
      <c r="K655" s="56"/>
    </row>
    <row r="656" spans="1:11" ht="43.5">
      <c r="A656" s="11">
        <v>54399</v>
      </c>
      <c r="B656" s="54" t="s">
        <v>804</v>
      </c>
      <c r="C656" s="13"/>
      <c r="D656" s="14" t="s">
        <v>18</v>
      </c>
      <c r="E656" s="14" t="s">
        <v>28</v>
      </c>
      <c r="F656" s="14" t="s">
        <v>27</v>
      </c>
      <c r="G656" s="17">
        <f>' MARZO-18-1'!I647</f>
        <v>200</v>
      </c>
      <c r="H656" s="51"/>
      <c r="I656" s="17">
        <f t="shared" si="12"/>
        <v>200</v>
      </c>
      <c r="J656" s="56"/>
      <c r="K656" s="56"/>
    </row>
    <row r="657" spans="1:11" ht="33.75" customHeight="1">
      <c r="A657" s="11">
        <v>55603</v>
      </c>
      <c r="B657" s="54" t="s">
        <v>805</v>
      </c>
      <c r="C657" s="13"/>
      <c r="D657" s="14" t="s">
        <v>18</v>
      </c>
      <c r="E657" s="14" t="s">
        <v>28</v>
      </c>
      <c r="F657" s="14" t="s">
        <v>27</v>
      </c>
      <c r="G657" s="17">
        <f>' MARZO-18-1'!I648</f>
        <v>10</v>
      </c>
      <c r="H657" s="51"/>
      <c r="I657" s="17">
        <f t="shared" si="12"/>
        <v>10</v>
      </c>
      <c r="J657" s="56"/>
      <c r="K657" s="56"/>
    </row>
    <row r="658" spans="1:11" ht="75">
      <c r="A658" s="141" t="s">
        <v>504</v>
      </c>
      <c r="B658" s="53" t="s">
        <v>806</v>
      </c>
      <c r="C658" s="13"/>
      <c r="D658" s="14"/>
      <c r="E658" s="14"/>
      <c r="F658" s="14"/>
      <c r="G658" s="17">
        <f>' MARZO-18-1'!I649</f>
        <v>0</v>
      </c>
      <c r="H658" s="51"/>
      <c r="I658" s="17"/>
      <c r="J658" s="56"/>
      <c r="K658" s="56"/>
    </row>
    <row r="659" spans="1:11" ht="29.25">
      <c r="A659" s="11">
        <v>51202</v>
      </c>
      <c r="B659" s="54" t="s">
        <v>807</v>
      </c>
      <c r="C659" s="13"/>
      <c r="D659" s="14" t="s">
        <v>18</v>
      </c>
      <c r="E659" s="14" t="s">
        <v>28</v>
      </c>
      <c r="F659" s="14" t="s">
        <v>27</v>
      </c>
      <c r="G659" s="17">
        <f>' MARZO-18-1'!I650</f>
        <v>7000</v>
      </c>
      <c r="H659" s="51"/>
      <c r="I659" s="17">
        <f t="shared" si="12"/>
        <v>7000</v>
      </c>
      <c r="J659" s="56"/>
      <c r="K659" s="56"/>
    </row>
    <row r="660" spans="1:11" ht="29.25">
      <c r="A660" s="11">
        <v>54110</v>
      </c>
      <c r="B660" s="54" t="s">
        <v>808</v>
      </c>
      <c r="C660" s="13"/>
      <c r="D660" s="14" t="s">
        <v>18</v>
      </c>
      <c r="E660" s="14" t="s">
        <v>28</v>
      </c>
      <c r="F660" s="14" t="s">
        <v>27</v>
      </c>
      <c r="G660" s="17">
        <f>' MARZO-18-1'!I651</f>
        <v>200</v>
      </c>
      <c r="H660" s="51"/>
      <c r="I660" s="17">
        <f t="shared" si="12"/>
        <v>200</v>
      </c>
      <c r="J660" s="56"/>
      <c r="K660" s="56"/>
    </row>
    <row r="661" spans="1:11" ht="29.25">
      <c r="A661" s="11">
        <v>54111</v>
      </c>
      <c r="B661" s="54" t="s">
        <v>809</v>
      </c>
      <c r="C661" s="13"/>
      <c r="D661" s="14" t="s">
        <v>18</v>
      </c>
      <c r="E661" s="14" t="s">
        <v>28</v>
      </c>
      <c r="F661" s="14" t="s">
        <v>27</v>
      </c>
      <c r="G661" s="17">
        <f>' MARZO-18-1'!I652</f>
        <v>10290</v>
      </c>
      <c r="H661" s="51"/>
      <c r="I661" s="17">
        <f t="shared" si="12"/>
        <v>10290</v>
      </c>
      <c r="J661" s="56"/>
      <c r="K661" s="56"/>
    </row>
    <row r="662" spans="1:11" ht="29.25">
      <c r="A662" s="11">
        <v>54118</v>
      </c>
      <c r="B662" s="54" t="s">
        <v>810</v>
      </c>
      <c r="C662" s="13"/>
      <c r="D662" s="14" t="s">
        <v>18</v>
      </c>
      <c r="E662" s="14" t="s">
        <v>28</v>
      </c>
      <c r="F662" s="14" t="s">
        <v>27</v>
      </c>
      <c r="G662" s="17">
        <f>' MARZO-18-1'!I653</f>
        <v>1500</v>
      </c>
      <c r="H662" s="51"/>
      <c r="I662" s="17">
        <f t="shared" si="12"/>
        <v>1500</v>
      </c>
      <c r="J662" s="56"/>
      <c r="K662" s="56"/>
    </row>
    <row r="663" spans="1:11" ht="44.25">
      <c r="A663" s="11">
        <v>54313</v>
      </c>
      <c r="B663" s="54" t="s">
        <v>811</v>
      </c>
      <c r="C663" s="13"/>
      <c r="D663" s="14" t="s">
        <v>18</v>
      </c>
      <c r="E663" s="14" t="s">
        <v>28</v>
      </c>
      <c r="F663" s="14" t="s">
        <v>27</v>
      </c>
      <c r="G663" s="17">
        <f>' MARZO-18-1'!I654</f>
        <v>300</v>
      </c>
      <c r="H663" s="51"/>
      <c r="I663" s="17">
        <f t="shared" si="12"/>
        <v>300</v>
      </c>
      <c r="J663" s="56"/>
      <c r="K663" s="56"/>
    </row>
    <row r="664" spans="1:11" ht="29.25">
      <c r="A664" s="11">
        <v>54399</v>
      </c>
      <c r="B664" s="54" t="s">
        <v>812</v>
      </c>
      <c r="C664" s="13"/>
      <c r="D664" s="14" t="s">
        <v>18</v>
      </c>
      <c r="E664" s="14" t="s">
        <v>28</v>
      </c>
      <c r="F664" s="14" t="s">
        <v>27</v>
      </c>
      <c r="G664" s="17">
        <f>' MARZO-18-1'!I655</f>
        <v>700</v>
      </c>
      <c r="H664" s="51"/>
      <c r="I664" s="17">
        <f t="shared" si="12"/>
        <v>700</v>
      </c>
      <c r="J664" s="56"/>
      <c r="K664" s="56"/>
    </row>
    <row r="665" spans="1:11" ht="29.25">
      <c r="A665" s="11">
        <v>55603</v>
      </c>
      <c r="B665" s="54" t="s">
        <v>813</v>
      </c>
      <c r="C665" s="13"/>
      <c r="D665" s="14" t="s">
        <v>18</v>
      </c>
      <c r="E665" s="14" t="s">
        <v>28</v>
      </c>
      <c r="F665" s="14" t="s">
        <v>27</v>
      </c>
      <c r="G665" s="17">
        <f>' MARZO-18-1'!I656</f>
        <v>10</v>
      </c>
      <c r="H665" s="51"/>
      <c r="I665" s="17">
        <f t="shared" si="12"/>
        <v>10</v>
      </c>
      <c r="J665" s="56"/>
      <c r="K665" s="56"/>
    </row>
    <row r="666" spans="1:11" ht="88.5">
      <c r="A666" s="141" t="s">
        <v>505</v>
      </c>
      <c r="B666" s="53" t="s">
        <v>821</v>
      </c>
      <c r="C666" s="13"/>
      <c r="D666" s="14"/>
      <c r="E666" s="14"/>
      <c r="F666" s="14"/>
      <c r="G666" s="17">
        <f>' MARZO-18-1'!I657</f>
        <v>0</v>
      </c>
      <c r="H666" s="51"/>
      <c r="I666" s="17"/>
      <c r="J666" s="56"/>
      <c r="K666" s="56"/>
    </row>
    <row r="667" spans="1:11" ht="29.25">
      <c r="A667" s="11">
        <v>51202</v>
      </c>
      <c r="B667" s="54" t="s">
        <v>814</v>
      </c>
      <c r="C667" s="13"/>
      <c r="D667" s="14" t="s">
        <v>18</v>
      </c>
      <c r="E667" s="14" t="s">
        <v>28</v>
      </c>
      <c r="F667" s="14" t="s">
        <v>27</v>
      </c>
      <c r="G667" s="17">
        <f>' MARZO-18-1'!I658</f>
        <v>9000</v>
      </c>
      <c r="H667" s="51"/>
      <c r="I667" s="17">
        <f t="shared" si="12"/>
        <v>9000</v>
      </c>
      <c r="J667" s="56"/>
      <c r="K667" s="56"/>
    </row>
    <row r="668" spans="1:11" ht="29.25">
      <c r="A668" s="11">
        <v>54110</v>
      </c>
      <c r="B668" s="54" t="s">
        <v>815</v>
      </c>
      <c r="C668" s="13"/>
      <c r="D668" s="14" t="s">
        <v>18</v>
      </c>
      <c r="E668" s="14" t="s">
        <v>28</v>
      </c>
      <c r="F668" s="14" t="s">
        <v>27</v>
      </c>
      <c r="G668" s="17">
        <f>' MARZO-18-1'!I659</f>
        <v>200</v>
      </c>
      <c r="H668" s="51"/>
      <c r="I668" s="17">
        <f t="shared" si="12"/>
        <v>200</v>
      </c>
      <c r="J668" s="56"/>
      <c r="K668" s="56"/>
    </row>
    <row r="669" spans="1:11" ht="44.25">
      <c r="A669" s="11">
        <v>54111</v>
      </c>
      <c r="B669" s="53" t="s">
        <v>816</v>
      </c>
      <c r="C669" s="13"/>
      <c r="D669" s="14" t="s">
        <v>18</v>
      </c>
      <c r="E669" s="14" t="s">
        <v>28</v>
      </c>
      <c r="F669" s="14" t="s">
        <v>27</v>
      </c>
      <c r="G669" s="17">
        <f>' MARZO-18-1'!I660</f>
        <v>12290</v>
      </c>
      <c r="H669" s="51"/>
      <c r="I669" s="17">
        <f t="shared" ref="I669:I732" si="13">G669-H669+J669-K669</f>
        <v>12290</v>
      </c>
      <c r="J669" s="56"/>
      <c r="K669" s="56"/>
    </row>
    <row r="670" spans="1:11" ht="29.25">
      <c r="A670" s="11">
        <v>54118</v>
      </c>
      <c r="B670" s="54" t="s">
        <v>817</v>
      </c>
      <c r="C670" s="13"/>
      <c r="D670" s="14" t="s">
        <v>18</v>
      </c>
      <c r="E670" s="14" t="s">
        <v>28</v>
      </c>
      <c r="F670" s="14" t="s">
        <v>27</v>
      </c>
      <c r="G670" s="17">
        <f>' MARZO-18-1'!I661</f>
        <v>3000</v>
      </c>
      <c r="H670" s="51"/>
      <c r="I670" s="17">
        <f t="shared" si="13"/>
        <v>3000</v>
      </c>
      <c r="J670" s="56"/>
      <c r="K670" s="56"/>
    </row>
    <row r="671" spans="1:11" ht="44.25">
      <c r="A671" s="11">
        <v>54313</v>
      </c>
      <c r="B671" s="54" t="s">
        <v>818</v>
      </c>
      <c r="C671" s="13"/>
      <c r="D671" s="14" t="s">
        <v>18</v>
      </c>
      <c r="E671" s="14" t="s">
        <v>28</v>
      </c>
      <c r="F671" s="14" t="s">
        <v>27</v>
      </c>
      <c r="G671" s="17">
        <f>' MARZO-18-1'!I662</f>
        <v>300</v>
      </c>
      <c r="H671" s="51"/>
      <c r="I671" s="17">
        <f t="shared" si="13"/>
        <v>300</v>
      </c>
      <c r="J671" s="56"/>
      <c r="K671" s="56"/>
    </row>
    <row r="672" spans="1:11" ht="43.5">
      <c r="A672" s="11">
        <v>54399</v>
      </c>
      <c r="B672" s="54" t="s">
        <v>819</v>
      </c>
      <c r="C672" s="13"/>
      <c r="D672" s="14" t="s">
        <v>18</v>
      </c>
      <c r="E672" s="14" t="s">
        <v>28</v>
      </c>
      <c r="F672" s="14" t="s">
        <v>27</v>
      </c>
      <c r="G672" s="17">
        <f>' MARZO-18-1'!I663</f>
        <v>200</v>
      </c>
      <c r="H672" s="51"/>
      <c r="I672" s="17">
        <f t="shared" si="13"/>
        <v>200</v>
      </c>
      <c r="J672" s="56"/>
      <c r="K672" s="56"/>
    </row>
    <row r="673" spans="1:11" ht="29.25">
      <c r="A673" s="11">
        <v>55603</v>
      </c>
      <c r="B673" s="54" t="s">
        <v>820</v>
      </c>
      <c r="C673" s="13"/>
      <c r="D673" s="14" t="s">
        <v>18</v>
      </c>
      <c r="E673" s="14" t="s">
        <v>28</v>
      </c>
      <c r="F673" s="14" t="s">
        <v>27</v>
      </c>
      <c r="G673" s="17">
        <f>' MARZO-18-1'!I664</f>
        <v>10</v>
      </c>
      <c r="H673" s="51"/>
      <c r="I673" s="17">
        <f t="shared" si="13"/>
        <v>10</v>
      </c>
      <c r="J673" s="56"/>
      <c r="K673" s="56"/>
    </row>
    <row r="674" spans="1:11" ht="75">
      <c r="A674" s="141" t="s">
        <v>511</v>
      </c>
      <c r="B674" s="53" t="s">
        <v>824</v>
      </c>
      <c r="C674" s="13"/>
      <c r="D674" s="14"/>
      <c r="E674" s="14"/>
      <c r="F674" s="14"/>
      <c r="G674" s="17">
        <f>' MARZO-18-1'!I665</f>
        <v>0</v>
      </c>
      <c r="H674" s="51"/>
      <c r="I674" s="17"/>
      <c r="J674" s="56"/>
      <c r="K674" s="56"/>
    </row>
    <row r="675" spans="1:11" ht="29.25">
      <c r="A675" s="11">
        <v>51202</v>
      </c>
      <c r="B675" s="54" t="s">
        <v>823</v>
      </c>
      <c r="C675" s="13"/>
      <c r="D675" s="14" t="s">
        <v>18</v>
      </c>
      <c r="E675" s="14" t="s">
        <v>28</v>
      </c>
      <c r="F675" s="14" t="s">
        <v>27</v>
      </c>
      <c r="G675" s="17">
        <f>' MARZO-18-1'!I666</f>
        <v>3000</v>
      </c>
      <c r="H675" s="51"/>
      <c r="I675" s="17">
        <f t="shared" si="13"/>
        <v>3000</v>
      </c>
      <c r="J675" s="56"/>
      <c r="K675" s="56"/>
    </row>
    <row r="676" spans="1:11" ht="29.25">
      <c r="A676" s="11">
        <v>54110</v>
      </c>
      <c r="B676" s="54" t="s">
        <v>825</v>
      </c>
      <c r="C676" s="13"/>
      <c r="D676" s="14" t="s">
        <v>18</v>
      </c>
      <c r="E676" s="14" t="s">
        <v>28</v>
      </c>
      <c r="F676" s="14" t="s">
        <v>27</v>
      </c>
      <c r="G676" s="17">
        <f>' MARZO-18-1'!I667</f>
        <v>200</v>
      </c>
      <c r="H676" s="51"/>
      <c r="I676" s="17">
        <f t="shared" si="13"/>
        <v>200</v>
      </c>
      <c r="J676" s="56"/>
      <c r="K676" s="56"/>
    </row>
    <row r="677" spans="1:11" ht="44.25">
      <c r="A677" s="11">
        <v>54111</v>
      </c>
      <c r="B677" s="54" t="s">
        <v>826</v>
      </c>
      <c r="C677" s="13"/>
      <c r="D677" s="14" t="s">
        <v>18</v>
      </c>
      <c r="E677" s="14" t="s">
        <v>28</v>
      </c>
      <c r="F677" s="14" t="s">
        <v>27</v>
      </c>
      <c r="G677" s="17">
        <f>' MARZO-18-1'!I668</f>
        <v>4990</v>
      </c>
      <c r="H677" s="51"/>
      <c r="I677" s="17">
        <f t="shared" si="13"/>
        <v>4990</v>
      </c>
      <c r="J677" s="56"/>
      <c r="K677" s="56"/>
    </row>
    <row r="678" spans="1:11" ht="29.25">
      <c r="A678" s="11">
        <v>54118</v>
      </c>
      <c r="B678" s="54" t="s">
        <v>827</v>
      </c>
      <c r="C678" s="13"/>
      <c r="D678" s="14" t="s">
        <v>18</v>
      </c>
      <c r="E678" s="14" t="s">
        <v>28</v>
      </c>
      <c r="F678" s="14" t="s">
        <v>27</v>
      </c>
      <c r="G678" s="17">
        <f>' MARZO-18-1'!I669</f>
        <v>800</v>
      </c>
      <c r="H678" s="51"/>
      <c r="I678" s="17">
        <f t="shared" si="13"/>
        <v>800</v>
      </c>
      <c r="J678" s="56"/>
      <c r="K678" s="56"/>
    </row>
    <row r="679" spans="1:11" ht="44.25">
      <c r="A679" s="11">
        <v>54313</v>
      </c>
      <c r="B679" s="54" t="s">
        <v>828</v>
      </c>
      <c r="C679" s="13"/>
      <c r="D679" s="14" t="s">
        <v>18</v>
      </c>
      <c r="E679" s="14" t="s">
        <v>28</v>
      </c>
      <c r="F679" s="14" t="s">
        <v>27</v>
      </c>
      <c r="G679" s="17">
        <f>' MARZO-18-1'!I670</f>
        <v>300</v>
      </c>
      <c r="H679" s="51"/>
      <c r="I679" s="17">
        <f t="shared" si="13"/>
        <v>300</v>
      </c>
      <c r="J679" s="56"/>
      <c r="K679" s="56"/>
    </row>
    <row r="680" spans="1:11" ht="44.25">
      <c r="A680" s="11">
        <v>54399</v>
      </c>
      <c r="B680" s="54" t="s">
        <v>829</v>
      </c>
      <c r="C680" s="13"/>
      <c r="D680" s="14" t="s">
        <v>18</v>
      </c>
      <c r="E680" s="14" t="s">
        <v>28</v>
      </c>
      <c r="F680" s="14" t="s">
        <v>27</v>
      </c>
      <c r="G680" s="17">
        <f>' MARZO-18-1'!I671</f>
        <v>700</v>
      </c>
      <c r="H680" s="51"/>
      <c r="I680" s="17">
        <f t="shared" si="13"/>
        <v>700</v>
      </c>
      <c r="J680" s="56"/>
      <c r="K680" s="56"/>
    </row>
    <row r="681" spans="1:11" ht="29.25">
      <c r="A681" s="11">
        <v>55603</v>
      </c>
      <c r="B681" s="54" t="s">
        <v>830</v>
      </c>
      <c r="C681" s="13"/>
      <c r="D681" s="14" t="s">
        <v>18</v>
      </c>
      <c r="E681" s="14" t="s">
        <v>28</v>
      </c>
      <c r="F681" s="14" t="s">
        <v>27</v>
      </c>
      <c r="G681" s="17">
        <f>' MARZO-18-1'!I672</f>
        <v>10</v>
      </c>
      <c r="H681" s="51"/>
      <c r="I681" s="17">
        <f t="shared" si="13"/>
        <v>10</v>
      </c>
      <c r="J681" s="56"/>
      <c r="K681" s="56"/>
    </row>
    <row r="682" spans="1:11" ht="74.25">
      <c r="A682" s="141" t="s">
        <v>517</v>
      </c>
      <c r="B682" s="53" t="s">
        <v>822</v>
      </c>
      <c r="C682" s="13"/>
      <c r="D682" s="14"/>
      <c r="E682" s="14"/>
      <c r="F682" s="14"/>
      <c r="G682" s="17">
        <f>' MARZO-18-1'!I673</f>
        <v>0</v>
      </c>
      <c r="H682" s="51"/>
      <c r="I682" s="17"/>
      <c r="J682" s="56"/>
      <c r="K682" s="56"/>
    </row>
    <row r="683" spans="1:11" ht="29.25">
      <c r="A683" s="11">
        <v>51202</v>
      </c>
      <c r="B683" s="54" t="s">
        <v>831</v>
      </c>
      <c r="C683" s="13"/>
      <c r="D683" s="14" t="s">
        <v>18</v>
      </c>
      <c r="E683" s="14" t="s">
        <v>28</v>
      </c>
      <c r="F683" s="14" t="s">
        <v>27</v>
      </c>
      <c r="G683" s="17">
        <f>' MARZO-18-1'!I674</f>
        <v>9000</v>
      </c>
      <c r="H683" s="51"/>
      <c r="I683" s="17">
        <f t="shared" si="13"/>
        <v>9000</v>
      </c>
      <c r="J683" s="56"/>
      <c r="K683" s="56"/>
    </row>
    <row r="684" spans="1:11" ht="29.25">
      <c r="A684" s="11">
        <v>54110</v>
      </c>
      <c r="B684" s="54" t="s">
        <v>832</v>
      </c>
      <c r="C684" s="13"/>
      <c r="D684" s="14" t="s">
        <v>18</v>
      </c>
      <c r="E684" s="14" t="s">
        <v>28</v>
      </c>
      <c r="F684" s="14" t="s">
        <v>27</v>
      </c>
      <c r="G684" s="17">
        <f>' MARZO-18-1'!I675</f>
        <v>200</v>
      </c>
      <c r="H684" s="51"/>
      <c r="I684" s="17">
        <f t="shared" si="13"/>
        <v>200</v>
      </c>
      <c r="J684" s="56"/>
      <c r="K684" s="56"/>
    </row>
    <row r="685" spans="1:11" ht="29.25">
      <c r="A685" s="11">
        <v>54111</v>
      </c>
      <c r="B685" s="54" t="s">
        <v>833</v>
      </c>
      <c r="C685" s="13"/>
      <c r="D685" s="14" t="s">
        <v>18</v>
      </c>
      <c r="E685" s="14" t="s">
        <v>28</v>
      </c>
      <c r="F685" s="14" t="s">
        <v>27</v>
      </c>
      <c r="G685" s="17">
        <f>' MARZO-18-1'!I676</f>
        <v>12290</v>
      </c>
      <c r="H685" s="51"/>
      <c r="I685" s="17">
        <f t="shared" si="13"/>
        <v>12290</v>
      </c>
      <c r="J685" s="56"/>
      <c r="K685" s="56"/>
    </row>
    <row r="686" spans="1:11" ht="29.25">
      <c r="A686" s="11">
        <v>54118</v>
      </c>
      <c r="B686" s="54" t="s">
        <v>834</v>
      </c>
      <c r="C686" s="13"/>
      <c r="D686" s="14" t="s">
        <v>18</v>
      </c>
      <c r="E686" s="14" t="s">
        <v>28</v>
      </c>
      <c r="F686" s="14" t="s">
        <v>27</v>
      </c>
      <c r="G686" s="17">
        <f>' MARZO-18-1'!I677</f>
        <v>3000</v>
      </c>
      <c r="H686" s="51"/>
      <c r="I686" s="17">
        <f t="shared" si="13"/>
        <v>3000</v>
      </c>
      <c r="J686" s="56"/>
      <c r="K686" s="56"/>
    </row>
    <row r="687" spans="1:11" ht="29.25">
      <c r="A687" s="11">
        <v>54313</v>
      </c>
      <c r="B687" s="54" t="s">
        <v>835</v>
      </c>
      <c r="C687" s="13"/>
      <c r="D687" s="14" t="s">
        <v>18</v>
      </c>
      <c r="E687" s="14" t="s">
        <v>28</v>
      </c>
      <c r="F687" s="14" t="s">
        <v>27</v>
      </c>
      <c r="G687" s="17">
        <f>' MARZO-18-1'!I678</f>
        <v>300</v>
      </c>
      <c r="H687" s="51"/>
      <c r="I687" s="17">
        <f t="shared" si="13"/>
        <v>300</v>
      </c>
      <c r="J687" s="56"/>
      <c r="K687" s="56"/>
    </row>
    <row r="688" spans="1:11" ht="29.25">
      <c r="A688" s="11">
        <v>54399</v>
      </c>
      <c r="B688" s="54" t="s">
        <v>836</v>
      </c>
      <c r="C688" s="13"/>
      <c r="D688" s="14" t="s">
        <v>18</v>
      </c>
      <c r="E688" s="14" t="s">
        <v>28</v>
      </c>
      <c r="F688" s="14" t="s">
        <v>27</v>
      </c>
      <c r="G688" s="17">
        <f>' MARZO-18-1'!I679</f>
        <v>200</v>
      </c>
      <c r="H688" s="51"/>
      <c r="I688" s="17">
        <f t="shared" si="13"/>
        <v>200</v>
      </c>
      <c r="J688" s="56"/>
      <c r="K688" s="56"/>
    </row>
    <row r="689" spans="1:11" ht="29.25">
      <c r="A689" s="11">
        <v>55603</v>
      </c>
      <c r="B689" s="53" t="s">
        <v>837</v>
      </c>
      <c r="C689" s="13"/>
      <c r="D689" s="14" t="s">
        <v>18</v>
      </c>
      <c r="E689" s="14" t="s">
        <v>28</v>
      </c>
      <c r="F689" s="14" t="s">
        <v>27</v>
      </c>
      <c r="G689" s="17">
        <f>' MARZO-18-1'!I680</f>
        <v>10</v>
      </c>
      <c r="H689" s="51"/>
      <c r="I689" s="17">
        <f t="shared" si="13"/>
        <v>10</v>
      </c>
      <c r="J689" s="56"/>
      <c r="K689" s="56"/>
    </row>
    <row r="690" spans="1:11" ht="75">
      <c r="A690" s="141" t="s">
        <v>838</v>
      </c>
      <c r="B690" s="53" t="s">
        <v>840</v>
      </c>
      <c r="C690" s="13"/>
      <c r="D690" s="14"/>
      <c r="E690" s="14"/>
      <c r="F690" s="14"/>
      <c r="G690" s="17">
        <f>' MARZO-18-1'!I681</f>
        <v>0</v>
      </c>
      <c r="H690" s="51"/>
      <c r="I690" s="17"/>
      <c r="J690" s="56"/>
      <c r="K690" s="56"/>
    </row>
    <row r="691" spans="1:11" ht="29.25">
      <c r="A691" s="11">
        <v>51202</v>
      </c>
      <c r="B691" s="54" t="s">
        <v>842</v>
      </c>
      <c r="C691" s="13"/>
      <c r="D691" s="14" t="s">
        <v>18</v>
      </c>
      <c r="E691" s="14" t="s">
        <v>28</v>
      </c>
      <c r="F691" s="14" t="s">
        <v>27</v>
      </c>
      <c r="G691" s="17">
        <f>' MARZO-18-1'!I682</f>
        <v>9000</v>
      </c>
      <c r="H691" s="51"/>
      <c r="I691" s="17">
        <f t="shared" si="13"/>
        <v>9000</v>
      </c>
      <c r="J691" s="56"/>
      <c r="K691" s="56"/>
    </row>
    <row r="692" spans="1:11" ht="43.5">
      <c r="A692" s="11">
        <v>54110</v>
      </c>
      <c r="B692" s="53" t="s">
        <v>844</v>
      </c>
      <c r="C692" s="13"/>
      <c r="D692" s="14" t="s">
        <v>18</v>
      </c>
      <c r="E692" s="14" t="s">
        <v>28</v>
      </c>
      <c r="F692" s="14" t="s">
        <v>27</v>
      </c>
      <c r="G692" s="17">
        <f>' MARZO-18-1'!I683</f>
        <v>200</v>
      </c>
      <c r="H692" s="51"/>
      <c r="I692" s="17">
        <f t="shared" si="13"/>
        <v>200</v>
      </c>
      <c r="J692" s="56"/>
      <c r="K692" s="56"/>
    </row>
    <row r="693" spans="1:11" ht="44.25">
      <c r="A693" s="11">
        <v>54111</v>
      </c>
      <c r="B693" s="53" t="s">
        <v>845</v>
      </c>
      <c r="C693" s="13"/>
      <c r="D693" s="14" t="s">
        <v>18</v>
      </c>
      <c r="E693" s="14" t="s">
        <v>28</v>
      </c>
      <c r="F693" s="14" t="s">
        <v>27</v>
      </c>
      <c r="G693" s="17">
        <f>' MARZO-18-1'!I684</f>
        <v>12290</v>
      </c>
      <c r="H693" s="51"/>
      <c r="I693" s="17">
        <f t="shared" si="13"/>
        <v>12290</v>
      </c>
      <c r="J693" s="56"/>
      <c r="K693" s="56"/>
    </row>
    <row r="694" spans="1:11" ht="43.5">
      <c r="A694" s="11">
        <v>54118</v>
      </c>
      <c r="B694" s="53" t="s">
        <v>846</v>
      </c>
      <c r="C694" s="13"/>
      <c r="D694" s="14" t="s">
        <v>18</v>
      </c>
      <c r="E694" s="14" t="s">
        <v>28</v>
      </c>
      <c r="F694" s="14" t="s">
        <v>27</v>
      </c>
      <c r="G694" s="17">
        <f>' MARZO-18-1'!I685</f>
        <v>3000</v>
      </c>
      <c r="H694" s="51"/>
      <c r="I694" s="17">
        <f t="shared" si="13"/>
        <v>3000</v>
      </c>
      <c r="J694" s="56"/>
      <c r="K694" s="56"/>
    </row>
    <row r="695" spans="1:11" ht="44.25">
      <c r="A695" s="11">
        <v>54313</v>
      </c>
      <c r="B695" s="53" t="s">
        <v>847</v>
      </c>
      <c r="C695" s="13"/>
      <c r="D695" s="14" t="s">
        <v>18</v>
      </c>
      <c r="E695" s="14" t="s">
        <v>28</v>
      </c>
      <c r="F695" s="14" t="s">
        <v>27</v>
      </c>
      <c r="G695" s="17">
        <f>' MARZO-18-1'!I686</f>
        <v>300</v>
      </c>
      <c r="H695" s="51"/>
      <c r="I695" s="17">
        <f t="shared" si="13"/>
        <v>300</v>
      </c>
      <c r="J695" s="56"/>
      <c r="K695" s="56"/>
    </row>
    <row r="696" spans="1:11" ht="44.25">
      <c r="A696" s="11">
        <v>54399</v>
      </c>
      <c r="B696" s="53" t="s">
        <v>848</v>
      </c>
      <c r="C696" s="13"/>
      <c r="D696" s="14" t="s">
        <v>18</v>
      </c>
      <c r="E696" s="14" t="s">
        <v>28</v>
      </c>
      <c r="F696" s="14" t="s">
        <v>27</v>
      </c>
      <c r="G696" s="17">
        <f>' MARZO-18-1'!I687</f>
        <v>200</v>
      </c>
      <c r="H696" s="51"/>
      <c r="I696" s="17">
        <f t="shared" si="13"/>
        <v>200</v>
      </c>
      <c r="J696" s="56"/>
      <c r="K696" s="56"/>
    </row>
    <row r="697" spans="1:11" ht="43.5">
      <c r="A697" s="11">
        <v>55603</v>
      </c>
      <c r="B697" s="53" t="s">
        <v>849</v>
      </c>
      <c r="C697" s="13"/>
      <c r="D697" s="14" t="s">
        <v>18</v>
      </c>
      <c r="E697" s="14" t="s">
        <v>28</v>
      </c>
      <c r="F697" s="14" t="s">
        <v>27</v>
      </c>
      <c r="G697" s="17">
        <f>' MARZO-18-1'!I688</f>
        <v>10</v>
      </c>
      <c r="H697" s="51"/>
      <c r="I697" s="17">
        <f t="shared" si="13"/>
        <v>10</v>
      </c>
      <c r="J697" s="56"/>
      <c r="K697" s="56"/>
    </row>
    <row r="698" spans="1:11" ht="60">
      <c r="A698" s="141" t="s">
        <v>839</v>
      </c>
      <c r="B698" s="53" t="s">
        <v>841</v>
      </c>
      <c r="C698" s="13"/>
      <c r="D698" s="14"/>
      <c r="E698" s="14"/>
      <c r="F698" s="14"/>
      <c r="G698" s="17">
        <f>' MARZO-18-1'!I689</f>
        <v>0</v>
      </c>
      <c r="H698" s="51"/>
      <c r="I698" s="17"/>
      <c r="J698" s="56"/>
      <c r="K698" s="56"/>
    </row>
    <row r="699" spans="1:11" ht="29.25">
      <c r="A699" s="11">
        <v>51202</v>
      </c>
      <c r="B699" s="54" t="s">
        <v>843</v>
      </c>
      <c r="C699" s="13"/>
      <c r="D699" s="14" t="s">
        <v>18</v>
      </c>
      <c r="E699" s="14" t="s">
        <v>28</v>
      </c>
      <c r="F699" s="14" t="s">
        <v>27</v>
      </c>
      <c r="G699" s="17">
        <f>' MARZO-18-1'!I690</f>
        <v>9000</v>
      </c>
      <c r="H699" s="51"/>
      <c r="I699" s="17">
        <f t="shared" si="13"/>
        <v>9000</v>
      </c>
      <c r="J699" s="56"/>
      <c r="K699" s="56"/>
    </row>
    <row r="700" spans="1:11" ht="29.25">
      <c r="A700" s="11">
        <v>54110</v>
      </c>
      <c r="B700" s="53" t="s">
        <v>850</v>
      </c>
      <c r="C700" s="13"/>
      <c r="D700" s="14" t="s">
        <v>18</v>
      </c>
      <c r="E700" s="14" t="s">
        <v>28</v>
      </c>
      <c r="F700" s="14" t="s">
        <v>27</v>
      </c>
      <c r="G700" s="17">
        <f>' MARZO-18-1'!I691</f>
        <v>200</v>
      </c>
      <c r="H700" s="51"/>
      <c r="I700" s="17">
        <f t="shared" si="13"/>
        <v>200</v>
      </c>
      <c r="J700" s="56"/>
      <c r="K700" s="56"/>
    </row>
    <row r="701" spans="1:11" ht="29.25">
      <c r="A701" s="11">
        <v>54111</v>
      </c>
      <c r="B701" s="54" t="s">
        <v>851</v>
      </c>
      <c r="C701" s="13"/>
      <c r="D701" s="14" t="s">
        <v>18</v>
      </c>
      <c r="E701" s="14" t="s">
        <v>28</v>
      </c>
      <c r="F701" s="14" t="s">
        <v>27</v>
      </c>
      <c r="G701" s="17">
        <f>' MARZO-18-1'!I692</f>
        <v>12290</v>
      </c>
      <c r="H701" s="51"/>
      <c r="I701" s="17">
        <f t="shared" si="13"/>
        <v>12290</v>
      </c>
      <c r="J701" s="56"/>
      <c r="K701" s="56"/>
    </row>
    <row r="702" spans="1:11" ht="29.25">
      <c r="A702" s="11">
        <v>54118</v>
      </c>
      <c r="B702" s="53" t="s">
        <v>852</v>
      </c>
      <c r="C702" s="13"/>
      <c r="D702" s="14" t="s">
        <v>18</v>
      </c>
      <c r="E702" s="14" t="s">
        <v>28</v>
      </c>
      <c r="F702" s="14" t="s">
        <v>27</v>
      </c>
      <c r="G702" s="17">
        <f>' MARZO-18-1'!I693</f>
        <v>3000</v>
      </c>
      <c r="H702" s="51"/>
      <c r="I702" s="17">
        <f t="shared" si="13"/>
        <v>3000</v>
      </c>
      <c r="J702" s="56"/>
      <c r="K702" s="56"/>
    </row>
    <row r="703" spans="1:11" ht="29.25">
      <c r="A703" s="11">
        <v>54313</v>
      </c>
      <c r="B703" s="54" t="s">
        <v>853</v>
      </c>
      <c r="C703" s="13"/>
      <c r="D703" s="14" t="s">
        <v>18</v>
      </c>
      <c r="E703" s="14" t="s">
        <v>28</v>
      </c>
      <c r="F703" s="14" t="s">
        <v>27</v>
      </c>
      <c r="G703" s="17">
        <f>' MARZO-18-1'!I694</f>
        <v>300</v>
      </c>
      <c r="H703" s="51"/>
      <c r="I703" s="17">
        <f t="shared" si="13"/>
        <v>300</v>
      </c>
      <c r="J703" s="56"/>
      <c r="K703" s="56"/>
    </row>
    <row r="704" spans="1:11" ht="37.5" customHeight="1">
      <c r="A704" s="11">
        <v>54399</v>
      </c>
      <c r="B704" s="54" t="s">
        <v>854</v>
      </c>
      <c r="C704" s="13"/>
      <c r="D704" s="14" t="s">
        <v>18</v>
      </c>
      <c r="E704" s="14" t="s">
        <v>28</v>
      </c>
      <c r="F704" s="14" t="s">
        <v>27</v>
      </c>
      <c r="G704" s="17">
        <f>' MARZO-18-1'!I695</f>
        <v>200</v>
      </c>
      <c r="H704" s="51"/>
      <c r="I704" s="17">
        <f t="shared" si="13"/>
        <v>200</v>
      </c>
      <c r="J704" s="56"/>
      <c r="K704" s="56"/>
    </row>
    <row r="705" spans="1:11" ht="29.25">
      <c r="A705" s="11">
        <v>55603</v>
      </c>
      <c r="B705" s="54" t="s">
        <v>855</v>
      </c>
      <c r="C705" s="13"/>
      <c r="D705" s="14" t="s">
        <v>18</v>
      </c>
      <c r="E705" s="14" t="s">
        <v>28</v>
      </c>
      <c r="F705" s="14" t="s">
        <v>27</v>
      </c>
      <c r="G705" s="17">
        <f>' MARZO-18-1'!I696</f>
        <v>10</v>
      </c>
      <c r="H705" s="51"/>
      <c r="I705" s="17">
        <f t="shared" si="13"/>
        <v>10</v>
      </c>
      <c r="J705" s="56"/>
      <c r="K705" s="56"/>
    </row>
    <row r="706" spans="1:11" ht="60">
      <c r="A706" s="141" t="s">
        <v>872</v>
      </c>
      <c r="B706" s="53" t="s">
        <v>856</v>
      </c>
      <c r="C706" s="13"/>
      <c r="D706" s="14"/>
      <c r="E706" s="14"/>
      <c r="F706" s="14"/>
      <c r="G706" s="17">
        <f>' MARZO-18-1'!I697</f>
        <v>0</v>
      </c>
      <c r="H706" s="51"/>
      <c r="I706" s="17"/>
      <c r="J706" s="56"/>
      <c r="K706" s="56"/>
    </row>
    <row r="707" spans="1:11" ht="29.25">
      <c r="A707" s="11">
        <v>51202</v>
      </c>
      <c r="B707" s="54" t="s">
        <v>857</v>
      </c>
      <c r="C707" s="13"/>
      <c r="D707" s="14" t="s">
        <v>18</v>
      </c>
      <c r="E707" s="14" t="s">
        <v>28</v>
      </c>
      <c r="F707" s="14" t="s">
        <v>27</v>
      </c>
      <c r="G707" s="17">
        <f>' MARZO-18-1'!I698</f>
        <v>1800</v>
      </c>
      <c r="H707" s="51"/>
      <c r="I707" s="17">
        <f t="shared" si="13"/>
        <v>1800</v>
      </c>
      <c r="J707" s="56"/>
      <c r="K707" s="56"/>
    </row>
    <row r="708" spans="1:11" ht="29.25">
      <c r="A708" s="11">
        <v>54110</v>
      </c>
      <c r="B708" s="53" t="s">
        <v>858</v>
      </c>
      <c r="C708" s="13"/>
      <c r="D708" s="14" t="s">
        <v>18</v>
      </c>
      <c r="E708" s="14" t="s">
        <v>28</v>
      </c>
      <c r="F708" s="14" t="s">
        <v>27</v>
      </c>
      <c r="G708" s="17">
        <f>' MARZO-18-1'!I699</f>
        <v>100</v>
      </c>
      <c r="H708" s="51"/>
      <c r="I708" s="17">
        <f t="shared" si="13"/>
        <v>100</v>
      </c>
      <c r="J708" s="56"/>
      <c r="K708" s="56"/>
    </row>
    <row r="709" spans="1:11" ht="44.25">
      <c r="A709" s="11">
        <v>54111</v>
      </c>
      <c r="B709" s="53" t="s">
        <v>859</v>
      </c>
      <c r="C709" s="13"/>
      <c r="D709" s="14" t="s">
        <v>18</v>
      </c>
      <c r="E709" s="14" t="s">
        <v>28</v>
      </c>
      <c r="F709" s="14" t="s">
        <v>27</v>
      </c>
      <c r="G709" s="17">
        <f>' MARZO-18-1'!I700</f>
        <v>2590</v>
      </c>
      <c r="H709" s="51"/>
      <c r="I709" s="17">
        <f t="shared" si="13"/>
        <v>2590</v>
      </c>
      <c r="J709" s="56"/>
      <c r="K709" s="56"/>
    </row>
    <row r="710" spans="1:11" ht="29.25">
      <c r="A710" s="11">
        <v>54118</v>
      </c>
      <c r="B710" s="53" t="s">
        <v>860</v>
      </c>
      <c r="C710" s="13"/>
      <c r="D710" s="14" t="s">
        <v>18</v>
      </c>
      <c r="E710" s="14" t="s">
        <v>28</v>
      </c>
      <c r="F710" s="14" t="s">
        <v>27</v>
      </c>
      <c r="G710" s="17">
        <f>' MARZO-18-1'!I701</f>
        <v>100</v>
      </c>
      <c r="H710" s="51"/>
      <c r="I710" s="17">
        <f t="shared" si="13"/>
        <v>100</v>
      </c>
      <c r="J710" s="56"/>
      <c r="K710" s="56"/>
    </row>
    <row r="711" spans="1:11" ht="44.25">
      <c r="A711" s="11">
        <v>54313</v>
      </c>
      <c r="B711" s="53" t="s">
        <v>861</v>
      </c>
      <c r="C711" s="13"/>
      <c r="D711" s="14" t="s">
        <v>18</v>
      </c>
      <c r="E711" s="14" t="s">
        <v>28</v>
      </c>
      <c r="F711" s="14" t="s">
        <v>27</v>
      </c>
      <c r="G711" s="17">
        <f>' MARZO-18-1'!I702</f>
        <v>200</v>
      </c>
      <c r="H711" s="51"/>
      <c r="I711" s="17">
        <f t="shared" si="13"/>
        <v>200</v>
      </c>
      <c r="J711" s="56"/>
      <c r="K711" s="56"/>
    </row>
    <row r="712" spans="1:11" ht="44.25">
      <c r="A712" s="11">
        <v>54399</v>
      </c>
      <c r="B712" s="53" t="s">
        <v>862</v>
      </c>
      <c r="C712" s="13"/>
      <c r="D712" s="14" t="s">
        <v>18</v>
      </c>
      <c r="E712" s="14" t="s">
        <v>28</v>
      </c>
      <c r="F712" s="14" t="s">
        <v>27</v>
      </c>
      <c r="G712" s="17">
        <f>' MARZO-18-1'!I703</f>
        <v>200</v>
      </c>
      <c r="H712" s="51"/>
      <c r="I712" s="17">
        <f t="shared" si="13"/>
        <v>200</v>
      </c>
      <c r="J712" s="56"/>
      <c r="K712" s="56"/>
    </row>
    <row r="713" spans="1:11" ht="29.25">
      <c r="A713" s="11">
        <v>55603</v>
      </c>
      <c r="B713" s="53" t="s">
        <v>863</v>
      </c>
      <c r="C713" s="13"/>
      <c r="D713" s="14" t="s">
        <v>18</v>
      </c>
      <c r="E713" s="14" t="s">
        <v>28</v>
      </c>
      <c r="F713" s="14" t="s">
        <v>27</v>
      </c>
      <c r="G713" s="17">
        <f>' MARZO-18-1'!I704</f>
        <v>10</v>
      </c>
      <c r="H713" s="51"/>
      <c r="I713" s="17">
        <f t="shared" si="13"/>
        <v>10</v>
      </c>
      <c r="J713" s="56"/>
      <c r="K713" s="56"/>
    </row>
    <row r="714" spans="1:11" ht="59.25">
      <c r="A714" s="141" t="s">
        <v>873</v>
      </c>
      <c r="B714" s="53" t="s">
        <v>864</v>
      </c>
      <c r="C714" s="13"/>
      <c r="D714" s="14"/>
      <c r="E714" s="14"/>
      <c r="F714" s="14"/>
      <c r="G714" s="17">
        <f>' MARZO-18-1'!I705</f>
        <v>0</v>
      </c>
      <c r="H714" s="51"/>
      <c r="I714" s="17"/>
      <c r="J714" s="56"/>
      <c r="K714" s="56"/>
    </row>
    <row r="715" spans="1:11" ht="29.25">
      <c r="A715" s="11">
        <v>51202</v>
      </c>
      <c r="B715" s="53" t="s">
        <v>865</v>
      </c>
      <c r="C715" s="13"/>
      <c r="D715" s="14" t="s">
        <v>18</v>
      </c>
      <c r="E715" s="14" t="s">
        <v>28</v>
      </c>
      <c r="F715" s="14" t="s">
        <v>27</v>
      </c>
      <c r="G715" s="17">
        <f>' MARZO-18-1'!I706</f>
        <v>7000</v>
      </c>
      <c r="H715" s="51"/>
      <c r="I715" s="17">
        <f t="shared" si="13"/>
        <v>7000</v>
      </c>
      <c r="J715" s="56"/>
      <c r="K715" s="56"/>
    </row>
    <row r="716" spans="1:11" ht="29.25">
      <c r="A716" s="11">
        <v>54110</v>
      </c>
      <c r="B716" s="53" t="s">
        <v>866</v>
      </c>
      <c r="C716" s="13"/>
      <c r="D716" s="14" t="s">
        <v>18</v>
      </c>
      <c r="E716" s="14" t="s">
        <v>28</v>
      </c>
      <c r="F716" s="14" t="s">
        <v>27</v>
      </c>
      <c r="G716" s="17">
        <f>' MARZO-18-1'!I707</f>
        <v>200</v>
      </c>
      <c r="H716" s="51"/>
      <c r="I716" s="17">
        <f t="shared" si="13"/>
        <v>200</v>
      </c>
      <c r="J716" s="56"/>
      <c r="K716" s="56"/>
    </row>
    <row r="717" spans="1:11" ht="30">
      <c r="A717" s="11">
        <v>54111</v>
      </c>
      <c r="B717" s="53" t="s">
        <v>867</v>
      </c>
      <c r="C717" s="13"/>
      <c r="D717" s="14" t="s">
        <v>18</v>
      </c>
      <c r="E717" s="14" t="s">
        <v>28</v>
      </c>
      <c r="F717" s="14" t="s">
        <v>27</v>
      </c>
      <c r="G717" s="17">
        <f>' MARZO-18-1'!I708</f>
        <v>10290</v>
      </c>
      <c r="H717" s="51"/>
      <c r="I717" s="17">
        <f t="shared" si="13"/>
        <v>10290</v>
      </c>
      <c r="J717" s="56"/>
      <c r="K717" s="56"/>
    </row>
    <row r="718" spans="1:11" ht="29.25">
      <c r="A718" s="11">
        <v>54118</v>
      </c>
      <c r="B718" s="53" t="s">
        <v>868</v>
      </c>
      <c r="C718" s="13"/>
      <c r="D718" s="14" t="s">
        <v>18</v>
      </c>
      <c r="E718" s="14" t="s">
        <v>28</v>
      </c>
      <c r="F718" s="14" t="s">
        <v>27</v>
      </c>
      <c r="G718" s="17">
        <f>' MARZO-18-1'!I709</f>
        <v>2000</v>
      </c>
      <c r="H718" s="51"/>
      <c r="I718" s="17">
        <f t="shared" si="13"/>
        <v>2000</v>
      </c>
      <c r="J718" s="56"/>
      <c r="K718" s="56"/>
    </row>
    <row r="719" spans="1:11" ht="44.25">
      <c r="A719" s="11">
        <v>54313</v>
      </c>
      <c r="B719" s="53" t="s">
        <v>869</v>
      </c>
      <c r="C719" s="13"/>
      <c r="D719" s="14" t="s">
        <v>18</v>
      </c>
      <c r="E719" s="14" t="s">
        <v>28</v>
      </c>
      <c r="F719" s="14" t="s">
        <v>27</v>
      </c>
      <c r="G719" s="17">
        <f>' MARZO-18-1'!I710</f>
        <v>300</v>
      </c>
      <c r="H719" s="51"/>
      <c r="I719" s="17">
        <f t="shared" si="13"/>
        <v>300</v>
      </c>
      <c r="J719" s="56"/>
      <c r="K719" s="56"/>
    </row>
    <row r="720" spans="1:11" ht="30">
      <c r="A720" s="11">
        <v>54399</v>
      </c>
      <c r="B720" s="53" t="s">
        <v>870</v>
      </c>
      <c r="C720" s="13"/>
      <c r="D720" s="14" t="s">
        <v>18</v>
      </c>
      <c r="E720" s="14" t="s">
        <v>28</v>
      </c>
      <c r="F720" s="14" t="s">
        <v>27</v>
      </c>
      <c r="G720" s="17">
        <f>' MARZO-18-1'!I711</f>
        <v>200</v>
      </c>
      <c r="H720" s="51"/>
      <c r="I720" s="17">
        <f t="shared" si="13"/>
        <v>200</v>
      </c>
      <c r="J720" s="56"/>
      <c r="K720" s="56"/>
    </row>
    <row r="721" spans="1:11" ht="29.25">
      <c r="A721" s="11">
        <v>55603</v>
      </c>
      <c r="B721" s="53" t="s">
        <v>871</v>
      </c>
      <c r="C721" s="13"/>
      <c r="D721" s="14" t="s">
        <v>18</v>
      </c>
      <c r="E721" s="14" t="s">
        <v>28</v>
      </c>
      <c r="F721" s="14" t="s">
        <v>27</v>
      </c>
      <c r="G721" s="17">
        <f>' MARZO-18-1'!I712</f>
        <v>10</v>
      </c>
      <c r="H721" s="51"/>
      <c r="I721" s="17">
        <f t="shared" si="13"/>
        <v>10</v>
      </c>
      <c r="J721" s="56"/>
      <c r="K721" s="56"/>
    </row>
    <row r="722" spans="1:11" ht="60">
      <c r="A722" s="141" t="s">
        <v>532</v>
      </c>
      <c r="B722" s="53" t="s">
        <v>874</v>
      </c>
      <c r="C722" s="13"/>
      <c r="D722" s="14"/>
      <c r="E722" s="14"/>
      <c r="F722" s="14"/>
      <c r="G722" s="17">
        <f>' MARZO-18-1'!I713</f>
        <v>0</v>
      </c>
      <c r="H722" s="51"/>
      <c r="I722" s="17"/>
      <c r="J722" s="56"/>
      <c r="K722" s="56"/>
    </row>
    <row r="723" spans="1:11" ht="29.25">
      <c r="A723" s="11">
        <v>51202</v>
      </c>
      <c r="B723" s="53" t="s">
        <v>875</v>
      </c>
      <c r="C723" s="13"/>
      <c r="D723" s="14" t="s">
        <v>18</v>
      </c>
      <c r="E723" s="14" t="s">
        <v>28</v>
      </c>
      <c r="F723" s="14" t="s">
        <v>27</v>
      </c>
      <c r="G723" s="17">
        <f>' MARZO-18-1'!I714</f>
        <v>6990</v>
      </c>
      <c r="H723" s="51"/>
      <c r="I723" s="17">
        <f t="shared" si="13"/>
        <v>6990</v>
      </c>
      <c r="J723" s="56"/>
      <c r="K723" s="56"/>
    </row>
    <row r="724" spans="1:11" ht="29.25">
      <c r="A724" s="11">
        <v>54110</v>
      </c>
      <c r="B724" s="53" t="s">
        <v>876</v>
      </c>
      <c r="C724" s="13"/>
      <c r="D724" s="14" t="s">
        <v>18</v>
      </c>
      <c r="E724" s="14" t="s">
        <v>28</v>
      </c>
      <c r="F724" s="14" t="s">
        <v>27</v>
      </c>
      <c r="G724" s="17">
        <f>' MARZO-18-1'!I715</f>
        <v>200</v>
      </c>
      <c r="H724" s="51"/>
      <c r="I724" s="17">
        <f t="shared" si="13"/>
        <v>200</v>
      </c>
      <c r="J724" s="56"/>
      <c r="K724" s="56"/>
    </row>
    <row r="725" spans="1:11" ht="44.25">
      <c r="A725" s="11">
        <v>54111</v>
      </c>
      <c r="B725" s="53" t="s">
        <v>881</v>
      </c>
      <c r="C725" s="13"/>
      <c r="D725" s="14" t="s">
        <v>18</v>
      </c>
      <c r="E725" s="14" t="s">
        <v>28</v>
      </c>
      <c r="F725" s="14" t="s">
        <v>27</v>
      </c>
      <c r="G725" s="17">
        <f>' MARZO-18-1'!I716</f>
        <v>10000</v>
      </c>
      <c r="H725" s="51"/>
      <c r="I725" s="17">
        <f t="shared" si="13"/>
        <v>10000</v>
      </c>
      <c r="J725" s="56"/>
      <c r="K725" s="56"/>
    </row>
    <row r="726" spans="1:11" ht="29.25">
      <c r="A726" s="11">
        <v>54118</v>
      </c>
      <c r="B726" s="53" t="s">
        <v>877</v>
      </c>
      <c r="C726" s="13"/>
      <c r="D726" s="14" t="s">
        <v>18</v>
      </c>
      <c r="E726" s="14" t="s">
        <v>28</v>
      </c>
      <c r="F726" s="14" t="s">
        <v>27</v>
      </c>
      <c r="G726" s="17">
        <f>' MARZO-18-1'!I717</f>
        <v>2000</v>
      </c>
      <c r="H726" s="51"/>
      <c r="I726" s="17">
        <f t="shared" si="13"/>
        <v>2000</v>
      </c>
      <c r="J726" s="56"/>
      <c r="K726" s="56"/>
    </row>
    <row r="727" spans="1:11" ht="44.25">
      <c r="A727" s="11">
        <v>54313</v>
      </c>
      <c r="B727" s="53" t="s">
        <v>878</v>
      </c>
      <c r="C727" s="13"/>
      <c r="D727" s="14" t="s">
        <v>18</v>
      </c>
      <c r="E727" s="14" t="s">
        <v>28</v>
      </c>
      <c r="F727" s="14" t="s">
        <v>27</v>
      </c>
      <c r="G727" s="17">
        <f>' MARZO-18-1'!I718</f>
        <v>300</v>
      </c>
      <c r="H727" s="51"/>
      <c r="I727" s="17">
        <f t="shared" si="13"/>
        <v>300</v>
      </c>
      <c r="J727" s="56"/>
      <c r="K727" s="56"/>
    </row>
    <row r="728" spans="1:11" ht="43.5">
      <c r="A728" s="11">
        <v>54399</v>
      </c>
      <c r="B728" s="53" t="s">
        <v>879</v>
      </c>
      <c r="C728" s="13"/>
      <c r="D728" s="14" t="s">
        <v>18</v>
      </c>
      <c r="E728" s="14" t="s">
        <v>28</v>
      </c>
      <c r="F728" s="14" t="s">
        <v>27</v>
      </c>
      <c r="G728" s="17">
        <f>' MARZO-18-1'!I719</f>
        <v>500</v>
      </c>
      <c r="H728" s="51"/>
      <c r="I728" s="17">
        <f t="shared" si="13"/>
        <v>500</v>
      </c>
      <c r="J728" s="56"/>
      <c r="K728" s="56"/>
    </row>
    <row r="729" spans="1:11" ht="29.25">
      <c r="A729" s="11">
        <v>55603</v>
      </c>
      <c r="B729" s="53" t="s">
        <v>880</v>
      </c>
      <c r="C729" s="13"/>
      <c r="D729" s="14" t="s">
        <v>18</v>
      </c>
      <c r="E729" s="14" t="s">
        <v>28</v>
      </c>
      <c r="F729" s="14" t="s">
        <v>27</v>
      </c>
      <c r="G729" s="17">
        <f>' MARZO-18-1'!I720</f>
        <v>10</v>
      </c>
      <c r="H729" s="51"/>
      <c r="I729" s="17">
        <f t="shared" si="13"/>
        <v>10</v>
      </c>
      <c r="J729" s="56"/>
      <c r="K729" s="56"/>
    </row>
    <row r="730" spans="1:11" ht="72.75">
      <c r="A730" s="144" t="s">
        <v>540</v>
      </c>
      <c r="B730" s="53" t="s">
        <v>882</v>
      </c>
      <c r="C730" s="13"/>
      <c r="D730" s="14"/>
      <c r="E730" s="14"/>
      <c r="F730" s="14"/>
      <c r="G730" s="17">
        <f>' MARZO-18-1'!I721</f>
        <v>0</v>
      </c>
      <c r="H730" s="51"/>
      <c r="I730" s="17"/>
      <c r="J730" s="56"/>
      <c r="K730" s="56"/>
    </row>
    <row r="731" spans="1:11" ht="43.5">
      <c r="A731" s="11">
        <v>51202</v>
      </c>
      <c r="B731" s="53" t="s">
        <v>883</v>
      </c>
      <c r="C731" s="13"/>
      <c r="D731" s="14" t="s">
        <v>18</v>
      </c>
      <c r="E731" s="14" t="s">
        <v>28</v>
      </c>
      <c r="F731" s="14" t="s">
        <v>27</v>
      </c>
      <c r="G731" s="17">
        <f>' MARZO-18-1'!I722</f>
        <v>10000</v>
      </c>
      <c r="H731" s="51"/>
      <c r="I731" s="17">
        <f t="shared" si="13"/>
        <v>10000</v>
      </c>
      <c r="J731" s="56"/>
      <c r="K731" s="56"/>
    </row>
    <row r="732" spans="1:11" ht="43.5">
      <c r="A732" s="11">
        <v>54110</v>
      </c>
      <c r="B732" s="53" t="s">
        <v>968</v>
      </c>
      <c r="C732" s="13"/>
      <c r="D732" s="14" t="s">
        <v>18</v>
      </c>
      <c r="E732" s="14" t="s">
        <v>28</v>
      </c>
      <c r="F732" s="14" t="s">
        <v>27</v>
      </c>
      <c r="G732" s="17">
        <f>' MARZO-18-1'!I723</f>
        <v>500</v>
      </c>
      <c r="H732" s="51"/>
      <c r="I732" s="17">
        <f t="shared" si="13"/>
        <v>500</v>
      </c>
      <c r="J732" s="56"/>
      <c r="K732" s="56"/>
    </row>
    <row r="733" spans="1:11" ht="44.25">
      <c r="A733" s="11">
        <v>54111</v>
      </c>
      <c r="B733" s="53" t="s">
        <v>884</v>
      </c>
      <c r="C733" s="13"/>
      <c r="D733" s="14" t="s">
        <v>18</v>
      </c>
      <c r="E733" s="14" t="s">
        <v>28</v>
      </c>
      <c r="F733" s="14" t="s">
        <v>27</v>
      </c>
      <c r="G733" s="17">
        <f>' MARZO-18-1'!I724</f>
        <v>15000</v>
      </c>
      <c r="H733" s="51"/>
      <c r="I733" s="17">
        <f t="shared" ref="I733:I779" si="14">G733-H733+J733-K733</f>
        <v>15000</v>
      </c>
      <c r="J733" s="56"/>
      <c r="K733" s="56"/>
    </row>
    <row r="734" spans="1:11" ht="43.5">
      <c r="A734" s="11">
        <v>54118</v>
      </c>
      <c r="B734" s="53" t="s">
        <v>885</v>
      </c>
      <c r="C734" s="13"/>
      <c r="D734" s="14" t="s">
        <v>18</v>
      </c>
      <c r="E734" s="14" t="s">
        <v>28</v>
      </c>
      <c r="F734" s="14" t="s">
        <v>27</v>
      </c>
      <c r="G734" s="17">
        <f>' MARZO-18-1'!I725</f>
        <v>5000</v>
      </c>
      <c r="H734" s="51"/>
      <c r="I734" s="17">
        <f t="shared" si="14"/>
        <v>5000</v>
      </c>
      <c r="J734" s="56"/>
      <c r="K734" s="56"/>
    </row>
    <row r="735" spans="1:11" ht="43.5">
      <c r="A735" s="11">
        <v>54304</v>
      </c>
      <c r="B735" s="53" t="s">
        <v>889</v>
      </c>
      <c r="C735" s="13"/>
      <c r="D735" s="14" t="s">
        <v>18</v>
      </c>
      <c r="E735" s="14" t="s">
        <v>28</v>
      </c>
      <c r="F735" s="14" t="s">
        <v>27</v>
      </c>
      <c r="G735" s="17">
        <f>' MARZO-18-1'!I726</f>
        <v>2690</v>
      </c>
      <c r="H735" s="51"/>
      <c r="I735" s="17">
        <f t="shared" si="14"/>
        <v>2690</v>
      </c>
      <c r="J735" s="56"/>
      <c r="K735" s="56"/>
    </row>
    <row r="736" spans="1:11" ht="44.25">
      <c r="A736" s="11">
        <v>54313</v>
      </c>
      <c r="B736" s="53" t="s">
        <v>886</v>
      </c>
      <c r="C736" s="13"/>
      <c r="D736" s="14" t="s">
        <v>18</v>
      </c>
      <c r="E736" s="14" t="s">
        <v>28</v>
      </c>
      <c r="F736" s="14" t="s">
        <v>27</v>
      </c>
      <c r="G736" s="17">
        <f>' MARZO-18-1'!I727</f>
        <v>300</v>
      </c>
      <c r="H736" s="51"/>
      <c r="I736" s="17">
        <f t="shared" si="14"/>
        <v>300</v>
      </c>
      <c r="J736" s="56"/>
      <c r="K736" s="56"/>
    </row>
    <row r="737" spans="1:11" ht="44.25">
      <c r="A737" s="11">
        <v>54399</v>
      </c>
      <c r="B737" s="53" t="s">
        <v>887</v>
      </c>
      <c r="C737" s="13"/>
      <c r="D737" s="14" t="s">
        <v>18</v>
      </c>
      <c r="E737" s="14" t="s">
        <v>28</v>
      </c>
      <c r="F737" s="14" t="s">
        <v>27</v>
      </c>
      <c r="G737" s="17">
        <f>' MARZO-18-1'!I728</f>
        <v>1500</v>
      </c>
      <c r="H737" s="51"/>
      <c r="I737" s="17">
        <f t="shared" si="14"/>
        <v>1500</v>
      </c>
      <c r="J737" s="56"/>
      <c r="K737" s="56"/>
    </row>
    <row r="738" spans="1:11" ht="43.5">
      <c r="A738" s="11">
        <v>55603</v>
      </c>
      <c r="B738" s="53" t="s">
        <v>888</v>
      </c>
      <c r="C738" s="13"/>
      <c r="D738" s="14" t="s">
        <v>18</v>
      </c>
      <c r="E738" s="14" t="s">
        <v>28</v>
      </c>
      <c r="F738" s="14" t="s">
        <v>27</v>
      </c>
      <c r="G738" s="17">
        <f>' MARZO-18-1'!I729</f>
        <v>10</v>
      </c>
      <c r="H738" s="51"/>
      <c r="I738" s="17">
        <f t="shared" si="14"/>
        <v>10</v>
      </c>
      <c r="J738" s="56"/>
      <c r="K738" s="56"/>
    </row>
    <row r="739" spans="1:11" ht="60">
      <c r="A739" s="141" t="s">
        <v>901</v>
      </c>
      <c r="B739" s="53" t="s">
        <v>890</v>
      </c>
      <c r="C739" s="13" t="s">
        <v>1049</v>
      </c>
      <c r="D739" s="14"/>
      <c r="E739" s="14"/>
      <c r="F739" s="14"/>
      <c r="G739" s="17">
        <f>' MARZO-18-1'!I730</f>
        <v>0</v>
      </c>
      <c r="H739" s="51"/>
      <c r="I739" s="17"/>
      <c r="J739" s="56"/>
      <c r="K739" s="56"/>
    </row>
    <row r="740" spans="1:11" ht="29.25">
      <c r="A740" s="11">
        <v>51202</v>
      </c>
      <c r="B740" s="53" t="s">
        <v>1014</v>
      </c>
      <c r="C740" s="13"/>
      <c r="D740" s="14" t="s">
        <v>18</v>
      </c>
      <c r="E740" s="14" t="s">
        <v>28</v>
      </c>
      <c r="F740" s="14" t="s">
        <v>27</v>
      </c>
      <c r="G740" s="17">
        <f>' MARZO-18-1'!I731</f>
        <v>7800</v>
      </c>
      <c r="H740" s="51"/>
      <c r="I740" s="17">
        <f t="shared" si="14"/>
        <v>7800</v>
      </c>
      <c r="J740" s="56"/>
      <c r="K740" s="56"/>
    </row>
    <row r="741" spans="1:11" ht="29.25">
      <c r="A741" s="11">
        <v>51999</v>
      </c>
      <c r="B741" s="53" t="s">
        <v>1015</v>
      </c>
      <c r="C741" s="13"/>
      <c r="D741" s="14" t="s">
        <v>18</v>
      </c>
      <c r="E741" s="14" t="s">
        <v>28</v>
      </c>
      <c r="F741" s="14" t="s">
        <v>27</v>
      </c>
      <c r="G741" s="17">
        <f>' MARZO-18-1'!I732</f>
        <v>981.59999999999991</v>
      </c>
      <c r="H741" s="51">
        <v>50</v>
      </c>
      <c r="I741" s="17">
        <f t="shared" si="14"/>
        <v>931.59999999999991</v>
      </c>
      <c r="J741" s="56"/>
      <c r="K741" s="56"/>
    </row>
    <row r="742" spans="1:11" ht="29.25">
      <c r="A742" s="11">
        <v>54110</v>
      </c>
      <c r="B742" s="53" t="s">
        <v>1016</v>
      </c>
      <c r="C742" s="13"/>
      <c r="D742" s="14" t="s">
        <v>18</v>
      </c>
      <c r="E742" s="14" t="s">
        <v>28</v>
      </c>
      <c r="F742" s="14" t="s">
        <v>27</v>
      </c>
      <c r="G742" s="17">
        <f>' MARZO-18-1'!I733</f>
        <v>500</v>
      </c>
      <c r="H742" s="51"/>
      <c r="I742" s="17">
        <f t="shared" si="14"/>
        <v>500</v>
      </c>
      <c r="J742" s="56"/>
      <c r="K742" s="56"/>
    </row>
    <row r="743" spans="1:11" ht="29.25">
      <c r="A743" s="11">
        <v>54111</v>
      </c>
      <c r="B743" s="53" t="s">
        <v>1017</v>
      </c>
      <c r="C743" s="13"/>
      <c r="D743" s="14" t="s">
        <v>18</v>
      </c>
      <c r="E743" s="14" t="s">
        <v>28</v>
      </c>
      <c r="F743" s="14" t="s">
        <v>27</v>
      </c>
      <c r="G743" s="17">
        <f>' MARZO-18-1'!I734</f>
        <v>10000</v>
      </c>
      <c r="H743" s="51"/>
      <c r="I743" s="17">
        <f t="shared" si="14"/>
        <v>10000</v>
      </c>
      <c r="J743" s="56"/>
      <c r="K743" s="127"/>
    </row>
    <row r="744" spans="1:11" ht="44.25">
      <c r="A744" s="11">
        <v>54112</v>
      </c>
      <c r="B744" s="53" t="s">
        <v>1021</v>
      </c>
      <c r="C744" s="13"/>
      <c r="D744" s="14" t="s">
        <v>18</v>
      </c>
      <c r="E744" s="14" t="s">
        <v>28</v>
      </c>
      <c r="F744" s="14" t="s">
        <v>27</v>
      </c>
      <c r="G744" s="17">
        <f>' MARZO-18-1'!I735</f>
        <v>2981.25</v>
      </c>
      <c r="H744" s="51"/>
      <c r="I744" s="17">
        <f t="shared" si="14"/>
        <v>2981.25</v>
      </c>
      <c r="J744" s="56"/>
      <c r="K744" s="56"/>
    </row>
    <row r="745" spans="1:11" ht="29.25">
      <c r="A745" s="11">
        <v>54118</v>
      </c>
      <c r="B745" s="53" t="s">
        <v>1020</v>
      </c>
      <c r="C745" s="13"/>
      <c r="D745" s="14" t="s">
        <v>18</v>
      </c>
      <c r="E745" s="14" t="s">
        <v>28</v>
      </c>
      <c r="F745" s="14" t="s">
        <v>27</v>
      </c>
      <c r="G745" s="17">
        <f>' MARZO-18-1'!I736</f>
        <v>2929.4</v>
      </c>
      <c r="H745" s="51"/>
      <c r="I745" s="17">
        <f t="shared" si="14"/>
        <v>2929.4</v>
      </c>
      <c r="J745" s="56"/>
      <c r="K745" s="56"/>
    </row>
    <row r="746" spans="1:11" ht="29.25">
      <c r="A746" s="11">
        <v>54199</v>
      </c>
      <c r="B746" s="53" t="s">
        <v>1018</v>
      </c>
      <c r="C746" s="13"/>
      <c r="D746" s="14" t="s">
        <v>18</v>
      </c>
      <c r="E746" s="14" t="s">
        <v>28</v>
      </c>
      <c r="F746" s="14" t="s">
        <v>27</v>
      </c>
      <c r="G746" s="17">
        <f>' MARZO-18-1'!I737</f>
        <v>2163.0500000000002</v>
      </c>
      <c r="H746" s="51">
        <v>84</v>
      </c>
      <c r="I746" s="17">
        <f t="shared" si="14"/>
        <v>2079.0500000000002</v>
      </c>
      <c r="J746" s="56"/>
      <c r="K746" s="56"/>
    </row>
    <row r="747" spans="1:11" ht="29.25">
      <c r="A747" s="11">
        <v>54313</v>
      </c>
      <c r="B747" s="53" t="s">
        <v>1019</v>
      </c>
      <c r="C747" s="13"/>
      <c r="D747" s="14" t="s">
        <v>18</v>
      </c>
      <c r="E747" s="14" t="s">
        <v>28</v>
      </c>
      <c r="F747" s="14" t="s">
        <v>27</v>
      </c>
      <c r="G747" s="17">
        <f>' MARZO-18-1'!I738</f>
        <v>1650</v>
      </c>
      <c r="H747" s="51"/>
      <c r="I747" s="17">
        <f t="shared" si="14"/>
        <v>1650</v>
      </c>
      <c r="J747" s="56"/>
      <c r="K747" s="56"/>
    </row>
    <row r="748" spans="1:11" ht="44.25">
      <c r="A748" s="11">
        <v>54399</v>
      </c>
      <c r="B748" s="53" t="s">
        <v>1022</v>
      </c>
      <c r="C748" s="13"/>
      <c r="D748" s="14" t="s">
        <v>18</v>
      </c>
      <c r="E748" s="14" t="s">
        <v>28</v>
      </c>
      <c r="F748" s="14" t="s">
        <v>27</v>
      </c>
      <c r="G748" s="17">
        <f>' MARZO-18-1'!I739</f>
        <v>1439.35</v>
      </c>
      <c r="H748" s="51"/>
      <c r="I748" s="17">
        <f t="shared" si="14"/>
        <v>1439.35</v>
      </c>
      <c r="J748" s="137"/>
      <c r="K748" s="56"/>
    </row>
    <row r="749" spans="1:11" ht="29.25">
      <c r="A749" s="11">
        <v>55603</v>
      </c>
      <c r="B749" s="53" t="s">
        <v>898</v>
      </c>
      <c r="C749" s="13"/>
      <c r="D749" s="14" t="s">
        <v>18</v>
      </c>
      <c r="E749" s="14" t="s">
        <v>28</v>
      </c>
      <c r="F749" s="14" t="s">
        <v>27</v>
      </c>
      <c r="G749" s="17">
        <f>' MARZO-18-1'!I740</f>
        <v>7</v>
      </c>
      <c r="H749" s="51">
        <v>1.7</v>
      </c>
      <c r="I749" s="17">
        <f t="shared" si="14"/>
        <v>5.3</v>
      </c>
      <c r="J749" s="56"/>
      <c r="K749" s="56"/>
    </row>
    <row r="750" spans="1:11" ht="60">
      <c r="A750" s="141">
        <v>41</v>
      </c>
      <c r="B750" s="53" t="s">
        <v>902</v>
      </c>
      <c r="C750" s="13"/>
      <c r="D750" s="14"/>
      <c r="E750" s="14"/>
      <c r="F750" s="14"/>
      <c r="G750" s="17">
        <f>' MARZO-18-1'!I741</f>
        <v>0</v>
      </c>
      <c r="H750" s="51"/>
      <c r="I750" s="17"/>
      <c r="J750" s="56"/>
      <c r="K750" s="56"/>
    </row>
    <row r="751" spans="1:11" ht="29.25">
      <c r="A751" s="11">
        <v>51999</v>
      </c>
      <c r="B751" s="53" t="s">
        <v>903</v>
      </c>
      <c r="C751" s="13"/>
      <c r="D751" s="14" t="s">
        <v>18</v>
      </c>
      <c r="E751" s="14" t="s">
        <v>28</v>
      </c>
      <c r="F751" s="14" t="s">
        <v>27</v>
      </c>
      <c r="G751" s="17">
        <f>' MARZO-18-1'!I742</f>
        <v>1000</v>
      </c>
      <c r="H751" s="51"/>
      <c r="I751" s="17">
        <f t="shared" si="14"/>
        <v>1000</v>
      </c>
      <c r="J751" s="56"/>
      <c r="K751" s="56"/>
    </row>
    <row r="752" spans="1:11" ht="44.25">
      <c r="A752" s="11">
        <v>54111</v>
      </c>
      <c r="B752" s="53" t="s">
        <v>904</v>
      </c>
      <c r="C752" s="13"/>
      <c r="D752" s="14" t="s">
        <v>18</v>
      </c>
      <c r="E752" s="14" t="s">
        <v>28</v>
      </c>
      <c r="F752" s="14" t="s">
        <v>27</v>
      </c>
      <c r="G752" s="17">
        <f>' MARZO-18-1'!I743</f>
        <v>1000</v>
      </c>
      <c r="H752" s="51"/>
      <c r="I752" s="17">
        <f t="shared" si="14"/>
        <v>1000</v>
      </c>
      <c r="J752" s="56"/>
      <c r="K752" s="56"/>
    </row>
    <row r="753" spans="1:11" ht="43.5">
      <c r="A753" s="11">
        <v>54118</v>
      </c>
      <c r="B753" s="53" t="s">
        <v>905</v>
      </c>
      <c r="C753" s="13"/>
      <c r="D753" s="14" t="s">
        <v>18</v>
      </c>
      <c r="E753" s="14" t="s">
        <v>28</v>
      </c>
      <c r="F753" s="14" t="s">
        <v>27</v>
      </c>
      <c r="G753" s="17">
        <f>' MARZO-18-1'!I744</f>
        <v>1000</v>
      </c>
      <c r="H753" s="51"/>
      <c r="I753" s="17">
        <f t="shared" si="14"/>
        <v>1000</v>
      </c>
      <c r="J753" s="56"/>
      <c r="K753" s="56"/>
    </row>
    <row r="754" spans="1:11" ht="44.25">
      <c r="A754" s="11">
        <v>54313</v>
      </c>
      <c r="B754" s="53" t="s">
        <v>906</v>
      </c>
      <c r="C754" s="13"/>
      <c r="D754" s="14" t="s">
        <v>18</v>
      </c>
      <c r="E754" s="14" t="s">
        <v>28</v>
      </c>
      <c r="F754" s="14" t="s">
        <v>27</v>
      </c>
      <c r="G754" s="17">
        <f>' MARZO-18-1'!I745</f>
        <v>100</v>
      </c>
      <c r="H754" s="51"/>
      <c r="I754" s="17">
        <f t="shared" si="14"/>
        <v>100</v>
      </c>
      <c r="J754" s="56"/>
      <c r="K754" s="56"/>
    </row>
    <row r="755" spans="1:11" ht="44.25">
      <c r="A755" s="11">
        <v>54399</v>
      </c>
      <c r="B755" s="53" t="s">
        <v>907</v>
      </c>
      <c r="C755" s="13"/>
      <c r="D755" s="14" t="s">
        <v>18</v>
      </c>
      <c r="E755" s="14" t="s">
        <v>28</v>
      </c>
      <c r="F755" s="14" t="s">
        <v>27</v>
      </c>
      <c r="G755" s="17">
        <f>' MARZO-18-1'!I746</f>
        <v>1890</v>
      </c>
      <c r="H755" s="51"/>
      <c r="I755" s="17">
        <f t="shared" si="14"/>
        <v>1890</v>
      </c>
      <c r="J755" s="56"/>
      <c r="K755" s="56"/>
    </row>
    <row r="756" spans="1:11" ht="29.25">
      <c r="A756" s="11">
        <v>55603</v>
      </c>
      <c r="B756" s="53" t="s">
        <v>908</v>
      </c>
      <c r="C756" s="13"/>
      <c r="D756" s="14" t="s">
        <v>18</v>
      </c>
      <c r="E756" s="14" t="s">
        <v>28</v>
      </c>
      <c r="F756" s="14" t="s">
        <v>27</v>
      </c>
      <c r="G756" s="17">
        <f>' MARZO-18-1'!I747</f>
        <v>10</v>
      </c>
      <c r="H756" s="51"/>
      <c r="I756" s="17">
        <f t="shared" si="14"/>
        <v>10</v>
      </c>
      <c r="J756" s="56"/>
      <c r="K756" s="56"/>
    </row>
    <row r="757" spans="1:11" ht="45">
      <c r="A757" s="141" t="s">
        <v>909</v>
      </c>
      <c r="B757" s="53" t="s">
        <v>910</v>
      </c>
      <c r="C757" s="13"/>
      <c r="D757" s="14"/>
      <c r="E757" s="14"/>
      <c r="F757" s="14"/>
      <c r="G757" s="17">
        <f>' MARZO-18-1'!I748</f>
        <v>0</v>
      </c>
      <c r="H757" s="51"/>
      <c r="I757" s="17"/>
      <c r="J757" s="56"/>
      <c r="K757" s="56"/>
    </row>
    <row r="758" spans="1:11" ht="29.25">
      <c r="A758" s="11">
        <v>51999</v>
      </c>
      <c r="B758" s="54" t="s">
        <v>911</v>
      </c>
      <c r="C758" s="13"/>
      <c r="D758" s="14" t="s">
        <v>18</v>
      </c>
      <c r="E758" s="14" t="s">
        <v>28</v>
      </c>
      <c r="F758" s="14" t="s">
        <v>27</v>
      </c>
      <c r="G758" s="17">
        <f>' MARZO-18-1'!I749</f>
        <v>500</v>
      </c>
      <c r="H758" s="51"/>
      <c r="I758" s="17">
        <f t="shared" si="14"/>
        <v>500</v>
      </c>
      <c r="J758" s="56"/>
      <c r="K758" s="56"/>
    </row>
    <row r="759" spans="1:11" ht="29.25">
      <c r="A759" s="11">
        <v>54110</v>
      </c>
      <c r="B759" s="54" t="s">
        <v>912</v>
      </c>
      <c r="C759" s="13"/>
      <c r="D759" s="14" t="s">
        <v>18</v>
      </c>
      <c r="E759" s="14" t="s">
        <v>28</v>
      </c>
      <c r="F759" s="14" t="s">
        <v>27</v>
      </c>
      <c r="G759" s="17">
        <f>' MARZO-18-1'!I750</f>
        <v>500</v>
      </c>
      <c r="H759" s="51"/>
      <c r="I759" s="17">
        <f t="shared" si="14"/>
        <v>500</v>
      </c>
      <c r="J759" s="56"/>
      <c r="K759" s="56"/>
    </row>
    <row r="760" spans="1:11" ht="30">
      <c r="A760" s="11">
        <v>54111</v>
      </c>
      <c r="B760" s="53" t="s">
        <v>913</v>
      </c>
      <c r="C760" s="13"/>
      <c r="D760" s="14" t="s">
        <v>18</v>
      </c>
      <c r="E760" s="14" t="s">
        <v>28</v>
      </c>
      <c r="F760" s="14" t="s">
        <v>27</v>
      </c>
      <c r="G760" s="17">
        <f>' MARZO-18-1'!I751</f>
        <v>1000</v>
      </c>
      <c r="H760" s="51"/>
      <c r="I760" s="17">
        <f t="shared" si="14"/>
        <v>1000</v>
      </c>
      <c r="J760" s="56"/>
      <c r="K760" s="56"/>
    </row>
    <row r="761" spans="1:11" ht="29.25">
      <c r="A761" s="11">
        <v>54118</v>
      </c>
      <c r="B761" s="53" t="s">
        <v>914</v>
      </c>
      <c r="C761" s="13"/>
      <c r="D761" s="14" t="s">
        <v>18</v>
      </c>
      <c r="E761" s="14" t="s">
        <v>28</v>
      </c>
      <c r="F761" s="14" t="s">
        <v>27</v>
      </c>
      <c r="G761" s="17">
        <f>' MARZO-18-1'!I752</f>
        <v>1000</v>
      </c>
      <c r="H761" s="51"/>
      <c r="I761" s="17">
        <f t="shared" si="14"/>
        <v>1000</v>
      </c>
      <c r="J761" s="56"/>
      <c r="K761" s="56"/>
    </row>
    <row r="762" spans="1:11" ht="29.25">
      <c r="A762" s="11">
        <v>54199</v>
      </c>
      <c r="B762" s="53" t="s">
        <v>915</v>
      </c>
      <c r="C762" s="13"/>
      <c r="D762" s="14" t="s">
        <v>18</v>
      </c>
      <c r="E762" s="14" t="s">
        <v>28</v>
      </c>
      <c r="F762" s="14" t="s">
        <v>27</v>
      </c>
      <c r="G762" s="17">
        <f>' MARZO-18-1'!I753</f>
        <v>500</v>
      </c>
      <c r="H762" s="51"/>
      <c r="I762" s="17">
        <f t="shared" si="14"/>
        <v>500</v>
      </c>
      <c r="J762" s="56"/>
      <c r="K762" s="56"/>
    </row>
    <row r="763" spans="1:11" ht="44.25">
      <c r="A763" s="11">
        <v>54313</v>
      </c>
      <c r="B763" s="53" t="s">
        <v>916</v>
      </c>
      <c r="C763" s="13"/>
      <c r="D763" s="14" t="s">
        <v>18</v>
      </c>
      <c r="E763" s="14" t="s">
        <v>28</v>
      </c>
      <c r="F763" s="14" t="s">
        <v>27</v>
      </c>
      <c r="G763" s="17">
        <f>' MARZO-18-1'!I754</f>
        <v>600</v>
      </c>
      <c r="H763" s="51"/>
      <c r="I763" s="17">
        <f t="shared" si="14"/>
        <v>600</v>
      </c>
      <c r="J763" s="56"/>
      <c r="K763" s="56"/>
    </row>
    <row r="764" spans="1:11" ht="30">
      <c r="A764" s="11">
        <v>54399</v>
      </c>
      <c r="B764" s="53" t="s">
        <v>917</v>
      </c>
      <c r="C764" s="13"/>
      <c r="D764" s="14" t="s">
        <v>18</v>
      </c>
      <c r="E764" s="14" t="s">
        <v>28</v>
      </c>
      <c r="F764" s="14" t="s">
        <v>27</v>
      </c>
      <c r="G764" s="17">
        <f>' MARZO-18-1'!I755</f>
        <v>890</v>
      </c>
      <c r="H764" s="51"/>
      <c r="I764" s="17">
        <f t="shared" si="14"/>
        <v>890</v>
      </c>
      <c r="J764" s="56"/>
      <c r="K764" s="56"/>
    </row>
    <row r="765" spans="1:11" ht="29.25">
      <c r="A765" s="11">
        <v>55603</v>
      </c>
      <c r="B765" s="53" t="s">
        <v>918</v>
      </c>
      <c r="C765" s="13"/>
      <c r="D765" s="14" t="s">
        <v>18</v>
      </c>
      <c r="E765" s="14" t="s">
        <v>28</v>
      </c>
      <c r="F765" s="14" t="s">
        <v>27</v>
      </c>
      <c r="G765" s="17">
        <f>' MARZO-18-1'!I756</f>
        <v>10</v>
      </c>
      <c r="H765" s="51"/>
      <c r="I765" s="17">
        <f t="shared" si="14"/>
        <v>10</v>
      </c>
      <c r="J765" s="56"/>
      <c r="K765" s="56"/>
    </row>
    <row r="766" spans="1:11" ht="74.25">
      <c r="A766" s="141">
        <v>43</v>
      </c>
      <c r="B766" s="53" t="s">
        <v>964</v>
      </c>
      <c r="C766" s="13"/>
      <c r="D766" s="14"/>
      <c r="E766" s="14"/>
      <c r="F766" s="14"/>
      <c r="G766" s="17">
        <f>' MARZO-18-1'!I757</f>
        <v>0</v>
      </c>
      <c r="H766" s="51"/>
      <c r="I766" s="17"/>
      <c r="J766" s="56"/>
      <c r="K766" s="56"/>
    </row>
    <row r="767" spans="1:11" s="178" customFormat="1" ht="45">
      <c r="A767" s="1" t="s">
        <v>19</v>
      </c>
      <c r="B767" s="179" t="s">
        <v>965</v>
      </c>
      <c r="C767" s="180"/>
      <c r="D767" s="14" t="s">
        <v>18</v>
      </c>
      <c r="E767" s="14" t="s">
        <v>28</v>
      </c>
      <c r="F767" s="14" t="s">
        <v>27</v>
      </c>
      <c r="G767" s="17">
        <f>' MARZO-18-1'!I758</f>
        <v>1.8189894035458565E-12</v>
      </c>
      <c r="H767" s="210"/>
      <c r="I767" s="17">
        <f t="shared" si="14"/>
        <v>1.8189894035458565E-12</v>
      </c>
      <c r="J767" s="143"/>
      <c r="K767" s="209"/>
    </row>
    <row r="768" spans="1:11" s="178" customFormat="1" ht="71.25">
      <c r="A768" s="1">
        <v>51202</v>
      </c>
      <c r="B768" s="53" t="s">
        <v>985</v>
      </c>
      <c r="C768" s="180"/>
      <c r="D768" s="14" t="s">
        <v>18</v>
      </c>
      <c r="E768" s="14" t="s">
        <v>28</v>
      </c>
      <c r="F768" s="14" t="s">
        <v>27</v>
      </c>
      <c r="G768" s="17">
        <f>' MARZO-18-1'!I759</f>
        <v>0.15999999999939973</v>
      </c>
      <c r="H768" s="210"/>
      <c r="I768" s="17">
        <f t="shared" si="14"/>
        <v>0.15999999999939973</v>
      </c>
      <c r="J768" s="209"/>
      <c r="K768" s="209"/>
    </row>
    <row r="769" spans="1:11" ht="29.25">
      <c r="A769" s="11">
        <v>54118</v>
      </c>
      <c r="B769" s="53" t="s">
        <v>919</v>
      </c>
      <c r="C769" s="13"/>
      <c r="D769" s="14" t="s">
        <v>18</v>
      </c>
      <c r="E769" s="14" t="s">
        <v>28</v>
      </c>
      <c r="F769" s="14" t="s">
        <v>27</v>
      </c>
      <c r="G769" s="17">
        <f>' MARZO-18-1'!I760</f>
        <v>0</v>
      </c>
      <c r="H769" s="51"/>
      <c r="I769" s="17">
        <f t="shared" si="14"/>
        <v>0</v>
      </c>
      <c r="J769" s="56"/>
      <c r="K769" s="137"/>
    </row>
    <row r="770" spans="1:11" ht="44.25">
      <c r="A770" s="11">
        <v>54313</v>
      </c>
      <c r="B770" s="168" t="s">
        <v>920</v>
      </c>
      <c r="C770" s="13"/>
      <c r="D770" s="14" t="s">
        <v>18</v>
      </c>
      <c r="E770" s="14" t="s">
        <v>28</v>
      </c>
      <c r="F770" s="14" t="s">
        <v>27</v>
      </c>
      <c r="G770" s="17">
        <f>' MARZO-18-1'!I761</f>
        <v>0</v>
      </c>
      <c r="H770" s="51"/>
      <c r="I770" s="17">
        <f t="shared" si="14"/>
        <v>0</v>
      </c>
      <c r="J770" s="56"/>
      <c r="K770" s="137"/>
    </row>
    <row r="771" spans="1:11" ht="29.25">
      <c r="A771" s="11">
        <v>56303</v>
      </c>
      <c r="B771" s="53" t="s">
        <v>921</v>
      </c>
      <c r="C771" s="13"/>
      <c r="D771" s="14" t="s">
        <v>18</v>
      </c>
      <c r="E771" s="14" t="s">
        <v>28</v>
      </c>
      <c r="F771" s="14" t="s">
        <v>27</v>
      </c>
      <c r="G771" s="17">
        <f>' MARZO-18-1'!I762</f>
        <v>0</v>
      </c>
      <c r="H771" s="51"/>
      <c r="I771" s="17">
        <f t="shared" si="14"/>
        <v>0</v>
      </c>
      <c r="J771" s="56"/>
      <c r="K771" s="137"/>
    </row>
    <row r="772" spans="1:11" ht="29.25">
      <c r="A772" s="11">
        <v>55603</v>
      </c>
      <c r="B772" s="53" t="s">
        <v>922</v>
      </c>
      <c r="C772" s="13"/>
      <c r="D772" s="14" t="s">
        <v>18</v>
      </c>
      <c r="E772" s="14" t="s">
        <v>28</v>
      </c>
      <c r="F772" s="14" t="s">
        <v>27</v>
      </c>
      <c r="G772" s="17">
        <f>' MARZO-18-1'!I763</f>
        <v>0</v>
      </c>
      <c r="H772" s="51"/>
      <c r="I772" s="17">
        <f t="shared" si="14"/>
        <v>0</v>
      </c>
      <c r="J772" s="56"/>
      <c r="K772" s="137"/>
    </row>
    <row r="773" spans="1:11" ht="103.5">
      <c r="A773" s="11" t="s">
        <v>923</v>
      </c>
      <c r="B773" s="53" t="s">
        <v>924</v>
      </c>
      <c r="C773" s="13"/>
      <c r="D773" s="14" t="s">
        <v>18</v>
      </c>
      <c r="E773" s="14" t="s">
        <v>28</v>
      </c>
      <c r="F773" s="14" t="s">
        <v>27</v>
      </c>
      <c r="G773" s="17">
        <f>' MARZO-18-1'!I764</f>
        <v>682.41000000000349</v>
      </c>
      <c r="H773" s="51"/>
      <c r="I773" s="17">
        <f t="shared" si="14"/>
        <v>682.41000000000349</v>
      </c>
      <c r="J773" s="56"/>
      <c r="K773" s="266"/>
    </row>
    <row r="774" spans="1:11">
      <c r="A774" s="38"/>
      <c r="B774" s="161" t="s">
        <v>975</v>
      </c>
      <c r="C774" s="39"/>
      <c r="D774" s="39"/>
      <c r="E774" s="39"/>
      <c r="F774" s="39"/>
      <c r="G774" s="17">
        <f>SUM(G412:G773)</f>
        <v>768655.94000000006</v>
      </c>
      <c r="H774" s="95">
        <f>SUM(H412:H773)</f>
        <v>94978.389999999985</v>
      </c>
      <c r="I774" s="40">
        <f>SUM(I412:I773)</f>
        <v>673677.55000000016</v>
      </c>
      <c r="J774" s="40">
        <f>SUM(J412:J773)</f>
        <v>34732.75</v>
      </c>
      <c r="K774" s="40">
        <f>SUM(K412:K773)</f>
        <v>34732.750000000007</v>
      </c>
    </row>
    <row r="775" spans="1:11" s="198" customFormat="1" ht="54.75" customHeight="1" thickBot="1">
      <c r="A775" s="191" t="s">
        <v>925</v>
      </c>
      <c r="B775" s="192" t="s">
        <v>926</v>
      </c>
      <c r="C775" s="193"/>
      <c r="D775" s="194" t="s">
        <v>20</v>
      </c>
      <c r="E775" s="194" t="s">
        <v>31</v>
      </c>
      <c r="F775" s="194" t="s">
        <v>27</v>
      </c>
      <c r="G775" s="17">
        <f>' MARZO-18-1'!I766</f>
        <v>0</v>
      </c>
      <c r="H775" s="246"/>
      <c r="I775" s="196">
        <f t="shared" si="14"/>
        <v>0</v>
      </c>
      <c r="J775" s="197"/>
      <c r="K775" s="267"/>
    </row>
    <row r="776" spans="1:11" s="199" customFormat="1" ht="23.25" customHeight="1" thickBot="1">
      <c r="A776" s="38"/>
      <c r="B776" s="161" t="s">
        <v>21</v>
      </c>
      <c r="C776" s="39"/>
      <c r="D776" s="39"/>
      <c r="E776" s="39"/>
      <c r="F776" s="39"/>
      <c r="G776" s="17">
        <f>' MARZO-18-1'!I767</f>
        <v>0</v>
      </c>
      <c r="H776" s="95">
        <f>SUM(H775)</f>
        <v>0</v>
      </c>
      <c r="I776" s="196">
        <f t="shared" si="14"/>
        <v>0</v>
      </c>
      <c r="J776" s="40"/>
      <c r="K776" s="40">
        <f>SUM(K775)</f>
        <v>0</v>
      </c>
    </row>
    <row r="777" spans="1:11" s="171" customFormat="1" ht="45">
      <c r="A777" s="184" t="s">
        <v>929</v>
      </c>
      <c r="B777" s="185" t="s">
        <v>928</v>
      </c>
      <c r="C777" s="186"/>
      <c r="D777" s="187" t="s">
        <v>22</v>
      </c>
      <c r="E777" s="187" t="s">
        <v>31</v>
      </c>
      <c r="F777" s="187" t="s">
        <v>27</v>
      </c>
      <c r="G777" s="17">
        <f>' MARZO-18-1'!I768</f>
        <v>117.86000000000001</v>
      </c>
      <c r="H777" s="245"/>
      <c r="I777" s="189">
        <f t="shared" si="14"/>
        <v>117.86000000000001</v>
      </c>
      <c r="J777" s="190"/>
      <c r="K777" s="268"/>
    </row>
    <row r="778" spans="1:11" s="171" customFormat="1" ht="63" customHeight="1">
      <c r="A778" s="175" t="s">
        <v>927</v>
      </c>
      <c r="B778" s="174" t="s">
        <v>978</v>
      </c>
      <c r="C778" s="139"/>
      <c r="D778" s="14" t="s">
        <v>22</v>
      </c>
      <c r="E778" s="14" t="s">
        <v>31</v>
      </c>
      <c r="F778" s="14" t="s">
        <v>27</v>
      </c>
      <c r="G778" s="17">
        <f>' MARZO-18-1'!I769</f>
        <v>290.39999999999998</v>
      </c>
      <c r="H778" s="244"/>
      <c r="I778" s="17">
        <f t="shared" si="14"/>
        <v>290.39999999999998</v>
      </c>
      <c r="J778" s="140"/>
      <c r="K778" s="140"/>
    </row>
    <row r="779" spans="1:11">
      <c r="A779" s="38"/>
      <c r="B779" s="161" t="s">
        <v>23</v>
      </c>
      <c r="C779" s="39"/>
      <c r="D779" s="39"/>
      <c r="E779" s="39"/>
      <c r="F779" s="39"/>
      <c r="G779" s="17">
        <f>' MARZO-18-1'!I770</f>
        <v>408.2600000000001</v>
      </c>
      <c r="H779" s="95">
        <f>SUM(H777:H778)</f>
        <v>0</v>
      </c>
      <c r="I779" s="17">
        <f t="shared" si="14"/>
        <v>408.2600000000001</v>
      </c>
      <c r="J779" s="40"/>
      <c r="K779" s="40">
        <f>SUM(K777:K778)</f>
        <v>0</v>
      </c>
    </row>
    <row r="780" spans="1:11" s="171" customFormat="1" ht="116.25" customHeight="1">
      <c r="A780" s="169" t="s">
        <v>200</v>
      </c>
      <c r="B780" s="174" t="s">
        <v>930</v>
      </c>
      <c r="C780" s="139"/>
      <c r="D780" s="139"/>
      <c r="E780" s="139"/>
      <c r="F780" s="139"/>
      <c r="G780" s="17">
        <f>' MARZO-18-1'!I771</f>
        <v>0</v>
      </c>
      <c r="H780" s="170"/>
      <c r="I780" s="140"/>
      <c r="J780" s="140"/>
      <c r="K780" s="140"/>
    </row>
    <row r="781" spans="1:11" s="171" customFormat="1" ht="38.25" customHeight="1">
      <c r="A781" s="255">
        <v>51999</v>
      </c>
      <c r="B781" s="173" t="s">
        <v>933</v>
      </c>
      <c r="C781" s="139"/>
      <c r="D781" s="14" t="s">
        <v>11</v>
      </c>
      <c r="E781" s="14" t="s">
        <v>25</v>
      </c>
      <c r="F781" s="257" t="s">
        <v>1025</v>
      </c>
      <c r="G781" s="17">
        <f>' MARZO-18-1'!I772</f>
        <v>3600</v>
      </c>
      <c r="H781" s="140">
        <v>1500</v>
      </c>
      <c r="I781" s="17">
        <f t="shared" ref="I781:I817" si="15">G781-H781+J781-K781</f>
        <v>2100</v>
      </c>
      <c r="J781" s="135"/>
      <c r="K781" s="135"/>
    </row>
    <row r="782" spans="1:11" s="171" customFormat="1" ht="30" customHeight="1">
      <c r="A782" s="255">
        <v>54199</v>
      </c>
      <c r="B782" s="173" t="s">
        <v>931</v>
      </c>
      <c r="C782" s="139"/>
      <c r="D782" s="14" t="s">
        <v>11</v>
      </c>
      <c r="E782" s="14" t="s">
        <v>25</v>
      </c>
      <c r="F782" s="257" t="s">
        <v>1025</v>
      </c>
      <c r="G782" s="17">
        <f>' MARZO-18-1'!I773</f>
        <v>0</v>
      </c>
      <c r="H782" s="170"/>
      <c r="I782" s="17">
        <f t="shared" si="15"/>
        <v>0</v>
      </c>
      <c r="J782" s="135"/>
      <c r="K782" s="135"/>
    </row>
    <row r="783" spans="1:11" s="171" customFormat="1" ht="24.75" customHeight="1">
      <c r="A783" s="255">
        <v>55799</v>
      </c>
      <c r="B783" s="173" t="s">
        <v>932</v>
      </c>
      <c r="C783" s="139"/>
      <c r="D783" s="14" t="s">
        <v>11</v>
      </c>
      <c r="E783" s="14" t="s">
        <v>25</v>
      </c>
      <c r="F783" s="257" t="s">
        <v>1025</v>
      </c>
      <c r="G783" s="17">
        <f>' MARZO-18-1'!I774</f>
        <v>1413.6799999999998</v>
      </c>
      <c r="H783" s="170"/>
      <c r="I783" s="17">
        <f t="shared" si="15"/>
        <v>1413.6799999999998</v>
      </c>
      <c r="J783" s="135"/>
      <c r="K783" s="135"/>
    </row>
    <row r="784" spans="1:11" s="171" customFormat="1" ht="79.5" customHeight="1">
      <c r="A784" s="176" t="s">
        <v>201</v>
      </c>
      <c r="B784" s="173" t="s">
        <v>934</v>
      </c>
      <c r="C784" s="139"/>
      <c r="D784" s="139"/>
      <c r="E784" s="139"/>
      <c r="F784" s="257" t="s">
        <v>1024</v>
      </c>
      <c r="G784" s="17">
        <f>' MARZO-18-1'!I775</f>
        <v>0</v>
      </c>
      <c r="H784" s="170"/>
      <c r="I784" s="17"/>
      <c r="J784" s="140"/>
      <c r="K784" s="140"/>
    </row>
    <row r="785" spans="1:11" s="171" customFormat="1" ht="37.5" customHeight="1">
      <c r="A785" s="254">
        <v>51202</v>
      </c>
      <c r="B785" s="173" t="s">
        <v>954</v>
      </c>
      <c r="C785" s="139"/>
      <c r="D785" s="14" t="s">
        <v>11</v>
      </c>
      <c r="E785" s="14" t="s">
        <v>25</v>
      </c>
      <c r="F785" s="257" t="s">
        <v>1024</v>
      </c>
      <c r="G785" s="17">
        <f>' MARZO-18-1'!I776</f>
        <v>4335.670000000001</v>
      </c>
      <c r="H785" s="140"/>
      <c r="I785" s="17">
        <f t="shared" si="15"/>
        <v>4335.670000000001</v>
      </c>
      <c r="J785" s="140"/>
      <c r="K785" s="140"/>
    </row>
    <row r="786" spans="1:11" s="171" customFormat="1" ht="33" customHeight="1">
      <c r="A786" s="254">
        <v>51999</v>
      </c>
      <c r="B786" s="177" t="s">
        <v>935</v>
      </c>
      <c r="C786" s="139"/>
      <c r="D786" s="14" t="s">
        <v>11</v>
      </c>
      <c r="E786" s="14" t="s">
        <v>25</v>
      </c>
      <c r="F786" s="257" t="s">
        <v>1024</v>
      </c>
      <c r="G786" s="17">
        <f>' MARZO-18-1'!I777</f>
        <v>0</v>
      </c>
      <c r="H786" s="140"/>
      <c r="I786" s="17">
        <f t="shared" si="15"/>
        <v>0</v>
      </c>
      <c r="J786" s="140"/>
      <c r="K786" s="135"/>
    </row>
    <row r="787" spans="1:11" s="171" customFormat="1" ht="29.25">
      <c r="A787" s="254">
        <v>54110</v>
      </c>
      <c r="B787" s="177" t="s">
        <v>936</v>
      </c>
      <c r="C787" s="139"/>
      <c r="D787" s="14" t="s">
        <v>11</v>
      </c>
      <c r="E787" s="14" t="s">
        <v>25</v>
      </c>
      <c r="F787" s="257" t="s">
        <v>1024</v>
      </c>
      <c r="G787" s="17">
        <f>' MARZO-18-1'!I778</f>
        <v>1893.86</v>
      </c>
      <c r="H787" s="140"/>
      <c r="I787" s="17">
        <f t="shared" si="15"/>
        <v>1893.86</v>
      </c>
      <c r="J787" s="140"/>
      <c r="K787" s="135"/>
    </row>
    <row r="788" spans="1:11" s="171" customFormat="1" ht="44.25">
      <c r="A788" s="254">
        <v>54111</v>
      </c>
      <c r="B788" s="173" t="s">
        <v>937</v>
      </c>
      <c r="C788" s="139"/>
      <c r="D788" s="14" t="s">
        <v>11</v>
      </c>
      <c r="E788" s="14" t="s">
        <v>25</v>
      </c>
      <c r="F788" s="257" t="s">
        <v>1024</v>
      </c>
      <c r="G788" s="17">
        <f>' MARZO-18-1'!I779</f>
        <v>8419.9700000000012</v>
      </c>
      <c r="H788" s="140"/>
      <c r="I788" s="17">
        <f t="shared" si="15"/>
        <v>8419.9700000000012</v>
      </c>
      <c r="J788" s="140"/>
      <c r="K788" s="135"/>
    </row>
    <row r="789" spans="1:11" s="171" customFormat="1" ht="44.25">
      <c r="A789" s="254">
        <v>54112</v>
      </c>
      <c r="B789" s="173" t="s">
        <v>938</v>
      </c>
      <c r="C789" s="139"/>
      <c r="D789" s="14" t="s">
        <v>11</v>
      </c>
      <c r="E789" s="14" t="s">
        <v>25</v>
      </c>
      <c r="F789" s="257" t="s">
        <v>1024</v>
      </c>
      <c r="G789" s="17">
        <f>' MARZO-18-1'!I780</f>
        <v>2846.6500000000015</v>
      </c>
      <c r="H789" s="140"/>
      <c r="I789" s="17">
        <f t="shared" si="15"/>
        <v>2846.6500000000015</v>
      </c>
      <c r="J789" s="135"/>
      <c r="K789" s="135"/>
    </row>
    <row r="790" spans="1:11" s="171" customFormat="1" ht="29.25">
      <c r="A790" s="254">
        <v>54118</v>
      </c>
      <c r="B790" s="173" t="s">
        <v>939</v>
      </c>
      <c r="C790" s="139"/>
      <c r="D790" s="14" t="s">
        <v>11</v>
      </c>
      <c r="E790" s="14" t="s">
        <v>25</v>
      </c>
      <c r="F790" s="257" t="s">
        <v>1024</v>
      </c>
      <c r="G790" s="17">
        <f>' MARZO-18-1'!I781</f>
        <v>2557.4499999999998</v>
      </c>
      <c r="H790" s="244"/>
      <c r="I790" s="17">
        <f t="shared" si="15"/>
        <v>2557.4499999999998</v>
      </c>
      <c r="J790" s="140"/>
      <c r="K790" s="135"/>
    </row>
    <row r="791" spans="1:11" s="171" customFormat="1" ht="29.25">
      <c r="A791" s="254">
        <v>54304</v>
      </c>
      <c r="B791" s="173" t="s">
        <v>940</v>
      </c>
      <c r="C791" s="139"/>
      <c r="D791" s="14" t="s">
        <v>11</v>
      </c>
      <c r="E791" s="14" t="s">
        <v>25</v>
      </c>
      <c r="F791" s="257" t="s">
        <v>1024</v>
      </c>
      <c r="G791" s="17">
        <f>' MARZO-18-1'!I782</f>
        <v>2000</v>
      </c>
      <c r="H791" s="170"/>
      <c r="I791" s="17">
        <f t="shared" si="15"/>
        <v>2000</v>
      </c>
      <c r="J791" s="140"/>
      <c r="K791" s="135"/>
    </row>
    <row r="792" spans="1:11" s="171" customFormat="1" ht="44.25">
      <c r="A792" s="254">
        <v>54313</v>
      </c>
      <c r="B792" s="173" t="s">
        <v>941</v>
      </c>
      <c r="C792" s="139"/>
      <c r="D792" s="14" t="s">
        <v>11</v>
      </c>
      <c r="E792" s="14" t="s">
        <v>25</v>
      </c>
      <c r="F792" s="257" t="s">
        <v>1024</v>
      </c>
      <c r="G792" s="17">
        <f>' MARZO-18-1'!I783</f>
        <v>1000</v>
      </c>
      <c r="H792" s="170"/>
      <c r="I792" s="17">
        <f t="shared" si="15"/>
        <v>1000</v>
      </c>
      <c r="J792" s="140"/>
      <c r="K792" s="140"/>
    </row>
    <row r="793" spans="1:11" s="171" customFormat="1" ht="44.25">
      <c r="A793" s="254">
        <v>54399</v>
      </c>
      <c r="B793" s="173" t="s">
        <v>942</v>
      </c>
      <c r="C793" s="139"/>
      <c r="D793" s="14" t="s">
        <v>11</v>
      </c>
      <c r="E793" s="14" t="s">
        <v>25</v>
      </c>
      <c r="F793" s="257" t="s">
        <v>1024</v>
      </c>
      <c r="G793" s="17">
        <f>' MARZO-18-1'!I784</f>
        <v>995</v>
      </c>
      <c r="H793" s="170"/>
      <c r="I793" s="17">
        <f t="shared" si="15"/>
        <v>995</v>
      </c>
      <c r="J793" s="140"/>
      <c r="K793" s="135"/>
    </row>
    <row r="794" spans="1:11" s="171" customFormat="1" ht="39" customHeight="1">
      <c r="A794" s="254">
        <v>55603</v>
      </c>
      <c r="B794" s="173" t="s">
        <v>943</v>
      </c>
      <c r="C794" s="139"/>
      <c r="D794" s="14" t="s">
        <v>11</v>
      </c>
      <c r="E794" s="14" t="s">
        <v>25</v>
      </c>
      <c r="F794" s="257" t="s">
        <v>1024</v>
      </c>
      <c r="G794" s="17">
        <f>' MARZO-18-1'!I785</f>
        <v>6.35</v>
      </c>
      <c r="H794" s="170"/>
      <c r="I794" s="134">
        <f t="shared" si="15"/>
        <v>6.35</v>
      </c>
      <c r="J794" s="135"/>
      <c r="K794" s="140"/>
    </row>
    <row r="795" spans="1:11" s="171" customFormat="1" ht="109.5" customHeight="1">
      <c r="A795" s="169" t="s">
        <v>220</v>
      </c>
      <c r="B795" s="241" t="s">
        <v>973</v>
      </c>
      <c r="C795" s="139"/>
      <c r="D795" s="14"/>
      <c r="E795" s="14"/>
      <c r="F795" s="257" t="s">
        <v>1024</v>
      </c>
      <c r="G795" s="17">
        <f>' MARZO-18-1'!I786</f>
        <v>0</v>
      </c>
      <c r="H795" s="170"/>
      <c r="I795" s="17"/>
      <c r="J795" s="140"/>
      <c r="K795" s="140"/>
    </row>
    <row r="796" spans="1:11" s="171" customFormat="1" ht="29.25">
      <c r="A796" s="254">
        <v>51202</v>
      </c>
      <c r="B796" s="173" t="s">
        <v>944</v>
      </c>
      <c r="C796" s="139"/>
      <c r="D796" s="14" t="s">
        <v>11</v>
      </c>
      <c r="E796" s="14" t="s">
        <v>25</v>
      </c>
      <c r="F796" s="257" t="s">
        <v>1024</v>
      </c>
      <c r="G796" s="17">
        <f>' MARZO-18-1'!I787</f>
        <v>12091.14</v>
      </c>
      <c r="H796" s="140"/>
      <c r="I796" s="17">
        <f t="shared" si="15"/>
        <v>12091.14</v>
      </c>
      <c r="J796" s="140"/>
      <c r="K796" s="140"/>
    </row>
    <row r="797" spans="1:11" s="171" customFormat="1" ht="29.25">
      <c r="A797" s="254">
        <v>51999</v>
      </c>
      <c r="B797" s="173" t="s">
        <v>946</v>
      </c>
      <c r="C797" s="139"/>
      <c r="D797" s="14" t="s">
        <v>11</v>
      </c>
      <c r="E797" s="14" t="s">
        <v>25</v>
      </c>
      <c r="F797" s="257" t="s">
        <v>1024</v>
      </c>
      <c r="G797" s="17">
        <f>' MARZO-18-1'!I788</f>
        <v>1000</v>
      </c>
      <c r="H797" s="140"/>
      <c r="I797" s="17">
        <f t="shared" si="15"/>
        <v>1000</v>
      </c>
      <c r="J797" s="140"/>
      <c r="K797" s="140"/>
    </row>
    <row r="798" spans="1:11" s="171" customFormat="1" ht="36" customHeight="1">
      <c r="A798" s="254">
        <v>54110</v>
      </c>
      <c r="B798" s="173" t="s">
        <v>945</v>
      </c>
      <c r="C798" s="139"/>
      <c r="D798" s="14" t="s">
        <v>11</v>
      </c>
      <c r="E798" s="14" t="s">
        <v>25</v>
      </c>
      <c r="F798" s="257" t="s">
        <v>1024</v>
      </c>
      <c r="G798" s="17">
        <f>' MARZO-18-1'!I789</f>
        <v>2000</v>
      </c>
      <c r="H798" s="140"/>
      <c r="I798" s="17">
        <f t="shared" si="15"/>
        <v>2000</v>
      </c>
      <c r="J798" s="140"/>
      <c r="K798" s="140"/>
    </row>
    <row r="799" spans="1:11" s="171" customFormat="1" ht="41.25" customHeight="1">
      <c r="A799" s="254">
        <v>54111</v>
      </c>
      <c r="B799" s="173" t="s">
        <v>947</v>
      </c>
      <c r="C799" s="139"/>
      <c r="D799" s="14" t="s">
        <v>11</v>
      </c>
      <c r="E799" s="14" t="s">
        <v>25</v>
      </c>
      <c r="F799" s="257" t="s">
        <v>1024</v>
      </c>
      <c r="G799" s="17">
        <f>' MARZO-18-1'!I790</f>
        <v>18000</v>
      </c>
      <c r="H799" s="140"/>
      <c r="I799" s="17">
        <f t="shared" si="15"/>
        <v>18000</v>
      </c>
      <c r="J799" s="140"/>
      <c r="K799" s="140"/>
    </row>
    <row r="800" spans="1:11" s="171" customFormat="1" ht="35.25" customHeight="1">
      <c r="A800" s="254">
        <v>54112</v>
      </c>
      <c r="B800" s="173" t="s">
        <v>948</v>
      </c>
      <c r="C800" s="139"/>
      <c r="D800" s="14" t="s">
        <v>11</v>
      </c>
      <c r="E800" s="14" t="s">
        <v>25</v>
      </c>
      <c r="F800" s="257" t="s">
        <v>1024</v>
      </c>
      <c r="G800" s="17">
        <f>' MARZO-18-1'!I791</f>
        <v>5265.95</v>
      </c>
      <c r="H800" s="140"/>
      <c r="I800" s="17">
        <f t="shared" si="15"/>
        <v>5265.95</v>
      </c>
      <c r="J800" s="140"/>
      <c r="K800" s="140"/>
    </row>
    <row r="801" spans="1:11" s="171" customFormat="1" ht="29.25">
      <c r="A801" s="254">
        <v>54118</v>
      </c>
      <c r="B801" s="173" t="s">
        <v>949</v>
      </c>
      <c r="C801" s="139"/>
      <c r="D801" s="14" t="s">
        <v>11</v>
      </c>
      <c r="E801" s="14" t="s">
        <v>25</v>
      </c>
      <c r="F801" s="257" t="s">
        <v>1024</v>
      </c>
      <c r="G801" s="17">
        <f>' MARZO-18-1'!I792</f>
        <v>3000</v>
      </c>
      <c r="H801" s="140"/>
      <c r="I801" s="17">
        <f t="shared" si="15"/>
        <v>3000</v>
      </c>
      <c r="J801" s="140"/>
      <c r="K801" s="140"/>
    </row>
    <row r="802" spans="1:11" s="171" customFormat="1" ht="29.25">
      <c r="A802" s="254">
        <v>54304</v>
      </c>
      <c r="B802" s="173" t="s">
        <v>950</v>
      </c>
      <c r="C802" s="139"/>
      <c r="D802" s="14" t="s">
        <v>11</v>
      </c>
      <c r="E802" s="14" t="s">
        <v>25</v>
      </c>
      <c r="F802" s="257" t="s">
        <v>1024</v>
      </c>
      <c r="G802" s="17">
        <f>' MARZO-18-1'!I793</f>
        <v>12000</v>
      </c>
      <c r="H802" s="140"/>
      <c r="I802" s="17">
        <f t="shared" si="15"/>
        <v>12000</v>
      </c>
      <c r="J802" s="140"/>
      <c r="K802" s="140"/>
    </row>
    <row r="803" spans="1:11" s="171" customFormat="1" ht="44.25">
      <c r="A803" s="254">
        <v>54313</v>
      </c>
      <c r="B803" s="173" t="s">
        <v>951</v>
      </c>
      <c r="C803" s="139"/>
      <c r="D803" s="14" t="s">
        <v>11</v>
      </c>
      <c r="E803" s="14" t="s">
        <v>25</v>
      </c>
      <c r="F803" s="257" t="s">
        <v>1024</v>
      </c>
      <c r="G803" s="17">
        <f>' MARZO-18-1'!I794</f>
        <v>1000</v>
      </c>
      <c r="H803" s="140"/>
      <c r="I803" s="17">
        <f t="shared" si="15"/>
        <v>1000</v>
      </c>
      <c r="J803" s="140"/>
      <c r="K803" s="140"/>
    </row>
    <row r="804" spans="1:11" s="171" customFormat="1" ht="44.25">
      <c r="A804" s="254">
        <v>54399</v>
      </c>
      <c r="B804" s="173" t="s">
        <v>952</v>
      </c>
      <c r="C804" s="139"/>
      <c r="D804" s="14" t="s">
        <v>11</v>
      </c>
      <c r="E804" s="14" t="s">
        <v>25</v>
      </c>
      <c r="F804" s="257" t="s">
        <v>1024</v>
      </c>
      <c r="G804" s="17">
        <f>' MARZO-18-1'!I795</f>
        <v>1988</v>
      </c>
      <c r="H804" s="140"/>
      <c r="I804" s="17">
        <f t="shared" si="15"/>
        <v>1988</v>
      </c>
      <c r="J804" s="135"/>
      <c r="K804" s="135"/>
    </row>
    <row r="805" spans="1:11" s="171" customFormat="1" ht="50.25" customHeight="1">
      <c r="A805" s="254">
        <v>55603</v>
      </c>
      <c r="B805" s="173" t="s">
        <v>953</v>
      </c>
      <c r="C805" s="139"/>
      <c r="D805" s="14" t="s">
        <v>11</v>
      </c>
      <c r="E805" s="14" t="s">
        <v>25</v>
      </c>
      <c r="F805" s="257" t="s">
        <v>1024</v>
      </c>
      <c r="G805" s="17">
        <f>' MARZO-18-1'!I796</f>
        <v>6.35</v>
      </c>
      <c r="H805" s="140"/>
      <c r="I805" s="134">
        <f t="shared" si="15"/>
        <v>6.35</v>
      </c>
      <c r="J805" s="135"/>
      <c r="K805" s="135"/>
    </row>
    <row r="806" spans="1:11" s="171" customFormat="1" ht="99.75">
      <c r="A806" s="256" t="s">
        <v>238</v>
      </c>
      <c r="B806" s="241" t="s">
        <v>972</v>
      </c>
      <c r="C806" s="139"/>
      <c r="D806" s="14"/>
      <c r="E806" s="14"/>
      <c r="F806" s="257" t="s">
        <v>1024</v>
      </c>
      <c r="G806" s="17">
        <f>' MARZO-18-1'!I797</f>
        <v>0</v>
      </c>
      <c r="H806" s="170"/>
      <c r="I806" s="17"/>
      <c r="J806" s="140"/>
      <c r="K806" s="140"/>
    </row>
    <row r="807" spans="1:11" s="171" customFormat="1" ht="29.25">
      <c r="A807" s="254">
        <v>51202</v>
      </c>
      <c r="B807" s="173" t="s">
        <v>955</v>
      </c>
      <c r="C807" s="139"/>
      <c r="D807" s="14" t="s">
        <v>11</v>
      </c>
      <c r="E807" s="14" t="s">
        <v>25</v>
      </c>
      <c r="F807" s="257" t="s">
        <v>1024</v>
      </c>
      <c r="G807" s="17">
        <f>' MARZO-18-1'!I798</f>
        <v>6476.74</v>
      </c>
      <c r="H807" s="244"/>
      <c r="I807" s="17">
        <f t="shared" si="15"/>
        <v>6476.74</v>
      </c>
      <c r="J807" s="140"/>
      <c r="K807" s="140"/>
    </row>
    <row r="808" spans="1:11" s="171" customFormat="1" ht="43.5">
      <c r="A808" s="254">
        <v>51999</v>
      </c>
      <c r="B808" s="173" t="s">
        <v>956</v>
      </c>
      <c r="C808" s="139"/>
      <c r="D808" s="14" t="s">
        <v>11</v>
      </c>
      <c r="E808" s="14" t="s">
        <v>25</v>
      </c>
      <c r="F808" s="257" t="s">
        <v>1024</v>
      </c>
      <c r="G808" s="17">
        <f>' MARZO-18-1'!I799</f>
        <v>0</v>
      </c>
      <c r="H808" s="244"/>
      <c r="I808" s="17">
        <f t="shared" si="15"/>
        <v>0</v>
      </c>
      <c r="J808" s="140"/>
      <c r="K808" s="135"/>
    </row>
    <row r="809" spans="1:11" s="171" customFormat="1" ht="43.5">
      <c r="A809" s="254">
        <v>54110</v>
      </c>
      <c r="B809" s="173" t="s">
        <v>957</v>
      </c>
      <c r="C809" s="139"/>
      <c r="D809" s="14" t="s">
        <v>11</v>
      </c>
      <c r="E809" s="14" t="s">
        <v>25</v>
      </c>
      <c r="F809" s="257" t="s">
        <v>1024</v>
      </c>
      <c r="G809" s="17">
        <f>' MARZO-18-1'!I800</f>
        <v>1909.2</v>
      </c>
      <c r="H809" s="244"/>
      <c r="I809" s="17">
        <f t="shared" si="15"/>
        <v>1909.2</v>
      </c>
      <c r="J809" s="140"/>
      <c r="K809" s="140"/>
    </row>
    <row r="810" spans="1:11" s="171" customFormat="1" ht="44.25">
      <c r="A810" s="254">
        <v>54111</v>
      </c>
      <c r="B810" s="173" t="s">
        <v>958</v>
      </c>
      <c r="C810" s="139"/>
      <c r="D810" s="14" t="s">
        <v>11</v>
      </c>
      <c r="E810" s="14" t="s">
        <v>25</v>
      </c>
      <c r="F810" s="257" t="s">
        <v>1024</v>
      </c>
      <c r="G810" s="17">
        <f>' MARZO-18-1'!I801</f>
        <v>4620</v>
      </c>
      <c r="H810" s="244"/>
      <c r="I810" s="17">
        <f t="shared" si="15"/>
        <v>4620</v>
      </c>
      <c r="J810" s="140"/>
      <c r="K810" s="135"/>
    </row>
    <row r="811" spans="1:11" s="171" customFormat="1" ht="44.25">
      <c r="A811" s="254">
        <v>54112</v>
      </c>
      <c r="B811" s="173" t="s">
        <v>959</v>
      </c>
      <c r="C811" s="139"/>
      <c r="D811" s="14" t="s">
        <v>11</v>
      </c>
      <c r="E811" s="14" t="s">
        <v>25</v>
      </c>
      <c r="F811" s="257" t="s">
        <v>1024</v>
      </c>
      <c r="G811" s="17">
        <f>' MARZO-18-1'!I802</f>
        <v>391.85000000000036</v>
      </c>
      <c r="H811" s="244"/>
      <c r="I811" s="134">
        <f t="shared" si="15"/>
        <v>391.85000000000036</v>
      </c>
      <c r="J811" s="135"/>
      <c r="K811" s="135"/>
    </row>
    <row r="812" spans="1:11" s="171" customFormat="1" ht="43.5">
      <c r="A812" s="254">
        <v>54118</v>
      </c>
      <c r="B812" s="173" t="s">
        <v>960</v>
      </c>
      <c r="C812" s="139"/>
      <c r="D812" s="14" t="s">
        <v>11</v>
      </c>
      <c r="E812" s="14" t="s">
        <v>25</v>
      </c>
      <c r="F812" s="257" t="s">
        <v>1024</v>
      </c>
      <c r="G812" s="17">
        <f>' MARZO-18-1'!I803</f>
        <v>998.59999999999991</v>
      </c>
      <c r="H812" s="244"/>
      <c r="I812" s="17">
        <f t="shared" si="15"/>
        <v>998.59999999999991</v>
      </c>
      <c r="J812" s="135"/>
      <c r="K812" s="135"/>
    </row>
    <row r="813" spans="1:11" s="171" customFormat="1" ht="43.5">
      <c r="A813" s="254">
        <v>54304</v>
      </c>
      <c r="B813" s="173" t="s">
        <v>961</v>
      </c>
      <c r="C813" s="139"/>
      <c r="D813" s="14" t="s">
        <v>11</v>
      </c>
      <c r="E813" s="14" t="s">
        <v>25</v>
      </c>
      <c r="F813" s="257" t="s">
        <v>1024</v>
      </c>
      <c r="G813" s="17">
        <f>' MARZO-18-1'!I804</f>
        <v>1993</v>
      </c>
      <c r="H813" s="170"/>
      <c r="I813" s="17">
        <f t="shared" si="15"/>
        <v>1993</v>
      </c>
      <c r="J813" s="135"/>
      <c r="K813" s="135"/>
    </row>
    <row r="814" spans="1:11" s="171" customFormat="1" ht="44.25">
      <c r="A814" s="254">
        <v>54313</v>
      </c>
      <c r="B814" s="173" t="s">
        <v>962</v>
      </c>
      <c r="C814" s="139"/>
      <c r="D814" s="14" t="s">
        <v>11</v>
      </c>
      <c r="E814" s="14" t="s">
        <v>25</v>
      </c>
      <c r="F814" s="257" t="s">
        <v>1024</v>
      </c>
      <c r="G814" s="17">
        <f>' MARZO-18-1'!I805</f>
        <v>500</v>
      </c>
      <c r="H814" s="170"/>
      <c r="I814" s="17">
        <f t="shared" si="15"/>
        <v>500</v>
      </c>
      <c r="J814" s="135"/>
      <c r="K814" s="135"/>
    </row>
    <row r="815" spans="1:11" s="171" customFormat="1" ht="48" customHeight="1">
      <c r="A815" s="254">
        <v>54316</v>
      </c>
      <c r="B815" s="173" t="s">
        <v>1023</v>
      </c>
      <c r="C815" s="139"/>
      <c r="D815" s="14" t="s">
        <v>11</v>
      </c>
      <c r="E815" s="14" t="s">
        <v>25</v>
      </c>
      <c r="F815" s="257" t="s">
        <v>1024</v>
      </c>
      <c r="G815" s="17">
        <f>' MARZO-18-1'!I806</f>
        <v>50</v>
      </c>
      <c r="H815" s="170"/>
      <c r="I815" s="134">
        <f t="shared" si="15"/>
        <v>50</v>
      </c>
      <c r="J815" s="135"/>
      <c r="K815" s="135"/>
    </row>
    <row r="816" spans="1:11" s="171" customFormat="1" ht="44.25">
      <c r="A816" s="254">
        <v>54399</v>
      </c>
      <c r="B816" s="173" t="s">
        <v>963</v>
      </c>
      <c r="C816" s="139"/>
      <c r="D816" s="14" t="s">
        <v>11</v>
      </c>
      <c r="E816" s="14" t="s">
        <v>25</v>
      </c>
      <c r="F816" s="257" t="s">
        <v>1024</v>
      </c>
      <c r="G816" s="17">
        <f>' MARZO-18-1'!I807</f>
        <v>1495</v>
      </c>
      <c r="H816" s="170"/>
      <c r="I816" s="17">
        <f t="shared" si="15"/>
        <v>1495</v>
      </c>
      <c r="J816" s="135"/>
      <c r="K816" s="135"/>
    </row>
    <row r="817" spans="1:11" s="171" customFormat="1" ht="57.75">
      <c r="A817" s="254">
        <v>55603</v>
      </c>
      <c r="B817" s="173" t="s">
        <v>971</v>
      </c>
      <c r="C817" s="139"/>
      <c r="D817" s="14" t="s">
        <v>11</v>
      </c>
      <c r="E817" s="14" t="s">
        <v>25</v>
      </c>
      <c r="F817" s="257" t="s">
        <v>1024</v>
      </c>
      <c r="G817" s="17">
        <f>' MARZO-18-1'!I808</f>
        <v>6.35</v>
      </c>
      <c r="H817" s="170"/>
      <c r="I817" s="134">
        <f t="shared" si="15"/>
        <v>6.35</v>
      </c>
      <c r="J817" s="135"/>
      <c r="K817" s="140"/>
    </row>
    <row r="818" spans="1:11" ht="21">
      <c r="A818" s="38" t="s">
        <v>8</v>
      </c>
      <c r="B818" s="39" t="s">
        <v>24</v>
      </c>
      <c r="C818" s="39"/>
      <c r="D818" s="39" t="s">
        <v>11</v>
      </c>
      <c r="E818" s="39" t="s">
        <v>25</v>
      </c>
      <c r="F818" s="257" t="s">
        <v>1024</v>
      </c>
      <c r="G818" s="17">
        <f>' MARZO-18-1'!I809</f>
        <v>103860.81</v>
      </c>
      <c r="H818" s="95">
        <f>SUM(H780:H817)</f>
        <v>1500</v>
      </c>
      <c r="I818" s="40">
        <f>G818-H818+J818-K818</f>
        <v>102360.81</v>
      </c>
      <c r="J818" s="40">
        <f>SUM(J780:J817)</f>
        <v>0</v>
      </c>
      <c r="K818" s="40">
        <f>SUM(K780:K817)</f>
        <v>0</v>
      </c>
    </row>
    <row r="819" spans="1:11" ht="28.5">
      <c r="A819" s="169" t="s">
        <v>15</v>
      </c>
      <c r="B819" s="282" t="s">
        <v>990</v>
      </c>
      <c r="C819" s="139" t="s">
        <v>1070</v>
      </c>
      <c r="D819" s="14" t="s">
        <v>18</v>
      </c>
      <c r="E819" s="14" t="s">
        <v>28</v>
      </c>
      <c r="F819" s="287" t="s">
        <v>1073</v>
      </c>
      <c r="G819" s="17">
        <f>' MARZO-18-1'!I810</f>
        <v>9000</v>
      </c>
      <c r="H819" s="170">
        <f>8997+9003</f>
        <v>18000</v>
      </c>
      <c r="I819" s="135">
        <f>G819-H819+J819-K819</f>
        <v>0</v>
      </c>
      <c r="J819" s="135">
        <v>9000</v>
      </c>
      <c r="K819" s="140"/>
    </row>
    <row r="820" spans="1:11" ht="25.5">
      <c r="A820" s="38"/>
      <c r="B820" s="39" t="s">
        <v>989</v>
      </c>
      <c r="C820" s="39"/>
      <c r="D820" s="99" t="s">
        <v>18</v>
      </c>
      <c r="E820" s="99" t="s">
        <v>28</v>
      </c>
      <c r="F820" s="242" t="s">
        <v>996</v>
      </c>
      <c r="G820" s="17">
        <f>' MARZO-18-1'!I810</f>
        <v>9000</v>
      </c>
      <c r="H820" s="95">
        <f>SUM(H819)</f>
        <v>18000</v>
      </c>
      <c r="I820" s="40">
        <f>SUM(I819)</f>
        <v>0</v>
      </c>
      <c r="J820" s="40">
        <f>SUM(J817:J819)</f>
        <v>9000</v>
      </c>
      <c r="K820" s="40"/>
    </row>
    <row r="821" spans="1:11" ht="28.5">
      <c r="A821" s="169" t="s">
        <v>16</v>
      </c>
      <c r="B821" s="282" t="s">
        <v>1068</v>
      </c>
      <c r="C821" s="139" t="s">
        <v>1070</v>
      </c>
      <c r="D821" s="14" t="s">
        <v>18</v>
      </c>
      <c r="E821" s="14" t="s">
        <v>28</v>
      </c>
      <c r="F821" s="139" t="s">
        <v>1074</v>
      </c>
      <c r="G821" s="17">
        <f>' MARZO-18-1'!I811</f>
        <v>0</v>
      </c>
      <c r="H821" s="170">
        <v>11990</v>
      </c>
      <c r="I821" s="135">
        <f>G821-H821+J821-K821</f>
        <v>10</v>
      </c>
      <c r="J821" s="140">
        <v>12000</v>
      </c>
      <c r="K821" s="140"/>
    </row>
    <row r="822" spans="1:11">
      <c r="A822" s="38"/>
      <c r="B822" s="39" t="s">
        <v>989</v>
      </c>
      <c r="C822" s="39"/>
      <c r="D822" s="99" t="s">
        <v>18</v>
      </c>
      <c r="E822" s="99" t="s">
        <v>28</v>
      </c>
      <c r="F822" s="139" t="s">
        <v>1069</v>
      </c>
      <c r="G822" s="17"/>
      <c r="H822" s="95">
        <f>SUM(H821)</f>
        <v>11990</v>
      </c>
      <c r="I822" s="40">
        <f>SUM(I819:I821)</f>
        <v>10</v>
      </c>
      <c r="J822" s="40">
        <f>SUM(J821)</f>
        <v>12000</v>
      </c>
      <c r="K822" s="40"/>
    </row>
    <row r="823" spans="1:11" ht="20.25" customHeight="1">
      <c r="A823" s="469" t="s">
        <v>124</v>
      </c>
      <c r="B823" s="469"/>
      <c r="C823" s="469"/>
      <c r="D823" s="48"/>
      <c r="E823" s="48"/>
      <c r="F823" s="48"/>
      <c r="G823" s="17">
        <f>' MARZO-18-1'!I813</f>
        <v>2621184.39</v>
      </c>
      <c r="H823" s="51">
        <f>H822+H820+H818+H779+H776+H774+H411+H155+H147+H134+H123+H101+H74+H61</f>
        <v>280230.21999999997</v>
      </c>
      <c r="I823" s="49">
        <f>I822+I820+I818+I779+I776+I774+I411+I155+I147+I134+I123+I101+I74+I61</f>
        <v>2349954.1700000004</v>
      </c>
      <c r="J823" s="231">
        <f>J822+J820+J818+J779+J776+J774+J411+J155+J147+J134+J123+J101+J74+J61</f>
        <v>84883.35</v>
      </c>
      <c r="K823" s="231">
        <f>K818+K779+K774+K411+K155+K147+K134+K123+K101+K74+K61+K776</f>
        <v>75883.350000000006</v>
      </c>
    </row>
    <row r="824" spans="1:11">
      <c r="J824" s="130"/>
    </row>
    <row r="825" spans="1:11">
      <c r="I825" s="274"/>
      <c r="J825" s="262">
        <f>J823-K823</f>
        <v>9000</v>
      </c>
    </row>
    <row r="826" spans="1:11">
      <c r="A826" s="232" t="s">
        <v>1031</v>
      </c>
    </row>
    <row r="827" spans="1:11">
      <c r="A827" s="273" t="s">
        <v>1050</v>
      </c>
      <c r="B827" s="273"/>
      <c r="C827" s="273"/>
      <c r="D827" s="273"/>
      <c r="E827" s="273"/>
      <c r="F827" s="273"/>
    </row>
  </sheetData>
  <mergeCells count="3">
    <mergeCell ref="B1:K1"/>
    <mergeCell ref="B2:J2"/>
    <mergeCell ref="A823:C823"/>
  </mergeCells>
  <pageMargins left="0.15748031496062992" right="0.11811023622047245" top="0.19685039370078741" bottom="0.62992125984251968" header="0.15748031496062992" footer="0.11811023622047245"/>
  <pageSetup paperSize="5" scale="80" orientation="landscape" horizontalDpi="4294967293" verticalDpi="4294967293" r:id="rId1"/>
  <headerFooter>
    <oddFooter>&amp;L&amp;P
&amp;F
&amp;D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AF67D"/>
  </sheetPr>
  <dimension ref="A1:J24"/>
  <sheetViews>
    <sheetView topLeftCell="D12" zoomScaleNormal="100" workbookViewId="0">
      <selection activeCell="A6" sqref="A6"/>
    </sheetView>
  </sheetViews>
  <sheetFormatPr baseColWidth="10" defaultRowHeight="15"/>
  <cols>
    <col min="1" max="1" width="18" customWidth="1"/>
    <col min="2" max="2" width="28.85546875" customWidth="1"/>
    <col min="3" max="3" width="26.5703125" customWidth="1"/>
    <col min="4" max="4" width="24.28515625" customWidth="1"/>
    <col min="5" max="5" width="16.28515625" customWidth="1"/>
    <col min="6" max="6" width="26.5703125" customWidth="1"/>
    <col min="7" max="7" width="30.7109375" customWidth="1"/>
    <col min="8" max="8" width="25.28515625" customWidth="1"/>
    <col min="9" max="9" width="27.140625" customWidth="1"/>
  </cols>
  <sheetData>
    <row r="1" spans="1:10" ht="36.75">
      <c r="A1" s="467" t="s">
        <v>155</v>
      </c>
      <c r="B1" s="467"/>
      <c r="C1" s="467"/>
      <c r="D1" s="467"/>
      <c r="E1" s="467"/>
      <c r="F1" s="467"/>
      <c r="G1" s="467"/>
      <c r="H1" s="467"/>
      <c r="I1" s="467"/>
      <c r="J1" s="467"/>
    </row>
    <row r="2" spans="1:10" ht="36.75">
      <c r="A2" s="468" t="s">
        <v>1034</v>
      </c>
      <c r="B2" s="468"/>
      <c r="C2" s="468"/>
      <c r="D2" s="468"/>
      <c r="E2" s="468"/>
      <c r="F2" s="468"/>
      <c r="G2" s="468"/>
      <c r="H2" s="468"/>
      <c r="I2" s="468"/>
      <c r="J2" s="265"/>
    </row>
    <row r="3" spans="1:10" ht="66" customHeight="1">
      <c r="A3" s="100" t="s">
        <v>142</v>
      </c>
      <c r="B3" s="100" t="s">
        <v>38</v>
      </c>
      <c r="C3" s="100" t="s">
        <v>144</v>
      </c>
      <c r="D3" s="100" t="s">
        <v>145</v>
      </c>
      <c r="E3" s="100" t="s">
        <v>146</v>
      </c>
      <c r="F3" s="100" t="s">
        <v>147</v>
      </c>
      <c r="G3" s="100" t="s">
        <v>148</v>
      </c>
      <c r="H3" s="100" t="s">
        <v>1075</v>
      </c>
      <c r="I3" s="100" t="s">
        <v>1084</v>
      </c>
    </row>
    <row r="4" spans="1:10" ht="30" customHeight="1">
      <c r="A4" s="101" t="s">
        <v>42</v>
      </c>
      <c r="B4" s="100" t="s">
        <v>149</v>
      </c>
      <c r="C4" s="85">
        <f>'ABRIL-18'!G61</f>
        <v>259315.46</v>
      </c>
      <c r="D4" s="86">
        <f>'ABRIL-18'!J61</f>
        <v>7745.6</v>
      </c>
      <c r="E4" s="87"/>
      <c r="F4" s="87">
        <f>'ABRIL-18'!K61</f>
        <v>7745.6</v>
      </c>
      <c r="G4" s="85">
        <f>C4+D4-F4</f>
        <v>259315.46</v>
      </c>
      <c r="H4" s="85">
        <f>'ABRIL-18'!H61</f>
        <v>23541.66</v>
      </c>
      <c r="I4" s="109">
        <f>G4-H4</f>
        <v>235773.8</v>
      </c>
      <c r="J4" s="72"/>
    </row>
    <row r="5" spans="1:10" ht="30" customHeight="1">
      <c r="A5" s="101" t="s">
        <v>94</v>
      </c>
      <c r="B5" s="100" t="s">
        <v>149</v>
      </c>
      <c r="C5" s="88">
        <f>'ABRIL-18'!G74</f>
        <v>27084.660000000003</v>
      </c>
      <c r="D5" s="89">
        <v>0</v>
      </c>
      <c r="E5" s="89"/>
      <c r="F5" s="89">
        <v>0</v>
      </c>
      <c r="G5" s="85">
        <f t="shared" ref="G5:G17" si="0">C5+D5-F5</f>
        <v>27084.660000000003</v>
      </c>
      <c r="H5" s="90">
        <f>' MARZO-18-1'!H73</f>
        <v>0</v>
      </c>
      <c r="I5" s="109">
        <f t="shared" ref="I5:I17" si="1">G5-H5</f>
        <v>27084.660000000003</v>
      </c>
      <c r="J5" s="72"/>
    </row>
    <row r="6" spans="1:10" ht="30" customHeight="1">
      <c r="A6" s="101" t="s">
        <v>97</v>
      </c>
      <c r="B6" s="100" t="s">
        <v>149</v>
      </c>
      <c r="C6" s="90">
        <f>'ABRIL-18'!G101</f>
        <v>79536.59</v>
      </c>
      <c r="D6" s="89">
        <v>0</v>
      </c>
      <c r="E6" s="89"/>
      <c r="F6" s="89">
        <v>0</v>
      </c>
      <c r="G6" s="85">
        <f t="shared" si="0"/>
        <v>79536.59</v>
      </c>
      <c r="H6" s="90">
        <f>'ABRIL-18'!H101</f>
        <v>3972.8199999999997</v>
      </c>
      <c r="I6" s="109">
        <f t="shared" si="1"/>
        <v>75563.76999999999</v>
      </c>
      <c r="J6" s="72"/>
    </row>
    <row r="7" spans="1:10" ht="30" customHeight="1">
      <c r="A7" s="101" t="s">
        <v>42</v>
      </c>
      <c r="B7" s="100" t="s">
        <v>150</v>
      </c>
      <c r="C7" s="90">
        <f>'ABRIL-18'!G123</f>
        <v>157506.58000000002</v>
      </c>
      <c r="D7" s="89">
        <f>'ABRIL-18'!J123</f>
        <v>700</v>
      </c>
      <c r="E7" s="89"/>
      <c r="F7" s="89">
        <f>'ABRIL-18'!K123</f>
        <v>700</v>
      </c>
      <c r="G7" s="85">
        <f t="shared" si="0"/>
        <v>157506.58000000002</v>
      </c>
      <c r="H7" s="90">
        <f>'ABRIL-18'!H123</f>
        <v>18426.990000000002</v>
      </c>
      <c r="I7" s="109">
        <f t="shared" si="1"/>
        <v>139079.59000000003</v>
      </c>
      <c r="J7" s="72"/>
    </row>
    <row r="8" spans="1:10" ht="30" customHeight="1">
      <c r="A8" s="101" t="s">
        <v>94</v>
      </c>
      <c r="B8" s="100" t="s">
        <v>150</v>
      </c>
      <c r="C8" s="90">
        <f>'ABRIL-18'!G134</f>
        <v>99008.870000000024</v>
      </c>
      <c r="D8" s="89"/>
      <c r="E8" s="89"/>
      <c r="F8" s="89">
        <v>0</v>
      </c>
      <c r="G8" s="85">
        <f t="shared" si="0"/>
        <v>99008.870000000024</v>
      </c>
      <c r="H8" s="90">
        <f>'ABRIL-18'!H134</f>
        <v>11286.39</v>
      </c>
      <c r="I8" s="109">
        <f t="shared" si="1"/>
        <v>87722.480000000025</v>
      </c>
      <c r="J8" s="72"/>
    </row>
    <row r="9" spans="1:10" ht="30" customHeight="1">
      <c r="A9" s="101" t="s">
        <v>97</v>
      </c>
      <c r="B9" s="100" t="s">
        <v>150</v>
      </c>
      <c r="C9" s="90">
        <f>'ABRIL-18'!G147</f>
        <v>220193.11</v>
      </c>
      <c r="D9" s="89">
        <f>'ABRIL-18'!J147</f>
        <v>300</v>
      </c>
      <c r="E9" s="89"/>
      <c r="F9" s="89">
        <f>'ABRIL-18'!K147</f>
        <v>300</v>
      </c>
      <c r="G9" s="85">
        <f t="shared" si="0"/>
        <v>220193.11</v>
      </c>
      <c r="H9" s="90">
        <f>'ABRIL-18'!H147</f>
        <v>23782.77</v>
      </c>
      <c r="I9" s="109">
        <f t="shared" si="1"/>
        <v>196410.34</v>
      </c>
      <c r="J9" s="72"/>
    </row>
    <row r="10" spans="1:10" ht="30" customHeight="1">
      <c r="A10" s="101" t="s">
        <v>1</v>
      </c>
      <c r="B10" s="100" t="s">
        <v>151</v>
      </c>
      <c r="C10" s="90">
        <f>'ABRIL-18'!G155</f>
        <v>8545.9699999999993</v>
      </c>
      <c r="D10" s="89">
        <v>0</v>
      </c>
      <c r="E10" s="89"/>
      <c r="F10" s="89">
        <v>0</v>
      </c>
      <c r="G10" s="85">
        <f t="shared" si="0"/>
        <v>8545.9699999999993</v>
      </c>
      <c r="H10" s="90">
        <f>'ABRIL-18'!H155</f>
        <v>0</v>
      </c>
      <c r="I10" s="109">
        <f t="shared" si="1"/>
        <v>8545.9699999999993</v>
      </c>
      <c r="J10" s="72"/>
    </row>
    <row r="11" spans="1:10" ht="30" customHeight="1">
      <c r="A11" s="101" t="s">
        <v>11</v>
      </c>
      <c r="B11" s="100" t="s">
        <v>151</v>
      </c>
      <c r="C11" s="90">
        <f>'ABRIL-18'!G411</f>
        <v>888068.14000000025</v>
      </c>
      <c r="D11" s="89">
        <f>'ABRIL-18'!J411</f>
        <v>20405</v>
      </c>
      <c r="E11" s="89"/>
      <c r="F11" s="89">
        <f>'ABRIL-18'!K411</f>
        <v>32404.999999999996</v>
      </c>
      <c r="G11" s="85">
        <f>C11+D11-F11</f>
        <v>876068.14000000025</v>
      </c>
      <c r="H11" s="90">
        <f>'ABRIL-18'!H411</f>
        <v>72751.200000000012</v>
      </c>
      <c r="I11" s="109">
        <f>G11-H11</f>
        <v>803316.94000000018</v>
      </c>
      <c r="J11" s="72"/>
    </row>
    <row r="12" spans="1:10" ht="30" customHeight="1">
      <c r="A12" s="101" t="s">
        <v>18</v>
      </c>
      <c r="B12" s="100" t="s">
        <v>151</v>
      </c>
      <c r="C12" s="90">
        <f>'ABRIL-18'!G774</f>
        <v>768655.94000000006</v>
      </c>
      <c r="D12" s="89">
        <f>'ABRIL-18'!J774</f>
        <v>34732.75</v>
      </c>
      <c r="E12" s="89"/>
      <c r="F12" s="89">
        <f>'ABRIL-18'!K774</f>
        <v>34732.750000000007</v>
      </c>
      <c r="G12" s="85">
        <f t="shared" si="0"/>
        <v>768655.94000000006</v>
      </c>
      <c r="H12" s="90">
        <f>'ABRIL-18'!H774</f>
        <v>94978.389999999985</v>
      </c>
      <c r="I12" s="109">
        <f t="shared" si="1"/>
        <v>673677.55</v>
      </c>
      <c r="J12" s="72"/>
    </row>
    <row r="13" spans="1:10" ht="60" customHeight="1">
      <c r="A13" s="101" t="s">
        <v>20</v>
      </c>
      <c r="B13" s="100" t="s">
        <v>156</v>
      </c>
      <c r="C13" s="90">
        <f>'ABRIL-18'!G776</f>
        <v>0</v>
      </c>
      <c r="D13" s="89">
        <v>0</v>
      </c>
      <c r="E13" s="89"/>
      <c r="F13" s="89"/>
      <c r="G13" s="85">
        <f t="shared" si="0"/>
        <v>0</v>
      </c>
      <c r="H13" s="91">
        <f>' MARZO-18-1'!H767</f>
        <v>0</v>
      </c>
      <c r="I13" s="109">
        <f t="shared" si="1"/>
        <v>0</v>
      </c>
      <c r="J13" s="72"/>
    </row>
    <row r="14" spans="1:10" ht="46.5" customHeight="1">
      <c r="A14" s="101" t="s">
        <v>22</v>
      </c>
      <c r="B14" s="100" t="s">
        <v>157</v>
      </c>
      <c r="C14" s="91">
        <f>'ABRIL-18'!G779</f>
        <v>408.2600000000001</v>
      </c>
      <c r="D14" s="92">
        <v>0</v>
      </c>
      <c r="E14" s="92"/>
      <c r="F14" s="92"/>
      <c r="G14" s="93">
        <f t="shared" si="0"/>
        <v>408.2600000000001</v>
      </c>
      <c r="H14" s="91"/>
      <c r="I14" s="109">
        <f t="shared" si="1"/>
        <v>408.2600000000001</v>
      </c>
      <c r="J14" s="72"/>
    </row>
    <row r="15" spans="1:10" ht="46.5" customHeight="1">
      <c r="A15" s="102" t="s">
        <v>11</v>
      </c>
      <c r="B15" s="103" t="s">
        <v>997</v>
      </c>
      <c r="C15" s="96">
        <f>'ABRIL-18'!G818</f>
        <v>103860.81</v>
      </c>
      <c r="D15" s="97"/>
      <c r="E15" s="97"/>
      <c r="F15" s="97"/>
      <c r="G15" s="98">
        <f t="shared" si="0"/>
        <v>103860.81</v>
      </c>
      <c r="H15" s="96">
        <f>'ABRIL-18'!H818</f>
        <v>1500</v>
      </c>
      <c r="I15" s="98">
        <f t="shared" si="1"/>
        <v>102360.81</v>
      </c>
      <c r="J15" s="72"/>
    </row>
    <row r="16" spans="1:10" ht="46.5" customHeight="1">
      <c r="A16" s="236" t="s">
        <v>18</v>
      </c>
      <c r="B16" s="100" t="s">
        <v>994</v>
      </c>
      <c r="C16" s="96">
        <f>'ABRIL-18'!G820</f>
        <v>9000</v>
      </c>
      <c r="D16" s="97">
        <f>'ABRIL-18'!J820</f>
        <v>9000</v>
      </c>
      <c r="E16" s="97"/>
      <c r="F16" s="97">
        <v>0</v>
      </c>
      <c r="G16" s="98">
        <f>C16+D16-F16</f>
        <v>18000</v>
      </c>
      <c r="H16" s="96">
        <f>'ABRIL-18'!H820</f>
        <v>18000</v>
      </c>
      <c r="I16" s="98">
        <f>G16-H16</f>
        <v>0</v>
      </c>
      <c r="J16" s="72"/>
    </row>
    <row r="17" spans="1:10" ht="54" customHeight="1" thickBot="1">
      <c r="A17" s="236" t="s">
        <v>18</v>
      </c>
      <c r="B17" s="100" t="s">
        <v>1076</v>
      </c>
      <c r="C17" s="96">
        <f>'ABRIL-18'!G822</f>
        <v>0</v>
      </c>
      <c r="D17" s="97">
        <f>'ABRIL-18'!J822</f>
        <v>12000</v>
      </c>
      <c r="E17" s="97"/>
      <c r="F17" s="97">
        <v>0</v>
      </c>
      <c r="G17" s="98">
        <f t="shared" si="0"/>
        <v>12000</v>
      </c>
      <c r="H17" s="96">
        <f>'ABRIL-18'!H822</f>
        <v>11990</v>
      </c>
      <c r="I17" s="98">
        <f t="shared" si="1"/>
        <v>10</v>
      </c>
      <c r="J17" s="72"/>
    </row>
    <row r="18" spans="1:10" ht="23.25">
      <c r="A18" s="110" t="s">
        <v>153</v>
      </c>
      <c r="B18" s="110"/>
      <c r="C18" s="111">
        <f t="shared" ref="C18:I18" si="2">SUM(C4:C17)</f>
        <v>2621184.39</v>
      </c>
      <c r="D18" s="111">
        <f t="shared" si="2"/>
        <v>84883.35</v>
      </c>
      <c r="E18" s="111">
        <f t="shared" si="2"/>
        <v>0</v>
      </c>
      <c r="F18" s="111">
        <f t="shared" si="2"/>
        <v>75883.350000000006</v>
      </c>
      <c r="G18" s="111">
        <f t="shared" si="2"/>
        <v>2630184.39</v>
      </c>
      <c r="H18" s="111">
        <f t="shared" si="2"/>
        <v>280230.21999999997</v>
      </c>
      <c r="I18" s="111">
        <f t="shared" si="2"/>
        <v>2349954.1700000004</v>
      </c>
      <c r="J18" s="72"/>
    </row>
    <row r="19" spans="1:10" ht="15.75" thickBot="1">
      <c r="A19" s="73"/>
      <c r="B19" s="74"/>
      <c r="C19" s="75"/>
      <c r="D19" s="76"/>
      <c r="E19" s="77"/>
      <c r="F19" s="77"/>
      <c r="G19" s="77"/>
      <c r="H19" s="77"/>
      <c r="I19" s="77"/>
      <c r="J19" s="78"/>
    </row>
    <row r="20" spans="1:10" ht="15.75" thickBot="1">
      <c r="A20" s="73" t="s">
        <v>154</v>
      </c>
      <c r="B20" s="74"/>
      <c r="C20" s="79">
        <f ca="1">TODAY()</f>
        <v>43586</v>
      </c>
      <c r="D20" s="80"/>
      <c r="E20" s="81">
        <f>D18-F18</f>
        <v>9000</v>
      </c>
      <c r="F20" s="80"/>
      <c r="G20" s="80"/>
      <c r="H20" s="80"/>
      <c r="I20" s="80"/>
      <c r="J20" s="72"/>
    </row>
    <row r="21" spans="1:10">
      <c r="A21" s="83"/>
      <c r="B21" s="84"/>
      <c r="C21" s="84"/>
      <c r="D21" s="84"/>
      <c r="E21" s="263">
        <v>9000</v>
      </c>
      <c r="F21" s="80" t="s">
        <v>1033</v>
      </c>
      <c r="G21" s="80">
        <v>0</v>
      </c>
      <c r="H21" s="80"/>
    </row>
    <row r="22" spans="1:10">
      <c r="A22" s="83"/>
      <c r="B22" s="84"/>
      <c r="C22" s="84"/>
      <c r="D22" s="84"/>
      <c r="E22" s="264">
        <v>4500</v>
      </c>
      <c r="F22" s="80" t="s">
        <v>1032</v>
      </c>
      <c r="G22" s="80"/>
      <c r="H22" s="80"/>
    </row>
    <row r="23" spans="1:10">
      <c r="A23" s="83"/>
      <c r="B23" s="84"/>
      <c r="C23" s="84"/>
      <c r="D23" s="84"/>
      <c r="F23" s="80"/>
      <c r="G23" s="80"/>
      <c r="H23" s="80"/>
    </row>
    <row r="24" spans="1:10">
      <c r="A24" s="83"/>
      <c r="B24" s="84"/>
      <c r="C24" s="84"/>
      <c r="D24" s="84"/>
    </row>
  </sheetData>
  <mergeCells count="2">
    <mergeCell ref="A1:J1"/>
    <mergeCell ref="A2:I2"/>
  </mergeCells>
  <pageMargins left="0.19685039370078741" right="0.19685039370078741" top="0.35433070866141736" bottom="0.31496062992125984" header="0.31496062992125984" footer="0.31496062992125984"/>
  <pageSetup paperSize="5" scale="82" orientation="landscape" horizontalDpi="4294967293" vertic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A838"/>
  <sheetViews>
    <sheetView view="pageBreakPreview" topLeftCell="A804" zoomScale="84" zoomScaleNormal="120" zoomScaleSheetLayoutView="84" workbookViewId="0">
      <selection activeCell="H807" sqref="H807:H816"/>
    </sheetView>
  </sheetViews>
  <sheetFormatPr baseColWidth="10" defaultRowHeight="15"/>
  <cols>
    <col min="1" max="1" width="11.5703125" customWidth="1"/>
    <col min="2" max="2" width="62" customWidth="1"/>
    <col min="3" max="3" width="18.42578125" customWidth="1"/>
    <col min="4" max="4" width="11" customWidth="1"/>
    <col min="5" max="5" width="10.85546875" customWidth="1"/>
    <col min="6" max="6" width="15.42578125" customWidth="1"/>
    <col min="7" max="7" width="14.7109375" customWidth="1"/>
    <col min="8" max="8" width="13.5703125" customWidth="1"/>
    <col min="9" max="9" width="17" customWidth="1"/>
    <col min="10" max="10" width="12.7109375" bestFit="1" customWidth="1"/>
    <col min="11" max="11" width="14.7109375" customWidth="1"/>
  </cols>
  <sheetData>
    <row r="1" spans="1:11" ht="36.75">
      <c r="A1" s="15"/>
      <c r="B1" s="467" t="s">
        <v>33</v>
      </c>
      <c r="C1" s="467"/>
      <c r="D1" s="467"/>
      <c r="E1" s="467"/>
      <c r="F1" s="467"/>
      <c r="G1" s="467"/>
      <c r="H1" s="467"/>
      <c r="I1" s="467"/>
      <c r="J1" s="467"/>
      <c r="K1" s="467"/>
    </row>
    <row r="2" spans="1:11" ht="36.75">
      <c r="A2" s="16"/>
      <c r="B2" s="468" t="s">
        <v>1078</v>
      </c>
      <c r="C2" s="468"/>
      <c r="D2" s="468"/>
      <c r="E2" s="468"/>
      <c r="F2" s="468"/>
      <c r="G2" s="468"/>
      <c r="H2" s="468"/>
      <c r="I2" s="468"/>
      <c r="J2" s="468"/>
      <c r="K2" s="310"/>
    </row>
    <row r="3" spans="1:11" ht="53.25" customHeight="1">
      <c r="A3" s="41" t="s">
        <v>8</v>
      </c>
      <c r="B3" s="41" t="s">
        <v>34</v>
      </c>
      <c r="C3" s="41" t="s">
        <v>35</v>
      </c>
      <c r="D3" s="41" t="s">
        <v>36</v>
      </c>
      <c r="E3" s="41" t="s">
        <v>37</v>
      </c>
      <c r="F3" s="41" t="s">
        <v>38</v>
      </c>
      <c r="G3" s="42" t="s">
        <v>39</v>
      </c>
      <c r="H3" s="42" t="s">
        <v>1079</v>
      </c>
      <c r="I3" s="42" t="s">
        <v>1080</v>
      </c>
      <c r="J3" s="42" t="s">
        <v>40</v>
      </c>
      <c r="K3" s="42" t="s">
        <v>41</v>
      </c>
    </row>
    <row r="4" spans="1:11" ht="41.25" customHeight="1">
      <c r="A4" s="308">
        <v>51101</v>
      </c>
      <c r="B4" s="306" t="s">
        <v>1110</v>
      </c>
      <c r="C4" s="304"/>
      <c r="D4" s="3" t="s">
        <v>42</v>
      </c>
      <c r="E4" s="3" t="s">
        <v>29</v>
      </c>
      <c r="F4" s="3" t="s">
        <v>43</v>
      </c>
      <c r="G4" s="305">
        <f>'ABRIL-18'!I4</f>
        <v>0</v>
      </c>
      <c r="H4" s="341">
        <f>141.13+121+161.33+225.82+166.83+256.62+221.76+192.51+233.34+102.66+102.66+89.84+89.84+221.67</f>
        <v>2327.0100000000002</v>
      </c>
      <c r="I4" s="17">
        <f>G4-H4+J4-K4</f>
        <v>1672.9899999999998</v>
      </c>
      <c r="J4" s="342">
        <f>2000+2000</f>
        <v>4000</v>
      </c>
      <c r="K4" s="305"/>
    </row>
    <row r="5" spans="1:11">
      <c r="A5" s="4">
        <v>51103</v>
      </c>
      <c r="B5" s="7" t="s">
        <v>164</v>
      </c>
      <c r="C5" s="2"/>
      <c r="D5" s="3" t="s">
        <v>42</v>
      </c>
      <c r="E5" s="3" t="s">
        <v>29</v>
      </c>
      <c r="F5" s="3" t="s">
        <v>43</v>
      </c>
      <c r="G5" s="305">
        <f>'ABRIL-18'!I5</f>
        <v>100</v>
      </c>
      <c r="H5" s="51">
        <f>128.33+110+146.66+161.32+119.16+183.33+158.4+107.55</f>
        <v>1114.75</v>
      </c>
      <c r="I5" s="17">
        <f>G5-H5+J5-K5</f>
        <v>985.25</v>
      </c>
      <c r="J5" s="18">
        <v>2000</v>
      </c>
      <c r="K5" s="18"/>
    </row>
    <row r="6" spans="1:11">
      <c r="A6" s="4">
        <v>51105</v>
      </c>
      <c r="B6" s="7" t="s">
        <v>125</v>
      </c>
      <c r="C6" s="2"/>
      <c r="D6" s="3" t="s">
        <v>42</v>
      </c>
      <c r="E6" s="3" t="s">
        <v>29</v>
      </c>
      <c r="F6" s="3" t="s">
        <v>43</v>
      </c>
      <c r="G6" s="305">
        <f>'ABRIL-18'!I6</f>
        <v>22254.400000000001</v>
      </c>
      <c r="H6" s="51"/>
      <c r="I6" s="17">
        <f>G6-H6+J6-K6</f>
        <v>22254.400000000001</v>
      </c>
      <c r="J6" s="18"/>
      <c r="K6" s="18"/>
    </row>
    <row r="7" spans="1:11">
      <c r="A7" s="4">
        <v>51107</v>
      </c>
      <c r="B7" s="7" t="s">
        <v>167</v>
      </c>
      <c r="C7" s="2"/>
      <c r="D7" s="3" t="s">
        <v>42</v>
      </c>
      <c r="E7" s="3" t="s">
        <v>29</v>
      </c>
      <c r="F7" s="3" t="s">
        <v>43</v>
      </c>
      <c r="G7" s="305">
        <f>'ABRIL-18'!I7</f>
        <v>1500</v>
      </c>
      <c r="H7" s="51">
        <f>680</f>
        <v>680</v>
      </c>
      <c r="I7" s="17">
        <f t="shared" ref="I7:I71" si="0">G7-H7+J7-K7</f>
        <v>820</v>
      </c>
      <c r="J7" s="18"/>
      <c r="K7" s="18"/>
    </row>
    <row r="8" spans="1:11">
      <c r="A8" s="4">
        <v>51201</v>
      </c>
      <c r="B8" s="7" t="s">
        <v>44</v>
      </c>
      <c r="C8" s="2"/>
      <c r="D8" s="3" t="s">
        <v>42</v>
      </c>
      <c r="E8" s="3" t="s">
        <v>29</v>
      </c>
      <c r="F8" s="3" t="s">
        <v>43</v>
      </c>
      <c r="G8" s="305">
        <f>'ABRIL-18'!I8</f>
        <v>2000</v>
      </c>
      <c r="H8" s="51"/>
      <c r="I8" s="17">
        <f t="shared" si="0"/>
        <v>2000</v>
      </c>
      <c r="J8" s="19"/>
      <c r="K8" s="18"/>
    </row>
    <row r="9" spans="1:11" ht="30.75" customHeight="1">
      <c r="A9" s="4">
        <v>51401</v>
      </c>
      <c r="B9" s="5" t="s">
        <v>128</v>
      </c>
      <c r="C9" s="2"/>
      <c r="D9" s="3" t="s">
        <v>42</v>
      </c>
      <c r="E9" s="3" t="s">
        <v>29</v>
      </c>
      <c r="F9" s="3" t="s">
        <v>43</v>
      </c>
      <c r="G9" s="305">
        <f>'ABRIL-18'!I9</f>
        <v>2244.1799999999998</v>
      </c>
      <c r="H9" s="51"/>
      <c r="I9" s="17">
        <f t="shared" si="0"/>
        <v>2244.1799999999998</v>
      </c>
      <c r="J9" s="20"/>
      <c r="K9" s="18"/>
    </row>
    <row r="10" spans="1:11" ht="42" customHeight="1">
      <c r="A10" s="4">
        <v>51501</v>
      </c>
      <c r="B10" s="5" t="s">
        <v>168</v>
      </c>
      <c r="C10" s="47"/>
      <c r="D10" s="3" t="s">
        <v>42</v>
      </c>
      <c r="E10" s="3" t="s">
        <v>29</v>
      </c>
      <c r="F10" s="3" t="s">
        <v>43</v>
      </c>
      <c r="G10" s="305">
        <f>'ABRIL-18'!I10</f>
        <v>2829.78</v>
      </c>
      <c r="H10" s="51"/>
      <c r="I10" s="17">
        <f t="shared" si="0"/>
        <v>2829.78</v>
      </c>
      <c r="J10" s="21"/>
      <c r="K10" s="18"/>
    </row>
    <row r="11" spans="1:11" ht="25.5">
      <c r="A11" s="4">
        <v>51701</v>
      </c>
      <c r="B11" s="7" t="s">
        <v>126</v>
      </c>
      <c r="C11" s="2"/>
      <c r="D11" s="3" t="s">
        <v>42</v>
      </c>
      <c r="E11" s="3" t="s">
        <v>29</v>
      </c>
      <c r="F11" s="3" t="s">
        <v>43</v>
      </c>
      <c r="G11" s="305">
        <f>'ABRIL-18'!I11</f>
        <v>30001</v>
      </c>
      <c r="H11" s="51">
        <f>3336.65+3960+1686.66+2339.3+5094.37+4858.33+5702.4+7640.26+3228.09+1885.48+1071.68+3592.2+3592.2+3958.32+1947.7</f>
        <v>53893.639999999992</v>
      </c>
      <c r="I11" s="17">
        <f t="shared" si="0"/>
        <v>1107.3600000000079</v>
      </c>
      <c r="J11" s="22">
        <v>25000</v>
      </c>
      <c r="K11" s="18"/>
    </row>
    <row r="12" spans="1:11" ht="25.5">
      <c r="A12" s="4">
        <v>51601</v>
      </c>
      <c r="B12" s="7" t="s">
        <v>129</v>
      </c>
      <c r="C12" s="2"/>
      <c r="D12" s="3" t="s">
        <v>42</v>
      </c>
      <c r="E12" s="3" t="s">
        <v>29</v>
      </c>
      <c r="F12" s="3" t="s">
        <v>43</v>
      </c>
      <c r="G12" s="305">
        <f>'ABRIL-18'!I12</f>
        <v>7500</v>
      </c>
      <c r="H12" s="51"/>
      <c r="I12" s="17">
        <f t="shared" si="0"/>
        <v>7500</v>
      </c>
      <c r="J12" s="21"/>
      <c r="K12" s="18"/>
    </row>
    <row r="13" spans="1:11">
      <c r="A13" s="4">
        <v>51602</v>
      </c>
      <c r="B13" s="2" t="s">
        <v>46</v>
      </c>
      <c r="C13" s="2"/>
      <c r="D13" s="3" t="s">
        <v>42</v>
      </c>
      <c r="E13" s="3" t="s">
        <v>29</v>
      </c>
      <c r="F13" s="3" t="s">
        <v>43</v>
      </c>
      <c r="G13" s="305">
        <f>'ABRIL-18'!I13</f>
        <v>1</v>
      </c>
      <c r="H13" s="51"/>
      <c r="I13" s="17">
        <f t="shared" si="0"/>
        <v>1</v>
      </c>
      <c r="J13" s="20"/>
      <c r="K13" s="18"/>
    </row>
    <row r="14" spans="1:11">
      <c r="A14" s="4">
        <v>51999</v>
      </c>
      <c r="B14" s="2" t="s">
        <v>47</v>
      </c>
      <c r="C14" s="2"/>
      <c r="D14" s="3" t="s">
        <v>42</v>
      </c>
      <c r="E14" s="3" t="s">
        <v>29</v>
      </c>
      <c r="F14" s="3" t="s">
        <v>43</v>
      </c>
      <c r="G14" s="305">
        <f>'ABRIL-18'!I14</f>
        <v>220</v>
      </c>
      <c r="H14" s="51">
        <f>165</f>
        <v>165</v>
      </c>
      <c r="I14" s="17">
        <f t="shared" si="0"/>
        <v>55</v>
      </c>
      <c r="J14" s="21"/>
      <c r="K14" s="18"/>
    </row>
    <row r="15" spans="1:11" ht="45" customHeight="1">
      <c r="A15" s="4">
        <v>54101</v>
      </c>
      <c r="B15" s="5" t="s">
        <v>48</v>
      </c>
      <c r="C15" s="2"/>
      <c r="D15" s="3" t="s">
        <v>42</v>
      </c>
      <c r="E15" s="3" t="s">
        <v>29</v>
      </c>
      <c r="F15" s="3" t="s">
        <v>43</v>
      </c>
      <c r="G15" s="305">
        <f>'ABRIL-18'!I15</f>
        <v>27925.87</v>
      </c>
      <c r="H15" s="51">
        <f>150+150+200+136.83+131.04+78.75+20+67.65+18.5+2.8+28+28.3+18.3+14.7+8+26.4+15.75</f>
        <v>1095.02</v>
      </c>
      <c r="I15" s="17">
        <f t="shared" si="0"/>
        <v>26830.85</v>
      </c>
      <c r="J15" s="23"/>
      <c r="K15" s="18"/>
    </row>
    <row r="16" spans="1:11" ht="26.25">
      <c r="A16" s="4">
        <v>54104</v>
      </c>
      <c r="B16" s="5" t="s">
        <v>130</v>
      </c>
      <c r="C16" s="2"/>
      <c r="D16" s="3" t="s">
        <v>42</v>
      </c>
      <c r="E16" s="3" t="s">
        <v>29</v>
      </c>
      <c r="F16" s="3" t="s">
        <v>43</v>
      </c>
      <c r="G16" s="305">
        <f>'ABRIL-18'!I16</f>
        <v>2000</v>
      </c>
      <c r="H16" s="51"/>
      <c r="I16" s="17">
        <f t="shared" si="0"/>
        <v>2000</v>
      </c>
      <c r="J16" s="21"/>
      <c r="K16" s="18"/>
    </row>
    <row r="17" spans="1:11">
      <c r="A17" s="4">
        <v>54105</v>
      </c>
      <c r="B17" s="2" t="s">
        <v>49</v>
      </c>
      <c r="C17" s="2"/>
      <c r="D17" s="3" t="s">
        <v>42</v>
      </c>
      <c r="E17" s="3" t="s">
        <v>29</v>
      </c>
      <c r="F17" s="3" t="s">
        <v>43</v>
      </c>
      <c r="G17" s="305">
        <f>'ABRIL-18'!I17</f>
        <v>2000</v>
      </c>
      <c r="H17" s="51"/>
      <c r="I17" s="17">
        <f t="shared" si="0"/>
        <v>1000</v>
      </c>
      <c r="J17" s="20"/>
      <c r="K17" s="18">
        <v>1000</v>
      </c>
    </row>
    <row r="18" spans="1:11">
      <c r="A18" s="4">
        <v>54107</v>
      </c>
      <c r="B18" s="2" t="s">
        <v>50</v>
      </c>
      <c r="C18" s="2"/>
      <c r="D18" s="3" t="s">
        <v>42</v>
      </c>
      <c r="E18" s="3" t="s">
        <v>29</v>
      </c>
      <c r="F18" s="3" t="s">
        <v>43</v>
      </c>
      <c r="G18" s="305">
        <f>'ABRIL-18'!I18</f>
        <v>2000</v>
      </c>
      <c r="H18" s="51"/>
      <c r="I18" s="17">
        <f t="shared" si="0"/>
        <v>1000</v>
      </c>
      <c r="J18" s="22"/>
      <c r="K18" s="18">
        <v>1000</v>
      </c>
    </row>
    <row r="19" spans="1:11">
      <c r="A19" s="4">
        <v>54108</v>
      </c>
      <c r="B19" s="2" t="s">
        <v>51</v>
      </c>
      <c r="C19" s="2"/>
      <c r="D19" s="3" t="s">
        <v>42</v>
      </c>
      <c r="E19" s="3" t="s">
        <v>29</v>
      </c>
      <c r="F19" s="3" t="s">
        <v>43</v>
      </c>
      <c r="G19" s="305">
        <f>'ABRIL-18'!I19</f>
        <v>100</v>
      </c>
      <c r="H19" s="51"/>
      <c r="I19" s="17">
        <f t="shared" si="0"/>
        <v>100</v>
      </c>
      <c r="J19" s="20"/>
      <c r="K19" s="18"/>
    </row>
    <row r="20" spans="1:11">
      <c r="A20" s="4">
        <v>54109</v>
      </c>
      <c r="B20" s="2" t="s">
        <v>131</v>
      </c>
      <c r="C20" s="2"/>
      <c r="D20" s="3" t="s">
        <v>42</v>
      </c>
      <c r="E20" s="3" t="s">
        <v>29</v>
      </c>
      <c r="F20" s="3" t="s">
        <v>43</v>
      </c>
      <c r="G20" s="305">
        <f>'ABRIL-18'!I20</f>
        <v>500</v>
      </c>
      <c r="H20" s="51"/>
      <c r="I20" s="17">
        <f t="shared" si="0"/>
        <v>500</v>
      </c>
      <c r="J20" s="20"/>
      <c r="K20" s="18"/>
    </row>
    <row r="21" spans="1:11">
      <c r="A21" s="4">
        <v>54110</v>
      </c>
      <c r="B21" s="2" t="s">
        <v>132</v>
      </c>
      <c r="C21" s="2"/>
      <c r="D21" s="3" t="s">
        <v>42</v>
      </c>
      <c r="E21" s="3" t="s">
        <v>29</v>
      </c>
      <c r="F21" s="3" t="s">
        <v>43</v>
      </c>
      <c r="G21" s="305">
        <f>'ABRIL-18'!I21</f>
        <v>10156.200000000001</v>
      </c>
      <c r="H21" s="51"/>
      <c r="I21" s="17">
        <f t="shared" si="0"/>
        <v>10156.200000000001</v>
      </c>
      <c r="J21" s="24"/>
      <c r="K21" s="18"/>
    </row>
    <row r="22" spans="1:11" ht="30.75" customHeight="1">
      <c r="A22" s="4">
        <v>54111</v>
      </c>
      <c r="B22" s="5" t="s">
        <v>54</v>
      </c>
      <c r="C22" s="2"/>
      <c r="D22" s="3" t="s">
        <v>42</v>
      </c>
      <c r="E22" s="3" t="s">
        <v>29</v>
      </c>
      <c r="F22" s="3" t="s">
        <v>43</v>
      </c>
      <c r="G22" s="305">
        <f>'ABRIL-18'!I22</f>
        <v>349.05000000000018</v>
      </c>
      <c r="H22" s="51"/>
      <c r="I22" s="138">
        <f t="shared" si="0"/>
        <v>349.05000000000018</v>
      </c>
      <c r="J22" s="23"/>
      <c r="K22" s="18"/>
    </row>
    <row r="23" spans="1:11" ht="42.75" customHeight="1">
      <c r="A23" s="4">
        <v>54112</v>
      </c>
      <c r="B23" s="5" t="s">
        <v>55</v>
      </c>
      <c r="C23" s="2"/>
      <c r="D23" s="3" t="s">
        <v>42</v>
      </c>
      <c r="E23" s="3" t="s">
        <v>29</v>
      </c>
      <c r="F23" s="3" t="s">
        <v>43</v>
      </c>
      <c r="G23" s="305">
        <f>'ABRIL-18'!I23</f>
        <v>1000</v>
      </c>
      <c r="H23" s="51"/>
      <c r="I23" s="17">
        <f t="shared" si="0"/>
        <v>1000</v>
      </c>
      <c r="J23" s="21"/>
      <c r="K23" s="18"/>
    </row>
    <row r="24" spans="1:11">
      <c r="A24" s="4">
        <v>54114</v>
      </c>
      <c r="B24" s="2" t="s">
        <v>56</v>
      </c>
      <c r="C24" s="2"/>
      <c r="D24" s="3" t="s">
        <v>42</v>
      </c>
      <c r="E24" s="3" t="s">
        <v>29</v>
      </c>
      <c r="F24" s="3" t="s">
        <v>43</v>
      </c>
      <c r="G24" s="305">
        <f>'ABRIL-18'!I24</f>
        <v>1000</v>
      </c>
      <c r="H24" s="51"/>
      <c r="I24" s="17">
        <f t="shared" si="0"/>
        <v>1000</v>
      </c>
      <c r="J24" s="20"/>
      <c r="K24" s="18"/>
    </row>
    <row r="25" spans="1:11">
      <c r="A25" s="4">
        <v>54115</v>
      </c>
      <c r="B25" s="2" t="s">
        <v>57</v>
      </c>
      <c r="C25" s="2"/>
      <c r="D25" s="3" t="s">
        <v>42</v>
      </c>
      <c r="E25" s="3" t="s">
        <v>29</v>
      </c>
      <c r="F25" s="3" t="s">
        <v>43</v>
      </c>
      <c r="G25" s="305">
        <f>'ABRIL-18'!I25</f>
        <v>1000</v>
      </c>
      <c r="H25" s="51"/>
      <c r="I25" s="17">
        <f t="shared" si="0"/>
        <v>1000</v>
      </c>
      <c r="J25" s="20"/>
      <c r="K25" s="18"/>
    </row>
    <row r="26" spans="1:11" ht="30">
      <c r="A26" s="4">
        <v>54116</v>
      </c>
      <c r="B26" s="5" t="s">
        <v>58</v>
      </c>
      <c r="C26" s="2"/>
      <c r="D26" s="3" t="s">
        <v>42</v>
      </c>
      <c r="E26" s="3" t="s">
        <v>29</v>
      </c>
      <c r="F26" s="3" t="s">
        <v>43</v>
      </c>
      <c r="G26" s="305">
        <f>'ABRIL-18'!I26</f>
        <v>500</v>
      </c>
      <c r="H26" s="51"/>
      <c r="I26" s="17">
        <f t="shared" si="0"/>
        <v>500</v>
      </c>
      <c r="J26" s="20"/>
      <c r="K26" s="18"/>
    </row>
    <row r="27" spans="1:11">
      <c r="A27" s="4">
        <v>54117</v>
      </c>
      <c r="B27" s="25" t="s">
        <v>12</v>
      </c>
      <c r="C27" s="25"/>
      <c r="D27" s="3" t="s">
        <v>42</v>
      </c>
      <c r="E27" s="3" t="s">
        <v>29</v>
      </c>
      <c r="F27" s="3" t="s">
        <v>43</v>
      </c>
      <c r="G27" s="305">
        <f>'ABRIL-18'!I27</f>
        <v>2000</v>
      </c>
      <c r="H27" s="51"/>
      <c r="I27" s="17">
        <f t="shared" si="0"/>
        <v>1000</v>
      </c>
      <c r="J27" s="20"/>
      <c r="K27" s="18">
        <v>1000</v>
      </c>
    </row>
    <row r="28" spans="1:11">
      <c r="A28" s="4">
        <v>54118</v>
      </c>
      <c r="B28" s="2" t="s">
        <v>59</v>
      </c>
      <c r="C28" s="2"/>
      <c r="D28" s="3" t="s">
        <v>42</v>
      </c>
      <c r="E28" s="3" t="s">
        <v>29</v>
      </c>
      <c r="F28" s="3" t="s">
        <v>43</v>
      </c>
      <c r="G28" s="305">
        <f>'ABRIL-18'!I28</f>
        <v>1000</v>
      </c>
      <c r="H28" s="51"/>
      <c r="I28" s="17">
        <f t="shared" si="0"/>
        <v>500</v>
      </c>
      <c r="J28" s="23"/>
      <c r="K28" s="18">
        <v>500</v>
      </c>
    </row>
    <row r="29" spans="1:11">
      <c r="A29" s="4">
        <v>54119</v>
      </c>
      <c r="B29" s="2" t="s">
        <v>60</v>
      </c>
      <c r="C29" s="2"/>
      <c r="D29" s="3" t="s">
        <v>42</v>
      </c>
      <c r="E29" s="3" t="s">
        <v>29</v>
      </c>
      <c r="F29" s="3" t="s">
        <v>43</v>
      </c>
      <c r="G29" s="305">
        <f>'ABRIL-18'!I29</f>
        <v>1000</v>
      </c>
      <c r="H29" s="51"/>
      <c r="I29" s="17">
        <f t="shared" si="0"/>
        <v>500</v>
      </c>
      <c r="J29" s="21"/>
      <c r="K29" s="18">
        <v>500</v>
      </c>
    </row>
    <row r="30" spans="1:11">
      <c r="A30" s="4">
        <v>54199</v>
      </c>
      <c r="B30" s="2" t="s">
        <v>61</v>
      </c>
      <c r="C30" s="2"/>
      <c r="D30" s="3" t="s">
        <v>42</v>
      </c>
      <c r="E30" s="3" t="s">
        <v>29</v>
      </c>
      <c r="F30" s="3" t="s">
        <v>43</v>
      </c>
      <c r="G30" s="305">
        <f>'ABRIL-18'!I30</f>
        <v>1431.15</v>
      </c>
      <c r="H30" s="51"/>
      <c r="I30" s="17">
        <f t="shared" si="0"/>
        <v>1431.15</v>
      </c>
      <c r="J30" s="21"/>
      <c r="K30" s="18"/>
    </row>
    <row r="31" spans="1:11">
      <c r="A31" s="4">
        <v>54201</v>
      </c>
      <c r="B31" s="2" t="s">
        <v>62</v>
      </c>
      <c r="C31" s="2"/>
      <c r="D31" s="3" t="s">
        <v>42</v>
      </c>
      <c r="E31" s="3" t="s">
        <v>29</v>
      </c>
      <c r="F31" s="3" t="s">
        <v>43</v>
      </c>
      <c r="G31" s="305">
        <f>'ABRIL-18'!I31</f>
        <v>25000</v>
      </c>
      <c r="H31" s="51">
        <f>3220.71</f>
        <v>3220.71</v>
      </c>
      <c r="I31" s="17">
        <f t="shared" si="0"/>
        <v>16779.29</v>
      </c>
      <c r="J31" s="20"/>
      <c r="K31" s="18">
        <v>5000</v>
      </c>
    </row>
    <row r="32" spans="1:11">
      <c r="A32" s="4">
        <v>54202</v>
      </c>
      <c r="B32" s="2" t="s">
        <v>63</v>
      </c>
      <c r="C32" s="2"/>
      <c r="D32" s="3" t="s">
        <v>42</v>
      </c>
      <c r="E32" s="3" t="s">
        <v>29</v>
      </c>
      <c r="F32" s="3" t="s">
        <v>43</v>
      </c>
      <c r="G32" s="305">
        <f>'ABRIL-18'!I32</f>
        <v>3000</v>
      </c>
      <c r="H32" s="51">
        <f>236.2</f>
        <v>236.2</v>
      </c>
      <c r="I32" s="17">
        <f t="shared" si="0"/>
        <v>2763.8</v>
      </c>
      <c r="J32" s="20"/>
      <c r="K32" s="18"/>
    </row>
    <row r="33" spans="1:11" ht="26.25">
      <c r="A33" s="4">
        <v>54203</v>
      </c>
      <c r="B33" s="5" t="s">
        <v>133</v>
      </c>
      <c r="C33" s="2"/>
      <c r="D33" s="3" t="s">
        <v>42</v>
      </c>
      <c r="E33" s="3" t="s">
        <v>29</v>
      </c>
      <c r="F33" s="3" t="s">
        <v>43</v>
      </c>
      <c r="G33" s="305">
        <f>'ABRIL-18'!I33</f>
        <v>13794.34</v>
      </c>
      <c r="H33" s="51">
        <f>370.07+242.73</f>
        <v>612.79999999999995</v>
      </c>
      <c r="I33" s="17">
        <f t="shared" si="0"/>
        <v>13181.54</v>
      </c>
      <c r="J33" s="20"/>
      <c r="K33" s="21"/>
    </row>
    <row r="34" spans="1:11">
      <c r="A34" s="4">
        <v>54204</v>
      </c>
      <c r="B34" s="2" t="s">
        <v>65</v>
      </c>
      <c r="C34" s="2"/>
      <c r="D34" s="3" t="s">
        <v>42</v>
      </c>
      <c r="E34" s="3" t="s">
        <v>29</v>
      </c>
      <c r="F34" s="3" t="s">
        <v>43</v>
      </c>
      <c r="G34" s="305">
        <f>'ABRIL-18'!I34</f>
        <v>100</v>
      </c>
      <c r="H34" s="51"/>
      <c r="I34" s="17">
        <f t="shared" si="0"/>
        <v>100</v>
      </c>
      <c r="J34" s="20"/>
      <c r="K34" s="18"/>
    </row>
    <row r="35" spans="1:11">
      <c r="A35" s="4">
        <v>54301</v>
      </c>
      <c r="B35" s="2" t="s">
        <v>66</v>
      </c>
      <c r="C35" s="2"/>
      <c r="D35" s="3" t="s">
        <v>42</v>
      </c>
      <c r="E35" s="3" t="s">
        <v>29</v>
      </c>
      <c r="F35" s="3" t="s">
        <v>43</v>
      </c>
      <c r="G35" s="305">
        <f>'ABRIL-18'!I35</f>
        <v>352</v>
      </c>
      <c r="H35" s="51">
        <f>100+112+112+30</f>
        <v>354</v>
      </c>
      <c r="I35" s="17">
        <f t="shared" si="0"/>
        <v>198</v>
      </c>
      <c r="J35" s="21">
        <v>200</v>
      </c>
      <c r="K35" s="18"/>
    </row>
    <row r="36" spans="1:11">
      <c r="A36" s="4">
        <v>54302</v>
      </c>
      <c r="B36" s="2" t="s">
        <v>67</v>
      </c>
      <c r="C36" s="2"/>
      <c r="D36" s="3" t="s">
        <v>42</v>
      </c>
      <c r="E36" s="3" t="s">
        <v>29</v>
      </c>
      <c r="F36" s="3" t="s">
        <v>43</v>
      </c>
      <c r="G36" s="305">
        <f>'ABRIL-18'!I36</f>
        <v>500</v>
      </c>
      <c r="H36" s="51"/>
      <c r="I36" s="17">
        <f t="shared" si="0"/>
        <v>500</v>
      </c>
      <c r="J36" s="20"/>
      <c r="K36" s="18"/>
    </row>
    <row r="37" spans="1:11">
      <c r="A37" s="4">
        <v>54303</v>
      </c>
      <c r="B37" s="2" t="s">
        <v>68</v>
      </c>
      <c r="C37" s="2"/>
      <c r="D37" s="3" t="s">
        <v>42</v>
      </c>
      <c r="E37" s="3" t="s">
        <v>29</v>
      </c>
      <c r="F37" s="3" t="s">
        <v>43</v>
      </c>
      <c r="G37" s="305">
        <f>'ABRIL-18'!I37</f>
        <v>2000</v>
      </c>
      <c r="H37" s="51"/>
      <c r="I37" s="17">
        <f t="shared" si="0"/>
        <v>1000</v>
      </c>
      <c r="J37" s="20"/>
      <c r="K37" s="18">
        <v>1000</v>
      </c>
    </row>
    <row r="38" spans="1:11">
      <c r="A38" s="4">
        <v>54304</v>
      </c>
      <c r="B38" s="2" t="s">
        <v>69</v>
      </c>
      <c r="C38" s="2"/>
      <c r="D38" s="3" t="s">
        <v>42</v>
      </c>
      <c r="E38" s="3" t="s">
        <v>29</v>
      </c>
      <c r="F38" s="3" t="s">
        <v>43</v>
      </c>
      <c r="G38" s="305">
        <f>'ABRIL-18'!I38</f>
        <v>917.24</v>
      </c>
      <c r="H38" s="51"/>
      <c r="I38" s="17">
        <f t="shared" si="0"/>
        <v>917.24</v>
      </c>
      <c r="J38" s="18"/>
      <c r="K38" s="21"/>
    </row>
    <row r="39" spans="1:11">
      <c r="A39" s="4">
        <v>54305</v>
      </c>
      <c r="B39" s="2" t="s">
        <v>70</v>
      </c>
      <c r="C39" s="2"/>
      <c r="D39" s="3" t="s">
        <v>42</v>
      </c>
      <c r="E39" s="3" t="s">
        <v>29</v>
      </c>
      <c r="F39" s="3" t="s">
        <v>43</v>
      </c>
      <c r="G39" s="305">
        <f>'ABRIL-18'!I39</f>
        <v>2000</v>
      </c>
      <c r="H39" s="51"/>
      <c r="I39" s="17">
        <f t="shared" si="0"/>
        <v>1000</v>
      </c>
      <c r="J39" s="21"/>
      <c r="K39" s="18">
        <v>1000</v>
      </c>
    </row>
    <row r="40" spans="1:11">
      <c r="A40" s="4">
        <v>54313</v>
      </c>
      <c r="B40" s="2" t="s">
        <v>71</v>
      </c>
      <c r="C40" s="2"/>
      <c r="D40" s="3" t="s">
        <v>42</v>
      </c>
      <c r="E40" s="3" t="s">
        <v>29</v>
      </c>
      <c r="F40" s="3" t="s">
        <v>43</v>
      </c>
      <c r="G40" s="305">
        <f>'ABRIL-18'!I40</f>
        <v>1611.55</v>
      </c>
      <c r="H40" s="51"/>
      <c r="I40" s="17">
        <f t="shared" si="0"/>
        <v>1611.55</v>
      </c>
      <c r="J40" s="18"/>
      <c r="K40" s="21"/>
    </row>
    <row r="41" spans="1:11">
      <c r="A41" s="4">
        <v>54316</v>
      </c>
      <c r="B41" s="2" t="s">
        <v>72</v>
      </c>
      <c r="C41" s="2"/>
      <c r="D41" s="3" t="s">
        <v>42</v>
      </c>
      <c r="E41" s="3" t="s">
        <v>29</v>
      </c>
      <c r="F41" s="3" t="s">
        <v>43</v>
      </c>
      <c r="G41" s="305">
        <f>'ABRIL-18'!I41</f>
        <v>2000</v>
      </c>
      <c r="H41" s="51"/>
      <c r="I41" s="17">
        <f t="shared" si="0"/>
        <v>1000</v>
      </c>
      <c r="J41" s="20"/>
      <c r="K41" s="18">
        <v>1000</v>
      </c>
    </row>
    <row r="42" spans="1:11">
      <c r="A42" s="4">
        <v>54317</v>
      </c>
      <c r="B42" s="2" t="s">
        <v>73</v>
      </c>
      <c r="C42" s="2"/>
      <c r="D42" s="3" t="s">
        <v>42</v>
      </c>
      <c r="E42" s="3" t="s">
        <v>29</v>
      </c>
      <c r="F42" s="3" t="s">
        <v>43</v>
      </c>
      <c r="G42" s="305">
        <f>'ABRIL-18'!I42</f>
        <v>3880</v>
      </c>
      <c r="H42" s="51"/>
      <c r="I42" s="17">
        <f t="shared" si="0"/>
        <v>3880</v>
      </c>
      <c r="J42" s="20"/>
      <c r="K42" s="18"/>
    </row>
    <row r="43" spans="1:11">
      <c r="A43" s="4">
        <v>54399</v>
      </c>
      <c r="B43" s="2" t="s">
        <v>74</v>
      </c>
      <c r="C43" s="2"/>
      <c r="D43" s="3" t="s">
        <v>42</v>
      </c>
      <c r="E43" s="3" t="s">
        <v>29</v>
      </c>
      <c r="F43" s="3" t="s">
        <v>43</v>
      </c>
      <c r="G43" s="305">
        <f>'ABRIL-18'!I43</f>
        <v>163.28</v>
      </c>
      <c r="H43" s="51"/>
      <c r="I43" s="17">
        <f t="shared" si="0"/>
        <v>163.28</v>
      </c>
      <c r="J43" s="18"/>
      <c r="K43" s="21"/>
    </row>
    <row r="44" spans="1:11">
      <c r="A44" s="4">
        <v>54401</v>
      </c>
      <c r="B44" s="2" t="s">
        <v>75</v>
      </c>
      <c r="C44" s="2"/>
      <c r="D44" s="3" t="s">
        <v>42</v>
      </c>
      <c r="E44" s="3" t="s">
        <v>29</v>
      </c>
      <c r="F44" s="3" t="s">
        <v>43</v>
      </c>
      <c r="G44" s="305">
        <f>'ABRIL-18'!I44</f>
        <v>200</v>
      </c>
      <c r="H44" s="51"/>
      <c r="I44" s="17">
        <f t="shared" si="0"/>
        <v>200</v>
      </c>
      <c r="J44" s="20"/>
      <c r="K44" s="18"/>
    </row>
    <row r="45" spans="1:11">
      <c r="A45" s="4">
        <v>54403</v>
      </c>
      <c r="B45" s="2" t="s">
        <v>76</v>
      </c>
      <c r="C45" s="2"/>
      <c r="D45" s="3" t="s">
        <v>42</v>
      </c>
      <c r="E45" s="3" t="s">
        <v>29</v>
      </c>
      <c r="F45" s="3" t="s">
        <v>43</v>
      </c>
      <c r="G45" s="305">
        <f>'ABRIL-18'!I45</f>
        <v>300</v>
      </c>
      <c r="H45" s="51"/>
      <c r="I45" s="17">
        <f t="shared" si="0"/>
        <v>300</v>
      </c>
      <c r="J45" s="20"/>
      <c r="K45" s="18"/>
    </row>
    <row r="46" spans="1:11">
      <c r="A46" s="4">
        <v>54501</v>
      </c>
      <c r="B46" s="2" t="s">
        <v>77</v>
      </c>
      <c r="C46" s="2"/>
      <c r="D46" s="3" t="s">
        <v>42</v>
      </c>
      <c r="E46" s="3" t="s">
        <v>29</v>
      </c>
      <c r="F46" s="3" t="s">
        <v>43</v>
      </c>
      <c r="G46" s="305">
        <f>'ABRIL-18'!I46</f>
        <v>6000</v>
      </c>
      <c r="H46" s="51"/>
      <c r="I46" s="17">
        <f t="shared" si="0"/>
        <v>3800</v>
      </c>
      <c r="J46" s="18"/>
      <c r="K46" s="22">
        <v>2200</v>
      </c>
    </row>
    <row r="47" spans="1:11">
      <c r="A47" s="4">
        <v>54503</v>
      </c>
      <c r="B47" s="2" t="s">
        <v>78</v>
      </c>
      <c r="C47" s="2"/>
      <c r="D47" s="3" t="s">
        <v>42</v>
      </c>
      <c r="E47" s="3" t="s">
        <v>29</v>
      </c>
      <c r="F47" s="3" t="s">
        <v>43</v>
      </c>
      <c r="G47" s="305">
        <f>'ABRIL-18'!I47</f>
        <v>2000</v>
      </c>
      <c r="H47" s="51"/>
      <c r="I47" s="17">
        <f t="shared" si="0"/>
        <v>2000</v>
      </c>
      <c r="J47" s="18"/>
      <c r="K47" s="18"/>
    </row>
    <row r="48" spans="1:11">
      <c r="A48" s="4">
        <v>54504</v>
      </c>
      <c r="B48" s="2" t="s">
        <v>79</v>
      </c>
      <c r="C48" s="2"/>
      <c r="D48" s="3" t="s">
        <v>80</v>
      </c>
      <c r="E48" s="3" t="s">
        <v>29</v>
      </c>
      <c r="F48" s="3" t="s">
        <v>43</v>
      </c>
      <c r="G48" s="305">
        <f>'ABRIL-18'!I48</f>
        <v>1000</v>
      </c>
      <c r="H48" s="51"/>
      <c r="I48" s="17">
        <f t="shared" si="0"/>
        <v>1000</v>
      </c>
      <c r="J48" s="18"/>
      <c r="K48" s="18"/>
    </row>
    <row r="49" spans="1:11">
      <c r="A49" s="4">
        <v>54505</v>
      </c>
      <c r="B49" s="5" t="s">
        <v>81</v>
      </c>
      <c r="C49" s="2"/>
      <c r="D49" s="3" t="s">
        <v>42</v>
      </c>
      <c r="E49" s="3" t="s">
        <v>29</v>
      </c>
      <c r="F49" s="3" t="s">
        <v>43</v>
      </c>
      <c r="G49" s="305">
        <f>'ABRIL-18'!I49</f>
        <v>1000</v>
      </c>
      <c r="H49" s="51"/>
      <c r="I49" s="17">
        <f t="shared" si="0"/>
        <v>1000</v>
      </c>
      <c r="J49" s="18"/>
      <c r="K49" s="22"/>
    </row>
    <row r="50" spans="1:11" ht="20.25" customHeight="1">
      <c r="A50" s="4">
        <v>54599</v>
      </c>
      <c r="B50" s="5" t="s">
        <v>82</v>
      </c>
      <c r="C50" s="5"/>
      <c r="D50" s="3" t="s">
        <v>42</v>
      </c>
      <c r="E50" s="3" t="s">
        <v>29</v>
      </c>
      <c r="F50" s="3" t="s">
        <v>43</v>
      </c>
      <c r="G50" s="305">
        <f>'ABRIL-18'!I50</f>
        <v>700</v>
      </c>
      <c r="H50" s="51"/>
      <c r="I50" s="17">
        <f t="shared" si="0"/>
        <v>700</v>
      </c>
      <c r="J50" s="18"/>
      <c r="K50" s="18"/>
    </row>
    <row r="51" spans="1:11" ht="30" customHeight="1">
      <c r="A51" s="4">
        <v>55302</v>
      </c>
      <c r="B51" s="5" t="s">
        <v>83</v>
      </c>
      <c r="C51" s="2"/>
      <c r="D51" s="3" t="s">
        <v>42</v>
      </c>
      <c r="E51" s="3" t="s">
        <v>29</v>
      </c>
      <c r="F51" s="3" t="s">
        <v>43</v>
      </c>
      <c r="G51" s="305">
        <f>'ABRIL-18'!I51</f>
        <v>500</v>
      </c>
      <c r="H51" s="51"/>
      <c r="I51" s="17">
        <f t="shared" si="0"/>
        <v>500</v>
      </c>
      <c r="J51" s="18"/>
      <c r="K51" s="21"/>
    </row>
    <row r="52" spans="1:11">
      <c r="A52" s="4">
        <v>55601</v>
      </c>
      <c r="B52" s="2" t="s">
        <v>84</v>
      </c>
      <c r="C52" s="2" t="s">
        <v>85</v>
      </c>
      <c r="D52" s="3" t="s">
        <v>42</v>
      </c>
      <c r="E52" s="3" t="s">
        <v>29</v>
      </c>
      <c r="F52" s="3" t="s">
        <v>43</v>
      </c>
      <c r="G52" s="305">
        <f>'ABRIL-18'!I52</f>
        <v>5000</v>
      </c>
      <c r="H52" s="51"/>
      <c r="I52" s="17">
        <f t="shared" si="0"/>
        <v>5000</v>
      </c>
      <c r="J52" s="18"/>
      <c r="K52" s="22"/>
    </row>
    <row r="53" spans="1:11">
      <c r="A53" s="4">
        <v>55602</v>
      </c>
      <c r="B53" s="2" t="s">
        <v>86</v>
      </c>
      <c r="C53" s="2" t="s">
        <v>87</v>
      </c>
      <c r="D53" s="3" t="s">
        <v>42</v>
      </c>
      <c r="E53" s="3" t="s">
        <v>29</v>
      </c>
      <c r="F53" s="3" t="s">
        <v>43</v>
      </c>
      <c r="G53" s="305">
        <f>'ABRIL-18'!I53</f>
        <v>8000</v>
      </c>
      <c r="H53" s="51"/>
      <c r="I53" s="17">
        <f t="shared" si="0"/>
        <v>8000</v>
      </c>
      <c r="J53" s="18"/>
      <c r="K53" s="22"/>
    </row>
    <row r="54" spans="1:11">
      <c r="A54" s="4">
        <v>55603</v>
      </c>
      <c r="B54" s="2" t="s">
        <v>6</v>
      </c>
      <c r="C54" s="2"/>
      <c r="D54" s="3" t="s">
        <v>42</v>
      </c>
      <c r="E54" s="3" t="s">
        <v>29</v>
      </c>
      <c r="F54" s="3" t="s">
        <v>43</v>
      </c>
      <c r="G54" s="305">
        <f>'ABRIL-18'!I54</f>
        <v>484.18</v>
      </c>
      <c r="H54" s="51">
        <f>1.3+15.82+2.83</f>
        <v>19.950000000000003</v>
      </c>
      <c r="I54" s="17">
        <f t="shared" si="0"/>
        <v>464.23</v>
      </c>
      <c r="J54" s="18"/>
      <c r="K54" s="21"/>
    </row>
    <row r="55" spans="1:11" ht="33" customHeight="1">
      <c r="A55" s="4">
        <v>55799</v>
      </c>
      <c r="B55" s="5" t="s">
        <v>169</v>
      </c>
      <c r="C55" s="5"/>
      <c r="D55" s="3" t="s">
        <v>42</v>
      </c>
      <c r="E55" s="3" t="s">
        <v>29</v>
      </c>
      <c r="F55" s="3" t="s">
        <v>43</v>
      </c>
      <c r="G55" s="305">
        <f>'ABRIL-18'!I55</f>
        <v>394.71000000000004</v>
      </c>
      <c r="H55" s="51"/>
      <c r="I55" s="17">
        <f t="shared" si="0"/>
        <v>394.71000000000004</v>
      </c>
      <c r="J55" s="18"/>
      <c r="K55" s="21"/>
    </row>
    <row r="56" spans="1:11" ht="33" customHeight="1">
      <c r="A56" s="4" t="s">
        <v>170</v>
      </c>
      <c r="B56" s="5" t="s">
        <v>1028</v>
      </c>
      <c r="C56" s="5"/>
      <c r="D56" s="3" t="s">
        <v>42</v>
      </c>
      <c r="E56" s="3" t="s">
        <v>29</v>
      </c>
      <c r="F56" s="3" t="s">
        <v>43</v>
      </c>
      <c r="G56" s="305">
        <f>'ABRIL-18'!I56</f>
        <v>700</v>
      </c>
      <c r="H56" s="51"/>
      <c r="I56" s="17">
        <f t="shared" si="0"/>
        <v>700</v>
      </c>
      <c r="J56" s="18"/>
      <c r="K56" s="21"/>
    </row>
    <row r="57" spans="1:11" ht="39">
      <c r="A57" s="4" t="s">
        <v>171</v>
      </c>
      <c r="B57" s="5" t="s">
        <v>88</v>
      </c>
      <c r="C57" s="5"/>
      <c r="D57" s="3" t="s">
        <v>42</v>
      </c>
      <c r="E57" s="3" t="s">
        <v>29</v>
      </c>
      <c r="F57" s="3" t="s">
        <v>43</v>
      </c>
      <c r="G57" s="305">
        <f>'ABRIL-18'!I57</f>
        <v>2744.2000000000003</v>
      </c>
      <c r="H57" s="51">
        <f>374.14+374.14</f>
        <v>748.28</v>
      </c>
      <c r="I57" s="17">
        <f t="shared" si="0"/>
        <v>1995.9200000000003</v>
      </c>
      <c r="J57" s="18"/>
      <c r="K57" s="18"/>
    </row>
    <row r="58" spans="1:11" ht="27">
      <c r="A58" s="4" t="s">
        <v>161</v>
      </c>
      <c r="B58" s="5" t="s">
        <v>1027</v>
      </c>
      <c r="C58" s="5"/>
      <c r="D58" s="3" t="s">
        <v>42</v>
      </c>
      <c r="E58" s="3" t="s">
        <v>29</v>
      </c>
      <c r="F58" s="3" t="s">
        <v>43</v>
      </c>
      <c r="G58" s="305">
        <f>'ABRIL-18'!I58</f>
        <v>2900</v>
      </c>
      <c r="H58" s="51"/>
      <c r="I58" s="17">
        <f t="shared" si="0"/>
        <v>0</v>
      </c>
      <c r="J58" s="18"/>
      <c r="K58" s="18">
        <v>2900</v>
      </c>
    </row>
    <row r="59" spans="1:11" ht="21" customHeight="1">
      <c r="A59" s="4">
        <v>56303</v>
      </c>
      <c r="B59" s="2" t="s">
        <v>90</v>
      </c>
      <c r="C59" s="2"/>
      <c r="D59" s="3" t="s">
        <v>42</v>
      </c>
      <c r="E59" s="3" t="s">
        <v>29</v>
      </c>
      <c r="F59" s="3" t="s">
        <v>43</v>
      </c>
      <c r="G59" s="305">
        <f>'ABRIL-18'!I59</f>
        <v>13356.9</v>
      </c>
      <c r="H59" s="51">
        <f>300+502</f>
        <v>802</v>
      </c>
      <c r="I59" s="17">
        <f t="shared" si="0"/>
        <v>12554.9</v>
      </c>
      <c r="J59" s="18"/>
      <c r="K59" s="18"/>
    </row>
    <row r="60" spans="1:11" ht="21.75" customHeight="1">
      <c r="A60" s="4">
        <v>56304</v>
      </c>
      <c r="B60" s="2" t="s">
        <v>91</v>
      </c>
      <c r="C60" s="2"/>
      <c r="D60" s="3" t="s">
        <v>42</v>
      </c>
      <c r="E60" s="3" t="s">
        <v>29</v>
      </c>
      <c r="F60" s="3" t="s">
        <v>43</v>
      </c>
      <c r="G60" s="305">
        <f>'ABRIL-18'!I60</f>
        <v>12562.77</v>
      </c>
      <c r="H60" s="51">
        <f>100+120+240+150+150+100</f>
        <v>860</v>
      </c>
      <c r="I60" s="17">
        <f t="shared" si="0"/>
        <v>11702.77</v>
      </c>
      <c r="J60" s="18"/>
      <c r="K60" s="18"/>
    </row>
    <row r="61" spans="1:11" ht="45.75" customHeight="1">
      <c r="A61" s="38" t="s">
        <v>8</v>
      </c>
      <c r="B61" s="39" t="s">
        <v>92</v>
      </c>
      <c r="C61" s="39"/>
      <c r="D61" s="39" t="s">
        <v>42</v>
      </c>
      <c r="E61" s="39" t="s">
        <v>29</v>
      </c>
      <c r="F61" s="39" t="s">
        <v>43</v>
      </c>
      <c r="G61" s="17">
        <f>SUM(G4:G60)</f>
        <v>235773.79999999996</v>
      </c>
      <c r="H61" s="95">
        <f>SUM(H4:H60)</f>
        <v>66129.359999999986</v>
      </c>
      <c r="I61" s="40">
        <f>G61-H61+J61-K61</f>
        <v>183744.43999999997</v>
      </c>
      <c r="J61" s="107">
        <f>SUM(J4:J60)</f>
        <v>31200</v>
      </c>
      <c r="K61" s="107">
        <f>SUM(K5:K60)</f>
        <v>17100</v>
      </c>
    </row>
    <row r="62" spans="1:11">
      <c r="A62" s="4">
        <v>51103</v>
      </c>
      <c r="B62" s="2" t="s">
        <v>173</v>
      </c>
      <c r="C62" s="2"/>
      <c r="D62" s="3" t="s">
        <v>94</v>
      </c>
      <c r="E62" s="3" t="s">
        <v>29</v>
      </c>
      <c r="F62" s="3" t="s">
        <v>43</v>
      </c>
      <c r="G62" s="17">
        <f>'ABRIL-18'!I62</f>
        <v>100</v>
      </c>
      <c r="H62" s="51"/>
      <c r="I62" s="17">
        <f t="shared" si="0"/>
        <v>100</v>
      </c>
      <c r="J62" s="27"/>
      <c r="K62" s="28"/>
    </row>
    <row r="63" spans="1:11">
      <c r="A63" s="4">
        <v>51107</v>
      </c>
      <c r="B63" s="2" t="s">
        <v>93</v>
      </c>
      <c r="C63" s="2"/>
      <c r="D63" s="3" t="s">
        <v>94</v>
      </c>
      <c r="E63" s="3" t="s">
        <v>29</v>
      </c>
      <c r="F63" s="3" t="s">
        <v>43</v>
      </c>
      <c r="G63" s="17">
        <f>'ABRIL-18'!I63</f>
        <v>1500</v>
      </c>
      <c r="H63" s="51">
        <f>340</f>
        <v>340</v>
      </c>
      <c r="I63" s="17">
        <f t="shared" si="0"/>
        <v>1160</v>
      </c>
      <c r="J63" s="27"/>
      <c r="K63" s="28"/>
    </row>
    <row r="64" spans="1:11">
      <c r="A64" s="4">
        <v>51301</v>
      </c>
      <c r="B64" s="2" t="s">
        <v>45</v>
      </c>
      <c r="C64" s="2"/>
      <c r="D64" s="3" t="s">
        <v>94</v>
      </c>
      <c r="E64" s="3" t="s">
        <v>29</v>
      </c>
      <c r="F64" s="3" t="s">
        <v>43</v>
      </c>
      <c r="G64" s="17">
        <f>'ABRIL-18'!I64</f>
        <v>5000</v>
      </c>
      <c r="H64" s="51"/>
      <c r="I64" s="17">
        <f t="shared" si="0"/>
        <v>5000</v>
      </c>
      <c r="J64" s="27"/>
      <c r="K64" s="29"/>
    </row>
    <row r="65" spans="1:11" ht="25.5">
      <c r="A65" s="4">
        <v>51401</v>
      </c>
      <c r="B65" s="7" t="s">
        <v>128</v>
      </c>
      <c r="C65" s="2"/>
      <c r="D65" s="3" t="s">
        <v>94</v>
      </c>
      <c r="E65" s="3" t="s">
        <v>29</v>
      </c>
      <c r="F65" s="3" t="s">
        <v>43</v>
      </c>
      <c r="G65" s="17">
        <f>'ABRIL-18'!I65</f>
        <v>2099.1</v>
      </c>
      <c r="H65" s="51"/>
      <c r="I65" s="17">
        <f t="shared" si="0"/>
        <v>2099.1</v>
      </c>
      <c r="J65" s="27"/>
      <c r="K65" s="30"/>
    </row>
    <row r="66" spans="1:11" ht="36">
      <c r="A66" s="4">
        <v>51501</v>
      </c>
      <c r="B66" s="5" t="s">
        <v>141</v>
      </c>
      <c r="C66" s="2"/>
      <c r="D66" s="3" t="s">
        <v>94</v>
      </c>
      <c r="E66" s="3" t="s">
        <v>29</v>
      </c>
      <c r="F66" s="3" t="s">
        <v>43</v>
      </c>
      <c r="G66" s="17">
        <f>'ABRIL-18'!I66</f>
        <v>1889.16</v>
      </c>
      <c r="H66" s="51"/>
      <c r="I66" s="17">
        <f t="shared" si="0"/>
        <v>1889.16</v>
      </c>
      <c r="J66" s="27"/>
      <c r="K66" s="21"/>
    </row>
    <row r="67" spans="1:11">
      <c r="A67" s="4">
        <v>54104</v>
      </c>
      <c r="B67" s="2" t="s">
        <v>10</v>
      </c>
      <c r="C67" s="2"/>
      <c r="D67" s="3" t="s">
        <v>94</v>
      </c>
      <c r="E67" s="3" t="s">
        <v>29</v>
      </c>
      <c r="F67" s="3" t="s">
        <v>43</v>
      </c>
      <c r="G67" s="17">
        <f>'ABRIL-18'!I67</f>
        <v>2000</v>
      </c>
      <c r="H67" s="51"/>
      <c r="I67" s="17">
        <f t="shared" si="0"/>
        <v>2000</v>
      </c>
      <c r="J67" s="27"/>
      <c r="K67" s="22"/>
    </row>
    <row r="68" spans="1:11">
      <c r="A68" s="4">
        <v>54105</v>
      </c>
      <c r="B68" s="2" t="s">
        <v>49</v>
      </c>
      <c r="C68" s="2"/>
      <c r="D68" s="3" t="s">
        <v>94</v>
      </c>
      <c r="E68" s="3" t="s">
        <v>29</v>
      </c>
      <c r="F68" s="3" t="s">
        <v>43</v>
      </c>
      <c r="G68" s="17">
        <f>'ABRIL-18'!I68</f>
        <v>4000</v>
      </c>
      <c r="H68" s="51">
        <f>168.37</f>
        <v>168.37</v>
      </c>
      <c r="I68" s="17">
        <f t="shared" si="0"/>
        <v>1831.63</v>
      </c>
      <c r="J68" s="27"/>
      <c r="K68" s="18">
        <v>2000</v>
      </c>
    </row>
    <row r="69" spans="1:11">
      <c r="A69" s="4">
        <v>54114</v>
      </c>
      <c r="B69" s="2" t="s">
        <v>56</v>
      </c>
      <c r="C69" s="2"/>
      <c r="D69" s="3" t="s">
        <v>94</v>
      </c>
      <c r="E69" s="3" t="s">
        <v>29</v>
      </c>
      <c r="F69" s="3" t="s">
        <v>43</v>
      </c>
      <c r="G69" s="17">
        <f>'ABRIL-18'!I69</f>
        <v>4996.3999999999996</v>
      </c>
      <c r="H69" s="51">
        <f>179.98</f>
        <v>179.98</v>
      </c>
      <c r="I69" s="17">
        <f t="shared" si="0"/>
        <v>2816.42</v>
      </c>
      <c r="J69" s="27"/>
      <c r="K69" s="21">
        <v>2000</v>
      </c>
    </row>
    <row r="70" spans="1:11">
      <c r="A70" s="4">
        <v>54115</v>
      </c>
      <c r="B70" s="2" t="s">
        <v>57</v>
      </c>
      <c r="C70" s="2"/>
      <c r="D70" s="3" t="s">
        <v>94</v>
      </c>
      <c r="E70" s="3" t="s">
        <v>29</v>
      </c>
      <c r="F70" s="3" t="s">
        <v>43</v>
      </c>
      <c r="G70" s="17">
        <f>'ABRIL-18'!I70</f>
        <v>4000</v>
      </c>
      <c r="H70" s="51"/>
      <c r="I70" s="17">
        <f t="shared" si="0"/>
        <v>2000</v>
      </c>
      <c r="J70" s="31"/>
      <c r="K70" s="21">
        <v>2000</v>
      </c>
    </row>
    <row r="71" spans="1:11">
      <c r="A71" s="4">
        <v>54401</v>
      </c>
      <c r="B71" s="2" t="s">
        <v>75</v>
      </c>
      <c r="C71" s="2"/>
      <c r="D71" s="3" t="s">
        <v>94</v>
      </c>
      <c r="E71" s="3" t="s">
        <v>29</v>
      </c>
      <c r="F71" s="3" t="s">
        <v>43</v>
      </c>
      <c r="G71" s="17">
        <f>'ABRIL-18'!I71</f>
        <v>200</v>
      </c>
      <c r="H71" s="51"/>
      <c r="I71" s="17">
        <f t="shared" si="0"/>
        <v>200</v>
      </c>
      <c r="J71" s="27"/>
      <c r="K71" s="21"/>
    </row>
    <row r="72" spans="1:11">
      <c r="A72" s="4">
        <v>54403</v>
      </c>
      <c r="B72" s="2" t="s">
        <v>76</v>
      </c>
      <c r="C72" s="2"/>
      <c r="D72" s="3" t="s">
        <v>94</v>
      </c>
      <c r="E72" s="3" t="s">
        <v>29</v>
      </c>
      <c r="F72" s="3" t="s">
        <v>43</v>
      </c>
      <c r="G72" s="17">
        <f>'ABRIL-18'!I72</f>
        <v>300</v>
      </c>
      <c r="H72" s="51"/>
      <c r="I72" s="17">
        <f>G72-H72+J72-K72</f>
        <v>300</v>
      </c>
      <c r="J72" s="27"/>
      <c r="K72" s="28"/>
    </row>
    <row r="73" spans="1:11" ht="21" customHeight="1">
      <c r="A73" s="4">
        <v>54507</v>
      </c>
      <c r="B73" s="5" t="s">
        <v>95</v>
      </c>
      <c r="C73" s="2"/>
      <c r="D73" s="3" t="s">
        <v>94</v>
      </c>
      <c r="E73" s="3" t="s">
        <v>29</v>
      </c>
      <c r="F73" s="3" t="s">
        <v>43</v>
      </c>
      <c r="G73" s="17">
        <f>'ABRIL-18'!I73</f>
        <v>1000</v>
      </c>
      <c r="H73" s="51"/>
      <c r="I73" s="17">
        <f>G73-H73+J73-K73</f>
        <v>1000</v>
      </c>
      <c r="J73" s="32"/>
      <c r="K73" s="28"/>
    </row>
    <row r="74" spans="1:11" ht="21">
      <c r="A74" s="38" t="s">
        <v>8</v>
      </c>
      <c r="B74" s="39" t="s">
        <v>96</v>
      </c>
      <c r="C74" s="39"/>
      <c r="D74" s="39" t="s">
        <v>94</v>
      </c>
      <c r="E74" s="39" t="s">
        <v>29</v>
      </c>
      <c r="F74" s="39" t="s">
        <v>43</v>
      </c>
      <c r="G74" s="17">
        <f>' MARZO-18-1'!I73</f>
        <v>27084.660000000003</v>
      </c>
      <c r="H74" s="95">
        <f>SUM(H62:H73)</f>
        <v>688.35</v>
      </c>
      <c r="I74" s="40">
        <f>G74-H74+J74-K74</f>
        <v>20396.310000000005</v>
      </c>
      <c r="J74" s="40"/>
      <c r="K74" s="107">
        <f>SUM(K68:K73)</f>
        <v>6000</v>
      </c>
    </row>
    <row r="75" spans="1:11">
      <c r="A75" s="4">
        <v>51103</v>
      </c>
      <c r="B75" s="2" t="s">
        <v>174</v>
      </c>
      <c r="C75" s="2"/>
      <c r="D75" s="3" t="s">
        <v>97</v>
      </c>
      <c r="E75" s="3" t="s">
        <v>29</v>
      </c>
      <c r="F75" s="3" t="s">
        <v>43</v>
      </c>
      <c r="G75" s="17">
        <f>'ABRIL-18'!I75</f>
        <v>100</v>
      </c>
      <c r="H75" s="51"/>
      <c r="I75" s="170">
        <f t="shared" ref="I75:I100" si="1">G75-H75+J75-K75</f>
        <v>100</v>
      </c>
      <c r="J75" s="28"/>
      <c r="K75" s="28"/>
    </row>
    <row r="76" spans="1:11">
      <c r="A76" s="4">
        <v>51107</v>
      </c>
      <c r="B76" s="2" t="s">
        <v>93</v>
      </c>
      <c r="C76" s="2"/>
      <c r="D76" s="3" t="s">
        <v>97</v>
      </c>
      <c r="E76" s="3" t="s">
        <v>29</v>
      </c>
      <c r="F76" s="3" t="s">
        <v>43</v>
      </c>
      <c r="G76" s="17">
        <f>'ABRIL-18'!I76</f>
        <v>5000</v>
      </c>
      <c r="H76" s="51">
        <f>1020+214.5+214.5</f>
        <v>1449</v>
      </c>
      <c r="I76" s="170">
        <f t="shared" si="1"/>
        <v>3551</v>
      </c>
      <c r="J76" s="28"/>
      <c r="K76" s="28"/>
    </row>
    <row r="77" spans="1:11">
      <c r="A77" s="4">
        <v>51201</v>
      </c>
      <c r="B77" s="2" t="s">
        <v>44</v>
      </c>
      <c r="C77" s="2"/>
      <c r="D77" s="3" t="s">
        <v>97</v>
      </c>
      <c r="E77" s="3" t="s">
        <v>29</v>
      </c>
      <c r="F77" s="3" t="s">
        <v>43</v>
      </c>
      <c r="G77" s="17">
        <f>'ABRIL-18'!I77</f>
        <v>2000</v>
      </c>
      <c r="H77" s="51">
        <f>165+165</f>
        <v>330</v>
      </c>
      <c r="I77" s="170">
        <f t="shared" si="1"/>
        <v>1670</v>
      </c>
      <c r="J77" s="30"/>
      <c r="K77" s="28"/>
    </row>
    <row r="78" spans="1:11">
      <c r="A78" s="4">
        <v>51301</v>
      </c>
      <c r="B78" s="7" t="s">
        <v>98</v>
      </c>
      <c r="C78" s="2"/>
      <c r="D78" s="3" t="s">
        <v>97</v>
      </c>
      <c r="E78" s="3" t="s">
        <v>29</v>
      </c>
      <c r="F78" s="3" t="s">
        <v>43</v>
      </c>
      <c r="G78" s="17">
        <f>'ABRIL-18'!I78</f>
        <v>3000</v>
      </c>
      <c r="H78" s="51"/>
      <c r="I78" s="170">
        <f t="shared" si="1"/>
        <v>3000</v>
      </c>
      <c r="J78" s="30"/>
      <c r="K78" s="28"/>
    </row>
    <row r="79" spans="1:11" ht="48.75" customHeight="1">
      <c r="A79" s="4">
        <v>51401</v>
      </c>
      <c r="B79" s="7" t="s">
        <v>134</v>
      </c>
      <c r="C79" s="2"/>
      <c r="D79" s="3" t="s">
        <v>97</v>
      </c>
      <c r="E79" s="3" t="s">
        <v>29</v>
      </c>
      <c r="F79" s="3" t="s">
        <v>43</v>
      </c>
      <c r="G79" s="17">
        <f>'ABRIL-18'!I79</f>
        <v>9778.74</v>
      </c>
      <c r="H79" s="51"/>
      <c r="I79" s="170">
        <f t="shared" si="1"/>
        <v>9778.74</v>
      </c>
      <c r="J79" s="29"/>
      <c r="K79" s="28"/>
    </row>
    <row r="80" spans="1:11" ht="36">
      <c r="A80" s="4">
        <v>51501</v>
      </c>
      <c r="B80" s="5" t="s">
        <v>127</v>
      </c>
      <c r="C80" s="2"/>
      <c r="D80" s="3" t="s">
        <v>97</v>
      </c>
      <c r="E80" s="3" t="s">
        <v>29</v>
      </c>
      <c r="F80" s="3" t="s">
        <v>43</v>
      </c>
      <c r="G80" s="17">
        <f>'ABRIL-18'!I80</f>
        <v>7853.28</v>
      </c>
      <c r="H80" s="51"/>
      <c r="I80" s="170">
        <f t="shared" si="1"/>
        <v>7853.28</v>
      </c>
      <c r="J80" s="27"/>
      <c r="K80" s="28"/>
    </row>
    <row r="81" spans="1:11" ht="24" customHeight="1">
      <c r="A81" s="4">
        <v>54104</v>
      </c>
      <c r="B81" s="2" t="s">
        <v>10</v>
      </c>
      <c r="C81" s="2"/>
      <c r="D81" s="3" t="s">
        <v>97</v>
      </c>
      <c r="E81" s="3" t="s">
        <v>29</v>
      </c>
      <c r="F81" s="3" t="s">
        <v>43</v>
      </c>
      <c r="G81" s="17">
        <f>'ABRIL-18'!I81</f>
        <v>4000</v>
      </c>
      <c r="H81" s="51">
        <f>181</f>
        <v>181</v>
      </c>
      <c r="I81" s="170">
        <f t="shared" si="1"/>
        <v>3819</v>
      </c>
      <c r="J81" s="28"/>
      <c r="K81" s="28"/>
    </row>
    <row r="82" spans="1:11" ht="21.75" customHeight="1">
      <c r="A82" s="4">
        <v>54105</v>
      </c>
      <c r="B82" s="2" t="s">
        <v>49</v>
      </c>
      <c r="C82" s="2"/>
      <c r="D82" s="3" t="s">
        <v>97</v>
      </c>
      <c r="E82" s="3" t="s">
        <v>29</v>
      </c>
      <c r="F82" s="3" t="s">
        <v>43</v>
      </c>
      <c r="G82" s="17">
        <f>'ABRIL-18'!I82</f>
        <v>2000</v>
      </c>
      <c r="H82" s="51"/>
      <c r="I82" s="170">
        <f t="shared" si="1"/>
        <v>800</v>
      </c>
      <c r="J82" s="27"/>
      <c r="K82" s="28">
        <v>1200</v>
      </c>
    </row>
    <row r="83" spans="1:11" ht="27" customHeight="1">
      <c r="A83" s="4">
        <v>54106</v>
      </c>
      <c r="B83" s="5" t="s">
        <v>99</v>
      </c>
      <c r="C83" s="5"/>
      <c r="D83" s="3" t="s">
        <v>97</v>
      </c>
      <c r="E83" s="3" t="s">
        <v>29</v>
      </c>
      <c r="F83" s="3" t="s">
        <v>43</v>
      </c>
      <c r="G83" s="17">
        <f>'ABRIL-18'!I83</f>
        <v>1000</v>
      </c>
      <c r="H83" s="51"/>
      <c r="I83" s="170">
        <f t="shared" si="1"/>
        <v>500</v>
      </c>
      <c r="J83" s="27"/>
      <c r="K83" s="28">
        <v>500</v>
      </c>
    </row>
    <row r="84" spans="1:11" ht="24" customHeight="1">
      <c r="A84" s="4">
        <v>54109</v>
      </c>
      <c r="B84" s="2" t="s">
        <v>52</v>
      </c>
      <c r="C84" s="2"/>
      <c r="D84" s="3" t="s">
        <v>97</v>
      </c>
      <c r="E84" s="3" t="s">
        <v>29</v>
      </c>
      <c r="F84" s="3" t="s">
        <v>43</v>
      </c>
      <c r="G84" s="17">
        <f>'ABRIL-18'!I84</f>
        <v>500</v>
      </c>
      <c r="H84" s="51"/>
      <c r="I84" s="170">
        <f t="shared" si="1"/>
        <v>500</v>
      </c>
      <c r="J84" s="33"/>
      <c r="K84" s="28"/>
    </row>
    <row r="85" spans="1:11" ht="28.5" customHeight="1">
      <c r="A85" s="4">
        <v>54110</v>
      </c>
      <c r="B85" s="2" t="s">
        <v>53</v>
      </c>
      <c r="C85" s="2"/>
      <c r="D85" s="3" t="s">
        <v>97</v>
      </c>
      <c r="E85" s="3" t="s">
        <v>29</v>
      </c>
      <c r="F85" s="3" t="s">
        <v>43</v>
      </c>
      <c r="G85" s="17">
        <f>'ABRIL-18'!I85</f>
        <v>8205.35</v>
      </c>
      <c r="H85" s="51"/>
      <c r="I85" s="170">
        <f t="shared" si="1"/>
        <v>8205.35</v>
      </c>
      <c r="J85" s="33"/>
      <c r="K85" s="30"/>
    </row>
    <row r="86" spans="1:11" ht="30.75" customHeight="1">
      <c r="A86" s="4">
        <v>54111</v>
      </c>
      <c r="B86" s="5" t="s">
        <v>54</v>
      </c>
      <c r="C86" s="2"/>
      <c r="D86" s="3" t="s">
        <v>97</v>
      </c>
      <c r="E86" s="3" t="s">
        <v>29</v>
      </c>
      <c r="F86" s="3" t="s">
        <v>43</v>
      </c>
      <c r="G86" s="17">
        <f>'ABRIL-18'!I86</f>
        <v>1000</v>
      </c>
      <c r="H86" s="51"/>
      <c r="I86" s="170">
        <f t="shared" si="1"/>
        <v>500</v>
      </c>
      <c r="J86" s="33"/>
      <c r="K86" s="277">
        <v>500</v>
      </c>
    </row>
    <row r="87" spans="1:11" ht="39">
      <c r="A87" s="4">
        <v>54112</v>
      </c>
      <c r="B87" s="5" t="s">
        <v>55</v>
      </c>
      <c r="C87" s="2"/>
      <c r="D87" s="3" t="s">
        <v>97</v>
      </c>
      <c r="E87" s="3" t="s">
        <v>29</v>
      </c>
      <c r="F87" s="3" t="s">
        <v>43</v>
      </c>
      <c r="G87" s="17">
        <f>'ABRIL-18'!I87</f>
        <v>1000</v>
      </c>
      <c r="H87" s="51">
        <f>5+3.5+1</f>
        <v>9.5</v>
      </c>
      <c r="I87" s="170">
        <f t="shared" si="1"/>
        <v>490.5</v>
      </c>
      <c r="J87" s="33"/>
      <c r="K87" s="28">
        <v>500</v>
      </c>
    </row>
    <row r="88" spans="1:11">
      <c r="A88" s="4">
        <v>54114</v>
      </c>
      <c r="B88" s="2" t="s">
        <v>56</v>
      </c>
      <c r="C88" s="2"/>
      <c r="D88" s="3" t="s">
        <v>97</v>
      </c>
      <c r="E88" s="3" t="s">
        <v>29</v>
      </c>
      <c r="F88" s="3" t="s">
        <v>43</v>
      </c>
      <c r="G88" s="17">
        <f>'ABRIL-18'!I88</f>
        <v>1000</v>
      </c>
      <c r="H88" s="51"/>
      <c r="I88" s="170">
        <f t="shared" si="1"/>
        <v>500</v>
      </c>
      <c r="J88" s="27"/>
      <c r="K88" s="28">
        <v>500</v>
      </c>
    </row>
    <row r="89" spans="1:11">
      <c r="A89" s="4">
        <v>54115</v>
      </c>
      <c r="B89" s="2" t="s">
        <v>57</v>
      </c>
      <c r="C89" s="2"/>
      <c r="D89" s="3" t="s">
        <v>97</v>
      </c>
      <c r="E89" s="3" t="s">
        <v>29</v>
      </c>
      <c r="F89" s="3" t="s">
        <v>43</v>
      </c>
      <c r="G89" s="17">
        <f>'ABRIL-18'!I89</f>
        <v>1000</v>
      </c>
      <c r="H89" s="51"/>
      <c r="I89" s="170">
        <f t="shared" si="1"/>
        <v>500</v>
      </c>
      <c r="J89" s="33"/>
      <c r="K89" s="28">
        <v>500</v>
      </c>
    </row>
    <row r="90" spans="1:11" ht="27" customHeight="1">
      <c r="A90" s="4">
        <v>54118</v>
      </c>
      <c r="B90" s="5" t="s">
        <v>100</v>
      </c>
      <c r="C90" s="2"/>
      <c r="D90" s="3" t="s">
        <v>97</v>
      </c>
      <c r="E90" s="3" t="s">
        <v>29</v>
      </c>
      <c r="F90" s="3" t="s">
        <v>43</v>
      </c>
      <c r="G90" s="17">
        <f>'ABRIL-18'!I90</f>
        <v>895.9</v>
      </c>
      <c r="H90" s="51"/>
      <c r="I90" s="170">
        <f t="shared" si="1"/>
        <v>895.9</v>
      </c>
      <c r="J90" s="30"/>
      <c r="K90" s="28"/>
    </row>
    <row r="91" spans="1:11">
      <c r="A91" s="4">
        <v>54119</v>
      </c>
      <c r="B91" s="2" t="s">
        <v>60</v>
      </c>
      <c r="C91" s="2"/>
      <c r="D91" s="3" t="s">
        <v>97</v>
      </c>
      <c r="E91" s="3" t="s">
        <v>29</v>
      </c>
      <c r="F91" s="3" t="s">
        <v>43</v>
      </c>
      <c r="G91" s="17">
        <f>'ABRIL-18'!I91</f>
        <v>557.20000000000005</v>
      </c>
      <c r="H91" s="51"/>
      <c r="I91" s="170">
        <f t="shared" si="1"/>
        <v>557.20000000000005</v>
      </c>
      <c r="J91" s="30"/>
      <c r="K91" s="28"/>
    </row>
    <row r="92" spans="1:11">
      <c r="A92" s="4">
        <v>54199</v>
      </c>
      <c r="B92" s="2" t="s">
        <v>61</v>
      </c>
      <c r="C92" s="2"/>
      <c r="D92" s="3" t="s">
        <v>97</v>
      </c>
      <c r="E92" s="3" t="s">
        <v>29</v>
      </c>
      <c r="F92" s="3" t="s">
        <v>43</v>
      </c>
      <c r="G92" s="17">
        <f>'ABRIL-18'!I92</f>
        <v>1024.25</v>
      </c>
      <c r="H92" s="51">
        <f>71.96+60.75+4+23.03+79.36</f>
        <v>239.09999999999997</v>
      </c>
      <c r="I92" s="170">
        <f t="shared" si="1"/>
        <v>785.15000000000009</v>
      </c>
      <c r="J92" s="33"/>
      <c r="K92" s="28"/>
    </row>
    <row r="93" spans="1:11">
      <c r="A93" s="4">
        <v>54301</v>
      </c>
      <c r="B93" s="2" t="s">
        <v>66</v>
      </c>
      <c r="C93" s="2"/>
      <c r="D93" s="3" t="s">
        <v>97</v>
      </c>
      <c r="E93" s="3" t="s">
        <v>29</v>
      </c>
      <c r="F93" s="3" t="s">
        <v>43</v>
      </c>
      <c r="G93" s="17">
        <f>'ABRIL-18'!I93</f>
        <v>200</v>
      </c>
      <c r="H93" s="51">
        <f>140</f>
        <v>140</v>
      </c>
      <c r="I93" s="170">
        <f t="shared" si="1"/>
        <v>60</v>
      </c>
      <c r="J93" s="29"/>
      <c r="K93" s="28"/>
    </row>
    <row r="94" spans="1:11">
      <c r="A94" s="4">
        <v>54302</v>
      </c>
      <c r="B94" s="2" t="s">
        <v>67</v>
      </c>
      <c r="C94" s="2"/>
      <c r="D94" s="3" t="s">
        <v>97</v>
      </c>
      <c r="E94" s="3" t="s">
        <v>29</v>
      </c>
      <c r="F94" s="3" t="s">
        <v>43</v>
      </c>
      <c r="G94" s="17">
        <f>'ABRIL-18'!I94</f>
        <v>380</v>
      </c>
      <c r="H94" s="51"/>
      <c r="I94" s="170">
        <f t="shared" si="1"/>
        <v>380</v>
      </c>
      <c r="J94" s="27"/>
      <c r="K94" s="28"/>
    </row>
    <row r="95" spans="1:11" ht="24.75" customHeight="1">
      <c r="A95" s="4">
        <v>54314</v>
      </c>
      <c r="B95" s="5" t="s">
        <v>101</v>
      </c>
      <c r="C95" s="2"/>
      <c r="D95" s="3" t="s">
        <v>97</v>
      </c>
      <c r="E95" s="3" t="s">
        <v>29</v>
      </c>
      <c r="F95" s="3" t="s">
        <v>43</v>
      </c>
      <c r="G95" s="17">
        <f>'ABRIL-18'!I95</f>
        <v>23497.91</v>
      </c>
      <c r="H95" s="51">
        <f>435.96+150+350+30+10</f>
        <v>975.96</v>
      </c>
      <c r="I95" s="170">
        <f t="shared" si="1"/>
        <v>17921.95</v>
      </c>
      <c r="J95" s="33"/>
      <c r="K95" s="315">
        <v>4600</v>
      </c>
    </row>
    <row r="96" spans="1:11">
      <c r="A96" s="4">
        <v>54399</v>
      </c>
      <c r="B96" s="2" t="s">
        <v>74</v>
      </c>
      <c r="C96" s="2"/>
      <c r="D96" s="3" t="s">
        <v>97</v>
      </c>
      <c r="E96" s="3" t="s">
        <v>29</v>
      </c>
      <c r="F96" s="3" t="s">
        <v>43</v>
      </c>
      <c r="G96" s="17">
        <f>'ABRIL-18'!I96</f>
        <v>37.159999999999854</v>
      </c>
      <c r="H96" s="51">
        <f>90+90+4.5</f>
        <v>184.5</v>
      </c>
      <c r="I96" s="170">
        <f t="shared" si="1"/>
        <v>52.659999999999854</v>
      </c>
      <c r="J96" s="33">
        <v>200</v>
      </c>
      <c r="K96" s="33"/>
    </row>
    <row r="97" spans="1:11">
      <c r="A97" s="4">
        <v>54401</v>
      </c>
      <c r="B97" s="2" t="s">
        <v>75</v>
      </c>
      <c r="C97" s="2"/>
      <c r="D97" s="3" t="s">
        <v>97</v>
      </c>
      <c r="E97" s="3" t="s">
        <v>29</v>
      </c>
      <c r="F97" s="3" t="s">
        <v>43</v>
      </c>
      <c r="G97" s="17">
        <f>'ABRIL-18'!I97</f>
        <v>400</v>
      </c>
      <c r="H97" s="51"/>
      <c r="I97" s="170">
        <f t="shared" si="1"/>
        <v>400</v>
      </c>
      <c r="J97" s="34"/>
      <c r="K97" s="28"/>
    </row>
    <row r="98" spans="1:11">
      <c r="A98" s="4">
        <v>54403</v>
      </c>
      <c r="B98" s="2" t="s">
        <v>102</v>
      </c>
      <c r="C98" s="2"/>
      <c r="D98" s="3" t="s">
        <v>97</v>
      </c>
      <c r="E98" s="3" t="s">
        <v>29</v>
      </c>
      <c r="F98" s="3" t="s">
        <v>43</v>
      </c>
      <c r="G98" s="17">
        <f>'ABRIL-18'!I98</f>
        <v>632.98</v>
      </c>
      <c r="H98" s="51"/>
      <c r="I98" s="170">
        <f t="shared" si="1"/>
        <v>632.98</v>
      </c>
      <c r="J98" s="34"/>
      <c r="K98" s="28"/>
    </row>
    <row r="99" spans="1:11" ht="21.75" customHeight="1">
      <c r="A99" s="4">
        <v>54507</v>
      </c>
      <c r="B99" s="5" t="s">
        <v>103</v>
      </c>
      <c r="C99" s="5"/>
      <c r="D99" s="3" t="s">
        <v>97</v>
      </c>
      <c r="E99" s="3" t="s">
        <v>29</v>
      </c>
      <c r="F99" s="3" t="s">
        <v>43</v>
      </c>
      <c r="G99" s="17">
        <f>'ABRIL-18'!I99</f>
        <v>500</v>
      </c>
      <c r="H99" s="51"/>
      <c r="I99" s="170">
        <f t="shared" si="1"/>
        <v>500</v>
      </c>
      <c r="J99" s="35"/>
      <c r="K99" s="28"/>
    </row>
    <row r="100" spans="1:11">
      <c r="A100" s="4">
        <v>54699</v>
      </c>
      <c r="B100" s="5" t="s">
        <v>104</v>
      </c>
      <c r="C100" s="2"/>
      <c r="D100" s="3" t="s">
        <v>97</v>
      </c>
      <c r="E100" s="3" t="s">
        <v>29</v>
      </c>
      <c r="F100" s="3" t="s">
        <v>43</v>
      </c>
      <c r="G100" s="17">
        <f>'ABRIL-18'!I100</f>
        <v>1</v>
      </c>
      <c r="H100" s="51"/>
      <c r="I100" s="170">
        <f t="shared" si="1"/>
        <v>1</v>
      </c>
      <c r="J100" s="27"/>
      <c r="K100" s="28"/>
    </row>
    <row r="101" spans="1:11" ht="21">
      <c r="A101" s="38" t="s">
        <v>8</v>
      </c>
      <c r="B101" s="39" t="s">
        <v>105</v>
      </c>
      <c r="C101" s="39"/>
      <c r="D101" s="39" t="s">
        <v>97</v>
      </c>
      <c r="E101" s="39" t="s">
        <v>29</v>
      </c>
      <c r="F101" s="39" t="s">
        <v>43</v>
      </c>
      <c r="G101" s="17">
        <f>'ABRIL-18'!I101</f>
        <v>75563.76999999999</v>
      </c>
      <c r="H101" s="95">
        <f>SUM(H75:H100)</f>
        <v>3509.06</v>
      </c>
      <c r="I101" s="40">
        <f>G101-H101+J101-K101</f>
        <v>63954.709999999992</v>
      </c>
      <c r="J101" s="107">
        <f>SUM(J82:J100)</f>
        <v>200</v>
      </c>
      <c r="K101" s="107">
        <f>SUM(K82:K100)</f>
        <v>8300</v>
      </c>
    </row>
    <row r="102" spans="1:11">
      <c r="A102" s="4">
        <v>51101</v>
      </c>
      <c r="B102" s="2" t="s">
        <v>175</v>
      </c>
      <c r="C102" s="2"/>
      <c r="D102" s="3" t="s">
        <v>42</v>
      </c>
      <c r="E102" s="3" t="s">
        <v>29</v>
      </c>
      <c r="F102" s="3" t="s">
        <v>106</v>
      </c>
      <c r="G102" s="17">
        <f>'ABRIL-18'!I102</f>
        <v>39296.399999999987</v>
      </c>
      <c r="H102" s="51">
        <f>5737.05</f>
        <v>5737.05</v>
      </c>
      <c r="I102" s="17">
        <f t="shared" ref="I102:I148" si="2">G102-H102+J102-K102</f>
        <v>45559.349999999984</v>
      </c>
      <c r="J102" s="28">
        <v>12000</v>
      </c>
      <c r="K102" s="30"/>
    </row>
    <row r="103" spans="1:11">
      <c r="A103" s="4">
        <v>51103</v>
      </c>
      <c r="B103" s="2" t="s">
        <v>107</v>
      </c>
      <c r="C103" s="2"/>
      <c r="D103" s="3" t="s">
        <v>42</v>
      </c>
      <c r="E103" s="3" t="s">
        <v>29</v>
      </c>
      <c r="F103" s="3" t="s">
        <v>106</v>
      </c>
      <c r="G103" s="17">
        <f>'ABRIL-18'!I103</f>
        <v>4687.05</v>
      </c>
      <c r="H103" s="51"/>
      <c r="I103" s="17">
        <f t="shared" si="2"/>
        <v>6187.05</v>
      </c>
      <c r="J103" s="30">
        <v>1500</v>
      </c>
      <c r="K103" s="29"/>
    </row>
    <row r="104" spans="1:11">
      <c r="A104" s="4">
        <v>51105</v>
      </c>
      <c r="B104" s="2" t="s">
        <v>176</v>
      </c>
      <c r="C104" s="2"/>
      <c r="D104" s="3" t="s">
        <v>42</v>
      </c>
      <c r="E104" s="3" t="s">
        <v>29</v>
      </c>
      <c r="F104" s="3" t="s">
        <v>106</v>
      </c>
      <c r="G104" s="17">
        <f>'ABRIL-18'!I104</f>
        <v>19984.379999999997</v>
      </c>
      <c r="H104" s="51">
        <f>1800+592.6+592.6+592.6+592.6+592.6+592.6+592.6+592.6+592.6+592.6+592.6+592.6</f>
        <v>8911.2000000000025</v>
      </c>
      <c r="I104" s="17">
        <f t="shared" si="2"/>
        <v>11073.179999999995</v>
      </c>
      <c r="J104" s="30"/>
      <c r="K104" s="29"/>
    </row>
    <row r="105" spans="1:11">
      <c r="A105" s="4">
        <v>51107</v>
      </c>
      <c r="B105" s="2" t="s">
        <v>1086</v>
      </c>
      <c r="C105" s="2"/>
      <c r="D105" s="3" t="s">
        <v>42</v>
      </c>
      <c r="E105" s="3" t="s">
        <v>29</v>
      </c>
      <c r="F105" s="3" t="s">
        <v>106</v>
      </c>
      <c r="G105" s="17"/>
      <c r="H105" s="51"/>
      <c r="I105" s="17">
        <f t="shared" si="2"/>
        <v>3000</v>
      </c>
      <c r="J105" s="30">
        <v>3000</v>
      </c>
      <c r="K105" s="29"/>
    </row>
    <row r="106" spans="1:11">
      <c r="A106" s="4">
        <v>51201</v>
      </c>
      <c r="B106" s="2" t="s">
        <v>135</v>
      </c>
      <c r="C106" s="2"/>
      <c r="D106" s="3" t="s">
        <v>42</v>
      </c>
      <c r="E106" s="3" t="s">
        <v>29</v>
      </c>
      <c r="F106" s="3" t="s">
        <v>30</v>
      </c>
      <c r="G106" s="17">
        <f>'ABRIL-18'!I105</f>
        <v>2668</v>
      </c>
      <c r="H106" s="51">
        <f>1419+1334</f>
        <v>2753</v>
      </c>
      <c r="I106" s="17">
        <f t="shared" si="2"/>
        <v>9915</v>
      </c>
      <c r="J106" s="30">
        <v>10000</v>
      </c>
      <c r="K106" s="29"/>
    </row>
    <row r="107" spans="1:11">
      <c r="A107" s="4">
        <v>51301</v>
      </c>
      <c r="B107" s="2" t="s">
        <v>177</v>
      </c>
      <c r="C107" s="2"/>
      <c r="D107" s="3" t="s">
        <v>42</v>
      </c>
      <c r="E107" s="3" t="s">
        <v>29</v>
      </c>
      <c r="F107" s="3" t="s">
        <v>30</v>
      </c>
      <c r="G107" s="17">
        <f>'ABRIL-18'!I106</f>
        <v>719.02</v>
      </c>
      <c r="H107" s="51"/>
      <c r="I107" s="17">
        <f t="shared" si="2"/>
        <v>719.02</v>
      </c>
      <c r="J107" s="30"/>
      <c r="K107" s="29"/>
    </row>
    <row r="108" spans="1:11" ht="33.75" customHeight="1">
      <c r="A108" s="4">
        <v>51401</v>
      </c>
      <c r="B108" s="5" t="s">
        <v>128</v>
      </c>
      <c r="C108" s="5"/>
      <c r="D108" s="3" t="s">
        <v>42</v>
      </c>
      <c r="E108" s="3" t="s">
        <v>29</v>
      </c>
      <c r="F108" s="3" t="s">
        <v>106</v>
      </c>
      <c r="G108" s="17">
        <f>'ABRIL-18'!I107</f>
        <v>961.67999999999984</v>
      </c>
      <c r="H108" s="51">
        <f>205.28+258.66</f>
        <v>463.94000000000005</v>
      </c>
      <c r="I108" s="17">
        <f t="shared" si="2"/>
        <v>497.73999999999978</v>
      </c>
      <c r="J108" s="33"/>
      <c r="K108" s="29"/>
    </row>
    <row r="109" spans="1:11" ht="36">
      <c r="A109" s="4">
        <v>51501</v>
      </c>
      <c r="B109" s="5" t="s">
        <v>168</v>
      </c>
      <c r="C109" s="5"/>
      <c r="D109" s="3" t="s">
        <v>42</v>
      </c>
      <c r="E109" s="3" t="s">
        <v>29</v>
      </c>
      <c r="F109" s="3" t="s">
        <v>106</v>
      </c>
      <c r="G109" s="17">
        <f>'ABRIL-18'!I108</f>
        <v>2244.6800000000003</v>
      </c>
      <c r="H109" s="51">
        <f>134.53</f>
        <v>134.53</v>
      </c>
      <c r="I109" s="17">
        <f t="shared" si="2"/>
        <v>2110.15</v>
      </c>
      <c r="J109" s="33"/>
      <c r="K109" s="29"/>
    </row>
    <row r="110" spans="1:11" ht="34.5" customHeight="1">
      <c r="A110" s="4">
        <v>51601</v>
      </c>
      <c r="B110" s="311" t="s">
        <v>1087</v>
      </c>
      <c r="C110" s="312"/>
      <c r="D110" s="3" t="s">
        <v>42</v>
      </c>
      <c r="E110" s="3" t="s">
        <v>29</v>
      </c>
      <c r="F110" s="3" t="s">
        <v>106</v>
      </c>
      <c r="G110" s="17"/>
      <c r="H110" s="51">
        <f>1500</f>
        <v>1500</v>
      </c>
      <c r="I110" s="17">
        <f t="shared" si="2"/>
        <v>0</v>
      </c>
      <c r="J110" s="33">
        <v>1500</v>
      </c>
      <c r="K110" s="29"/>
    </row>
    <row r="111" spans="1:11" ht="27.75" customHeight="1">
      <c r="A111" s="4">
        <v>51999</v>
      </c>
      <c r="B111" s="5" t="s">
        <v>178</v>
      </c>
      <c r="C111" s="5"/>
      <c r="D111" s="3" t="s">
        <v>42</v>
      </c>
      <c r="E111" s="3" t="s">
        <v>29</v>
      </c>
      <c r="F111" s="3" t="s">
        <v>30</v>
      </c>
      <c r="G111" s="17">
        <f>'ABRIL-18'!I109</f>
        <v>800</v>
      </c>
      <c r="H111" s="51">
        <f>175</f>
        <v>175</v>
      </c>
      <c r="I111" s="17">
        <f t="shared" si="2"/>
        <v>625</v>
      </c>
      <c r="J111" s="33"/>
      <c r="K111" s="29"/>
    </row>
    <row r="112" spans="1:11">
      <c r="A112" s="4">
        <v>54110</v>
      </c>
      <c r="B112" s="2" t="s">
        <v>108</v>
      </c>
      <c r="C112" s="2"/>
      <c r="D112" s="3" t="s">
        <v>42</v>
      </c>
      <c r="E112" s="3" t="s">
        <v>29</v>
      </c>
      <c r="F112" s="3" t="s">
        <v>30</v>
      </c>
      <c r="G112" s="17">
        <f>'ABRIL-18'!I110</f>
        <v>300</v>
      </c>
      <c r="H112" s="51"/>
      <c r="I112" s="17">
        <f t="shared" si="2"/>
        <v>300</v>
      </c>
      <c r="J112" s="33"/>
      <c r="K112" s="29"/>
    </row>
    <row r="113" spans="1:11">
      <c r="A113" s="4">
        <v>54199</v>
      </c>
      <c r="B113" s="2" t="s">
        <v>61</v>
      </c>
      <c r="C113" s="2"/>
      <c r="D113" s="3" t="s">
        <v>42</v>
      </c>
      <c r="E113" s="3" t="s">
        <v>29</v>
      </c>
      <c r="F113" s="3" t="s">
        <v>106</v>
      </c>
      <c r="G113" s="17">
        <f>'ABRIL-18'!I111</f>
        <v>1000</v>
      </c>
      <c r="H113" s="51"/>
      <c r="I113" s="17">
        <f t="shared" si="2"/>
        <v>1000</v>
      </c>
      <c r="J113" s="35"/>
      <c r="K113" s="29"/>
    </row>
    <row r="114" spans="1:11">
      <c r="A114" s="4">
        <v>54201</v>
      </c>
      <c r="B114" s="2" t="s">
        <v>62</v>
      </c>
      <c r="C114" s="2"/>
      <c r="D114" s="3" t="s">
        <v>42</v>
      </c>
      <c r="E114" s="3" t="s">
        <v>29</v>
      </c>
      <c r="F114" s="3" t="s">
        <v>106</v>
      </c>
      <c r="G114" s="17">
        <f>'ABRIL-18'!I112</f>
        <v>7294.5799999999981</v>
      </c>
      <c r="H114" s="51"/>
      <c r="I114" s="17">
        <f t="shared" si="2"/>
        <v>7294.5799999999981</v>
      </c>
      <c r="J114" s="18"/>
      <c r="K114" s="29"/>
    </row>
    <row r="115" spans="1:11">
      <c r="A115" s="4">
        <v>54202</v>
      </c>
      <c r="B115" s="2" t="s">
        <v>109</v>
      </c>
      <c r="C115" s="2"/>
      <c r="D115" s="3" t="s">
        <v>42</v>
      </c>
      <c r="E115" s="3" t="s">
        <v>29</v>
      </c>
      <c r="F115" s="3" t="s">
        <v>106</v>
      </c>
      <c r="G115" s="17">
        <f>'ABRIL-18'!I113</f>
        <v>1564.76</v>
      </c>
      <c r="H115" s="51"/>
      <c r="I115" s="17">
        <f t="shared" si="2"/>
        <v>1564.76</v>
      </c>
      <c r="J115" s="18"/>
      <c r="K115" s="29"/>
    </row>
    <row r="116" spans="1:11">
      <c r="A116" s="4">
        <v>54203</v>
      </c>
      <c r="B116" s="2" t="s">
        <v>64</v>
      </c>
      <c r="C116" s="2"/>
      <c r="D116" s="3" t="s">
        <v>42</v>
      </c>
      <c r="E116" s="3" t="s">
        <v>29</v>
      </c>
      <c r="F116" s="3" t="s">
        <v>106</v>
      </c>
      <c r="G116" s="17">
        <f>'ABRIL-18'!I114</f>
        <v>1112.92</v>
      </c>
      <c r="H116" s="51"/>
      <c r="I116" s="17">
        <f t="shared" si="2"/>
        <v>1112.92</v>
      </c>
      <c r="J116" s="18"/>
      <c r="K116" s="29"/>
    </row>
    <row r="117" spans="1:11">
      <c r="A117" s="4">
        <v>54302</v>
      </c>
      <c r="B117" s="5" t="s">
        <v>136</v>
      </c>
      <c r="C117" s="2"/>
      <c r="D117" s="3" t="s">
        <v>42</v>
      </c>
      <c r="E117" s="3" t="s">
        <v>29</v>
      </c>
      <c r="F117" s="3" t="s">
        <v>106</v>
      </c>
      <c r="G117" s="17">
        <f>'ABRIL-18'!I115</f>
        <v>1</v>
      </c>
      <c r="H117" s="51"/>
      <c r="I117" s="17">
        <f t="shared" si="2"/>
        <v>1</v>
      </c>
      <c r="J117" s="35"/>
      <c r="K117" s="29"/>
    </row>
    <row r="118" spans="1:11" ht="30">
      <c r="A118" s="4">
        <v>54313</v>
      </c>
      <c r="B118" s="5" t="s">
        <v>1054</v>
      </c>
      <c r="C118" s="2"/>
      <c r="D118" s="3" t="s">
        <v>42</v>
      </c>
      <c r="E118" s="3" t="s">
        <v>29</v>
      </c>
      <c r="F118" s="3" t="s">
        <v>106</v>
      </c>
      <c r="G118" s="17">
        <f>'ABRIL-18'!I116</f>
        <v>52</v>
      </c>
      <c r="H118" s="51"/>
      <c r="I118" s="17">
        <f t="shared" si="2"/>
        <v>52</v>
      </c>
      <c r="J118" s="35"/>
      <c r="K118" s="29"/>
    </row>
    <row r="119" spans="1:11" ht="21.75" customHeight="1">
      <c r="A119" s="4">
        <v>54503</v>
      </c>
      <c r="B119" s="314" t="s">
        <v>1088</v>
      </c>
      <c r="C119" s="313"/>
      <c r="D119" s="3" t="s">
        <v>42</v>
      </c>
      <c r="E119" s="3" t="s">
        <v>29</v>
      </c>
      <c r="F119" s="3" t="s">
        <v>106</v>
      </c>
      <c r="G119" s="17"/>
      <c r="H119" s="51">
        <f>1500</f>
        <v>1500</v>
      </c>
      <c r="I119" s="17">
        <f t="shared" si="2"/>
        <v>1500</v>
      </c>
      <c r="J119" s="35">
        <v>3000</v>
      </c>
      <c r="K119" s="29"/>
    </row>
    <row r="120" spans="1:11" ht="22.5" customHeight="1">
      <c r="A120" s="4">
        <v>55603</v>
      </c>
      <c r="B120" s="2" t="s">
        <v>6</v>
      </c>
      <c r="C120" s="2"/>
      <c r="D120" s="3" t="s">
        <v>42</v>
      </c>
      <c r="E120" s="3" t="s">
        <v>29</v>
      </c>
      <c r="F120" s="3" t="s">
        <v>106</v>
      </c>
      <c r="G120" s="17">
        <f>'ABRIL-18'!I117</f>
        <v>500</v>
      </c>
      <c r="H120" s="51">
        <f>1.3+15.82</f>
        <v>17.12</v>
      </c>
      <c r="I120" s="17">
        <f t="shared" si="2"/>
        <v>482.88</v>
      </c>
      <c r="J120" s="35"/>
      <c r="K120" s="29"/>
    </row>
    <row r="121" spans="1:11" ht="24.75" customHeight="1">
      <c r="A121" s="4">
        <v>55799</v>
      </c>
      <c r="B121" s="5" t="s">
        <v>137</v>
      </c>
      <c r="C121" s="2"/>
      <c r="D121" s="3" t="s">
        <v>42</v>
      </c>
      <c r="E121" s="3" t="s">
        <v>29</v>
      </c>
      <c r="F121" s="3" t="s">
        <v>106</v>
      </c>
      <c r="G121" s="17">
        <f>'ABRIL-18'!I118</f>
        <v>865.75</v>
      </c>
      <c r="H121" s="51">
        <f>180+298.8</f>
        <v>478.8</v>
      </c>
      <c r="I121" s="17">
        <f t="shared" si="2"/>
        <v>386.95</v>
      </c>
      <c r="J121" s="35"/>
      <c r="K121" s="29"/>
    </row>
    <row r="122" spans="1:11" ht="16.5" customHeight="1">
      <c r="A122" s="4" t="s">
        <v>110</v>
      </c>
      <c r="B122" s="5" t="s">
        <v>111</v>
      </c>
      <c r="C122" s="2"/>
      <c r="D122" s="3" t="s">
        <v>42</v>
      </c>
      <c r="E122" s="3" t="s">
        <v>29</v>
      </c>
      <c r="F122" s="3" t="s">
        <v>106</v>
      </c>
      <c r="G122" s="17">
        <f>'ABRIL-18'!I119</f>
        <v>6000</v>
      </c>
      <c r="H122" s="372">
        <v>600</v>
      </c>
      <c r="I122" s="17">
        <f t="shared" si="2"/>
        <v>5400</v>
      </c>
      <c r="J122" s="35"/>
      <c r="K122" s="35"/>
    </row>
    <row r="123" spans="1:11" ht="15.75" customHeight="1">
      <c r="A123" s="4" t="s">
        <v>112</v>
      </c>
      <c r="B123" s="5" t="s">
        <v>113</v>
      </c>
      <c r="C123" s="2"/>
      <c r="D123" s="3" t="s">
        <v>42</v>
      </c>
      <c r="E123" s="3" t="s">
        <v>29</v>
      </c>
      <c r="F123" s="3" t="s">
        <v>106</v>
      </c>
      <c r="G123" s="17">
        <f>'ABRIL-18'!I120</f>
        <v>1000</v>
      </c>
      <c r="H123" s="51"/>
      <c r="I123" s="17">
        <f t="shared" si="2"/>
        <v>1000</v>
      </c>
      <c r="J123" s="35"/>
      <c r="K123" s="35"/>
    </row>
    <row r="124" spans="1:11" ht="27">
      <c r="A124" s="4">
        <v>56301</v>
      </c>
      <c r="B124" s="5" t="s">
        <v>114</v>
      </c>
      <c r="C124" s="2"/>
      <c r="D124" s="3" t="s">
        <v>42</v>
      </c>
      <c r="E124" s="3" t="s">
        <v>29</v>
      </c>
      <c r="F124" s="3" t="s">
        <v>106</v>
      </c>
      <c r="G124" s="17">
        <f>'ABRIL-18'!I121</f>
        <v>2000</v>
      </c>
      <c r="H124" s="51"/>
      <c r="I124" s="17">
        <f t="shared" si="2"/>
        <v>0</v>
      </c>
      <c r="J124" s="35"/>
      <c r="K124" s="35">
        <v>2000</v>
      </c>
    </row>
    <row r="125" spans="1:11" ht="39.75" customHeight="1">
      <c r="A125" s="4"/>
      <c r="B125" s="5" t="s">
        <v>179</v>
      </c>
      <c r="C125" s="2"/>
      <c r="D125" s="3" t="s">
        <v>42</v>
      </c>
      <c r="E125" s="3" t="s">
        <v>29</v>
      </c>
      <c r="F125" s="3" t="s">
        <v>30</v>
      </c>
      <c r="G125" s="17">
        <f>'ABRIL-18'!I122</f>
        <v>46027.37</v>
      </c>
      <c r="H125" s="51"/>
      <c r="I125" s="17">
        <f t="shared" si="2"/>
        <v>17027.370000000003</v>
      </c>
      <c r="J125" s="29"/>
      <c r="K125" s="30">
        <v>29000</v>
      </c>
    </row>
    <row r="126" spans="1:11" ht="21">
      <c r="A126" s="38" t="s">
        <v>8</v>
      </c>
      <c r="B126" s="39" t="s">
        <v>115</v>
      </c>
      <c r="C126" s="39"/>
      <c r="D126" s="39" t="s">
        <v>42</v>
      </c>
      <c r="E126" s="39" t="s">
        <v>29</v>
      </c>
      <c r="F126" s="39" t="s">
        <v>30</v>
      </c>
      <c r="G126" s="17">
        <f>SUM(G102:G125)</f>
        <v>139079.59</v>
      </c>
      <c r="H126" s="95">
        <f>SUM(H102:H125)</f>
        <v>22270.639999999999</v>
      </c>
      <c r="I126" s="40">
        <f>G126-H126+J126-K126</f>
        <v>116808.95000000001</v>
      </c>
      <c r="J126" s="107">
        <f>SUM(J102:J125)</f>
        <v>31000</v>
      </c>
      <c r="K126" s="107">
        <f>SUM(K102:K125)</f>
        <v>31000</v>
      </c>
    </row>
    <row r="127" spans="1:11">
      <c r="A127" s="4">
        <v>51101</v>
      </c>
      <c r="B127" s="2" t="s">
        <v>180</v>
      </c>
      <c r="C127" s="2"/>
      <c r="D127" s="3" t="s">
        <v>94</v>
      </c>
      <c r="E127" s="3" t="s">
        <v>29</v>
      </c>
      <c r="F127" s="3" t="s">
        <v>106</v>
      </c>
      <c r="G127" s="17">
        <f>'ABRIL-18'!I124</f>
        <v>61627.60000000002</v>
      </c>
      <c r="H127" s="51">
        <f>5646.96</f>
        <v>5646.96</v>
      </c>
      <c r="I127" s="17">
        <f t="shared" si="2"/>
        <v>55980.640000000021</v>
      </c>
      <c r="J127" s="30"/>
      <c r="K127" s="35"/>
    </row>
    <row r="128" spans="1:11">
      <c r="A128" s="4">
        <v>51103</v>
      </c>
      <c r="B128" s="2" t="s">
        <v>181</v>
      </c>
      <c r="C128" s="2"/>
      <c r="D128" s="3" t="s">
        <v>94</v>
      </c>
      <c r="E128" s="3" t="s">
        <v>29</v>
      </c>
      <c r="F128" s="3" t="s">
        <v>106</v>
      </c>
      <c r="G128" s="17">
        <f>'ABRIL-18'!I125</f>
        <v>5128.9799999999996</v>
      </c>
      <c r="H128" s="51"/>
      <c r="I128" s="17">
        <f t="shared" si="2"/>
        <v>5128.9799999999996</v>
      </c>
      <c r="J128" s="30"/>
      <c r="K128" s="29"/>
    </row>
    <row r="129" spans="1:11">
      <c r="A129" s="4">
        <v>51201</v>
      </c>
      <c r="B129" s="2" t="s">
        <v>44</v>
      </c>
      <c r="C129" s="2"/>
      <c r="D129" s="3" t="s">
        <v>94</v>
      </c>
      <c r="E129" s="3" t="s">
        <v>29</v>
      </c>
      <c r="F129" s="3" t="s">
        <v>30</v>
      </c>
      <c r="G129" s="17">
        <f>'ABRIL-18'!I126</f>
        <v>1000</v>
      </c>
      <c r="H129" s="51"/>
      <c r="I129" s="17">
        <f t="shared" si="2"/>
        <v>1000</v>
      </c>
      <c r="J129" s="30"/>
      <c r="K129" s="29"/>
    </row>
    <row r="130" spans="1:11">
      <c r="A130" s="4">
        <v>51301</v>
      </c>
      <c r="B130" s="2" t="s">
        <v>45</v>
      </c>
      <c r="C130" s="2"/>
      <c r="D130" s="3" t="s">
        <v>94</v>
      </c>
      <c r="E130" s="3" t="s">
        <v>29</v>
      </c>
      <c r="F130" s="3" t="s">
        <v>30</v>
      </c>
      <c r="G130" s="17">
        <f>'ABRIL-18'!I127</f>
        <v>2031.4300000000003</v>
      </c>
      <c r="H130" s="51"/>
      <c r="I130" s="17">
        <f t="shared" si="2"/>
        <v>2031.4300000000003</v>
      </c>
      <c r="J130" s="30"/>
      <c r="K130" s="29"/>
    </row>
    <row r="131" spans="1:11">
      <c r="A131" s="4">
        <v>51999</v>
      </c>
      <c r="B131" s="2" t="s">
        <v>47</v>
      </c>
      <c r="C131" s="2"/>
      <c r="D131" s="3" t="s">
        <v>94</v>
      </c>
      <c r="E131" s="3" t="s">
        <v>29</v>
      </c>
      <c r="F131" s="3" t="s">
        <v>30</v>
      </c>
      <c r="G131" s="17">
        <f>'ABRIL-18'!I128</f>
        <v>450</v>
      </c>
      <c r="H131" s="51"/>
      <c r="I131" s="17">
        <f t="shared" si="2"/>
        <v>450</v>
      </c>
      <c r="J131" s="30"/>
      <c r="K131" s="29"/>
    </row>
    <row r="132" spans="1:11" ht="25.5">
      <c r="A132" s="4">
        <v>51401</v>
      </c>
      <c r="B132" s="5" t="s">
        <v>138</v>
      </c>
      <c r="C132" s="2"/>
      <c r="D132" s="3" t="s">
        <v>94</v>
      </c>
      <c r="E132" s="3" t="s">
        <v>29</v>
      </c>
      <c r="F132" s="3" t="s">
        <v>106</v>
      </c>
      <c r="G132" s="17">
        <f>'ABRIL-18'!I129</f>
        <v>1474.2099999999996</v>
      </c>
      <c r="H132" s="51">
        <f>391.88</f>
        <v>391.88</v>
      </c>
      <c r="I132" s="17">
        <f t="shared" si="2"/>
        <v>1082.3299999999995</v>
      </c>
      <c r="J132" s="35"/>
      <c r="K132" s="34"/>
    </row>
    <row r="133" spans="1:11" ht="33" customHeight="1">
      <c r="A133" s="4">
        <v>51501</v>
      </c>
      <c r="B133" s="5" t="s">
        <v>182</v>
      </c>
      <c r="C133" s="2"/>
      <c r="D133" s="3" t="s">
        <v>94</v>
      </c>
      <c r="E133" s="3" t="s">
        <v>29</v>
      </c>
      <c r="F133" s="3" t="s">
        <v>30</v>
      </c>
      <c r="G133" s="17">
        <f>'ABRIL-18'!I130</f>
        <v>2146.06</v>
      </c>
      <c r="H133" s="51">
        <f>183.06+323.25</f>
        <v>506.31</v>
      </c>
      <c r="I133" s="17">
        <f t="shared" si="2"/>
        <v>1639.75</v>
      </c>
      <c r="J133" s="35"/>
      <c r="K133" s="27"/>
    </row>
    <row r="134" spans="1:11">
      <c r="A134" s="4">
        <v>54105</v>
      </c>
      <c r="B134" s="2" t="s">
        <v>116</v>
      </c>
      <c r="C134" s="2"/>
      <c r="D134" s="3" t="s">
        <v>94</v>
      </c>
      <c r="E134" s="3" t="s">
        <v>29</v>
      </c>
      <c r="F134" s="3" t="s">
        <v>30</v>
      </c>
      <c r="G134" s="17">
        <f>'ABRIL-18'!I131</f>
        <v>5000</v>
      </c>
      <c r="H134" s="51"/>
      <c r="I134" s="17">
        <f t="shared" si="2"/>
        <v>5000</v>
      </c>
      <c r="J134" s="30"/>
      <c r="K134" s="29"/>
    </row>
    <row r="135" spans="1:11">
      <c r="A135" s="4">
        <v>54114</v>
      </c>
      <c r="B135" s="2" t="s">
        <v>56</v>
      </c>
      <c r="C135" s="2"/>
      <c r="D135" s="3" t="s">
        <v>94</v>
      </c>
      <c r="E135" s="3" t="s">
        <v>29</v>
      </c>
      <c r="F135" s="3" t="s">
        <v>30</v>
      </c>
      <c r="G135" s="17">
        <f>'ABRIL-18'!I132</f>
        <v>3504.2</v>
      </c>
      <c r="H135" s="51"/>
      <c r="I135" s="17">
        <f t="shared" si="2"/>
        <v>3504.2</v>
      </c>
      <c r="J135" s="35"/>
      <c r="K135" s="35"/>
    </row>
    <row r="136" spans="1:11">
      <c r="A136" s="4">
        <v>54115</v>
      </c>
      <c r="B136" s="2" t="s">
        <v>57</v>
      </c>
      <c r="C136" s="2"/>
      <c r="D136" s="3" t="s">
        <v>94</v>
      </c>
      <c r="E136" s="3" t="s">
        <v>29</v>
      </c>
      <c r="F136" s="3" t="s">
        <v>30</v>
      </c>
      <c r="G136" s="17">
        <f>'ABRIL-18'!I133</f>
        <v>5360</v>
      </c>
      <c r="H136" s="51"/>
      <c r="I136" s="17">
        <f t="shared" si="2"/>
        <v>5360</v>
      </c>
      <c r="J136" s="29"/>
      <c r="K136" s="28"/>
    </row>
    <row r="137" spans="1:11" ht="21">
      <c r="A137" s="38" t="s">
        <v>8</v>
      </c>
      <c r="B137" s="39" t="s">
        <v>117</v>
      </c>
      <c r="C137" s="39"/>
      <c r="D137" s="39" t="s">
        <v>94</v>
      </c>
      <c r="E137" s="39" t="s">
        <v>29</v>
      </c>
      <c r="F137" s="39" t="s">
        <v>30</v>
      </c>
      <c r="G137" s="17">
        <f>SUM(G127:G136)</f>
        <v>87722.48000000001</v>
      </c>
      <c r="H137" s="95">
        <f>SUM(H127:H136)</f>
        <v>6545.1500000000005</v>
      </c>
      <c r="I137" s="40">
        <f>G137-H137+J137-K137</f>
        <v>81177.330000000016</v>
      </c>
      <c r="J137" s="40"/>
      <c r="K137" s="40"/>
    </row>
    <row r="138" spans="1:11">
      <c r="A138" s="4">
        <v>51101</v>
      </c>
      <c r="B138" s="2" t="s">
        <v>183</v>
      </c>
      <c r="C138" s="2"/>
      <c r="D138" s="3" t="s">
        <v>97</v>
      </c>
      <c r="E138" s="3" t="s">
        <v>29</v>
      </c>
      <c r="F138" s="3" t="s">
        <v>106</v>
      </c>
      <c r="G138" s="17">
        <f>'ABRIL-18'!I135</f>
        <v>160598.34000000003</v>
      </c>
      <c r="H138" s="51">
        <f>16304.08</f>
        <v>16304.08</v>
      </c>
      <c r="I138" s="17">
        <f t="shared" si="2"/>
        <v>144294.26000000004</v>
      </c>
      <c r="J138" s="30"/>
      <c r="K138" s="35"/>
    </row>
    <row r="139" spans="1:11">
      <c r="A139" s="4">
        <v>51103</v>
      </c>
      <c r="B139" s="2" t="s">
        <v>118</v>
      </c>
      <c r="C139" s="2"/>
      <c r="D139" s="3" t="s">
        <v>97</v>
      </c>
      <c r="E139" s="3" t="s">
        <v>29</v>
      </c>
      <c r="F139" s="3" t="s">
        <v>106</v>
      </c>
      <c r="G139" s="17">
        <f>'ABRIL-18'!I136</f>
        <v>19385.310000000001</v>
      </c>
      <c r="H139" s="51"/>
      <c r="I139" s="248">
        <f>G139-H139+J139-K139</f>
        <v>19385.310000000001</v>
      </c>
      <c r="J139" s="30"/>
      <c r="K139" s="30"/>
    </row>
    <row r="140" spans="1:11">
      <c r="A140" s="4">
        <v>51107</v>
      </c>
      <c r="B140" s="2" t="s">
        <v>184</v>
      </c>
      <c r="C140" s="2"/>
      <c r="D140" s="3" t="s">
        <v>97</v>
      </c>
      <c r="E140" s="3" t="s">
        <v>29</v>
      </c>
      <c r="F140" s="3" t="s">
        <v>30</v>
      </c>
      <c r="G140" s="17">
        <f>'ABRIL-18'!I137</f>
        <v>1785.5</v>
      </c>
      <c r="H140" s="51"/>
      <c r="I140" s="17">
        <f t="shared" si="2"/>
        <v>1785.5</v>
      </c>
      <c r="J140" s="30"/>
      <c r="K140" s="27"/>
    </row>
    <row r="141" spans="1:11">
      <c r="A141" s="4">
        <v>51201</v>
      </c>
      <c r="B141" s="2" t="s">
        <v>119</v>
      </c>
      <c r="C141" s="2"/>
      <c r="D141" s="3" t="s">
        <v>97</v>
      </c>
      <c r="E141" s="3" t="s">
        <v>29</v>
      </c>
      <c r="F141" s="3" t="s">
        <v>30</v>
      </c>
      <c r="G141" s="17">
        <f>'ABRIL-18'!I138</f>
        <v>1516.67</v>
      </c>
      <c r="H141" s="51"/>
      <c r="I141" s="17">
        <f t="shared" si="2"/>
        <v>1516.67</v>
      </c>
      <c r="J141" s="30"/>
      <c r="K141" s="277"/>
    </row>
    <row r="142" spans="1:11">
      <c r="A142" s="4">
        <v>51301</v>
      </c>
      <c r="B142" s="2" t="s">
        <v>45</v>
      </c>
      <c r="C142" s="2"/>
      <c r="D142" s="3" t="s">
        <v>97</v>
      </c>
      <c r="E142" s="3" t="s">
        <v>29</v>
      </c>
      <c r="F142" s="3" t="s">
        <v>106</v>
      </c>
      <c r="G142" s="17">
        <f>'ABRIL-18'!I139</f>
        <v>595.92999999999893</v>
      </c>
      <c r="H142" s="51"/>
      <c r="I142" s="17">
        <f t="shared" si="2"/>
        <v>595.92999999999893</v>
      </c>
      <c r="J142" s="20"/>
      <c r="K142" s="35"/>
    </row>
    <row r="143" spans="1:11" ht="34.5" customHeight="1">
      <c r="A143" s="4">
        <v>51401</v>
      </c>
      <c r="B143" s="5" t="s">
        <v>139</v>
      </c>
      <c r="C143" s="2"/>
      <c r="D143" s="3" t="s">
        <v>97</v>
      </c>
      <c r="E143" s="3" t="s">
        <v>29</v>
      </c>
      <c r="F143" s="3" t="s">
        <v>106</v>
      </c>
      <c r="G143" s="17">
        <f>'ABRIL-18'!I140</f>
        <v>5339.8600000000006</v>
      </c>
      <c r="H143" s="51">
        <f>1385.86</f>
        <v>1385.86</v>
      </c>
      <c r="I143" s="17">
        <f t="shared" si="2"/>
        <v>3954.0000000000009</v>
      </c>
      <c r="J143" s="35"/>
      <c r="K143" s="35"/>
    </row>
    <row r="144" spans="1:11" ht="45" customHeight="1">
      <c r="A144" s="4">
        <v>51501</v>
      </c>
      <c r="B144" s="5" t="s">
        <v>185</v>
      </c>
      <c r="C144" s="2"/>
      <c r="D144" s="3" t="s">
        <v>97</v>
      </c>
      <c r="E144" s="3" t="s">
        <v>29</v>
      </c>
      <c r="F144" s="3" t="s">
        <v>106</v>
      </c>
      <c r="G144" s="17">
        <f>'ABRIL-18'!I141</f>
        <v>6303.73</v>
      </c>
      <c r="H144" s="51">
        <f>484.24+792.35</f>
        <v>1276.5900000000001</v>
      </c>
      <c r="I144" s="17">
        <f t="shared" si="2"/>
        <v>5027.1399999999994</v>
      </c>
      <c r="J144" s="35"/>
      <c r="K144" s="35"/>
    </row>
    <row r="145" spans="1:11" ht="20.25" customHeight="1">
      <c r="A145" s="4">
        <v>54110</v>
      </c>
      <c r="B145" s="5" t="s">
        <v>108</v>
      </c>
      <c r="C145" s="2"/>
      <c r="D145" s="3" t="s">
        <v>97</v>
      </c>
      <c r="E145" s="3" t="s">
        <v>29</v>
      </c>
      <c r="F145" s="3" t="s">
        <v>106</v>
      </c>
      <c r="G145" s="17">
        <f>'ABRIL-18'!I142</f>
        <v>1</v>
      </c>
      <c r="H145" s="51"/>
      <c r="I145" s="17">
        <f t="shared" si="2"/>
        <v>1</v>
      </c>
      <c r="J145" s="35"/>
      <c r="K145" s="35"/>
    </row>
    <row r="146" spans="1:11">
      <c r="A146" s="4">
        <v>54121</v>
      </c>
      <c r="B146" s="2" t="s">
        <v>120</v>
      </c>
      <c r="C146" s="2"/>
      <c r="D146" s="3" t="s">
        <v>97</v>
      </c>
      <c r="E146" s="3" t="s">
        <v>29</v>
      </c>
      <c r="F146" s="3" t="s">
        <v>106</v>
      </c>
      <c r="G146" s="17">
        <f>'ABRIL-18'!I143</f>
        <v>857</v>
      </c>
      <c r="H146" s="51"/>
      <c r="I146" s="17">
        <f t="shared" si="2"/>
        <v>857</v>
      </c>
      <c r="J146" s="35"/>
      <c r="K146" s="29"/>
    </row>
    <row r="147" spans="1:11">
      <c r="A147" s="4">
        <v>54301</v>
      </c>
      <c r="B147" s="2" t="s">
        <v>140</v>
      </c>
      <c r="C147" s="2"/>
      <c r="D147" s="3" t="s">
        <v>97</v>
      </c>
      <c r="E147" s="3" t="s">
        <v>29</v>
      </c>
      <c r="F147" s="3" t="s">
        <v>106</v>
      </c>
      <c r="G147" s="17">
        <f>'ABRIL-18'!I144</f>
        <v>1</v>
      </c>
      <c r="H147" s="51"/>
      <c r="I147" s="17">
        <f t="shared" si="2"/>
        <v>1</v>
      </c>
      <c r="J147" s="35"/>
      <c r="K147" s="29"/>
    </row>
    <row r="148" spans="1:11">
      <c r="A148" s="4">
        <v>54302</v>
      </c>
      <c r="B148" s="2" t="s">
        <v>121</v>
      </c>
      <c r="C148" s="2"/>
      <c r="D148" s="3" t="s">
        <v>122</v>
      </c>
      <c r="E148" s="3" t="s">
        <v>29</v>
      </c>
      <c r="F148" s="3" t="s">
        <v>30</v>
      </c>
      <c r="G148" s="17">
        <f>'ABRIL-18'!I145</f>
        <v>1</v>
      </c>
      <c r="H148" s="51"/>
      <c r="I148" s="17">
        <f t="shared" si="2"/>
        <v>1</v>
      </c>
      <c r="J148" s="35"/>
      <c r="K148" s="29"/>
    </row>
    <row r="149" spans="1:11" ht="45">
      <c r="A149" s="4">
        <v>54501</v>
      </c>
      <c r="B149" s="7" t="s">
        <v>1055</v>
      </c>
      <c r="C149" s="2"/>
      <c r="D149" s="3" t="s">
        <v>122</v>
      </c>
      <c r="E149" s="3" t="s">
        <v>29</v>
      </c>
      <c r="F149" s="3" t="s">
        <v>30</v>
      </c>
      <c r="G149" s="17">
        <f>'ABRIL-18'!I146</f>
        <v>25</v>
      </c>
      <c r="H149" s="51"/>
      <c r="I149" s="17">
        <f>G149-H149+J149-K149</f>
        <v>25</v>
      </c>
      <c r="J149" s="22"/>
      <c r="K149" s="29"/>
    </row>
    <row r="150" spans="1:11" ht="21">
      <c r="A150" s="38" t="s">
        <v>8</v>
      </c>
      <c r="B150" s="39" t="s">
        <v>123</v>
      </c>
      <c r="C150" s="39"/>
      <c r="D150" s="39" t="s">
        <v>97</v>
      </c>
      <c r="E150" s="39" t="s">
        <v>29</v>
      </c>
      <c r="F150" s="39" t="s">
        <v>30</v>
      </c>
      <c r="G150" s="17">
        <f>SUM(G138:G149)</f>
        <v>196410.34000000005</v>
      </c>
      <c r="H150" s="95">
        <f>SUM(H138:H149)</f>
        <v>18966.53</v>
      </c>
      <c r="I150" s="40">
        <f>G150-H150+J150-K150</f>
        <v>177443.81000000006</v>
      </c>
      <c r="J150" s="40">
        <f>SUM(J141:J149)</f>
        <v>0</v>
      </c>
      <c r="K150" s="40">
        <f>SUM(K141:K149)</f>
        <v>0</v>
      </c>
    </row>
    <row r="151" spans="1:11">
      <c r="A151" s="1">
        <v>54305</v>
      </c>
      <c r="B151" s="2" t="s">
        <v>0</v>
      </c>
      <c r="C151" s="2"/>
      <c r="D151" s="3" t="s">
        <v>1</v>
      </c>
      <c r="E151" s="3" t="s">
        <v>25</v>
      </c>
      <c r="F151" s="3" t="s">
        <v>26</v>
      </c>
      <c r="G151" s="17">
        <f>'ABRIL-18'!I148</f>
        <v>1500</v>
      </c>
      <c r="H151" s="51"/>
      <c r="I151" s="17">
        <f t="shared" ref="I151:I275" si="3">G151-H151+J151-K151</f>
        <v>1500</v>
      </c>
      <c r="J151" s="37"/>
      <c r="K151" s="36"/>
    </row>
    <row r="152" spans="1:11" ht="30.75" customHeight="1">
      <c r="A152" s="4">
        <v>54313</v>
      </c>
      <c r="B152" s="5" t="s">
        <v>2</v>
      </c>
      <c r="C152" s="5"/>
      <c r="D152" s="3" t="s">
        <v>1</v>
      </c>
      <c r="E152" s="3" t="s">
        <v>25</v>
      </c>
      <c r="F152" s="3" t="s">
        <v>26</v>
      </c>
      <c r="G152" s="17">
        <f>'ABRIL-18'!I149</f>
        <v>1246.32</v>
      </c>
      <c r="H152" s="51"/>
      <c r="I152" s="17">
        <f t="shared" si="3"/>
        <v>1246.32</v>
      </c>
      <c r="J152" s="37"/>
      <c r="K152" s="36"/>
    </row>
    <row r="153" spans="1:11">
      <c r="A153" s="4">
        <v>54503</v>
      </c>
      <c r="B153" s="5" t="s">
        <v>3</v>
      </c>
      <c r="C153" s="2"/>
      <c r="D153" s="3" t="s">
        <v>1</v>
      </c>
      <c r="E153" s="3" t="s">
        <v>25</v>
      </c>
      <c r="F153" s="3" t="s">
        <v>26</v>
      </c>
      <c r="G153" s="17">
        <f>'ABRIL-18'!I150</f>
        <v>2000</v>
      </c>
      <c r="H153" s="51"/>
      <c r="I153" s="17">
        <f t="shared" si="3"/>
        <v>2000</v>
      </c>
      <c r="J153" s="37"/>
      <c r="K153" s="36"/>
    </row>
    <row r="154" spans="1:11">
      <c r="A154" s="4">
        <v>54505</v>
      </c>
      <c r="B154" s="2" t="s">
        <v>4</v>
      </c>
      <c r="C154" s="2"/>
      <c r="D154" s="3" t="s">
        <v>1</v>
      </c>
      <c r="E154" s="3" t="s">
        <v>25</v>
      </c>
      <c r="F154" s="3" t="s">
        <v>27</v>
      </c>
      <c r="G154" s="17">
        <f>'ABRIL-18'!I151</f>
        <v>2000</v>
      </c>
      <c r="H154" s="51"/>
      <c r="I154" s="17">
        <f t="shared" si="3"/>
        <v>2000</v>
      </c>
      <c r="J154" s="37"/>
      <c r="K154" s="36"/>
    </row>
    <row r="155" spans="1:11" ht="30">
      <c r="A155" s="11">
        <v>54599</v>
      </c>
      <c r="B155" s="54" t="s">
        <v>5</v>
      </c>
      <c r="C155" s="68"/>
      <c r="D155" s="14" t="s">
        <v>1</v>
      </c>
      <c r="E155" s="14" t="s">
        <v>25</v>
      </c>
      <c r="F155" s="14" t="s">
        <v>27</v>
      </c>
      <c r="G155" s="17">
        <f>'ABRIL-18'!I152</f>
        <v>367.60999999999967</v>
      </c>
      <c r="H155" s="51"/>
      <c r="I155" s="17">
        <f t="shared" si="3"/>
        <v>367.60999999999967</v>
      </c>
      <c r="J155" s="62"/>
      <c r="K155" s="63"/>
    </row>
    <row r="156" spans="1:11">
      <c r="A156" s="11">
        <v>55603</v>
      </c>
      <c r="B156" s="54" t="s">
        <v>6</v>
      </c>
      <c r="C156" s="55"/>
      <c r="D156" s="14" t="s">
        <v>1</v>
      </c>
      <c r="E156" s="14" t="s">
        <v>25</v>
      </c>
      <c r="F156" s="14" t="s">
        <v>26</v>
      </c>
      <c r="G156" s="17">
        <f>'ABRIL-18'!I153</f>
        <v>98.7</v>
      </c>
      <c r="H156" s="51"/>
      <c r="I156" s="17">
        <f t="shared" si="3"/>
        <v>98.7</v>
      </c>
      <c r="J156" s="64"/>
      <c r="K156" s="65"/>
    </row>
    <row r="157" spans="1:11" ht="26.25">
      <c r="A157" s="4">
        <v>61599</v>
      </c>
      <c r="B157" s="5" t="s">
        <v>7</v>
      </c>
      <c r="C157" s="5"/>
      <c r="D157" s="3" t="s">
        <v>1</v>
      </c>
      <c r="E157" s="3" t="s">
        <v>25</v>
      </c>
      <c r="F157" s="3" t="s">
        <v>26</v>
      </c>
      <c r="G157" s="17">
        <f>'ABRIL-18'!I154</f>
        <v>1333.34</v>
      </c>
      <c r="H157" s="51"/>
      <c r="I157" s="17">
        <f t="shared" si="3"/>
        <v>1333.34</v>
      </c>
      <c r="J157" s="37"/>
      <c r="K157" s="36"/>
    </row>
    <row r="158" spans="1:11" ht="21">
      <c r="A158" s="38" t="s">
        <v>8</v>
      </c>
      <c r="B158" s="39" t="s">
        <v>9</v>
      </c>
      <c r="C158" s="39"/>
      <c r="D158" s="39" t="s">
        <v>1</v>
      </c>
      <c r="E158" s="39" t="s">
        <v>25</v>
      </c>
      <c r="F158" s="39" t="s">
        <v>27</v>
      </c>
      <c r="G158" s="17">
        <f>'ABRIL-18'!I155</f>
        <v>8545.9699999999993</v>
      </c>
      <c r="H158" s="95">
        <f>SUM(H151:H157)</f>
        <v>0</v>
      </c>
      <c r="I158" s="40">
        <f>G158-H158+J158-K158</f>
        <v>8545.9699999999993</v>
      </c>
      <c r="J158" s="40"/>
      <c r="K158" s="40"/>
    </row>
    <row r="159" spans="1:11" ht="28.5" customHeight="1">
      <c r="A159" s="4">
        <v>54104</v>
      </c>
      <c r="B159" s="7" t="s">
        <v>186</v>
      </c>
      <c r="C159" s="6"/>
      <c r="D159" s="3" t="s">
        <v>11</v>
      </c>
      <c r="E159" s="3" t="s">
        <v>25</v>
      </c>
      <c r="F159" s="3" t="s">
        <v>26</v>
      </c>
      <c r="G159" s="17">
        <f>'ABRIL-18'!I156</f>
        <v>3000</v>
      </c>
      <c r="H159" s="51"/>
      <c r="I159" s="17">
        <f t="shared" si="3"/>
        <v>3000</v>
      </c>
      <c r="J159" s="37"/>
      <c r="K159" s="36"/>
    </row>
    <row r="160" spans="1:11" ht="44.25" customHeight="1">
      <c r="A160" s="4">
        <v>54117</v>
      </c>
      <c r="B160" s="7" t="s">
        <v>187</v>
      </c>
      <c r="C160" s="6"/>
      <c r="D160" s="3" t="s">
        <v>11</v>
      </c>
      <c r="E160" s="3" t="s">
        <v>25</v>
      </c>
      <c r="F160" s="3" t="s">
        <v>26</v>
      </c>
      <c r="G160" s="17">
        <f>'ABRIL-18'!I157</f>
        <v>1500</v>
      </c>
      <c r="H160" s="51"/>
      <c r="I160" s="17">
        <f t="shared" si="3"/>
        <v>1500</v>
      </c>
      <c r="J160" s="37"/>
      <c r="K160" s="36"/>
    </row>
    <row r="161" spans="1:11" ht="30.75" customHeight="1">
      <c r="A161" s="4">
        <v>55603</v>
      </c>
      <c r="B161" s="5" t="s">
        <v>13</v>
      </c>
      <c r="C161" s="6"/>
      <c r="D161" s="3" t="s">
        <v>11</v>
      </c>
      <c r="E161" s="3" t="s">
        <v>25</v>
      </c>
      <c r="F161" s="3" t="s">
        <v>26</v>
      </c>
      <c r="G161" s="17">
        <f>'ABRIL-18'!I158</f>
        <v>994.80000000000007</v>
      </c>
      <c r="H161" s="370">
        <f>1.3+1.3+2.26</f>
        <v>4.8599999999999994</v>
      </c>
      <c r="I161" s="17">
        <f t="shared" si="3"/>
        <v>989.94</v>
      </c>
      <c r="J161" s="37"/>
      <c r="K161" s="36"/>
    </row>
    <row r="162" spans="1:11" ht="30.75" customHeight="1">
      <c r="A162" s="66" t="s">
        <v>14</v>
      </c>
      <c r="B162" s="67" t="s">
        <v>188</v>
      </c>
      <c r="C162" s="55"/>
      <c r="D162" s="14" t="s">
        <v>11</v>
      </c>
      <c r="E162" s="14" t="s">
        <v>25</v>
      </c>
      <c r="F162" s="50" t="s">
        <v>26</v>
      </c>
      <c r="G162" s="17">
        <f>'ABRIL-18'!I159</f>
        <v>9500</v>
      </c>
      <c r="H162" s="51"/>
      <c r="I162" s="50">
        <f t="shared" si="3"/>
        <v>9500</v>
      </c>
      <c r="J162" s="65"/>
      <c r="K162" s="54"/>
    </row>
    <row r="163" spans="1:11" ht="36.75" customHeight="1">
      <c r="A163" s="11">
        <v>61104</v>
      </c>
      <c r="B163" s="54" t="s">
        <v>189</v>
      </c>
      <c r="C163" s="55"/>
      <c r="D163" s="14" t="s">
        <v>11</v>
      </c>
      <c r="E163" s="14" t="s">
        <v>25</v>
      </c>
      <c r="F163" s="14" t="s">
        <v>27</v>
      </c>
      <c r="G163" s="17">
        <f>'ABRIL-18'!I160</f>
        <v>9989.25</v>
      </c>
      <c r="H163" s="51">
        <f>316.4+1185+25</f>
        <v>1526.4</v>
      </c>
      <c r="I163" s="17">
        <f t="shared" si="3"/>
        <v>3473.8500000000004</v>
      </c>
      <c r="J163" s="62"/>
      <c r="K163" s="320">
        <v>4989</v>
      </c>
    </row>
    <row r="164" spans="1:11" ht="31.5" customHeight="1">
      <c r="A164" s="11">
        <v>61109</v>
      </c>
      <c r="B164" s="54" t="s">
        <v>190</v>
      </c>
      <c r="C164" s="55"/>
      <c r="D164" s="14" t="s">
        <v>11</v>
      </c>
      <c r="E164" s="14" t="s">
        <v>25</v>
      </c>
      <c r="F164" s="14" t="s">
        <v>26</v>
      </c>
      <c r="G164" s="17">
        <f>'ABRIL-18'!I161</f>
        <v>10000</v>
      </c>
      <c r="H164" s="51"/>
      <c r="I164" s="17">
        <f t="shared" si="3"/>
        <v>2000</v>
      </c>
      <c r="J164" s="62"/>
      <c r="K164" s="320">
        <v>8000</v>
      </c>
    </row>
    <row r="165" spans="1:11" ht="30.75" customHeight="1">
      <c r="A165" s="11" t="s">
        <v>160</v>
      </c>
      <c r="B165" s="54" t="s">
        <v>194</v>
      </c>
      <c r="C165" s="55"/>
      <c r="D165" s="14" t="s">
        <v>11</v>
      </c>
      <c r="E165" s="14" t="s">
        <v>25</v>
      </c>
      <c r="F165" s="14" t="s">
        <v>26</v>
      </c>
      <c r="G165" s="17">
        <f>'ABRIL-18'!I162</f>
        <v>0</v>
      </c>
      <c r="H165" s="51"/>
      <c r="I165" s="17">
        <f t="shared" si="3"/>
        <v>0</v>
      </c>
      <c r="J165" s="62"/>
      <c r="K165" s="63"/>
    </row>
    <row r="166" spans="1:11" ht="27.75" customHeight="1">
      <c r="A166" s="11" t="s">
        <v>191</v>
      </c>
      <c r="B166" s="54" t="s">
        <v>195</v>
      </c>
      <c r="C166" s="55"/>
      <c r="D166" s="14" t="s">
        <v>11</v>
      </c>
      <c r="E166" s="14" t="s">
        <v>25</v>
      </c>
      <c r="F166" s="14" t="s">
        <v>26</v>
      </c>
      <c r="G166" s="17">
        <f>'ABRIL-18'!I163</f>
        <v>15000</v>
      </c>
      <c r="H166" s="51"/>
      <c r="I166" s="17">
        <f t="shared" si="3"/>
        <v>15000</v>
      </c>
      <c r="J166" s="64"/>
      <c r="K166" s="65"/>
    </row>
    <row r="167" spans="1:11" ht="31.5" customHeight="1">
      <c r="A167" s="11" t="s">
        <v>192</v>
      </c>
      <c r="B167" s="53" t="s">
        <v>196</v>
      </c>
      <c r="C167" s="8"/>
      <c r="D167" s="3" t="s">
        <v>11</v>
      </c>
      <c r="E167" s="3" t="s">
        <v>25</v>
      </c>
      <c r="F167" s="3" t="s">
        <v>26</v>
      </c>
      <c r="G167" s="17">
        <f>'ABRIL-18'!I164</f>
        <v>10000</v>
      </c>
      <c r="H167" s="51"/>
      <c r="I167" s="17">
        <f t="shared" si="3"/>
        <v>10000</v>
      </c>
      <c r="J167" s="45"/>
      <c r="K167" s="46"/>
    </row>
    <row r="168" spans="1:11" ht="45" customHeight="1">
      <c r="A168" s="11" t="s">
        <v>193</v>
      </c>
      <c r="B168" s="53" t="s">
        <v>197</v>
      </c>
      <c r="C168" s="8"/>
      <c r="D168" s="3" t="s">
        <v>11</v>
      </c>
      <c r="E168" s="3" t="s">
        <v>25</v>
      </c>
      <c r="F168" s="3" t="s">
        <v>26</v>
      </c>
      <c r="G168" s="17">
        <f>'ABRIL-18'!I165</f>
        <v>10000</v>
      </c>
      <c r="H168" s="51"/>
      <c r="I168" s="17">
        <f t="shared" si="3"/>
        <v>10000</v>
      </c>
      <c r="J168" s="45"/>
      <c r="K168" s="46"/>
    </row>
    <row r="169" spans="1:11" ht="42.75" customHeight="1">
      <c r="A169" s="11" t="s">
        <v>198</v>
      </c>
      <c r="B169" s="53" t="s">
        <v>1029</v>
      </c>
      <c r="C169" s="6"/>
      <c r="D169" s="3" t="s">
        <v>11</v>
      </c>
      <c r="E169" s="3" t="s">
        <v>25</v>
      </c>
      <c r="F169" s="3" t="s">
        <v>26</v>
      </c>
      <c r="G169" s="17">
        <f>'ABRIL-18'!I166</f>
        <v>14000</v>
      </c>
      <c r="H169" s="51"/>
      <c r="I169" s="17">
        <f t="shared" si="3"/>
        <v>14000</v>
      </c>
      <c r="J169" s="45"/>
      <c r="K169" s="46"/>
    </row>
    <row r="170" spans="1:11" ht="85.5">
      <c r="A170" s="144" t="s">
        <v>200</v>
      </c>
      <c r="B170" s="54" t="s">
        <v>202</v>
      </c>
      <c r="C170" s="343" t="s">
        <v>1096</v>
      </c>
      <c r="D170" s="14" t="s">
        <v>11</v>
      </c>
      <c r="E170" s="14" t="s">
        <v>25</v>
      </c>
      <c r="F170" s="14" t="s">
        <v>26</v>
      </c>
      <c r="G170" s="17">
        <f>'ABRIL-18'!I167</f>
        <v>0</v>
      </c>
      <c r="H170" s="51"/>
      <c r="I170" s="17">
        <f t="shared" si="3"/>
        <v>0</v>
      </c>
      <c r="J170" s="64"/>
      <c r="K170" s="261"/>
    </row>
    <row r="171" spans="1:11" ht="36.75" customHeight="1">
      <c r="A171" s="11" t="s">
        <v>556</v>
      </c>
      <c r="B171" s="145" t="s">
        <v>1030</v>
      </c>
      <c r="C171" s="55" t="s">
        <v>1097</v>
      </c>
      <c r="D171" s="14" t="s">
        <v>11</v>
      </c>
      <c r="E171" s="14" t="s">
        <v>25</v>
      </c>
      <c r="F171" s="14" t="s">
        <v>26</v>
      </c>
      <c r="G171" s="17">
        <f>'ABRIL-18'!I168</f>
        <v>2480.9999999999995</v>
      </c>
      <c r="H171" s="51">
        <v>200</v>
      </c>
      <c r="I171" s="17">
        <f t="shared" si="3"/>
        <v>2280.9999999999995</v>
      </c>
      <c r="J171" s="108"/>
      <c r="K171" s="65"/>
    </row>
    <row r="172" spans="1:11" ht="45.75" customHeight="1">
      <c r="A172" s="144" t="s">
        <v>1038</v>
      </c>
      <c r="B172" s="250" t="s">
        <v>1007</v>
      </c>
      <c r="C172" s="55" t="s">
        <v>1097</v>
      </c>
      <c r="D172" s="14" t="s">
        <v>11</v>
      </c>
      <c r="E172" s="14" t="s">
        <v>25</v>
      </c>
      <c r="F172" s="14" t="s">
        <v>26</v>
      </c>
      <c r="G172" s="17">
        <f>'ABRIL-18'!I169</f>
        <v>7995</v>
      </c>
      <c r="H172" s="51"/>
      <c r="I172" s="17">
        <f t="shared" si="3"/>
        <v>7995</v>
      </c>
      <c r="J172" s="108"/>
      <c r="K172" s="269"/>
    </row>
    <row r="173" spans="1:11" ht="45.75" customHeight="1">
      <c r="A173" s="144" t="s">
        <v>571</v>
      </c>
      <c r="B173" s="250" t="s">
        <v>1067</v>
      </c>
      <c r="C173" s="55" t="s">
        <v>1097</v>
      </c>
      <c r="D173" s="14" t="s">
        <v>11</v>
      </c>
      <c r="E173" s="14" t="s">
        <v>25</v>
      </c>
      <c r="F173" s="14" t="s">
        <v>26</v>
      </c>
      <c r="G173" s="17">
        <f>'ABRIL-18'!I170</f>
        <v>152.5</v>
      </c>
      <c r="H173" s="51"/>
      <c r="I173" s="17">
        <f t="shared" si="3"/>
        <v>152.5</v>
      </c>
      <c r="J173" s="108"/>
      <c r="K173" s="269"/>
    </row>
    <row r="174" spans="1:11" ht="45.75" customHeight="1">
      <c r="A174" s="144" t="s">
        <v>969</v>
      </c>
      <c r="B174" s="145" t="s">
        <v>1039</v>
      </c>
      <c r="C174" s="55" t="s">
        <v>1097</v>
      </c>
      <c r="D174" s="14" t="s">
        <v>11</v>
      </c>
      <c r="E174" s="14" t="s">
        <v>25</v>
      </c>
      <c r="F174" s="14" t="s">
        <v>26</v>
      </c>
      <c r="G174" s="17">
        <f>'ABRIL-18'!I171</f>
        <v>3.3</v>
      </c>
      <c r="H174" s="51">
        <v>1.3</v>
      </c>
      <c r="I174" s="17">
        <f t="shared" si="3"/>
        <v>1.9999999999999998</v>
      </c>
      <c r="J174" s="108"/>
      <c r="K174" s="65"/>
    </row>
    <row r="175" spans="1:11" ht="106.5">
      <c r="A175" s="144" t="s">
        <v>201</v>
      </c>
      <c r="B175" s="54" t="s">
        <v>204</v>
      </c>
      <c r="C175" s="343" t="s">
        <v>1098</v>
      </c>
      <c r="D175" s="14" t="s">
        <v>11</v>
      </c>
      <c r="E175" s="14" t="s">
        <v>25</v>
      </c>
      <c r="F175" s="14" t="s">
        <v>26</v>
      </c>
      <c r="G175" s="17">
        <f>'ABRIL-18'!I172</f>
        <v>0</v>
      </c>
      <c r="H175" s="51"/>
      <c r="I175" s="17">
        <f t="shared" si="3"/>
        <v>0</v>
      </c>
      <c r="J175" s="62"/>
      <c r="K175" s="63"/>
    </row>
    <row r="176" spans="1:11" ht="19.5" customHeight="1">
      <c r="A176" s="11" t="s">
        <v>203</v>
      </c>
      <c r="B176" s="145" t="s">
        <v>206</v>
      </c>
      <c r="C176" s="55" t="s">
        <v>1099</v>
      </c>
      <c r="D176" s="14" t="s">
        <v>11</v>
      </c>
      <c r="E176" s="14" t="s">
        <v>25</v>
      </c>
      <c r="F176" s="14" t="s">
        <v>26</v>
      </c>
      <c r="G176" s="17">
        <f>'ABRIL-18'!I173</f>
        <v>4125.6299999999992</v>
      </c>
      <c r="H176" s="51">
        <v>200</v>
      </c>
      <c r="I176" s="17">
        <f t="shared" si="3"/>
        <v>3925.6299999999992</v>
      </c>
      <c r="J176" s="64"/>
      <c r="K176" s="65"/>
    </row>
    <row r="177" spans="1:11" ht="36">
      <c r="A177" s="11" t="s">
        <v>1041</v>
      </c>
      <c r="B177" s="145" t="s">
        <v>1042</v>
      </c>
      <c r="C177" s="55" t="s">
        <v>1099</v>
      </c>
      <c r="D177" s="14" t="s">
        <v>11</v>
      </c>
      <c r="E177" s="14" t="s">
        <v>25</v>
      </c>
      <c r="F177" s="14" t="s">
        <v>26</v>
      </c>
      <c r="G177" s="17">
        <f>'ABRIL-18'!I174</f>
        <v>0</v>
      </c>
      <c r="H177" s="51"/>
      <c r="I177" s="17">
        <f t="shared" si="3"/>
        <v>0</v>
      </c>
      <c r="J177" s="108"/>
      <c r="K177" s="65"/>
    </row>
    <row r="178" spans="1:11" ht="20.25" customHeight="1">
      <c r="A178" s="11" t="s">
        <v>205</v>
      </c>
      <c r="B178" s="145" t="s">
        <v>207</v>
      </c>
      <c r="C178" s="55" t="s">
        <v>1099</v>
      </c>
      <c r="D178" s="14" t="s">
        <v>11</v>
      </c>
      <c r="E178" s="14" t="s">
        <v>25</v>
      </c>
      <c r="F178" s="14" t="s">
        <v>26</v>
      </c>
      <c r="G178" s="17">
        <f>'ABRIL-18'!I175</f>
        <v>200</v>
      </c>
      <c r="H178" s="51"/>
      <c r="I178" s="17">
        <f t="shared" si="3"/>
        <v>200</v>
      </c>
      <c r="J178" s="64"/>
      <c r="K178" s="65"/>
    </row>
    <row r="179" spans="1:11" ht="36">
      <c r="A179" s="11" t="s">
        <v>208</v>
      </c>
      <c r="B179" s="145" t="s">
        <v>209</v>
      </c>
      <c r="C179" s="55" t="s">
        <v>1099</v>
      </c>
      <c r="D179" s="14" t="s">
        <v>11</v>
      </c>
      <c r="E179" s="14" t="s">
        <v>25</v>
      </c>
      <c r="F179" s="14" t="s">
        <v>26</v>
      </c>
      <c r="G179" s="17">
        <f>'ABRIL-18'!I176</f>
        <v>26700</v>
      </c>
      <c r="H179" s="51"/>
      <c r="I179" s="17">
        <f t="shared" si="3"/>
        <v>26700</v>
      </c>
      <c r="J179" s="64"/>
      <c r="K179" s="269"/>
    </row>
    <row r="180" spans="1:11" ht="24">
      <c r="A180" s="11" t="s">
        <v>210</v>
      </c>
      <c r="B180" s="145" t="s">
        <v>211</v>
      </c>
      <c r="C180" s="55" t="s">
        <v>1099</v>
      </c>
      <c r="D180" s="14" t="s">
        <v>11</v>
      </c>
      <c r="E180" s="14" t="s">
        <v>25</v>
      </c>
      <c r="F180" s="14" t="s">
        <v>26</v>
      </c>
      <c r="G180" s="17">
        <f>'ABRIL-18'!I177</f>
        <v>10600</v>
      </c>
      <c r="H180" s="51"/>
      <c r="I180" s="17">
        <f t="shared" si="3"/>
        <v>10600</v>
      </c>
      <c r="J180" s="108"/>
      <c r="K180" s="65"/>
    </row>
    <row r="181" spans="1:11" ht="34.5" customHeight="1">
      <c r="A181" s="11" t="s">
        <v>212</v>
      </c>
      <c r="B181" s="145" t="s">
        <v>213</v>
      </c>
      <c r="C181" s="55" t="s">
        <v>1099</v>
      </c>
      <c r="D181" s="3" t="s">
        <v>11</v>
      </c>
      <c r="E181" s="3" t="s">
        <v>25</v>
      </c>
      <c r="F181" s="3" t="s">
        <v>26</v>
      </c>
      <c r="G181" s="17">
        <f>'ABRIL-18'!I178</f>
        <v>548.70000000000005</v>
      </c>
      <c r="H181" s="51"/>
      <c r="I181" s="17">
        <f t="shared" si="3"/>
        <v>548.70000000000005</v>
      </c>
      <c r="J181" s="45"/>
      <c r="K181" s="46"/>
    </row>
    <row r="182" spans="1:11" ht="37.5" customHeight="1">
      <c r="A182" s="11" t="s">
        <v>1043</v>
      </c>
      <c r="B182" s="145" t="s">
        <v>1044</v>
      </c>
      <c r="C182" s="55" t="s">
        <v>1099</v>
      </c>
      <c r="D182" s="3" t="s">
        <v>11</v>
      </c>
      <c r="E182" s="3" t="s">
        <v>25</v>
      </c>
      <c r="F182" s="3" t="s">
        <v>26</v>
      </c>
      <c r="G182" s="17">
        <f>'ABRIL-18'!I179</f>
        <v>1.8099999999999454</v>
      </c>
      <c r="H182" s="51"/>
      <c r="I182" s="17">
        <f t="shared" si="3"/>
        <v>1.8099999999999454</v>
      </c>
      <c r="J182" s="126"/>
      <c r="K182" s="46"/>
    </row>
    <row r="183" spans="1:11" ht="28.5" customHeight="1">
      <c r="A183" s="11" t="s">
        <v>215</v>
      </c>
      <c r="B183" s="145" t="s">
        <v>214</v>
      </c>
      <c r="C183" s="55" t="s">
        <v>1099</v>
      </c>
      <c r="D183" s="3" t="s">
        <v>11</v>
      </c>
      <c r="E183" s="3" t="s">
        <v>25</v>
      </c>
      <c r="F183" s="3" t="s">
        <v>26</v>
      </c>
      <c r="G183" s="17">
        <f>'ABRIL-18'!I180</f>
        <v>5000</v>
      </c>
      <c r="H183" s="51"/>
      <c r="I183" s="17">
        <f t="shared" si="3"/>
        <v>5000</v>
      </c>
      <c r="J183" s="45"/>
      <c r="K183" s="46"/>
    </row>
    <row r="184" spans="1:11" ht="27.75" customHeight="1">
      <c r="A184" s="11" t="s">
        <v>216</v>
      </c>
      <c r="B184" s="145" t="s">
        <v>217</v>
      </c>
      <c r="C184" s="55" t="s">
        <v>1099</v>
      </c>
      <c r="D184" s="3" t="s">
        <v>11</v>
      </c>
      <c r="E184" s="3" t="s">
        <v>25</v>
      </c>
      <c r="F184" s="3" t="s">
        <v>26</v>
      </c>
      <c r="G184" s="17">
        <f>'ABRIL-18'!I181</f>
        <v>9400</v>
      </c>
      <c r="H184" s="51"/>
      <c r="I184" s="17">
        <f t="shared" si="3"/>
        <v>9400</v>
      </c>
      <c r="J184" s="126"/>
      <c r="K184" s="270"/>
    </row>
    <row r="185" spans="1:11" ht="36" customHeight="1">
      <c r="A185" s="11" t="s">
        <v>218</v>
      </c>
      <c r="B185" s="145" t="s">
        <v>219</v>
      </c>
      <c r="C185" s="55" t="s">
        <v>1099</v>
      </c>
      <c r="D185" s="3" t="s">
        <v>11</v>
      </c>
      <c r="E185" s="3" t="s">
        <v>25</v>
      </c>
      <c r="F185" s="3" t="s">
        <v>26</v>
      </c>
      <c r="G185" s="17">
        <f>'ABRIL-18'!I182</f>
        <v>48.3</v>
      </c>
      <c r="H185" s="370"/>
      <c r="I185" s="17">
        <f t="shared" si="3"/>
        <v>48.3</v>
      </c>
      <c r="J185" s="45"/>
      <c r="K185" s="46"/>
    </row>
    <row r="186" spans="1:11" ht="111.75" customHeight="1">
      <c r="A186" s="144" t="s">
        <v>220</v>
      </c>
      <c r="B186" s="54" t="s">
        <v>221</v>
      </c>
      <c r="C186" s="343" t="s">
        <v>1100</v>
      </c>
      <c r="D186" s="3"/>
      <c r="E186" s="3"/>
      <c r="F186" s="3"/>
      <c r="G186" s="17">
        <f>'ABRIL-18'!I183</f>
        <v>0</v>
      </c>
      <c r="H186" s="51"/>
      <c r="I186" s="17"/>
      <c r="J186" s="45"/>
      <c r="K186" s="46"/>
    </row>
    <row r="187" spans="1:11" ht="18" customHeight="1">
      <c r="A187" s="11" t="s">
        <v>222</v>
      </c>
      <c r="B187" s="145" t="s">
        <v>223</v>
      </c>
      <c r="C187" s="55" t="s">
        <v>1101</v>
      </c>
      <c r="D187" s="3" t="s">
        <v>11</v>
      </c>
      <c r="E187" s="3" t="s">
        <v>25</v>
      </c>
      <c r="F187" s="3" t="s">
        <v>26</v>
      </c>
      <c r="G187" s="17">
        <f>'ABRIL-18'!I184</f>
        <v>9002.25</v>
      </c>
      <c r="H187" s="51">
        <v>200</v>
      </c>
      <c r="I187" s="17">
        <f t="shared" si="3"/>
        <v>8802.25</v>
      </c>
      <c r="J187" s="126"/>
      <c r="K187" s="46"/>
    </row>
    <row r="188" spans="1:11" ht="15.75" customHeight="1">
      <c r="A188" s="11" t="s">
        <v>225</v>
      </c>
      <c r="B188" s="145" t="s">
        <v>224</v>
      </c>
      <c r="C188" s="55"/>
      <c r="D188" s="3" t="s">
        <v>11</v>
      </c>
      <c r="E188" s="3" t="s">
        <v>25</v>
      </c>
      <c r="F188" s="3" t="s">
        <v>26</v>
      </c>
      <c r="G188" s="17">
        <f>'ABRIL-18'!I185</f>
        <v>100</v>
      </c>
      <c r="H188" s="51"/>
      <c r="I188" s="17">
        <f t="shared" si="3"/>
        <v>100</v>
      </c>
      <c r="J188" s="126"/>
      <c r="K188" s="46"/>
    </row>
    <row r="189" spans="1:11" ht="33.75" customHeight="1">
      <c r="A189" s="11" t="s">
        <v>226</v>
      </c>
      <c r="B189" s="145" t="s">
        <v>227</v>
      </c>
      <c r="C189" s="55" t="s">
        <v>1101</v>
      </c>
      <c r="D189" s="3" t="s">
        <v>11</v>
      </c>
      <c r="E189" s="3" t="s">
        <v>25</v>
      </c>
      <c r="F189" s="3" t="s">
        <v>26</v>
      </c>
      <c r="G189" s="17">
        <f>'ABRIL-18'!I186</f>
        <v>26000</v>
      </c>
      <c r="H189" s="51"/>
      <c r="I189" s="17">
        <f t="shared" si="3"/>
        <v>26000</v>
      </c>
      <c r="J189" s="126"/>
      <c r="K189" s="46"/>
    </row>
    <row r="190" spans="1:11" ht="28.5" customHeight="1">
      <c r="A190" s="11" t="s">
        <v>228</v>
      </c>
      <c r="B190" s="145" t="s">
        <v>229</v>
      </c>
      <c r="C190" s="55"/>
      <c r="D190" s="3" t="s">
        <v>11</v>
      </c>
      <c r="E190" s="3" t="s">
        <v>25</v>
      </c>
      <c r="F190" s="3" t="s">
        <v>26</v>
      </c>
      <c r="G190" s="17">
        <f>'ABRIL-18'!I187</f>
        <v>20150</v>
      </c>
      <c r="H190" s="51"/>
      <c r="I190" s="17">
        <f t="shared" si="3"/>
        <v>20150</v>
      </c>
      <c r="J190" s="126"/>
      <c r="K190" s="46"/>
    </row>
    <row r="191" spans="1:11" ht="26.25" customHeight="1">
      <c r="A191" s="11" t="s">
        <v>230</v>
      </c>
      <c r="B191" s="145" t="s">
        <v>231</v>
      </c>
      <c r="C191" s="55"/>
      <c r="D191" s="3" t="s">
        <v>11</v>
      </c>
      <c r="E191" s="3" t="s">
        <v>25</v>
      </c>
      <c r="F191" s="3" t="s">
        <v>26</v>
      </c>
      <c r="G191" s="17">
        <f>'ABRIL-18'!I188</f>
        <v>100</v>
      </c>
      <c r="H191" s="51"/>
      <c r="I191" s="17">
        <f t="shared" si="3"/>
        <v>100</v>
      </c>
      <c r="J191" s="126"/>
      <c r="K191" s="46"/>
    </row>
    <row r="192" spans="1:11" ht="23.25" customHeight="1">
      <c r="A192" s="11" t="s">
        <v>232</v>
      </c>
      <c r="B192" s="145" t="s">
        <v>233</v>
      </c>
      <c r="C192" s="55"/>
      <c r="D192" s="3" t="s">
        <v>11</v>
      </c>
      <c r="E192" s="3" t="s">
        <v>25</v>
      </c>
      <c r="F192" s="3" t="s">
        <v>26</v>
      </c>
      <c r="G192" s="17">
        <f>'ABRIL-18'!I189</f>
        <v>20200</v>
      </c>
      <c r="H192" s="51"/>
      <c r="I192" s="17">
        <f t="shared" si="3"/>
        <v>20200</v>
      </c>
      <c r="J192" s="126"/>
      <c r="K192" s="46"/>
    </row>
    <row r="193" spans="1:11" ht="28.5" customHeight="1">
      <c r="A193" s="11" t="s">
        <v>234</v>
      </c>
      <c r="B193" s="145" t="s">
        <v>237</v>
      </c>
      <c r="C193" s="55"/>
      <c r="D193" s="3" t="s">
        <v>11</v>
      </c>
      <c r="E193" s="3" t="s">
        <v>25</v>
      </c>
      <c r="F193" s="3" t="s">
        <v>26</v>
      </c>
      <c r="G193" s="17">
        <f>'ABRIL-18'!I190</f>
        <v>20500</v>
      </c>
      <c r="H193" s="51"/>
      <c r="I193" s="17">
        <f t="shared" si="3"/>
        <v>20500</v>
      </c>
      <c r="J193" s="126"/>
      <c r="K193" s="46"/>
    </row>
    <row r="194" spans="1:11" ht="24" customHeight="1">
      <c r="A194" s="11" t="s">
        <v>235</v>
      </c>
      <c r="B194" s="145" t="s">
        <v>236</v>
      </c>
      <c r="C194" s="55" t="s">
        <v>1101</v>
      </c>
      <c r="D194" s="3" t="s">
        <v>11</v>
      </c>
      <c r="E194" s="3" t="s">
        <v>25</v>
      </c>
      <c r="F194" s="3" t="s">
        <v>26</v>
      </c>
      <c r="G194" s="17">
        <f>'ABRIL-18'!I191</f>
        <v>47</v>
      </c>
      <c r="H194" s="51">
        <v>1.3</v>
      </c>
      <c r="I194" s="17">
        <f t="shared" si="3"/>
        <v>45.7</v>
      </c>
      <c r="J194" s="45"/>
      <c r="K194" s="46"/>
    </row>
    <row r="195" spans="1:11" ht="87" customHeight="1">
      <c r="A195" s="144" t="s">
        <v>238</v>
      </c>
      <c r="B195" s="54" t="s">
        <v>239</v>
      </c>
      <c r="C195" s="55"/>
      <c r="D195" s="3"/>
      <c r="E195" s="3"/>
      <c r="F195" s="3"/>
      <c r="G195" s="17">
        <f>'ABRIL-18'!I192</f>
        <v>0</v>
      </c>
      <c r="H195" s="51"/>
      <c r="I195" s="17"/>
      <c r="J195" s="45"/>
      <c r="K195" s="46"/>
    </row>
    <row r="196" spans="1:11" ht="24" customHeight="1">
      <c r="A196" s="11" t="s">
        <v>240</v>
      </c>
      <c r="B196" s="145" t="s">
        <v>243</v>
      </c>
      <c r="C196" s="55"/>
      <c r="D196" s="3" t="s">
        <v>11</v>
      </c>
      <c r="E196" s="3" t="s">
        <v>25</v>
      </c>
      <c r="F196" s="3" t="s">
        <v>26</v>
      </c>
      <c r="G196" s="17">
        <f>'ABRIL-18'!I193</f>
        <v>0</v>
      </c>
      <c r="H196" s="51"/>
      <c r="I196" s="17">
        <f t="shared" si="3"/>
        <v>0</v>
      </c>
      <c r="J196" s="45"/>
      <c r="K196" s="280"/>
    </row>
    <row r="197" spans="1:11" ht="24" customHeight="1">
      <c r="A197" s="11" t="s">
        <v>241</v>
      </c>
      <c r="B197" s="145" t="s">
        <v>242</v>
      </c>
      <c r="C197" s="55"/>
      <c r="D197" s="3" t="s">
        <v>11</v>
      </c>
      <c r="E197" s="3" t="s">
        <v>25</v>
      </c>
      <c r="F197" s="3" t="s">
        <v>26</v>
      </c>
      <c r="G197" s="17">
        <f>'ABRIL-18'!I194</f>
        <v>0</v>
      </c>
      <c r="H197" s="51"/>
      <c r="I197" s="17">
        <f t="shared" si="3"/>
        <v>0</v>
      </c>
      <c r="J197" s="45"/>
      <c r="K197" s="280"/>
    </row>
    <row r="198" spans="1:11" ht="40.5" customHeight="1">
      <c r="A198" s="11" t="s">
        <v>245</v>
      </c>
      <c r="B198" s="145" t="s">
        <v>244</v>
      </c>
      <c r="C198" s="55"/>
      <c r="D198" s="3" t="s">
        <v>11</v>
      </c>
      <c r="E198" s="3" t="s">
        <v>25</v>
      </c>
      <c r="F198" s="3" t="s">
        <v>26</v>
      </c>
      <c r="G198" s="17">
        <f>'ABRIL-18'!I195</f>
        <v>0</v>
      </c>
      <c r="H198" s="51"/>
      <c r="I198" s="17">
        <f t="shared" si="3"/>
        <v>0</v>
      </c>
      <c r="J198" s="45"/>
      <c r="K198" s="280"/>
    </row>
    <row r="199" spans="1:11" ht="24" customHeight="1">
      <c r="A199" s="11" t="s">
        <v>246</v>
      </c>
      <c r="B199" s="145" t="s">
        <v>247</v>
      </c>
      <c r="C199" s="55"/>
      <c r="D199" s="3" t="s">
        <v>11</v>
      </c>
      <c r="E199" s="3" t="s">
        <v>25</v>
      </c>
      <c r="F199" s="3" t="s">
        <v>26</v>
      </c>
      <c r="G199" s="17">
        <f>'ABRIL-18'!I196</f>
        <v>0</v>
      </c>
      <c r="H199" s="51"/>
      <c r="I199" s="17">
        <f t="shared" si="3"/>
        <v>0</v>
      </c>
      <c r="J199" s="45"/>
      <c r="K199" s="280"/>
    </row>
    <row r="200" spans="1:11" ht="24" customHeight="1">
      <c r="A200" s="11" t="s">
        <v>249</v>
      </c>
      <c r="B200" s="145" t="s">
        <v>248</v>
      </c>
      <c r="C200" s="55"/>
      <c r="D200" s="3" t="s">
        <v>11</v>
      </c>
      <c r="E200" s="3" t="s">
        <v>25</v>
      </c>
      <c r="F200" s="3" t="s">
        <v>26</v>
      </c>
      <c r="G200" s="17">
        <f>'ABRIL-18'!I197</f>
        <v>0</v>
      </c>
      <c r="H200" s="51"/>
      <c r="I200" s="17">
        <f t="shared" si="3"/>
        <v>0</v>
      </c>
      <c r="J200" s="45"/>
      <c r="K200" s="280"/>
    </row>
    <row r="201" spans="1:11" ht="24" customHeight="1">
      <c r="A201" s="11" t="s">
        <v>251</v>
      </c>
      <c r="B201" s="145" t="s">
        <v>252</v>
      </c>
      <c r="C201" s="55"/>
      <c r="D201" s="3" t="s">
        <v>11</v>
      </c>
      <c r="E201" s="3" t="s">
        <v>25</v>
      </c>
      <c r="F201" s="3" t="s">
        <v>26</v>
      </c>
      <c r="G201" s="17">
        <f>'ABRIL-18'!I198</f>
        <v>0</v>
      </c>
      <c r="H201" s="51"/>
      <c r="I201" s="17">
        <f t="shared" si="3"/>
        <v>0</v>
      </c>
      <c r="J201" s="45"/>
      <c r="K201" s="280"/>
    </row>
    <row r="202" spans="1:11" ht="24" customHeight="1">
      <c r="A202" s="11" t="s">
        <v>250</v>
      </c>
      <c r="B202" s="145" t="s">
        <v>253</v>
      </c>
      <c r="C202" s="55"/>
      <c r="D202" s="3" t="s">
        <v>11</v>
      </c>
      <c r="E202" s="3" t="s">
        <v>25</v>
      </c>
      <c r="F202" s="3" t="s">
        <v>26</v>
      </c>
      <c r="G202" s="17">
        <f>'ABRIL-18'!I199</f>
        <v>0</v>
      </c>
      <c r="H202" s="51"/>
      <c r="I202" s="17">
        <f t="shared" si="3"/>
        <v>0</v>
      </c>
      <c r="J202" s="45"/>
      <c r="K202" s="280"/>
    </row>
    <row r="203" spans="1:11" ht="24" customHeight="1">
      <c r="A203" s="11" t="s">
        <v>255</v>
      </c>
      <c r="B203" s="145" t="s">
        <v>254</v>
      </c>
      <c r="C203" s="55"/>
      <c r="D203" s="3" t="s">
        <v>11</v>
      </c>
      <c r="E203" s="3" t="s">
        <v>25</v>
      </c>
      <c r="F203" s="3" t="s">
        <v>26</v>
      </c>
      <c r="G203" s="17">
        <f>'ABRIL-18'!I200</f>
        <v>0</v>
      </c>
      <c r="H203" s="51"/>
      <c r="I203" s="17">
        <f t="shared" si="3"/>
        <v>0</v>
      </c>
      <c r="J203" s="45"/>
      <c r="K203" s="280"/>
    </row>
    <row r="204" spans="1:11" ht="87" customHeight="1">
      <c r="A204" s="144" t="s">
        <v>256</v>
      </c>
      <c r="B204" s="54" t="s">
        <v>257</v>
      </c>
      <c r="C204" s="55"/>
      <c r="D204" s="3"/>
      <c r="E204" s="3"/>
      <c r="F204" s="3"/>
      <c r="G204" s="17">
        <f>'ABRIL-18'!I201</f>
        <v>0</v>
      </c>
      <c r="H204" s="51"/>
      <c r="I204" s="17"/>
      <c r="J204" s="45"/>
      <c r="K204" s="46"/>
    </row>
    <row r="205" spans="1:11" ht="24" customHeight="1">
      <c r="A205" s="11" t="s">
        <v>258</v>
      </c>
      <c r="B205" s="145" t="s">
        <v>263</v>
      </c>
      <c r="C205" s="55"/>
      <c r="D205" s="3" t="s">
        <v>11</v>
      </c>
      <c r="E205" s="3" t="s">
        <v>25</v>
      </c>
      <c r="F205" s="3" t="s">
        <v>26</v>
      </c>
      <c r="G205" s="17">
        <f>'ABRIL-18'!I202</f>
        <v>0</v>
      </c>
      <c r="H205" s="51"/>
      <c r="I205" s="17">
        <f t="shared" si="3"/>
        <v>0</v>
      </c>
      <c r="J205" s="45"/>
      <c r="K205" s="280"/>
    </row>
    <row r="206" spans="1:11" ht="24" customHeight="1">
      <c r="A206" s="11" t="s">
        <v>259</v>
      </c>
      <c r="B206" s="145" t="s">
        <v>262</v>
      </c>
      <c r="C206" s="55"/>
      <c r="D206" s="3" t="s">
        <v>11</v>
      </c>
      <c r="E206" s="3" t="s">
        <v>25</v>
      </c>
      <c r="F206" s="3" t="s">
        <v>26</v>
      </c>
      <c r="G206" s="17">
        <f>'ABRIL-18'!I203</f>
        <v>0</v>
      </c>
      <c r="H206" s="51"/>
      <c r="I206" s="17">
        <f t="shared" si="3"/>
        <v>0</v>
      </c>
      <c r="J206" s="45"/>
      <c r="K206" s="280"/>
    </row>
    <row r="207" spans="1:11" ht="24" customHeight="1">
      <c r="A207" s="11" t="s">
        <v>260</v>
      </c>
      <c r="B207" s="145" t="s">
        <v>261</v>
      </c>
      <c r="C207" s="55"/>
      <c r="D207" s="3" t="s">
        <v>11</v>
      </c>
      <c r="E207" s="3" t="s">
        <v>25</v>
      </c>
      <c r="F207" s="3" t="s">
        <v>26</v>
      </c>
      <c r="G207" s="17">
        <f>'ABRIL-18'!I204</f>
        <v>0</v>
      </c>
      <c r="H207" s="51"/>
      <c r="I207" s="17">
        <f t="shared" si="3"/>
        <v>0</v>
      </c>
      <c r="J207" s="45"/>
      <c r="K207" s="280"/>
    </row>
    <row r="208" spans="1:11" ht="60" customHeight="1">
      <c r="A208" s="144" t="s">
        <v>264</v>
      </c>
      <c r="B208" s="54" t="s">
        <v>287</v>
      </c>
      <c r="C208" s="55"/>
      <c r="D208" s="3"/>
      <c r="E208" s="3"/>
      <c r="F208" s="3"/>
      <c r="G208" s="17">
        <f>'ABRIL-18'!I205</f>
        <v>0</v>
      </c>
      <c r="H208" s="51"/>
      <c r="I208" s="17"/>
      <c r="J208" s="45"/>
      <c r="K208" s="46"/>
    </row>
    <row r="209" spans="1:11" ht="24" customHeight="1">
      <c r="A209" s="11" t="s">
        <v>265</v>
      </c>
      <c r="B209" s="145" t="s">
        <v>1046</v>
      </c>
      <c r="C209" s="55"/>
      <c r="D209" s="3" t="s">
        <v>11</v>
      </c>
      <c r="E209" s="3" t="s">
        <v>25</v>
      </c>
      <c r="F209" s="3" t="s">
        <v>26</v>
      </c>
      <c r="G209" s="17">
        <f>'ABRIL-18'!I206</f>
        <v>2000</v>
      </c>
      <c r="H209" s="51"/>
      <c r="I209" s="17">
        <f t="shared" si="3"/>
        <v>2000</v>
      </c>
      <c r="J209" s="45"/>
      <c r="K209" s="46"/>
    </row>
    <row r="210" spans="1:11" ht="24" customHeight="1">
      <c r="A210" s="11" t="s">
        <v>266</v>
      </c>
      <c r="B210" s="145" t="s">
        <v>268</v>
      </c>
      <c r="C210" s="55"/>
      <c r="D210" s="3" t="s">
        <v>11</v>
      </c>
      <c r="E210" s="3" t="s">
        <v>25</v>
      </c>
      <c r="F210" s="3" t="s">
        <v>26</v>
      </c>
      <c r="G210" s="17">
        <f>'ABRIL-18'!I207</f>
        <v>3000</v>
      </c>
      <c r="H210" s="51"/>
      <c r="I210" s="17">
        <f t="shared" si="3"/>
        <v>3000</v>
      </c>
      <c r="J210" s="45"/>
      <c r="K210" s="46"/>
    </row>
    <row r="211" spans="1:11" ht="71.25" customHeight="1">
      <c r="A211" s="144" t="s">
        <v>269</v>
      </c>
      <c r="B211" s="54" t="s">
        <v>286</v>
      </c>
      <c r="C211" s="343" t="s">
        <v>1111</v>
      </c>
      <c r="D211" s="3"/>
      <c r="E211" s="3"/>
      <c r="F211" s="3"/>
      <c r="G211" s="17">
        <f>'ABRIL-18'!I208</f>
        <v>0</v>
      </c>
      <c r="H211" s="51"/>
      <c r="I211" s="17"/>
      <c r="J211" s="45"/>
      <c r="K211" s="46"/>
    </row>
    <row r="212" spans="1:11" ht="27.75" customHeight="1">
      <c r="A212" s="11" t="s">
        <v>273</v>
      </c>
      <c r="B212" s="145" t="s">
        <v>270</v>
      </c>
      <c r="C212" s="55"/>
      <c r="D212" s="3" t="s">
        <v>11</v>
      </c>
      <c r="E212" s="3" t="s">
        <v>25</v>
      </c>
      <c r="F212" s="3" t="s">
        <v>26</v>
      </c>
      <c r="G212" s="17">
        <f>'ABRIL-18'!I209</f>
        <v>3000</v>
      </c>
      <c r="H212" s="51"/>
      <c r="I212" s="17">
        <f t="shared" si="3"/>
        <v>3000</v>
      </c>
      <c r="J212" s="45"/>
      <c r="K212" s="46"/>
    </row>
    <row r="213" spans="1:11" ht="24" customHeight="1">
      <c r="A213" s="11" t="s">
        <v>272</v>
      </c>
      <c r="B213" s="145" t="s">
        <v>271</v>
      </c>
      <c r="C213" s="55"/>
      <c r="D213" s="3" t="s">
        <v>11</v>
      </c>
      <c r="E213" s="3" t="s">
        <v>25</v>
      </c>
      <c r="F213" s="3" t="s">
        <v>26</v>
      </c>
      <c r="G213" s="17">
        <f>'ABRIL-18'!I210</f>
        <v>13029.25</v>
      </c>
      <c r="H213" s="51"/>
      <c r="I213" s="17">
        <f t="shared" si="3"/>
        <v>13029.25</v>
      </c>
      <c r="J213" s="45"/>
      <c r="K213" s="126"/>
    </row>
    <row r="214" spans="1:11" ht="24" customHeight="1">
      <c r="A214" s="11" t="s">
        <v>274</v>
      </c>
      <c r="B214" s="145" t="s">
        <v>275</v>
      </c>
      <c r="C214" s="55"/>
      <c r="D214" s="3" t="s">
        <v>11</v>
      </c>
      <c r="E214" s="3" t="s">
        <v>25</v>
      </c>
      <c r="F214" s="3" t="s">
        <v>26</v>
      </c>
      <c r="G214" s="17">
        <f>'ABRIL-18'!I211</f>
        <v>1965.25</v>
      </c>
      <c r="H214" s="51"/>
      <c r="I214" s="17">
        <f t="shared" si="3"/>
        <v>1965.25</v>
      </c>
      <c r="J214" s="45"/>
      <c r="K214" s="46"/>
    </row>
    <row r="215" spans="1:11" ht="24" customHeight="1">
      <c r="A215" s="11" t="s">
        <v>276</v>
      </c>
      <c r="B215" s="145" t="s">
        <v>277</v>
      </c>
      <c r="C215" s="55"/>
      <c r="D215" s="3" t="s">
        <v>11</v>
      </c>
      <c r="E215" s="3" t="s">
        <v>25</v>
      </c>
      <c r="F215" s="3" t="s">
        <v>26</v>
      </c>
      <c r="G215" s="17">
        <f>'ABRIL-18'!I212</f>
        <v>15074.689999999999</v>
      </c>
      <c r="H215" s="51"/>
      <c r="I215" s="17">
        <f t="shared" si="3"/>
        <v>15074.689999999999</v>
      </c>
      <c r="J215" s="45"/>
      <c r="K215" s="279"/>
    </row>
    <row r="216" spans="1:11" ht="24" customHeight="1">
      <c r="A216" s="11" t="s">
        <v>278</v>
      </c>
      <c r="B216" s="145" t="s">
        <v>279</v>
      </c>
      <c r="C216" s="55"/>
      <c r="D216" s="3" t="s">
        <v>11</v>
      </c>
      <c r="E216" s="3" t="s">
        <v>25</v>
      </c>
      <c r="F216" s="3" t="s">
        <v>26</v>
      </c>
      <c r="G216" s="17">
        <f>'ABRIL-18'!I213</f>
        <v>980</v>
      </c>
      <c r="H216" s="51"/>
      <c r="I216" s="17">
        <f t="shared" si="3"/>
        <v>980</v>
      </c>
      <c r="J216" s="45"/>
      <c r="K216" s="46"/>
    </row>
    <row r="217" spans="1:11" ht="24" customHeight="1">
      <c r="A217" s="11" t="s">
        <v>280</v>
      </c>
      <c r="B217" s="145" t="s">
        <v>281</v>
      </c>
      <c r="C217" s="55"/>
      <c r="D217" s="3" t="s">
        <v>11</v>
      </c>
      <c r="E217" s="3" t="s">
        <v>25</v>
      </c>
      <c r="F217" s="3" t="s">
        <v>26</v>
      </c>
      <c r="G217" s="17">
        <f>'ABRIL-18'!I214</f>
        <v>1340</v>
      </c>
      <c r="H217" s="51"/>
      <c r="I217" s="17">
        <f t="shared" si="3"/>
        <v>1340</v>
      </c>
      <c r="J217" s="126"/>
      <c r="K217" s="46"/>
    </row>
    <row r="218" spans="1:11" ht="24" customHeight="1">
      <c r="A218" s="11" t="s">
        <v>282</v>
      </c>
      <c r="B218" s="145" t="s">
        <v>283</v>
      </c>
      <c r="C218" s="55"/>
      <c r="D218" s="3" t="s">
        <v>11</v>
      </c>
      <c r="E218" s="3" t="s">
        <v>25</v>
      </c>
      <c r="F218" s="3" t="s">
        <v>26</v>
      </c>
      <c r="G218" s="17">
        <f>'ABRIL-18'!I215</f>
        <v>927.06000000000029</v>
      </c>
      <c r="H218" s="51"/>
      <c r="I218" s="17">
        <f t="shared" si="3"/>
        <v>927.06000000000029</v>
      </c>
      <c r="J218" s="126"/>
      <c r="K218" s="46"/>
    </row>
    <row r="219" spans="1:11" ht="24" customHeight="1">
      <c r="A219" s="11" t="s">
        <v>284</v>
      </c>
      <c r="B219" s="145" t="s">
        <v>285</v>
      </c>
      <c r="C219" s="55"/>
      <c r="D219" s="3" t="s">
        <v>11</v>
      </c>
      <c r="E219" s="3" t="s">
        <v>25</v>
      </c>
      <c r="F219" s="3" t="s">
        <v>26</v>
      </c>
      <c r="G219" s="17">
        <f>'ABRIL-18'!I216</f>
        <v>17</v>
      </c>
      <c r="H219" s="370"/>
      <c r="I219" s="17">
        <f t="shared" si="3"/>
        <v>17</v>
      </c>
      <c r="J219" s="45"/>
      <c r="K219" s="46"/>
    </row>
    <row r="220" spans="1:11" ht="102" customHeight="1">
      <c r="A220" s="144" t="s">
        <v>289</v>
      </c>
      <c r="B220" s="54" t="s">
        <v>288</v>
      </c>
      <c r="C220" s="55" t="s">
        <v>1057</v>
      </c>
      <c r="D220" s="3"/>
      <c r="E220" s="3"/>
      <c r="F220" s="3"/>
      <c r="G220" s="17">
        <f>'ABRIL-18'!I217</f>
        <v>0</v>
      </c>
      <c r="H220" s="275"/>
      <c r="I220" s="17"/>
      <c r="J220" s="45"/>
      <c r="K220" s="46"/>
    </row>
    <row r="221" spans="1:11" ht="24" customHeight="1">
      <c r="A221" s="11" t="s">
        <v>290</v>
      </c>
      <c r="B221" s="145" t="s">
        <v>291</v>
      </c>
      <c r="C221" s="55"/>
      <c r="D221" s="3" t="s">
        <v>11</v>
      </c>
      <c r="E221" s="3" t="s">
        <v>25</v>
      </c>
      <c r="F221" s="3" t="s">
        <v>26</v>
      </c>
      <c r="G221" s="17">
        <f>'ABRIL-18'!I218</f>
        <v>500</v>
      </c>
      <c r="H221" s="51"/>
      <c r="I221" s="17">
        <f t="shared" si="3"/>
        <v>500</v>
      </c>
      <c r="J221" s="45"/>
      <c r="K221" s="46"/>
    </row>
    <row r="222" spans="1:11" ht="24" customHeight="1">
      <c r="A222" s="11" t="s">
        <v>292</v>
      </c>
      <c r="B222" s="145" t="s">
        <v>293</v>
      </c>
      <c r="C222" s="55"/>
      <c r="D222" s="3" t="s">
        <v>11</v>
      </c>
      <c r="E222" s="3" t="s">
        <v>25</v>
      </c>
      <c r="F222" s="3" t="s">
        <v>26</v>
      </c>
      <c r="G222" s="17">
        <f>'ABRIL-18'!I219</f>
        <v>0</v>
      </c>
      <c r="H222" s="51"/>
      <c r="I222" s="17">
        <f t="shared" si="3"/>
        <v>0</v>
      </c>
      <c r="J222" s="45"/>
      <c r="K222" s="280"/>
    </row>
    <row r="223" spans="1:11" ht="18" customHeight="1">
      <c r="A223" s="11" t="s">
        <v>294</v>
      </c>
      <c r="B223" s="145" t="s">
        <v>295</v>
      </c>
      <c r="C223" s="55"/>
      <c r="D223" s="3" t="s">
        <v>11</v>
      </c>
      <c r="E223" s="3" t="s">
        <v>25</v>
      </c>
      <c r="F223" s="3" t="s">
        <v>26</v>
      </c>
      <c r="G223" s="17">
        <f>'ABRIL-18'!I220</f>
        <v>98.7</v>
      </c>
      <c r="H223" s="51"/>
      <c r="I223" s="17">
        <f t="shared" si="3"/>
        <v>98.7</v>
      </c>
      <c r="J223" s="45"/>
      <c r="K223" s="46"/>
    </row>
    <row r="224" spans="1:11" ht="19.5" customHeight="1">
      <c r="A224" s="11" t="s">
        <v>296</v>
      </c>
      <c r="B224" s="145" t="s">
        <v>297</v>
      </c>
      <c r="C224" s="55"/>
      <c r="D224" s="3" t="s">
        <v>11</v>
      </c>
      <c r="E224" s="3" t="s">
        <v>25</v>
      </c>
      <c r="F224" s="3" t="s">
        <v>26</v>
      </c>
      <c r="G224" s="17">
        <f>'ABRIL-18'!I221</f>
        <v>35600</v>
      </c>
      <c r="H224" s="51"/>
      <c r="I224" s="17">
        <f t="shared" si="3"/>
        <v>35600</v>
      </c>
      <c r="J224" s="45"/>
      <c r="K224" s="46"/>
    </row>
    <row r="225" spans="1:11" ht="21" customHeight="1">
      <c r="A225" s="11" t="s">
        <v>298</v>
      </c>
      <c r="B225" s="145" t="s">
        <v>299</v>
      </c>
      <c r="C225" s="55"/>
      <c r="D225" s="3" t="s">
        <v>11</v>
      </c>
      <c r="E225" s="3" t="s">
        <v>25</v>
      </c>
      <c r="F225" s="3" t="s">
        <v>26</v>
      </c>
      <c r="G225" s="17">
        <f>'ABRIL-18'!I222</f>
        <v>2000</v>
      </c>
      <c r="H225" s="51"/>
      <c r="I225" s="17">
        <f t="shared" si="3"/>
        <v>2000</v>
      </c>
      <c r="J225" s="45"/>
      <c r="K225" s="46"/>
    </row>
    <row r="226" spans="1:11" ht="75" customHeight="1">
      <c r="A226" s="144" t="s">
        <v>300</v>
      </c>
      <c r="B226" s="54" t="s">
        <v>301</v>
      </c>
      <c r="C226" s="343" t="s">
        <v>1112</v>
      </c>
      <c r="D226" s="3"/>
      <c r="E226" s="3"/>
      <c r="F226" s="3"/>
      <c r="G226" s="17">
        <f>'ABRIL-18'!I223</f>
        <v>0</v>
      </c>
      <c r="H226" s="51"/>
      <c r="I226" s="17"/>
      <c r="J226" s="45"/>
      <c r="K226" s="46"/>
    </row>
    <row r="227" spans="1:11" ht="18.75" customHeight="1">
      <c r="A227" s="11" t="s">
        <v>302</v>
      </c>
      <c r="B227" s="145" t="s">
        <v>309</v>
      </c>
      <c r="C227" s="55"/>
      <c r="D227" s="3" t="s">
        <v>11</v>
      </c>
      <c r="E227" s="3" t="s">
        <v>25</v>
      </c>
      <c r="F227" s="3" t="s">
        <v>26</v>
      </c>
      <c r="G227" s="17">
        <f>'ABRIL-18'!I224</f>
        <v>2000.04</v>
      </c>
      <c r="H227" s="51"/>
      <c r="I227" s="17">
        <f t="shared" si="3"/>
        <v>2000.04</v>
      </c>
      <c r="J227" s="45"/>
      <c r="K227" s="321"/>
    </row>
    <row r="228" spans="1:11" ht="18.75" customHeight="1">
      <c r="A228" s="11" t="s">
        <v>303</v>
      </c>
      <c r="B228" s="145" t="s">
        <v>310</v>
      </c>
      <c r="C228" s="55"/>
      <c r="D228" s="3" t="s">
        <v>11</v>
      </c>
      <c r="E228" s="3" t="s">
        <v>25</v>
      </c>
      <c r="F228" s="3" t="s">
        <v>26</v>
      </c>
      <c r="G228" s="17">
        <f>'ABRIL-18'!I225</f>
        <v>5000</v>
      </c>
      <c r="H228" s="51"/>
      <c r="I228" s="17">
        <f t="shared" si="3"/>
        <v>5000</v>
      </c>
      <c r="J228" s="45"/>
      <c r="K228" s="321"/>
    </row>
    <row r="229" spans="1:11" ht="24.75" customHeight="1">
      <c r="A229" s="11" t="s">
        <v>304</v>
      </c>
      <c r="B229" s="145" t="s">
        <v>311</v>
      </c>
      <c r="C229" s="55"/>
      <c r="D229" s="3" t="s">
        <v>11</v>
      </c>
      <c r="E229" s="3" t="s">
        <v>25</v>
      </c>
      <c r="F229" s="3" t="s">
        <v>26</v>
      </c>
      <c r="G229" s="17">
        <f>'ABRIL-18'!I226</f>
        <v>5000</v>
      </c>
      <c r="H229" s="51"/>
      <c r="I229" s="17">
        <f t="shared" si="3"/>
        <v>1000</v>
      </c>
      <c r="J229" s="45"/>
      <c r="K229" s="322">
        <v>4000</v>
      </c>
    </row>
    <row r="230" spans="1:11" ht="16.5" customHeight="1">
      <c r="A230" s="11" t="s">
        <v>305</v>
      </c>
      <c r="B230" s="145" t="s">
        <v>312</v>
      </c>
      <c r="C230" s="55"/>
      <c r="D230" s="3" t="s">
        <v>11</v>
      </c>
      <c r="E230" s="3" t="s">
        <v>25</v>
      </c>
      <c r="F230" s="3" t="s">
        <v>26</v>
      </c>
      <c r="G230" s="17">
        <f>'ABRIL-18'!I227</f>
        <v>1427</v>
      </c>
      <c r="H230" s="51"/>
      <c r="I230" s="17">
        <f t="shared" si="3"/>
        <v>1427</v>
      </c>
      <c r="J230" s="45"/>
      <c r="K230" s="323"/>
    </row>
    <row r="231" spans="1:11" ht="22.5" customHeight="1">
      <c r="A231" s="11" t="s">
        <v>306</v>
      </c>
      <c r="B231" s="145" t="s">
        <v>313</v>
      </c>
      <c r="C231" s="55"/>
      <c r="D231" s="3" t="s">
        <v>11</v>
      </c>
      <c r="E231" s="3" t="s">
        <v>25</v>
      </c>
      <c r="F231" s="3" t="s">
        <v>26</v>
      </c>
      <c r="G231" s="17">
        <f>'ABRIL-18'!I228</f>
        <v>6918.34</v>
      </c>
      <c r="H231" s="51"/>
      <c r="I231" s="17">
        <f t="shared" si="3"/>
        <v>1918.3400000000001</v>
      </c>
      <c r="J231" s="45"/>
      <c r="K231" s="324">
        <v>5000</v>
      </c>
    </row>
    <row r="232" spans="1:11" ht="19.5" customHeight="1">
      <c r="A232" s="11" t="s">
        <v>307</v>
      </c>
      <c r="B232" s="145" t="s">
        <v>314</v>
      </c>
      <c r="C232" s="55"/>
      <c r="D232" s="3" t="s">
        <v>11</v>
      </c>
      <c r="E232" s="3" t="s">
        <v>25</v>
      </c>
      <c r="F232" s="3" t="s">
        <v>26</v>
      </c>
      <c r="G232" s="17">
        <f>'ABRIL-18'!I229</f>
        <v>12</v>
      </c>
      <c r="H232" s="370"/>
      <c r="I232" s="17">
        <f t="shared" si="3"/>
        <v>12</v>
      </c>
      <c r="J232" s="45"/>
      <c r="K232" s="324"/>
    </row>
    <row r="233" spans="1:11" ht="24" customHeight="1">
      <c r="A233" s="11" t="s">
        <v>308</v>
      </c>
      <c r="B233" s="145" t="s">
        <v>315</v>
      </c>
      <c r="C233" s="55"/>
      <c r="D233" s="3" t="s">
        <v>11</v>
      </c>
      <c r="E233" s="3" t="s">
        <v>25</v>
      </c>
      <c r="F233" s="3" t="s">
        <v>26</v>
      </c>
      <c r="G233" s="17">
        <f>'ABRIL-18'!I230</f>
        <v>1000</v>
      </c>
      <c r="H233" s="51"/>
      <c r="I233" s="17">
        <f t="shared" si="3"/>
        <v>0</v>
      </c>
      <c r="J233" s="45"/>
      <c r="K233" s="324">
        <v>1000</v>
      </c>
    </row>
    <row r="234" spans="1:11" ht="72.75" customHeight="1">
      <c r="A234" s="144" t="s">
        <v>316</v>
      </c>
      <c r="B234" s="54" t="s">
        <v>317</v>
      </c>
      <c r="C234" s="343" t="s">
        <v>1113</v>
      </c>
      <c r="D234" s="3"/>
      <c r="E234" s="3"/>
      <c r="F234" s="3"/>
      <c r="G234" s="17">
        <f>'ABRIL-18'!I231</f>
        <v>0</v>
      </c>
      <c r="H234" s="51"/>
      <c r="I234" s="17"/>
      <c r="J234" s="45"/>
      <c r="K234" s="46"/>
    </row>
    <row r="235" spans="1:11" ht="20.25" customHeight="1">
      <c r="A235" s="11" t="s">
        <v>318</v>
      </c>
      <c r="B235" s="145" t="s">
        <v>322</v>
      </c>
      <c r="C235" s="55"/>
      <c r="D235" s="3" t="s">
        <v>11</v>
      </c>
      <c r="E235" s="3" t="s">
        <v>25</v>
      </c>
      <c r="F235" s="3" t="s">
        <v>26</v>
      </c>
      <c r="G235" s="17">
        <f>'ABRIL-18'!I232</f>
        <v>1666.68</v>
      </c>
      <c r="H235" s="51"/>
      <c r="I235" s="17">
        <f t="shared" ref="I235:I269" si="4">G235-H235+J235-K235</f>
        <v>1666.68</v>
      </c>
      <c r="J235" s="45"/>
      <c r="K235" s="46"/>
    </row>
    <row r="236" spans="1:11" ht="36.75" customHeight="1">
      <c r="A236" s="11" t="s">
        <v>1009</v>
      </c>
      <c r="B236" s="145" t="s">
        <v>1011</v>
      </c>
      <c r="C236" s="55"/>
      <c r="D236" s="3" t="s">
        <v>11</v>
      </c>
      <c r="E236" s="3" t="s">
        <v>25</v>
      </c>
      <c r="F236" s="3" t="s">
        <v>26</v>
      </c>
      <c r="G236" s="17">
        <f>'ABRIL-18'!I233</f>
        <v>400</v>
      </c>
      <c r="H236" s="51"/>
      <c r="I236" s="17">
        <f t="shared" si="4"/>
        <v>400</v>
      </c>
      <c r="J236" s="126"/>
      <c r="K236" s="46"/>
    </row>
    <row r="237" spans="1:11" ht="31.5" customHeight="1">
      <c r="A237" s="11" t="s">
        <v>319</v>
      </c>
      <c r="B237" s="145" t="s">
        <v>1010</v>
      </c>
      <c r="C237" s="55"/>
      <c r="D237" s="3" t="s">
        <v>11</v>
      </c>
      <c r="E237" s="3" t="s">
        <v>25</v>
      </c>
      <c r="F237" s="3" t="s">
        <v>26</v>
      </c>
      <c r="G237" s="17">
        <f>'ABRIL-18'!I234</f>
        <v>1755</v>
      </c>
      <c r="H237" s="51"/>
      <c r="I237" s="17">
        <f t="shared" si="4"/>
        <v>1755</v>
      </c>
      <c r="J237" s="45"/>
      <c r="K237" s="260"/>
    </row>
    <row r="238" spans="1:11" ht="20.25" customHeight="1">
      <c r="A238" s="11" t="s">
        <v>320</v>
      </c>
      <c r="B238" s="145" t="s">
        <v>324</v>
      </c>
      <c r="C238" s="55"/>
      <c r="D238" s="3" t="s">
        <v>11</v>
      </c>
      <c r="E238" s="3" t="s">
        <v>25</v>
      </c>
      <c r="F238" s="3" t="s">
        <v>26</v>
      </c>
      <c r="G238" s="17">
        <f>'ABRIL-18'!I235</f>
        <v>18.7</v>
      </c>
      <c r="H238" s="370"/>
      <c r="I238" s="17">
        <f t="shared" si="4"/>
        <v>18.7</v>
      </c>
      <c r="J238" s="45"/>
      <c r="K238" s="46"/>
    </row>
    <row r="239" spans="1:11" ht="29.25" customHeight="1">
      <c r="A239" s="11" t="s">
        <v>321</v>
      </c>
      <c r="B239" s="145" t="s">
        <v>325</v>
      </c>
      <c r="C239" s="55"/>
      <c r="D239" s="3" t="s">
        <v>11</v>
      </c>
      <c r="E239" s="3" t="s">
        <v>25</v>
      </c>
      <c r="F239" s="3" t="s">
        <v>26</v>
      </c>
      <c r="G239" s="17">
        <f>'ABRIL-18'!I236</f>
        <v>1980</v>
      </c>
      <c r="H239" s="51"/>
      <c r="I239" s="17">
        <f t="shared" si="4"/>
        <v>1980</v>
      </c>
      <c r="J239" s="45"/>
      <c r="K239" s="46"/>
    </row>
    <row r="240" spans="1:11" ht="66" customHeight="1">
      <c r="A240" s="271" t="s">
        <v>326</v>
      </c>
      <c r="B240" s="54" t="s">
        <v>327</v>
      </c>
      <c r="C240" s="55"/>
      <c r="D240" s="3"/>
      <c r="E240" s="3"/>
      <c r="F240" s="3"/>
      <c r="G240" s="17">
        <f>'ABRIL-18'!I237</f>
        <v>0</v>
      </c>
      <c r="H240" s="51"/>
      <c r="I240" s="17"/>
      <c r="J240" s="45"/>
      <c r="K240" s="46"/>
    </row>
    <row r="241" spans="1:11" ht="23.25" customHeight="1">
      <c r="A241" s="11" t="s">
        <v>328</v>
      </c>
      <c r="B241" s="145" t="s">
        <v>329</v>
      </c>
      <c r="C241" s="55"/>
      <c r="D241" s="3" t="s">
        <v>11</v>
      </c>
      <c r="E241" s="3" t="s">
        <v>25</v>
      </c>
      <c r="F241" s="3" t="s">
        <v>26</v>
      </c>
      <c r="G241" s="17">
        <f>'ABRIL-18'!I238</f>
        <v>3259.4</v>
      </c>
      <c r="H241" s="51"/>
      <c r="I241" s="17">
        <f t="shared" si="4"/>
        <v>0</v>
      </c>
      <c r="J241" s="45"/>
      <c r="K241" s="324">
        <v>3259.4</v>
      </c>
    </row>
    <row r="242" spans="1:11" ht="26.25" customHeight="1">
      <c r="A242" s="11" t="s">
        <v>330</v>
      </c>
      <c r="B242" s="145" t="s">
        <v>331</v>
      </c>
      <c r="C242" s="55"/>
      <c r="D242" s="3" t="s">
        <v>11</v>
      </c>
      <c r="E242" s="3" t="s">
        <v>25</v>
      </c>
      <c r="F242" s="3" t="s">
        <v>26</v>
      </c>
      <c r="G242" s="17">
        <f>'ABRIL-18'!I239</f>
        <v>2000</v>
      </c>
      <c r="H242" s="51"/>
      <c r="I242" s="17">
        <f t="shared" si="4"/>
        <v>0</v>
      </c>
      <c r="J242" s="45"/>
      <c r="K242" s="324">
        <v>2000</v>
      </c>
    </row>
    <row r="243" spans="1:11" ht="18.75" customHeight="1">
      <c r="A243" s="11" t="s">
        <v>332</v>
      </c>
      <c r="B243" s="145" t="s">
        <v>333</v>
      </c>
      <c r="C243" s="55"/>
      <c r="D243" s="3" t="s">
        <v>11</v>
      </c>
      <c r="E243" s="3" t="s">
        <v>25</v>
      </c>
      <c r="F243" s="3" t="s">
        <v>26</v>
      </c>
      <c r="G243" s="17">
        <f>'ABRIL-18'!I240</f>
        <v>20</v>
      </c>
      <c r="H243" s="51"/>
      <c r="I243" s="17">
        <f t="shared" si="4"/>
        <v>0</v>
      </c>
      <c r="J243" s="45"/>
      <c r="K243" s="324">
        <v>20</v>
      </c>
    </row>
    <row r="244" spans="1:11" ht="18" customHeight="1">
      <c r="A244" s="11" t="s">
        <v>334</v>
      </c>
      <c r="B244" s="145" t="s">
        <v>335</v>
      </c>
      <c r="C244" s="55"/>
      <c r="D244" s="3" t="s">
        <v>11</v>
      </c>
      <c r="E244" s="3" t="s">
        <v>25</v>
      </c>
      <c r="F244" s="3" t="s">
        <v>26</v>
      </c>
      <c r="G244" s="17">
        <f>'ABRIL-18'!I241</f>
        <v>1720.6</v>
      </c>
      <c r="H244" s="51"/>
      <c r="I244" s="17">
        <f t="shared" si="4"/>
        <v>0</v>
      </c>
      <c r="J244" s="45"/>
      <c r="K244" s="324">
        <v>1720.6</v>
      </c>
    </row>
    <row r="245" spans="1:11" ht="24.75" customHeight="1">
      <c r="A245" s="11" t="s">
        <v>336</v>
      </c>
      <c r="B245" s="145" t="s">
        <v>337</v>
      </c>
      <c r="C245" s="55"/>
      <c r="D245" s="3" t="s">
        <v>11</v>
      </c>
      <c r="E245" s="3" t="s">
        <v>25</v>
      </c>
      <c r="F245" s="3" t="s">
        <v>26</v>
      </c>
      <c r="G245" s="17">
        <f>'ABRIL-18'!I242</f>
        <v>3000</v>
      </c>
      <c r="H245" s="51"/>
      <c r="I245" s="17">
        <f t="shared" si="4"/>
        <v>0</v>
      </c>
      <c r="J245" s="45"/>
      <c r="K245" s="324">
        <v>3000</v>
      </c>
    </row>
    <row r="246" spans="1:11" ht="60.75" customHeight="1">
      <c r="A246" s="144" t="s">
        <v>338</v>
      </c>
      <c r="B246" s="54" t="s">
        <v>339</v>
      </c>
      <c r="C246" s="55" t="s">
        <v>1059</v>
      </c>
      <c r="D246" s="3"/>
      <c r="E246" s="3"/>
      <c r="F246" s="3"/>
      <c r="G246" s="17">
        <f>'ABRIL-18'!I243</f>
        <v>0</v>
      </c>
      <c r="H246" s="51"/>
      <c r="I246" s="17"/>
      <c r="J246" s="45"/>
      <c r="K246" s="46"/>
    </row>
    <row r="247" spans="1:11" ht="18.75" customHeight="1">
      <c r="A247" s="11" t="s">
        <v>340</v>
      </c>
      <c r="B247" s="145" t="s">
        <v>344</v>
      </c>
      <c r="C247" s="55"/>
      <c r="D247" s="3" t="s">
        <v>11</v>
      </c>
      <c r="E247" s="3" t="s">
        <v>25</v>
      </c>
      <c r="F247" s="3" t="s">
        <v>26</v>
      </c>
      <c r="G247" s="17">
        <f>'ABRIL-18'!I244</f>
        <v>0</v>
      </c>
      <c r="H247" s="51"/>
      <c r="I247" s="17">
        <f t="shared" si="4"/>
        <v>0</v>
      </c>
      <c r="J247" s="45"/>
      <c r="K247" s="280"/>
    </row>
    <row r="248" spans="1:11" ht="31.5" customHeight="1">
      <c r="A248" s="11" t="s">
        <v>341</v>
      </c>
      <c r="B248" s="145" t="s">
        <v>345</v>
      </c>
      <c r="C248" s="55" t="s">
        <v>1059</v>
      </c>
      <c r="D248" s="3" t="s">
        <v>11</v>
      </c>
      <c r="E248" s="3" t="s">
        <v>25</v>
      </c>
      <c r="F248" s="3" t="s">
        <v>26</v>
      </c>
      <c r="G248" s="17">
        <f>'ABRIL-18'!I245</f>
        <v>0</v>
      </c>
      <c r="H248" s="51"/>
      <c r="I248" s="17">
        <f t="shared" si="4"/>
        <v>0</v>
      </c>
      <c r="J248" s="45"/>
      <c r="K248" s="280"/>
    </row>
    <row r="249" spans="1:11" ht="20.25" customHeight="1">
      <c r="A249" s="11" t="s">
        <v>342</v>
      </c>
      <c r="B249" s="145" t="s">
        <v>346</v>
      </c>
      <c r="C249" s="55"/>
      <c r="D249" s="3" t="s">
        <v>11</v>
      </c>
      <c r="E249" s="3" t="s">
        <v>25</v>
      </c>
      <c r="F249" s="3" t="s">
        <v>26</v>
      </c>
      <c r="G249" s="17">
        <f>'ABRIL-18'!I246</f>
        <v>0</v>
      </c>
      <c r="H249" s="51"/>
      <c r="I249" s="17">
        <f t="shared" si="4"/>
        <v>0</v>
      </c>
      <c r="J249" s="45"/>
      <c r="K249" s="280"/>
    </row>
    <row r="250" spans="1:11" ht="24" customHeight="1">
      <c r="A250" s="11" t="s">
        <v>343</v>
      </c>
      <c r="B250" s="145" t="s">
        <v>347</v>
      </c>
      <c r="C250" s="55"/>
      <c r="D250" s="3" t="s">
        <v>11</v>
      </c>
      <c r="E250" s="3" t="s">
        <v>25</v>
      </c>
      <c r="F250" s="3" t="s">
        <v>26</v>
      </c>
      <c r="G250" s="17">
        <f>'ABRIL-18'!I247</f>
        <v>0</v>
      </c>
      <c r="H250" s="51"/>
      <c r="I250" s="17">
        <f t="shared" si="4"/>
        <v>0</v>
      </c>
      <c r="J250" s="45"/>
      <c r="K250" s="280"/>
    </row>
    <row r="251" spans="1:11" ht="70.5" customHeight="1">
      <c r="A251" s="144" t="s">
        <v>348</v>
      </c>
      <c r="B251" s="54" t="s">
        <v>349</v>
      </c>
      <c r="C251" s="55"/>
      <c r="D251" s="3"/>
      <c r="E251" s="3"/>
      <c r="F251" s="3"/>
      <c r="G251" s="17">
        <f>'ABRIL-18'!I248</f>
        <v>0</v>
      </c>
      <c r="H251" s="51"/>
      <c r="I251" s="17"/>
      <c r="J251" s="45"/>
      <c r="K251" s="46"/>
    </row>
    <row r="252" spans="1:11" ht="23.25" customHeight="1">
      <c r="A252" s="11" t="s">
        <v>350</v>
      </c>
      <c r="B252" s="145" t="s">
        <v>355</v>
      </c>
      <c r="C252" s="55"/>
      <c r="D252" s="3" t="s">
        <v>11</v>
      </c>
      <c r="E252" s="3" t="s">
        <v>25</v>
      </c>
      <c r="F252" s="3" t="s">
        <v>26</v>
      </c>
      <c r="G252" s="17">
        <f>'ABRIL-18'!I249</f>
        <v>7000</v>
      </c>
      <c r="H252" s="51"/>
      <c r="I252" s="17">
        <f t="shared" si="4"/>
        <v>3000</v>
      </c>
      <c r="J252" s="45"/>
      <c r="K252" s="324">
        <v>4000</v>
      </c>
    </row>
    <row r="253" spans="1:11" ht="22.5" customHeight="1">
      <c r="A253" s="11" t="s">
        <v>351</v>
      </c>
      <c r="B253" s="145" t="s">
        <v>354</v>
      </c>
      <c r="C253" s="55"/>
      <c r="D253" s="3" t="s">
        <v>11</v>
      </c>
      <c r="E253" s="3" t="s">
        <v>25</v>
      </c>
      <c r="F253" s="3" t="s">
        <v>26</v>
      </c>
      <c r="G253" s="17">
        <f>'ABRIL-18'!I250</f>
        <v>2000</v>
      </c>
      <c r="H253" s="51"/>
      <c r="I253" s="17">
        <f t="shared" si="4"/>
        <v>1000</v>
      </c>
      <c r="J253" s="45"/>
      <c r="K253" s="324">
        <v>1000</v>
      </c>
    </row>
    <row r="254" spans="1:11" ht="24.75" customHeight="1">
      <c r="A254" s="11" t="s">
        <v>352</v>
      </c>
      <c r="B254" s="145" t="s">
        <v>356</v>
      </c>
      <c r="C254" s="55"/>
      <c r="D254" s="3" t="s">
        <v>11</v>
      </c>
      <c r="E254" s="3" t="s">
        <v>25</v>
      </c>
      <c r="F254" s="3" t="s">
        <v>26</v>
      </c>
      <c r="G254" s="17">
        <f>'ABRIL-18'!I251</f>
        <v>18.7</v>
      </c>
      <c r="H254" s="51"/>
      <c r="I254" s="17">
        <f t="shared" si="4"/>
        <v>18.7</v>
      </c>
      <c r="J254" s="45"/>
      <c r="K254" s="46"/>
    </row>
    <row r="255" spans="1:11" ht="24.75" customHeight="1">
      <c r="A255" s="11" t="s">
        <v>353</v>
      </c>
      <c r="B255" s="145" t="s">
        <v>357</v>
      </c>
      <c r="C255" s="55"/>
      <c r="D255" s="3" t="s">
        <v>11</v>
      </c>
      <c r="E255" s="3" t="s">
        <v>25</v>
      </c>
      <c r="F255" s="3" t="s">
        <v>26</v>
      </c>
      <c r="G255" s="17">
        <f>'ABRIL-18'!I252</f>
        <v>980</v>
      </c>
      <c r="H255" s="51"/>
      <c r="I255" s="17">
        <f t="shared" si="4"/>
        <v>980</v>
      </c>
      <c r="J255" s="45"/>
      <c r="K255" s="46"/>
    </row>
    <row r="256" spans="1:11" ht="59.25" customHeight="1">
      <c r="A256" s="144" t="s">
        <v>358</v>
      </c>
      <c r="B256" s="54" t="s">
        <v>359</v>
      </c>
      <c r="C256" s="55"/>
      <c r="D256" s="3"/>
      <c r="E256" s="3"/>
      <c r="F256" s="3"/>
      <c r="G256" s="17">
        <f>'ABRIL-18'!I253</f>
        <v>0</v>
      </c>
      <c r="H256" s="51"/>
      <c r="I256" s="17"/>
      <c r="J256" s="45"/>
      <c r="K256" s="46"/>
    </row>
    <row r="257" spans="1:11" ht="18.75" customHeight="1">
      <c r="A257" s="11" t="s">
        <v>361</v>
      </c>
      <c r="B257" s="146" t="s">
        <v>360</v>
      </c>
      <c r="C257" s="55"/>
      <c r="D257" s="3" t="s">
        <v>11</v>
      </c>
      <c r="E257" s="3" t="s">
        <v>25</v>
      </c>
      <c r="F257" s="3" t="s">
        <v>26</v>
      </c>
      <c r="G257" s="17">
        <f>'ABRIL-18'!I254</f>
        <v>3000</v>
      </c>
      <c r="H257" s="51"/>
      <c r="I257" s="17">
        <f t="shared" si="4"/>
        <v>3000</v>
      </c>
      <c r="J257" s="45"/>
      <c r="K257" s="46"/>
    </row>
    <row r="258" spans="1:11" ht="18.75" customHeight="1">
      <c r="A258" s="11" t="s">
        <v>362</v>
      </c>
      <c r="B258" s="145" t="s">
        <v>365</v>
      </c>
      <c r="C258" s="55"/>
      <c r="D258" s="3" t="s">
        <v>11</v>
      </c>
      <c r="E258" s="3" t="s">
        <v>25</v>
      </c>
      <c r="F258" s="3" t="s">
        <v>26</v>
      </c>
      <c r="G258" s="17">
        <f>'ABRIL-18'!I255</f>
        <v>500</v>
      </c>
      <c r="H258" s="51"/>
      <c r="I258" s="17">
        <f t="shared" si="4"/>
        <v>500</v>
      </c>
      <c r="J258" s="45"/>
      <c r="K258" s="46"/>
    </row>
    <row r="259" spans="1:11" ht="24.75" customHeight="1">
      <c r="A259" s="11" t="s">
        <v>363</v>
      </c>
      <c r="B259" s="145" t="s">
        <v>366</v>
      </c>
      <c r="C259" s="55"/>
      <c r="D259" s="3" t="s">
        <v>11</v>
      </c>
      <c r="E259" s="3" t="s">
        <v>25</v>
      </c>
      <c r="F259" s="3" t="s">
        <v>26</v>
      </c>
      <c r="G259" s="17">
        <f>'ABRIL-18'!I256</f>
        <v>200</v>
      </c>
      <c r="H259" s="51"/>
      <c r="I259" s="17">
        <f t="shared" si="4"/>
        <v>200</v>
      </c>
      <c r="J259" s="45"/>
      <c r="K259" s="46"/>
    </row>
    <row r="260" spans="1:11" ht="28.5" customHeight="1">
      <c r="A260" s="11" t="s">
        <v>364</v>
      </c>
      <c r="B260" s="146" t="s">
        <v>367</v>
      </c>
      <c r="C260" s="55"/>
      <c r="D260" s="3" t="s">
        <v>11</v>
      </c>
      <c r="E260" s="3" t="s">
        <v>25</v>
      </c>
      <c r="F260" s="3" t="s">
        <v>26</v>
      </c>
      <c r="G260" s="17">
        <f>'ABRIL-18'!I257</f>
        <v>7280</v>
      </c>
      <c r="H260" s="51"/>
      <c r="I260" s="17">
        <f t="shared" si="4"/>
        <v>7280</v>
      </c>
      <c r="J260" s="45"/>
      <c r="K260" s="46"/>
    </row>
    <row r="261" spans="1:11" ht="27.75" customHeight="1">
      <c r="A261" s="11" t="s">
        <v>368</v>
      </c>
      <c r="B261" s="145" t="s">
        <v>369</v>
      </c>
      <c r="C261" s="55"/>
      <c r="D261" s="3" t="s">
        <v>11</v>
      </c>
      <c r="E261" s="3" t="s">
        <v>25</v>
      </c>
      <c r="F261" s="3" t="s">
        <v>26</v>
      </c>
      <c r="G261" s="17">
        <f>'ABRIL-18'!I258</f>
        <v>3000</v>
      </c>
      <c r="H261" s="51"/>
      <c r="I261" s="17">
        <f t="shared" si="4"/>
        <v>3000</v>
      </c>
      <c r="J261" s="45"/>
      <c r="K261" s="46"/>
    </row>
    <row r="262" spans="1:11" ht="23.25" customHeight="1">
      <c r="A262" s="11" t="s">
        <v>370</v>
      </c>
      <c r="B262" s="145" t="s">
        <v>371</v>
      </c>
      <c r="C262" s="55"/>
      <c r="D262" s="3" t="s">
        <v>11</v>
      </c>
      <c r="E262" s="3" t="s">
        <v>25</v>
      </c>
      <c r="F262" s="3" t="s">
        <v>26</v>
      </c>
      <c r="G262" s="17">
        <f>'ABRIL-18'!I259</f>
        <v>1000</v>
      </c>
      <c r="H262" s="51"/>
      <c r="I262" s="17">
        <f t="shared" si="4"/>
        <v>1000</v>
      </c>
      <c r="J262" s="45"/>
      <c r="K262" s="46"/>
    </row>
    <row r="263" spans="1:11" ht="24" customHeight="1">
      <c r="A263" s="11" t="s">
        <v>372</v>
      </c>
      <c r="B263" s="145" t="s">
        <v>373</v>
      </c>
      <c r="C263" s="55"/>
      <c r="D263" s="3" t="s">
        <v>11</v>
      </c>
      <c r="E263" s="3" t="s">
        <v>25</v>
      </c>
      <c r="F263" s="3" t="s">
        <v>26</v>
      </c>
      <c r="G263" s="17">
        <f>'ABRIL-18'!I260</f>
        <v>20</v>
      </c>
      <c r="H263" s="51"/>
      <c r="I263" s="17">
        <f t="shared" si="4"/>
        <v>20</v>
      </c>
      <c r="J263" s="45"/>
      <c r="K263" s="46"/>
    </row>
    <row r="264" spans="1:11" ht="83.25" customHeight="1">
      <c r="A264" s="144" t="s">
        <v>374</v>
      </c>
      <c r="B264" s="54" t="s">
        <v>375</v>
      </c>
      <c r="C264" s="55"/>
      <c r="D264" s="3"/>
      <c r="E264" s="3"/>
      <c r="F264" s="3"/>
      <c r="G264" s="17">
        <f>'ABRIL-18'!I261</f>
        <v>0</v>
      </c>
      <c r="H264" s="51"/>
      <c r="I264" s="17"/>
      <c r="J264" s="45"/>
      <c r="K264" s="46"/>
    </row>
    <row r="265" spans="1:11" ht="24" customHeight="1">
      <c r="A265" s="11" t="s">
        <v>376</v>
      </c>
      <c r="B265" s="146" t="s">
        <v>377</v>
      </c>
      <c r="C265" s="55"/>
      <c r="D265" s="3" t="s">
        <v>11</v>
      </c>
      <c r="E265" s="3" t="s">
        <v>25</v>
      </c>
      <c r="F265" s="3" t="s">
        <v>26</v>
      </c>
      <c r="G265" s="17">
        <f>'ABRIL-18'!I262</f>
        <v>5000</v>
      </c>
      <c r="H265" s="51"/>
      <c r="I265" s="17">
        <f t="shared" si="4"/>
        <v>4000</v>
      </c>
      <c r="J265" s="45"/>
      <c r="K265" s="324">
        <v>1000</v>
      </c>
    </row>
    <row r="266" spans="1:11" ht="28.5" customHeight="1">
      <c r="A266" s="11" t="s">
        <v>383</v>
      </c>
      <c r="B266" s="145" t="s">
        <v>378</v>
      </c>
      <c r="C266" s="55"/>
      <c r="D266" s="3" t="s">
        <v>11</v>
      </c>
      <c r="E266" s="3" t="s">
        <v>25</v>
      </c>
      <c r="F266" s="3" t="s">
        <v>26</v>
      </c>
      <c r="G266" s="17">
        <f>'ABRIL-18'!I263</f>
        <v>200</v>
      </c>
      <c r="H266" s="51"/>
      <c r="I266" s="17">
        <f t="shared" si="4"/>
        <v>200</v>
      </c>
      <c r="J266" s="45"/>
      <c r="K266" s="324"/>
    </row>
    <row r="267" spans="1:11" ht="33" customHeight="1">
      <c r="A267" s="11" t="s">
        <v>384</v>
      </c>
      <c r="B267" s="146" t="s">
        <v>379</v>
      </c>
      <c r="C267" s="55"/>
      <c r="D267" s="3" t="s">
        <v>11</v>
      </c>
      <c r="E267" s="3" t="s">
        <v>25</v>
      </c>
      <c r="F267" s="3" t="s">
        <v>26</v>
      </c>
      <c r="G267" s="17">
        <f>'ABRIL-18'!I264</f>
        <v>6000</v>
      </c>
      <c r="H267" s="51"/>
      <c r="I267" s="17">
        <f t="shared" si="4"/>
        <v>3000</v>
      </c>
      <c r="J267" s="45"/>
      <c r="K267" s="324">
        <v>3000</v>
      </c>
    </row>
    <row r="268" spans="1:11" ht="41.25" customHeight="1">
      <c r="A268" s="11" t="s">
        <v>385</v>
      </c>
      <c r="B268" s="145" t="s">
        <v>380</v>
      </c>
      <c r="C268" s="55"/>
      <c r="D268" s="3" t="s">
        <v>11</v>
      </c>
      <c r="E268" s="3" t="s">
        <v>25</v>
      </c>
      <c r="F268" s="3" t="s">
        <v>26</v>
      </c>
      <c r="G268" s="17">
        <f>'ABRIL-18'!I265</f>
        <v>2000</v>
      </c>
      <c r="H268" s="51"/>
      <c r="I268" s="17">
        <f t="shared" si="4"/>
        <v>1000</v>
      </c>
      <c r="J268" s="45"/>
      <c r="K268" s="324">
        <v>1000</v>
      </c>
    </row>
    <row r="269" spans="1:11" ht="30" customHeight="1">
      <c r="A269" s="11" t="s">
        <v>386</v>
      </c>
      <c r="B269" s="145" t="s">
        <v>381</v>
      </c>
      <c r="C269" s="55"/>
      <c r="D269" s="3" t="s">
        <v>11</v>
      </c>
      <c r="E269" s="3" t="s">
        <v>25</v>
      </c>
      <c r="F269" s="3" t="s">
        <v>26</v>
      </c>
      <c r="G269" s="17">
        <f>'ABRIL-18'!I266</f>
        <v>1780</v>
      </c>
      <c r="H269" s="51"/>
      <c r="I269" s="17">
        <f t="shared" si="4"/>
        <v>1780</v>
      </c>
      <c r="J269" s="45"/>
      <c r="K269" s="46"/>
    </row>
    <row r="270" spans="1:11" ht="27" customHeight="1">
      <c r="A270" s="11" t="s">
        <v>387</v>
      </c>
      <c r="B270" s="145" t="s">
        <v>382</v>
      </c>
      <c r="C270" s="6"/>
      <c r="D270" s="3" t="s">
        <v>11</v>
      </c>
      <c r="E270" s="3" t="s">
        <v>25</v>
      </c>
      <c r="F270" s="3" t="s">
        <v>26</v>
      </c>
      <c r="G270" s="17">
        <f>'ABRIL-18'!I267</f>
        <v>20</v>
      </c>
      <c r="H270" s="51"/>
      <c r="I270" s="17">
        <f t="shared" si="3"/>
        <v>20</v>
      </c>
      <c r="J270" s="45"/>
      <c r="K270" s="46"/>
    </row>
    <row r="271" spans="1:11" ht="143.25" customHeight="1">
      <c r="A271" s="144" t="s">
        <v>388</v>
      </c>
      <c r="B271" s="54" t="s">
        <v>391</v>
      </c>
      <c r="C271" s="55"/>
      <c r="D271" s="14"/>
      <c r="E271" s="14"/>
      <c r="F271" s="14"/>
      <c r="G271" s="17">
        <f>'ABRIL-18'!I268</f>
        <v>0</v>
      </c>
      <c r="H271" s="51"/>
      <c r="I271" s="17"/>
      <c r="J271" s="62"/>
      <c r="K271" s="63"/>
    </row>
    <row r="272" spans="1:11" ht="29.25">
      <c r="A272" s="11" t="s">
        <v>389</v>
      </c>
      <c r="B272" s="54" t="s">
        <v>390</v>
      </c>
      <c r="C272" s="55"/>
      <c r="D272" s="14" t="s">
        <v>11</v>
      </c>
      <c r="E272" s="14" t="s">
        <v>25</v>
      </c>
      <c r="F272" s="14" t="s">
        <v>26</v>
      </c>
      <c r="G272" s="17">
        <f>'ABRIL-18'!I269</f>
        <v>10000</v>
      </c>
      <c r="H272" s="51"/>
      <c r="I272" s="17">
        <f t="shared" si="3"/>
        <v>5000</v>
      </c>
      <c r="J272" s="62"/>
      <c r="K272" s="324">
        <v>5000</v>
      </c>
    </row>
    <row r="273" spans="1:11" ht="68.25" customHeight="1">
      <c r="A273" s="144" t="s">
        <v>392</v>
      </c>
      <c r="B273" s="54" t="s">
        <v>393</v>
      </c>
      <c r="C273" s="343" t="s">
        <v>1114</v>
      </c>
      <c r="D273" s="14"/>
      <c r="E273" s="14"/>
      <c r="F273" s="14"/>
      <c r="G273" s="17">
        <f>'ABRIL-18'!I270</f>
        <v>0</v>
      </c>
      <c r="H273" s="51"/>
      <c r="I273" s="17"/>
      <c r="J273" s="62"/>
      <c r="K273" s="63"/>
    </row>
    <row r="274" spans="1:11">
      <c r="A274" s="11">
        <v>51999</v>
      </c>
      <c r="B274" s="54" t="s">
        <v>394</v>
      </c>
      <c r="C274" s="55"/>
      <c r="D274" s="14" t="s">
        <v>11</v>
      </c>
      <c r="E274" s="14" t="s">
        <v>25</v>
      </c>
      <c r="F274" s="14" t="s">
        <v>26</v>
      </c>
      <c r="G274" s="17">
        <f>'ABRIL-18'!I271</f>
        <v>725</v>
      </c>
      <c r="H274" s="51"/>
      <c r="I274" s="17">
        <f t="shared" si="3"/>
        <v>725</v>
      </c>
      <c r="J274" s="108"/>
      <c r="K274" s="63"/>
    </row>
    <row r="275" spans="1:11" ht="29.25">
      <c r="A275" s="11">
        <v>54112</v>
      </c>
      <c r="B275" s="54" t="s">
        <v>395</v>
      </c>
      <c r="C275" s="55"/>
      <c r="D275" s="14" t="s">
        <v>11</v>
      </c>
      <c r="E275" s="14" t="s">
        <v>25</v>
      </c>
      <c r="F275" s="14" t="s">
        <v>26</v>
      </c>
      <c r="G275" s="17">
        <f>'ABRIL-18'!I272</f>
        <v>2000</v>
      </c>
      <c r="H275" s="51"/>
      <c r="I275" s="17">
        <f t="shared" si="3"/>
        <v>2000</v>
      </c>
      <c r="J275" s="62"/>
      <c r="K275" s="63"/>
    </row>
    <row r="276" spans="1:11" ht="29.25">
      <c r="A276" s="11">
        <v>54199</v>
      </c>
      <c r="B276" s="54" t="s">
        <v>396</v>
      </c>
      <c r="C276" s="55"/>
      <c r="D276" s="14" t="s">
        <v>11</v>
      </c>
      <c r="E276" s="14" t="s">
        <v>25</v>
      </c>
      <c r="F276" s="14" t="s">
        <v>26</v>
      </c>
      <c r="G276" s="17">
        <f>'ABRIL-18'!I273</f>
        <v>1000</v>
      </c>
      <c r="H276" s="51"/>
      <c r="I276" s="17">
        <f t="shared" ref="I276:I331" si="5">G276-H276+J276-K276</f>
        <v>1000</v>
      </c>
      <c r="J276" s="62"/>
      <c r="K276" s="63"/>
    </row>
    <row r="277" spans="1:11">
      <c r="A277" s="11">
        <v>54305</v>
      </c>
      <c r="B277" s="54" t="s">
        <v>397</v>
      </c>
      <c r="C277" s="55"/>
      <c r="D277" s="14" t="s">
        <v>11</v>
      </c>
      <c r="E277" s="14" t="s">
        <v>25</v>
      </c>
      <c r="F277" s="14" t="s">
        <v>26</v>
      </c>
      <c r="G277" s="17">
        <f>'ABRIL-18'!I274</f>
        <v>5091.2</v>
      </c>
      <c r="H277" s="51"/>
      <c r="I277" s="17">
        <f t="shared" si="5"/>
        <v>5091.2</v>
      </c>
      <c r="J277" s="62"/>
      <c r="K277" s="108"/>
    </row>
    <row r="278" spans="1:11" ht="30">
      <c r="A278" s="11">
        <v>54313</v>
      </c>
      <c r="B278" s="54" t="s">
        <v>398</v>
      </c>
      <c r="C278" s="55" t="s">
        <v>1064</v>
      </c>
      <c r="D278" s="14" t="s">
        <v>11</v>
      </c>
      <c r="E278" s="14" t="s">
        <v>25</v>
      </c>
      <c r="F278" s="14" t="s">
        <v>26</v>
      </c>
      <c r="G278" s="17">
        <f>'ABRIL-18'!I275</f>
        <v>267</v>
      </c>
      <c r="H278" s="51"/>
      <c r="I278" s="17">
        <f t="shared" si="5"/>
        <v>267</v>
      </c>
      <c r="J278" s="62"/>
      <c r="K278" s="63"/>
    </row>
    <row r="279" spans="1:11" ht="30">
      <c r="A279" s="11">
        <v>54399</v>
      </c>
      <c r="B279" s="54" t="s">
        <v>399</v>
      </c>
      <c r="C279" s="55"/>
      <c r="D279" s="14" t="s">
        <v>11</v>
      </c>
      <c r="E279" s="14" t="s">
        <v>25</v>
      </c>
      <c r="F279" s="14" t="s">
        <v>26</v>
      </c>
      <c r="G279" s="17">
        <f>'ABRIL-18'!I276</f>
        <v>2000</v>
      </c>
      <c r="H279" s="51"/>
      <c r="I279" s="17">
        <f t="shared" si="5"/>
        <v>2000</v>
      </c>
      <c r="J279" s="62"/>
      <c r="K279" s="63"/>
    </row>
    <row r="280" spans="1:11" ht="30">
      <c r="A280" s="11">
        <v>55603</v>
      </c>
      <c r="B280" s="54" t="s">
        <v>400</v>
      </c>
      <c r="C280" s="55"/>
      <c r="D280" s="14" t="s">
        <v>11</v>
      </c>
      <c r="E280" s="14" t="s">
        <v>25</v>
      </c>
      <c r="F280" s="14" t="s">
        <v>26</v>
      </c>
      <c r="G280" s="17">
        <f>'ABRIL-18'!I277</f>
        <v>17</v>
      </c>
      <c r="H280" s="370"/>
      <c r="I280" s="17">
        <f t="shared" si="5"/>
        <v>17</v>
      </c>
      <c r="J280" s="62"/>
      <c r="K280" s="63"/>
    </row>
    <row r="281" spans="1:11" ht="75.75" customHeight="1">
      <c r="A281" s="144" t="s">
        <v>401</v>
      </c>
      <c r="B281" s="54" t="s">
        <v>402</v>
      </c>
      <c r="C281" s="55" t="s">
        <v>1063</v>
      </c>
      <c r="D281" s="14"/>
      <c r="E281" s="14"/>
      <c r="F281" s="14"/>
      <c r="G281" s="17">
        <f>'ABRIL-18'!I278</f>
        <v>0</v>
      </c>
      <c r="H281" s="51"/>
      <c r="I281" s="17"/>
      <c r="J281" s="62"/>
      <c r="K281" s="63"/>
    </row>
    <row r="282" spans="1:11" ht="20.25" customHeight="1">
      <c r="A282" s="147">
        <v>54119</v>
      </c>
      <c r="B282" s="145" t="s">
        <v>403</v>
      </c>
      <c r="C282" s="55" t="s">
        <v>1063</v>
      </c>
      <c r="D282" s="14" t="s">
        <v>11</v>
      </c>
      <c r="E282" s="14" t="s">
        <v>25</v>
      </c>
      <c r="F282" s="14" t="s">
        <v>26</v>
      </c>
      <c r="G282" s="17">
        <f>'ABRIL-18'!I279</f>
        <v>391.02999999999884</v>
      </c>
      <c r="H282" s="51"/>
      <c r="I282" s="17">
        <f t="shared" si="5"/>
        <v>5391.0299999999988</v>
      </c>
      <c r="J282" s="108">
        <v>5000</v>
      </c>
      <c r="K282" s="63"/>
    </row>
    <row r="283" spans="1:11" ht="39.75" customHeight="1">
      <c r="A283" s="147">
        <v>51999</v>
      </c>
      <c r="B283" s="145" t="s">
        <v>1051</v>
      </c>
      <c r="C283" s="55" t="s">
        <v>1063</v>
      </c>
      <c r="D283" s="14" t="s">
        <v>11</v>
      </c>
      <c r="E283" s="14" t="s">
        <v>25</v>
      </c>
      <c r="F283" s="14" t="s">
        <v>26</v>
      </c>
      <c r="G283" s="17">
        <f>'ABRIL-18'!I280</f>
        <v>823.67000000000007</v>
      </c>
      <c r="H283" s="51"/>
      <c r="I283" s="17">
        <f t="shared" si="5"/>
        <v>1503.67</v>
      </c>
      <c r="J283" s="108">
        <v>680</v>
      </c>
      <c r="K283" s="63"/>
    </row>
    <row r="284" spans="1:11" ht="24">
      <c r="A284" s="147">
        <v>54112</v>
      </c>
      <c r="B284" s="145" t="s">
        <v>404</v>
      </c>
      <c r="C284" s="55"/>
      <c r="D284" s="14" t="s">
        <v>11</v>
      </c>
      <c r="E284" s="14" t="s">
        <v>25</v>
      </c>
      <c r="F284" s="14" t="s">
        <v>26</v>
      </c>
      <c r="G284" s="17">
        <f>'ABRIL-18'!I281</f>
        <v>0</v>
      </c>
      <c r="H284" s="51"/>
      <c r="I284" s="17">
        <f t="shared" si="5"/>
        <v>0</v>
      </c>
      <c r="J284" s="62"/>
      <c r="K284" s="302"/>
    </row>
    <row r="285" spans="1:11" ht="22.5" customHeight="1">
      <c r="A285" s="147">
        <v>54199</v>
      </c>
      <c r="B285" s="145" t="s">
        <v>405</v>
      </c>
      <c r="C285" s="55"/>
      <c r="D285" s="14" t="s">
        <v>11</v>
      </c>
      <c r="E285" s="14" t="s">
        <v>25</v>
      </c>
      <c r="F285" s="14" t="s">
        <v>26</v>
      </c>
      <c r="G285" s="17">
        <f>'ABRIL-18'!I282</f>
        <v>0</v>
      </c>
      <c r="H285" s="51"/>
      <c r="I285" s="17">
        <f t="shared" si="5"/>
        <v>0</v>
      </c>
      <c r="J285" s="62"/>
      <c r="K285" s="302"/>
    </row>
    <row r="286" spans="1:11" ht="24">
      <c r="A286" s="147">
        <v>54399</v>
      </c>
      <c r="B286" s="145" t="s">
        <v>406</v>
      </c>
      <c r="C286" s="55"/>
      <c r="D286" s="14" t="s">
        <v>11</v>
      </c>
      <c r="E286" s="14" t="s">
        <v>25</v>
      </c>
      <c r="F286" s="14" t="s">
        <v>26</v>
      </c>
      <c r="G286" s="17">
        <f>'ABRIL-18'!I283</f>
        <v>680</v>
      </c>
      <c r="H286" s="51"/>
      <c r="I286" s="17">
        <f t="shared" si="5"/>
        <v>680</v>
      </c>
      <c r="J286" s="62"/>
      <c r="K286" s="302"/>
    </row>
    <row r="287" spans="1:11" ht="23.25" customHeight="1">
      <c r="A287" s="147">
        <v>55603</v>
      </c>
      <c r="B287" s="145" t="s">
        <v>407</v>
      </c>
      <c r="C287" s="55"/>
      <c r="D287" s="14" t="s">
        <v>11</v>
      </c>
      <c r="E287" s="14" t="s">
        <v>25</v>
      </c>
      <c r="F287" s="14" t="s">
        <v>26</v>
      </c>
      <c r="G287" s="17">
        <f>'ABRIL-18'!I284</f>
        <v>6.9999999999999991</v>
      </c>
      <c r="H287" s="309"/>
      <c r="I287" s="17">
        <f t="shared" si="5"/>
        <v>6.9999999999999991</v>
      </c>
      <c r="J287" s="62"/>
      <c r="K287" s="63"/>
    </row>
    <row r="288" spans="1:11" s="213" customFormat="1" ht="58.5" customHeight="1">
      <c r="A288" s="144" t="s">
        <v>408</v>
      </c>
      <c r="B288" s="54" t="s">
        <v>409</v>
      </c>
      <c r="C288" s="55" t="s">
        <v>1062</v>
      </c>
      <c r="D288" s="14"/>
      <c r="E288" s="14"/>
      <c r="F288" s="14"/>
      <c r="G288" s="17">
        <f>'ABRIL-18'!I285</f>
        <v>0</v>
      </c>
      <c r="H288" s="51"/>
      <c r="I288" s="17"/>
      <c r="J288" s="62"/>
      <c r="K288" s="63"/>
    </row>
    <row r="289" spans="1:11" ht="29.25">
      <c r="A289" s="11">
        <v>51999</v>
      </c>
      <c r="B289" s="54" t="s">
        <v>410</v>
      </c>
      <c r="C289" s="55"/>
      <c r="D289" s="14" t="s">
        <v>11</v>
      </c>
      <c r="E289" s="14" t="s">
        <v>25</v>
      </c>
      <c r="F289" s="14" t="s">
        <v>26</v>
      </c>
      <c r="G289" s="17">
        <f>'ABRIL-18'!I286</f>
        <v>4000</v>
      </c>
      <c r="H289" s="51"/>
      <c r="I289" s="17">
        <f t="shared" si="5"/>
        <v>4000</v>
      </c>
      <c r="J289" s="62"/>
      <c r="K289" s="63"/>
    </row>
    <row r="290" spans="1:11" ht="29.25">
      <c r="A290" s="11">
        <v>54111</v>
      </c>
      <c r="B290" s="54" t="s">
        <v>411</v>
      </c>
      <c r="C290" s="55"/>
      <c r="D290" s="14" t="s">
        <v>11</v>
      </c>
      <c r="E290" s="14" t="s">
        <v>25</v>
      </c>
      <c r="F290" s="14" t="s">
        <v>26</v>
      </c>
      <c r="G290" s="17">
        <f>'ABRIL-18'!I287</f>
        <v>2933.08</v>
      </c>
      <c r="H290" s="51"/>
      <c r="I290" s="17">
        <f t="shared" si="5"/>
        <v>2933.08</v>
      </c>
      <c r="J290" s="62"/>
      <c r="K290" s="63"/>
    </row>
    <row r="291" spans="1:11" ht="29.25">
      <c r="A291" s="11">
        <v>54112</v>
      </c>
      <c r="B291" s="54" t="s">
        <v>412</v>
      </c>
      <c r="C291" s="55"/>
      <c r="D291" s="14" t="s">
        <v>11</v>
      </c>
      <c r="E291" s="14" t="s">
        <v>25</v>
      </c>
      <c r="F291" s="14" t="s">
        <v>26</v>
      </c>
      <c r="G291" s="17">
        <f>'ABRIL-18'!I288</f>
        <v>1969.55</v>
      </c>
      <c r="H291" s="51"/>
      <c r="I291" s="17">
        <f t="shared" si="5"/>
        <v>1969.55</v>
      </c>
      <c r="J291" s="62"/>
      <c r="K291" s="63"/>
    </row>
    <row r="292" spans="1:11" ht="30">
      <c r="A292" s="11">
        <v>54118</v>
      </c>
      <c r="B292" s="54" t="s">
        <v>413</v>
      </c>
      <c r="C292" s="55" t="s">
        <v>1062</v>
      </c>
      <c r="D292" s="14" t="s">
        <v>11</v>
      </c>
      <c r="E292" s="14" t="s">
        <v>25</v>
      </c>
      <c r="F292" s="14" t="s">
        <v>26</v>
      </c>
      <c r="G292" s="17">
        <f>'ABRIL-18'!I289</f>
        <v>3902.7599999999998</v>
      </c>
      <c r="H292" s="51"/>
      <c r="I292" s="17">
        <f t="shared" si="5"/>
        <v>3902.7599999999998</v>
      </c>
      <c r="J292" s="62"/>
      <c r="K292" s="63"/>
    </row>
    <row r="293" spans="1:11" ht="29.25">
      <c r="A293" s="11">
        <v>54199</v>
      </c>
      <c r="B293" s="54" t="s">
        <v>414</v>
      </c>
      <c r="C293" s="55"/>
      <c r="D293" s="14" t="s">
        <v>11</v>
      </c>
      <c r="E293" s="14" t="s">
        <v>25</v>
      </c>
      <c r="F293" s="14" t="s">
        <v>26</v>
      </c>
      <c r="G293" s="17">
        <f>'ABRIL-18'!I290</f>
        <v>987</v>
      </c>
      <c r="H293" s="51"/>
      <c r="I293" s="17">
        <f t="shared" si="5"/>
        <v>987</v>
      </c>
      <c r="J293" s="62"/>
      <c r="K293" s="63"/>
    </row>
    <row r="294" spans="1:11" ht="30">
      <c r="A294" s="11">
        <v>54301</v>
      </c>
      <c r="B294" s="54" t="s">
        <v>415</v>
      </c>
      <c r="C294" s="55"/>
      <c r="D294" s="14" t="s">
        <v>11</v>
      </c>
      <c r="E294" s="14" t="s">
        <v>25</v>
      </c>
      <c r="F294" s="14" t="s">
        <v>26</v>
      </c>
      <c r="G294" s="17">
        <f>'ABRIL-18'!I291</f>
        <v>3000</v>
      </c>
      <c r="H294" s="51"/>
      <c r="I294" s="17">
        <f t="shared" si="5"/>
        <v>3000</v>
      </c>
      <c r="J294" s="62"/>
      <c r="K294" s="63"/>
    </row>
    <row r="295" spans="1:11" ht="30">
      <c r="A295" s="11">
        <v>54399</v>
      </c>
      <c r="B295" s="54" t="s">
        <v>416</v>
      </c>
      <c r="C295" s="55"/>
      <c r="D295" s="14" t="s">
        <v>11</v>
      </c>
      <c r="E295" s="14" t="s">
        <v>25</v>
      </c>
      <c r="F295" s="14" t="s">
        <v>26</v>
      </c>
      <c r="G295" s="17">
        <f>'ABRIL-18'!I292</f>
        <v>1813.5</v>
      </c>
      <c r="H295" s="51"/>
      <c r="I295" s="17">
        <f t="shared" si="5"/>
        <v>1813.5</v>
      </c>
      <c r="J295" s="62"/>
      <c r="K295" s="63"/>
    </row>
    <row r="296" spans="1:11" ht="29.25">
      <c r="A296" s="11">
        <v>55603</v>
      </c>
      <c r="B296" s="54" t="s">
        <v>417</v>
      </c>
      <c r="C296" s="55"/>
      <c r="D296" s="14" t="s">
        <v>11</v>
      </c>
      <c r="E296" s="14" t="s">
        <v>25</v>
      </c>
      <c r="F296" s="14" t="s">
        <v>26</v>
      </c>
      <c r="G296" s="17">
        <f>'ABRIL-18'!I293</f>
        <v>8.6999999999999993</v>
      </c>
      <c r="H296" s="51"/>
      <c r="I296" s="17">
        <f t="shared" si="5"/>
        <v>8.6999999999999993</v>
      </c>
      <c r="J296" s="62"/>
      <c r="K296" s="63"/>
    </row>
    <row r="297" spans="1:11" ht="64.5" customHeight="1">
      <c r="A297" s="144" t="s">
        <v>418</v>
      </c>
      <c r="B297" s="54" t="s">
        <v>419</v>
      </c>
      <c r="C297" s="55" t="s">
        <v>1061</v>
      </c>
      <c r="D297" s="14"/>
      <c r="E297" s="14"/>
      <c r="F297" s="14"/>
      <c r="G297" s="17">
        <f>'ABRIL-18'!I294</f>
        <v>0</v>
      </c>
      <c r="H297" s="51"/>
      <c r="I297" s="17"/>
      <c r="J297" s="62"/>
      <c r="K297" s="63"/>
    </row>
    <row r="298" spans="1:11" ht="20.25" customHeight="1">
      <c r="A298" s="11">
        <v>51202</v>
      </c>
      <c r="B298" s="54" t="s">
        <v>420</v>
      </c>
      <c r="C298" s="55"/>
      <c r="D298" s="14" t="s">
        <v>11</v>
      </c>
      <c r="E298" s="14" t="s">
        <v>25</v>
      </c>
      <c r="F298" s="14" t="s">
        <v>26</v>
      </c>
      <c r="G298" s="17">
        <f>'ABRIL-18'!I295</f>
        <v>10000</v>
      </c>
      <c r="H298" s="51"/>
      <c r="I298" s="17">
        <f t="shared" si="5"/>
        <v>2500</v>
      </c>
      <c r="J298" s="62"/>
      <c r="K298" s="320">
        <v>7500</v>
      </c>
    </row>
    <row r="299" spans="1:11" ht="25.5" customHeight="1">
      <c r="A299" s="11">
        <v>54110</v>
      </c>
      <c r="B299" s="54" t="s">
        <v>421</v>
      </c>
      <c r="C299" s="55"/>
      <c r="D299" s="14" t="s">
        <v>11</v>
      </c>
      <c r="E299" s="14" t="s">
        <v>25</v>
      </c>
      <c r="F299" s="14" t="s">
        <v>26</v>
      </c>
      <c r="G299" s="17">
        <f>'ABRIL-18'!I296</f>
        <v>5000</v>
      </c>
      <c r="H299" s="51"/>
      <c r="I299" s="17">
        <f t="shared" si="5"/>
        <v>5000</v>
      </c>
      <c r="J299" s="62"/>
      <c r="K299" s="320"/>
    </row>
    <row r="300" spans="1:11" ht="29.25">
      <c r="A300" s="11">
        <v>54111</v>
      </c>
      <c r="B300" s="54" t="s">
        <v>422</v>
      </c>
      <c r="C300" s="55" t="s">
        <v>1061</v>
      </c>
      <c r="D300" s="14" t="s">
        <v>11</v>
      </c>
      <c r="E300" s="14" t="s">
        <v>25</v>
      </c>
      <c r="F300" s="14" t="s">
        <v>26</v>
      </c>
      <c r="G300" s="17">
        <f>'ABRIL-18'!I297</f>
        <v>5057</v>
      </c>
      <c r="H300" s="51"/>
      <c r="I300" s="17">
        <f t="shared" si="5"/>
        <v>5057</v>
      </c>
      <c r="J300" s="108"/>
      <c r="K300" s="320"/>
    </row>
    <row r="301" spans="1:11" ht="29.25">
      <c r="A301" s="11">
        <v>54112</v>
      </c>
      <c r="B301" s="54" t="s">
        <v>423</v>
      </c>
      <c r="C301" s="55"/>
      <c r="D301" s="14" t="s">
        <v>11</v>
      </c>
      <c r="E301" s="14" t="s">
        <v>25</v>
      </c>
      <c r="F301" s="14" t="s">
        <v>26</v>
      </c>
      <c r="G301" s="17">
        <f>'ABRIL-18'!I298</f>
        <v>9981.25</v>
      </c>
      <c r="H301" s="51"/>
      <c r="I301" s="17">
        <f t="shared" si="5"/>
        <v>2481.25</v>
      </c>
      <c r="J301" s="62"/>
      <c r="K301" s="320">
        <v>7500</v>
      </c>
    </row>
    <row r="302" spans="1:11" ht="29.25">
      <c r="A302" s="11">
        <v>54313</v>
      </c>
      <c r="B302" s="54" t="s">
        <v>424</v>
      </c>
      <c r="C302" s="55"/>
      <c r="D302" s="14" t="s">
        <v>11</v>
      </c>
      <c r="E302" s="14" t="s">
        <v>25</v>
      </c>
      <c r="F302" s="14" t="s">
        <v>26</v>
      </c>
      <c r="G302" s="17">
        <f>'ABRIL-18'!I299</f>
        <v>490</v>
      </c>
      <c r="H302" s="51"/>
      <c r="I302" s="17">
        <f t="shared" si="5"/>
        <v>490</v>
      </c>
      <c r="J302" s="62"/>
      <c r="K302" s="63"/>
    </row>
    <row r="303" spans="1:11" ht="29.25">
      <c r="A303" s="11">
        <v>54316</v>
      </c>
      <c r="B303" s="54" t="s">
        <v>425</v>
      </c>
      <c r="C303" s="55" t="s">
        <v>1061</v>
      </c>
      <c r="D303" s="14" t="s">
        <v>11</v>
      </c>
      <c r="E303" s="14" t="s">
        <v>25</v>
      </c>
      <c r="F303" s="14" t="s">
        <v>26</v>
      </c>
      <c r="G303" s="17">
        <f>'ABRIL-18'!I300</f>
        <v>270</v>
      </c>
      <c r="H303" s="51"/>
      <c r="I303" s="17">
        <f t="shared" si="5"/>
        <v>270</v>
      </c>
      <c r="J303" s="108"/>
      <c r="K303" s="63"/>
    </row>
    <row r="304" spans="1:11" ht="30">
      <c r="A304" s="11">
        <v>54399</v>
      </c>
      <c r="B304" s="54" t="s">
        <v>426</v>
      </c>
      <c r="C304" s="55"/>
      <c r="D304" s="14" t="s">
        <v>11</v>
      </c>
      <c r="E304" s="14" t="s">
        <v>25</v>
      </c>
      <c r="F304" s="14" t="s">
        <v>26</v>
      </c>
      <c r="G304" s="17">
        <f>'ABRIL-18'!I301</f>
        <v>5000</v>
      </c>
      <c r="H304" s="51"/>
      <c r="I304" s="17">
        <f t="shared" si="5"/>
        <v>5000</v>
      </c>
      <c r="J304" s="62"/>
      <c r="K304" s="63"/>
    </row>
    <row r="305" spans="1:11">
      <c r="A305" s="11">
        <v>55603</v>
      </c>
      <c r="B305" s="54" t="s">
        <v>427</v>
      </c>
      <c r="C305" s="55"/>
      <c r="D305" s="14" t="s">
        <v>11</v>
      </c>
      <c r="E305" s="14" t="s">
        <v>25</v>
      </c>
      <c r="F305" s="14" t="s">
        <v>26</v>
      </c>
      <c r="G305" s="17">
        <f>'ABRIL-18'!I302</f>
        <v>8.6999999999999993</v>
      </c>
      <c r="H305" s="51"/>
      <c r="I305" s="17">
        <f t="shared" si="5"/>
        <v>8.6999999999999993</v>
      </c>
      <c r="J305" s="62"/>
      <c r="K305" s="63"/>
    </row>
    <row r="306" spans="1:11" ht="20.25" customHeight="1">
      <c r="A306" s="11">
        <v>55799</v>
      </c>
      <c r="B306" s="54" t="s">
        <v>428</v>
      </c>
      <c r="C306" s="55"/>
      <c r="D306" s="14" t="s">
        <v>11</v>
      </c>
      <c r="E306" s="14" t="s">
        <v>25</v>
      </c>
      <c r="F306" s="14" t="s">
        <v>26</v>
      </c>
      <c r="G306" s="17">
        <f>'ABRIL-18'!I303</f>
        <v>10000</v>
      </c>
      <c r="H306" s="51"/>
      <c r="I306" s="17">
        <f t="shared" si="5"/>
        <v>10000</v>
      </c>
      <c r="J306" s="62"/>
      <c r="K306" s="63"/>
    </row>
    <row r="307" spans="1:11" ht="77.25" customHeight="1">
      <c r="A307" s="144" t="s">
        <v>429</v>
      </c>
      <c r="B307" s="54" t="s">
        <v>430</v>
      </c>
      <c r="C307" s="343" t="s">
        <v>1102</v>
      </c>
      <c r="D307" s="14"/>
      <c r="E307" s="14"/>
      <c r="F307" s="14"/>
      <c r="G307" s="17">
        <f>'ABRIL-18'!I304</f>
        <v>0</v>
      </c>
      <c r="H307" s="51"/>
      <c r="I307" s="17"/>
      <c r="J307" s="62"/>
      <c r="K307" s="63"/>
    </row>
    <row r="308" spans="1:11" ht="33.75" customHeight="1">
      <c r="A308" s="148">
        <v>54199</v>
      </c>
      <c r="B308" s="54" t="s">
        <v>431</v>
      </c>
      <c r="C308" s="55"/>
      <c r="D308" s="14" t="s">
        <v>11</v>
      </c>
      <c r="E308" s="14" t="s">
        <v>25</v>
      </c>
      <c r="F308" s="14" t="s">
        <v>26</v>
      </c>
      <c r="G308" s="17">
        <f>'ABRIL-18'!I305</f>
        <v>6000</v>
      </c>
      <c r="H308" s="51">
        <f>500+500</f>
        <v>1000</v>
      </c>
      <c r="I308" s="17">
        <f t="shared" si="5"/>
        <v>5000</v>
      </c>
      <c r="J308" s="62"/>
      <c r="K308" s="63"/>
    </row>
    <row r="309" spans="1:11" ht="30" customHeight="1">
      <c r="A309" s="148">
        <v>54314</v>
      </c>
      <c r="B309" s="54" t="s">
        <v>432</v>
      </c>
      <c r="C309" s="55" t="s">
        <v>1103</v>
      </c>
      <c r="D309" s="14" t="s">
        <v>11</v>
      </c>
      <c r="E309" s="14" t="s">
        <v>25</v>
      </c>
      <c r="F309" s="14" t="s">
        <v>26</v>
      </c>
      <c r="G309" s="17">
        <f>'ABRIL-18'!I306</f>
        <v>9218.56</v>
      </c>
      <c r="H309" s="51">
        <f>200+300+300</f>
        <v>800</v>
      </c>
      <c r="I309" s="17">
        <f t="shared" si="5"/>
        <v>8418.56</v>
      </c>
      <c r="J309" s="62"/>
      <c r="K309" s="63"/>
    </row>
    <row r="310" spans="1:11" ht="30.75" customHeight="1">
      <c r="A310" s="148">
        <v>54399</v>
      </c>
      <c r="B310" s="54" t="s">
        <v>433</v>
      </c>
      <c r="C310" s="55"/>
      <c r="D310" s="14" t="s">
        <v>11</v>
      </c>
      <c r="E310" s="14" t="s">
        <v>25</v>
      </c>
      <c r="F310" s="14" t="s">
        <v>26</v>
      </c>
      <c r="G310" s="17">
        <f>'ABRIL-18'!I307</f>
        <v>5000</v>
      </c>
      <c r="H310" s="51"/>
      <c r="I310" s="17">
        <f t="shared" si="5"/>
        <v>5000</v>
      </c>
      <c r="J310" s="62"/>
      <c r="K310" s="63"/>
    </row>
    <row r="311" spans="1:11" ht="33" customHeight="1">
      <c r="A311" s="148">
        <v>55603</v>
      </c>
      <c r="B311" s="54" t="s">
        <v>434</v>
      </c>
      <c r="C311" s="55"/>
      <c r="D311" s="14" t="s">
        <v>11</v>
      </c>
      <c r="E311" s="14" t="s">
        <v>25</v>
      </c>
      <c r="F311" s="14" t="s">
        <v>26</v>
      </c>
      <c r="G311" s="17">
        <f>'ABRIL-18'!I308</f>
        <v>6.9999999999999991</v>
      </c>
      <c r="H311" s="370"/>
      <c r="I311" s="17">
        <f t="shared" si="5"/>
        <v>6.9999999999999991</v>
      </c>
      <c r="J311" s="62"/>
      <c r="K311" s="63"/>
    </row>
    <row r="312" spans="1:11" ht="31.5" customHeight="1">
      <c r="A312" s="148">
        <v>56303</v>
      </c>
      <c r="B312" s="54" t="s">
        <v>986</v>
      </c>
      <c r="C312" s="55"/>
      <c r="D312" s="14" t="s">
        <v>11</v>
      </c>
      <c r="E312" s="14" t="s">
        <v>25</v>
      </c>
      <c r="F312" s="14" t="s">
        <v>26</v>
      </c>
      <c r="G312" s="17">
        <f>'ABRIL-18'!I309</f>
        <v>9990</v>
      </c>
      <c r="H312" s="51"/>
      <c r="I312" s="17">
        <f t="shared" si="5"/>
        <v>9990</v>
      </c>
      <c r="J312" s="62"/>
      <c r="K312" s="63"/>
    </row>
    <row r="313" spans="1:11" ht="77.25" customHeight="1">
      <c r="A313" s="144" t="s">
        <v>437</v>
      </c>
      <c r="B313" s="54" t="s">
        <v>436</v>
      </c>
      <c r="C313" s="55"/>
      <c r="D313" s="14" t="s">
        <v>11</v>
      </c>
      <c r="E313" s="14" t="s">
        <v>25</v>
      </c>
      <c r="F313" s="14" t="s">
        <v>26</v>
      </c>
      <c r="G313" s="17">
        <f>'ABRIL-18'!I310</f>
        <v>0</v>
      </c>
      <c r="H313" s="51"/>
      <c r="I313" s="17"/>
      <c r="J313" s="62"/>
      <c r="K313" s="63"/>
    </row>
    <row r="314" spans="1:11" ht="28.5" customHeight="1">
      <c r="A314" s="148">
        <v>54199</v>
      </c>
      <c r="B314" s="54" t="s">
        <v>438</v>
      </c>
      <c r="C314" s="55"/>
      <c r="D314" s="14" t="s">
        <v>11</v>
      </c>
      <c r="E314" s="14" t="s">
        <v>25</v>
      </c>
      <c r="F314" s="14" t="s">
        <v>26</v>
      </c>
      <c r="G314" s="17">
        <f>'ABRIL-18'!I311</f>
        <v>0</v>
      </c>
      <c r="H314" s="51"/>
      <c r="I314" s="17">
        <f t="shared" si="5"/>
        <v>0</v>
      </c>
      <c r="J314" s="62"/>
      <c r="K314" s="281"/>
    </row>
    <row r="315" spans="1:11" ht="15" customHeight="1">
      <c r="A315" s="148">
        <v>54314</v>
      </c>
      <c r="B315" s="54" t="s">
        <v>439</v>
      </c>
      <c r="C315" s="55"/>
      <c r="D315" s="14" t="s">
        <v>11</v>
      </c>
      <c r="E315" s="14" t="s">
        <v>25</v>
      </c>
      <c r="F315" s="14" t="s">
        <v>26</v>
      </c>
      <c r="G315" s="17">
        <f>'ABRIL-18'!I312</f>
        <v>0</v>
      </c>
      <c r="H315" s="51"/>
      <c r="I315" s="17">
        <f t="shared" si="5"/>
        <v>0</v>
      </c>
      <c r="J315" s="62"/>
      <c r="K315" s="281"/>
    </row>
    <row r="316" spans="1:11" ht="27.75" customHeight="1">
      <c r="A316" s="148">
        <v>54399</v>
      </c>
      <c r="B316" s="54" t="s">
        <v>440</v>
      </c>
      <c r="C316" s="55"/>
      <c r="D316" s="14" t="s">
        <v>11</v>
      </c>
      <c r="E316" s="14" t="s">
        <v>25</v>
      </c>
      <c r="F316" s="14" t="s">
        <v>26</v>
      </c>
      <c r="G316" s="17">
        <f>'ABRIL-18'!I313</f>
        <v>0</v>
      </c>
      <c r="H316" s="51"/>
      <c r="I316" s="17">
        <f t="shared" si="5"/>
        <v>0</v>
      </c>
      <c r="J316" s="62"/>
      <c r="K316" s="281"/>
    </row>
    <row r="317" spans="1:11" ht="29.25" customHeight="1">
      <c r="A317" s="148">
        <v>55603</v>
      </c>
      <c r="B317" s="54" t="s">
        <v>441</v>
      </c>
      <c r="C317" s="55"/>
      <c r="D317" s="14" t="s">
        <v>11</v>
      </c>
      <c r="E317" s="14" t="s">
        <v>25</v>
      </c>
      <c r="F317" s="14" t="s">
        <v>26</v>
      </c>
      <c r="G317" s="17">
        <f>'ABRIL-18'!I314</f>
        <v>0</v>
      </c>
      <c r="H317" s="51"/>
      <c r="I317" s="17">
        <f t="shared" si="5"/>
        <v>0</v>
      </c>
      <c r="J317" s="62"/>
      <c r="K317" s="281"/>
    </row>
    <row r="318" spans="1:11" ht="18" customHeight="1">
      <c r="A318" s="148">
        <v>55799</v>
      </c>
      <c r="B318" s="54" t="s">
        <v>442</v>
      </c>
      <c r="C318" s="55"/>
      <c r="D318" s="14" t="s">
        <v>11</v>
      </c>
      <c r="E318" s="14" t="s">
        <v>25</v>
      </c>
      <c r="F318" s="14" t="s">
        <v>26</v>
      </c>
      <c r="G318" s="17">
        <f>'ABRIL-18'!I315</f>
        <v>0</v>
      </c>
      <c r="H318" s="51"/>
      <c r="I318" s="17">
        <f t="shared" si="5"/>
        <v>0</v>
      </c>
      <c r="J318" s="62"/>
      <c r="K318" s="281"/>
    </row>
    <row r="319" spans="1:11" ht="68.25" customHeight="1">
      <c r="A319" s="144" t="s">
        <v>443</v>
      </c>
      <c r="B319" s="54" t="s">
        <v>444</v>
      </c>
      <c r="C319" s="55"/>
      <c r="D319" s="14"/>
      <c r="E319" s="14"/>
      <c r="F319" s="14"/>
      <c r="G319" s="17">
        <f>'ABRIL-18'!I316</f>
        <v>0</v>
      </c>
      <c r="H319" s="51"/>
      <c r="I319" s="17"/>
      <c r="J319" s="62"/>
      <c r="K319" s="63"/>
    </row>
    <row r="320" spans="1:11" ht="27.75" customHeight="1">
      <c r="A320" s="148">
        <v>54199</v>
      </c>
      <c r="B320" s="54" t="s">
        <v>445</v>
      </c>
      <c r="C320" s="55"/>
      <c r="D320" s="14" t="s">
        <v>11</v>
      </c>
      <c r="E320" s="14" t="s">
        <v>25</v>
      </c>
      <c r="F320" s="14" t="s">
        <v>26</v>
      </c>
      <c r="G320" s="17">
        <f>'ABRIL-18'!I317</f>
        <v>6000</v>
      </c>
      <c r="H320" s="51"/>
      <c r="I320" s="17">
        <f t="shared" si="5"/>
        <v>6000</v>
      </c>
      <c r="J320" s="62"/>
      <c r="K320" s="63"/>
    </row>
    <row r="321" spans="1:11" ht="24.75" customHeight="1">
      <c r="A321" s="148">
        <v>54314</v>
      </c>
      <c r="B321" s="54" t="s">
        <v>446</v>
      </c>
      <c r="C321" s="55"/>
      <c r="D321" s="14" t="s">
        <v>11</v>
      </c>
      <c r="E321" s="14" t="s">
        <v>25</v>
      </c>
      <c r="F321" s="14" t="s">
        <v>26</v>
      </c>
      <c r="G321" s="17">
        <f>'ABRIL-18'!I318</f>
        <v>30000</v>
      </c>
      <c r="H321" s="51"/>
      <c r="I321" s="17">
        <f t="shared" si="5"/>
        <v>30000</v>
      </c>
      <c r="J321" s="62"/>
      <c r="K321" s="63"/>
    </row>
    <row r="322" spans="1:11" ht="33.75" customHeight="1">
      <c r="A322" s="148">
        <v>54313</v>
      </c>
      <c r="B322" s="54" t="s">
        <v>447</v>
      </c>
      <c r="C322" s="55"/>
      <c r="D322" s="14" t="s">
        <v>11</v>
      </c>
      <c r="E322" s="14" t="s">
        <v>25</v>
      </c>
      <c r="F322" s="14" t="s">
        <v>26</v>
      </c>
      <c r="G322" s="17">
        <f>'ABRIL-18'!I319</f>
        <v>2990</v>
      </c>
      <c r="H322" s="51"/>
      <c r="I322" s="17">
        <f t="shared" si="5"/>
        <v>2990</v>
      </c>
      <c r="J322" s="62"/>
      <c r="K322" s="63"/>
    </row>
    <row r="323" spans="1:11" ht="28.5" customHeight="1">
      <c r="A323" s="148">
        <v>55399</v>
      </c>
      <c r="B323" s="149" t="s">
        <v>450</v>
      </c>
      <c r="C323" s="55"/>
      <c r="D323" s="14" t="s">
        <v>11</v>
      </c>
      <c r="E323" s="14" t="s">
        <v>25</v>
      </c>
      <c r="F323" s="14" t="s">
        <v>26</v>
      </c>
      <c r="G323" s="17">
        <f>'ABRIL-18'!I320</f>
        <v>1000</v>
      </c>
      <c r="H323" s="51"/>
      <c r="I323" s="17">
        <f t="shared" si="5"/>
        <v>1000</v>
      </c>
      <c r="J323" s="62"/>
      <c r="K323" s="63"/>
    </row>
    <row r="324" spans="1:11" ht="30.75" customHeight="1">
      <c r="A324" s="148">
        <v>55603</v>
      </c>
      <c r="B324" s="54" t="s">
        <v>448</v>
      </c>
      <c r="C324" s="55"/>
      <c r="D324" s="14" t="s">
        <v>11</v>
      </c>
      <c r="E324" s="14" t="s">
        <v>25</v>
      </c>
      <c r="F324" s="14" t="s">
        <v>26</v>
      </c>
      <c r="G324" s="17">
        <f>'ABRIL-18'!I321</f>
        <v>10</v>
      </c>
      <c r="H324" s="51"/>
      <c r="I324" s="17">
        <f t="shared" si="5"/>
        <v>10</v>
      </c>
      <c r="J324" s="62"/>
      <c r="K324" s="63"/>
    </row>
    <row r="325" spans="1:11" ht="31.5" customHeight="1">
      <c r="A325" s="148">
        <v>56603</v>
      </c>
      <c r="B325" s="54" t="s">
        <v>449</v>
      </c>
      <c r="C325" s="55"/>
      <c r="D325" s="14" t="s">
        <v>11</v>
      </c>
      <c r="E325" s="14" t="s">
        <v>25</v>
      </c>
      <c r="F325" s="14" t="s">
        <v>26</v>
      </c>
      <c r="G325" s="17">
        <f>'ABRIL-18'!I322</f>
        <v>5000</v>
      </c>
      <c r="H325" s="51"/>
      <c r="I325" s="17">
        <f t="shared" si="5"/>
        <v>5000</v>
      </c>
      <c r="J325" s="62"/>
      <c r="K325" s="63"/>
    </row>
    <row r="326" spans="1:11" ht="74.25" customHeight="1">
      <c r="A326" s="144" t="s">
        <v>451</v>
      </c>
      <c r="B326" s="54" t="s">
        <v>452</v>
      </c>
      <c r="C326" s="55"/>
      <c r="D326" s="14"/>
      <c r="E326" s="14"/>
      <c r="F326" s="14"/>
      <c r="G326" s="17">
        <f>'ABRIL-18'!I323</f>
        <v>0</v>
      </c>
      <c r="H326" s="51"/>
      <c r="I326" s="17"/>
      <c r="J326" s="52"/>
      <c r="K326" s="52"/>
    </row>
    <row r="327" spans="1:11" ht="30.75" customHeight="1">
      <c r="A327" s="4">
        <v>54199</v>
      </c>
      <c r="B327" s="5" t="s">
        <v>453</v>
      </c>
      <c r="C327" s="10"/>
      <c r="D327" s="14" t="s">
        <v>11</v>
      </c>
      <c r="E327" s="14" t="s">
        <v>25</v>
      </c>
      <c r="F327" s="14" t="s">
        <v>26</v>
      </c>
      <c r="G327" s="17">
        <f>'ABRIL-18'!I324</f>
        <v>3000</v>
      </c>
      <c r="H327" s="51"/>
      <c r="I327" s="17">
        <f t="shared" si="5"/>
        <v>3000</v>
      </c>
      <c r="J327" s="44"/>
      <c r="K327" s="44"/>
    </row>
    <row r="328" spans="1:11" ht="40.5" customHeight="1">
      <c r="A328" s="11">
        <v>54314</v>
      </c>
      <c r="B328" s="150" t="s">
        <v>454</v>
      </c>
      <c r="C328" s="55"/>
      <c r="D328" s="14" t="s">
        <v>11</v>
      </c>
      <c r="E328" s="14" t="s">
        <v>25</v>
      </c>
      <c r="F328" s="14" t="s">
        <v>26</v>
      </c>
      <c r="G328" s="17">
        <f>'ABRIL-18'!I325</f>
        <v>6000</v>
      </c>
      <c r="H328" s="51"/>
      <c r="I328" s="17">
        <f t="shared" si="5"/>
        <v>6000</v>
      </c>
      <c r="J328" s="62"/>
      <c r="K328" s="63"/>
    </row>
    <row r="329" spans="1:11" ht="43.5" customHeight="1">
      <c r="A329" s="11">
        <v>54399</v>
      </c>
      <c r="B329" s="150" t="s">
        <v>455</v>
      </c>
      <c r="C329" s="13"/>
      <c r="D329" s="14" t="s">
        <v>11</v>
      </c>
      <c r="E329" s="14" t="s">
        <v>25</v>
      </c>
      <c r="F329" s="14" t="s">
        <v>26</v>
      </c>
      <c r="G329" s="17">
        <f>'ABRIL-18'!I326</f>
        <v>0</v>
      </c>
      <c r="H329" s="51"/>
      <c r="I329" s="17">
        <f t="shared" si="5"/>
        <v>0</v>
      </c>
      <c r="J329" s="52"/>
      <c r="K329" s="52"/>
    </row>
    <row r="330" spans="1:11" ht="29.25">
      <c r="A330" s="4">
        <v>55603</v>
      </c>
      <c r="B330" s="150" t="s">
        <v>456</v>
      </c>
      <c r="C330" s="9"/>
      <c r="D330" s="14" t="s">
        <v>11</v>
      </c>
      <c r="E330" s="14" t="s">
        <v>25</v>
      </c>
      <c r="F330" s="14" t="s">
        <v>26</v>
      </c>
      <c r="G330" s="17">
        <f>'ABRIL-18'!I327</f>
        <v>10</v>
      </c>
      <c r="H330" s="51"/>
      <c r="I330" s="17">
        <f t="shared" si="5"/>
        <v>10</v>
      </c>
      <c r="J330" s="44"/>
      <c r="K330" s="44"/>
    </row>
    <row r="331" spans="1:11" ht="37.5" customHeight="1">
      <c r="A331" s="4">
        <v>55799</v>
      </c>
      <c r="B331" s="150" t="s">
        <v>457</v>
      </c>
      <c r="C331" s="9"/>
      <c r="D331" s="14" t="s">
        <v>11</v>
      </c>
      <c r="E331" s="14" t="s">
        <v>25</v>
      </c>
      <c r="F331" s="14" t="s">
        <v>26</v>
      </c>
      <c r="G331" s="17">
        <f>'ABRIL-18'!I328</f>
        <v>1269.74</v>
      </c>
      <c r="H331" s="51"/>
      <c r="I331" s="17">
        <f t="shared" si="5"/>
        <v>1269.74</v>
      </c>
      <c r="J331" s="44"/>
      <c r="K331" s="44"/>
    </row>
    <row r="332" spans="1:11" ht="68.25" customHeight="1">
      <c r="A332" s="144" t="s">
        <v>459</v>
      </c>
      <c r="B332" s="54" t="s">
        <v>458</v>
      </c>
      <c r="C332" s="9"/>
      <c r="D332" s="3"/>
      <c r="E332" s="3"/>
      <c r="F332" s="3"/>
      <c r="G332" s="17">
        <f>'ABRIL-18'!I329</f>
        <v>0</v>
      </c>
      <c r="H332" s="51"/>
      <c r="I332" s="17"/>
      <c r="J332" s="44"/>
      <c r="K332" s="44"/>
    </row>
    <row r="333" spans="1:11" ht="25.5" customHeight="1">
      <c r="A333" s="4">
        <v>54314</v>
      </c>
      <c r="B333" s="70" t="s">
        <v>460</v>
      </c>
      <c r="C333" s="5"/>
      <c r="D333" s="14" t="s">
        <v>11</v>
      </c>
      <c r="E333" s="14" t="s">
        <v>25</v>
      </c>
      <c r="F333" s="14" t="s">
        <v>26</v>
      </c>
      <c r="G333" s="17">
        <f>'ABRIL-18'!I330</f>
        <v>1370.1399999999999</v>
      </c>
      <c r="H333" s="51"/>
      <c r="I333" s="17">
        <f>G333-H333+J333-K333</f>
        <v>1370.1399999999999</v>
      </c>
      <c r="J333" s="44"/>
      <c r="K333" s="285"/>
    </row>
    <row r="334" spans="1:11" ht="63.75" customHeight="1">
      <c r="A334" s="144" t="s">
        <v>461</v>
      </c>
      <c r="B334" s="54" t="s">
        <v>470</v>
      </c>
      <c r="C334" s="55"/>
      <c r="D334" s="14"/>
      <c r="E334" s="14"/>
      <c r="F334" s="14"/>
      <c r="G334" s="17">
        <f>'ABRIL-18'!I331</f>
        <v>0</v>
      </c>
      <c r="H334" s="51"/>
      <c r="I334" s="17"/>
      <c r="J334" s="62"/>
      <c r="K334" s="63"/>
    </row>
    <row r="335" spans="1:11" ht="33" customHeight="1">
      <c r="A335" s="11">
        <v>54199</v>
      </c>
      <c r="B335" s="70" t="s">
        <v>462</v>
      </c>
      <c r="C335" s="55"/>
      <c r="D335" s="14" t="s">
        <v>11</v>
      </c>
      <c r="E335" s="14" t="s">
        <v>25</v>
      </c>
      <c r="F335" s="14" t="s">
        <v>26</v>
      </c>
      <c r="G335" s="17">
        <f>'ABRIL-18'!I332</f>
        <v>2000</v>
      </c>
      <c r="H335" s="51"/>
      <c r="I335" s="17">
        <f>G335-H335+J335-K335</f>
        <v>2000</v>
      </c>
      <c r="J335" s="62"/>
      <c r="K335" s="63"/>
    </row>
    <row r="336" spans="1:11" ht="36.75" customHeight="1">
      <c r="A336" s="11">
        <v>54314</v>
      </c>
      <c r="B336" s="151" t="s">
        <v>463</v>
      </c>
      <c r="C336" s="55"/>
      <c r="D336" s="14" t="s">
        <v>11</v>
      </c>
      <c r="E336" s="14" t="s">
        <v>25</v>
      </c>
      <c r="F336" s="14" t="s">
        <v>26</v>
      </c>
      <c r="G336" s="17">
        <f>'ABRIL-18'!I333</f>
        <v>22000</v>
      </c>
      <c r="H336" s="51"/>
      <c r="I336" s="17">
        <f t="shared" ref="I336:I402" si="6">G336-H336+J336-K336</f>
        <v>22000</v>
      </c>
      <c r="J336" s="62"/>
      <c r="K336" s="63"/>
    </row>
    <row r="337" spans="1:11" ht="39" customHeight="1">
      <c r="A337" s="11">
        <v>54313</v>
      </c>
      <c r="B337" s="151" t="s">
        <v>464</v>
      </c>
      <c r="C337" s="55"/>
      <c r="D337" s="14" t="s">
        <v>11</v>
      </c>
      <c r="E337" s="14" t="s">
        <v>25</v>
      </c>
      <c r="F337" s="14" t="s">
        <v>26</v>
      </c>
      <c r="G337" s="17">
        <f>'ABRIL-18'!I334</f>
        <v>5000</v>
      </c>
      <c r="H337" s="51"/>
      <c r="I337" s="17">
        <f t="shared" si="6"/>
        <v>5000</v>
      </c>
      <c r="J337" s="62"/>
      <c r="K337" s="63"/>
    </row>
    <row r="338" spans="1:11" ht="33.75" customHeight="1">
      <c r="A338" s="11">
        <v>54399</v>
      </c>
      <c r="B338" s="151" t="s">
        <v>465</v>
      </c>
      <c r="C338" s="13"/>
      <c r="D338" s="14" t="s">
        <v>11</v>
      </c>
      <c r="E338" s="14" t="s">
        <v>25</v>
      </c>
      <c r="F338" s="14" t="s">
        <v>26</v>
      </c>
      <c r="G338" s="17">
        <f>'ABRIL-18'!I335</f>
        <v>990</v>
      </c>
      <c r="H338" s="51"/>
      <c r="I338" s="17">
        <f t="shared" si="6"/>
        <v>990</v>
      </c>
      <c r="J338" s="52"/>
      <c r="K338" s="52"/>
    </row>
    <row r="339" spans="1:11" ht="35.25" customHeight="1">
      <c r="A339" s="11">
        <v>55603</v>
      </c>
      <c r="B339" s="151" t="s">
        <v>466</v>
      </c>
      <c r="C339" s="13"/>
      <c r="D339" s="14" t="s">
        <v>11</v>
      </c>
      <c r="E339" s="14" t="s">
        <v>25</v>
      </c>
      <c r="F339" s="14" t="s">
        <v>26</v>
      </c>
      <c r="G339" s="17">
        <f>'ABRIL-18'!I336</f>
        <v>10</v>
      </c>
      <c r="H339" s="51"/>
      <c r="I339" s="17">
        <f t="shared" si="6"/>
        <v>10</v>
      </c>
      <c r="J339" s="52"/>
      <c r="K339" s="52"/>
    </row>
    <row r="340" spans="1:11" ht="34.5" customHeight="1">
      <c r="A340" s="11">
        <v>56603</v>
      </c>
      <c r="B340" s="151" t="s">
        <v>467</v>
      </c>
      <c r="C340" s="61"/>
      <c r="D340" s="14" t="s">
        <v>11</v>
      </c>
      <c r="E340" s="14" t="s">
        <v>25</v>
      </c>
      <c r="F340" s="14" t="s">
        <v>26</v>
      </c>
      <c r="G340" s="17">
        <f>'ABRIL-18'!I337</f>
        <v>5000</v>
      </c>
      <c r="H340" s="51"/>
      <c r="I340" s="17">
        <f t="shared" si="6"/>
        <v>5000</v>
      </c>
      <c r="J340" s="11"/>
      <c r="K340" s="54"/>
    </row>
    <row r="341" spans="1:11" ht="68.25" customHeight="1">
      <c r="A341" s="144" t="s">
        <v>468</v>
      </c>
      <c r="B341" s="54" t="s">
        <v>987</v>
      </c>
      <c r="C341" s="344" t="s">
        <v>1115</v>
      </c>
      <c r="D341" s="14"/>
      <c r="E341" s="14"/>
      <c r="F341" s="14"/>
      <c r="G341" s="17">
        <f>'ABRIL-18'!I338</f>
        <v>0</v>
      </c>
      <c r="H341" s="51"/>
      <c r="I341" s="17"/>
      <c r="J341" s="52"/>
      <c r="K341" s="52"/>
    </row>
    <row r="342" spans="1:11" ht="33" customHeight="1">
      <c r="A342" s="11">
        <v>51202</v>
      </c>
      <c r="B342" s="70" t="s">
        <v>471</v>
      </c>
      <c r="C342" s="61"/>
      <c r="D342" s="14" t="s">
        <v>11</v>
      </c>
      <c r="E342" s="14" t="s">
        <v>25</v>
      </c>
      <c r="F342" s="14" t="s">
        <v>26</v>
      </c>
      <c r="G342" s="17">
        <f>'ABRIL-18'!I339</f>
        <v>745.58999999999946</v>
      </c>
      <c r="H342" s="51"/>
      <c r="I342" s="17">
        <f t="shared" si="6"/>
        <v>745.58999999999946</v>
      </c>
      <c r="J342" s="237"/>
      <c r="K342" s="52"/>
    </row>
    <row r="343" spans="1:11" ht="34.5" customHeight="1">
      <c r="A343" s="11">
        <v>54111</v>
      </c>
      <c r="B343" s="70" t="s">
        <v>472</v>
      </c>
      <c r="C343" s="61"/>
      <c r="D343" s="14" t="s">
        <v>11</v>
      </c>
      <c r="E343" s="14" t="s">
        <v>25</v>
      </c>
      <c r="F343" s="14" t="s">
        <v>26</v>
      </c>
      <c r="G343" s="17">
        <f>'ABRIL-18'!I340</f>
        <v>463.75000000000011</v>
      </c>
      <c r="H343" s="51"/>
      <c r="I343" s="17">
        <f t="shared" si="6"/>
        <v>463.75000000000011</v>
      </c>
      <c r="J343" s="44"/>
      <c r="K343" s="44"/>
    </row>
    <row r="344" spans="1:11" ht="41.25" customHeight="1">
      <c r="A344" s="11">
        <v>54112</v>
      </c>
      <c r="B344" s="70" t="s">
        <v>473</v>
      </c>
      <c r="C344" s="12"/>
      <c r="D344" s="14" t="s">
        <v>11</v>
      </c>
      <c r="E344" s="14" t="s">
        <v>25</v>
      </c>
      <c r="F344" s="14" t="s">
        <v>26</v>
      </c>
      <c r="G344" s="17">
        <f>'ABRIL-18'!I341</f>
        <v>399.15</v>
      </c>
      <c r="H344" s="51"/>
      <c r="I344" s="17">
        <f t="shared" si="6"/>
        <v>399.15</v>
      </c>
      <c r="J344" s="44"/>
      <c r="K344" s="278"/>
    </row>
    <row r="345" spans="1:11" ht="29.25">
      <c r="A345" s="11">
        <v>54118</v>
      </c>
      <c r="B345" s="151" t="s">
        <v>474</v>
      </c>
      <c r="C345" s="61"/>
      <c r="D345" s="14" t="s">
        <v>11</v>
      </c>
      <c r="E345" s="14" t="s">
        <v>25</v>
      </c>
      <c r="F345" s="14" t="s">
        <v>26</v>
      </c>
      <c r="G345" s="17">
        <f>'ABRIL-18'!I342</f>
        <v>119.30000000000007</v>
      </c>
      <c r="H345" s="51"/>
      <c r="I345" s="17">
        <f t="shared" si="6"/>
        <v>119.30000000000007</v>
      </c>
      <c r="J345" s="44"/>
      <c r="K345" s="278"/>
    </row>
    <row r="346" spans="1:11" ht="29.25">
      <c r="A346" s="11">
        <v>54313</v>
      </c>
      <c r="B346" s="151" t="s">
        <v>475</v>
      </c>
      <c r="C346" s="12"/>
      <c r="D346" s="14" t="s">
        <v>11</v>
      </c>
      <c r="E346" s="14" t="s">
        <v>25</v>
      </c>
      <c r="F346" s="14" t="s">
        <v>26</v>
      </c>
      <c r="G346" s="17">
        <f>'ABRIL-18'!I343</f>
        <v>250</v>
      </c>
      <c r="H346" s="51"/>
      <c r="I346" s="17">
        <f t="shared" si="6"/>
        <v>250</v>
      </c>
      <c r="J346" s="44"/>
      <c r="K346" s="44"/>
    </row>
    <row r="347" spans="1:11" ht="29.25">
      <c r="A347" s="152">
        <v>55603</v>
      </c>
      <c r="B347" s="151" t="s">
        <v>476</v>
      </c>
      <c r="C347" s="154"/>
      <c r="D347" s="14" t="s">
        <v>11</v>
      </c>
      <c r="E347" s="14" t="s">
        <v>25</v>
      </c>
      <c r="F347" s="14" t="s">
        <v>26</v>
      </c>
      <c r="G347" s="17">
        <f>'ABRIL-18'!I344</f>
        <v>7</v>
      </c>
      <c r="H347" s="371"/>
      <c r="I347" s="17">
        <f t="shared" si="6"/>
        <v>7</v>
      </c>
      <c r="J347" s="159"/>
      <c r="K347" s="159"/>
    </row>
    <row r="348" spans="1:11" ht="85.5">
      <c r="A348" s="144" t="s">
        <v>477</v>
      </c>
      <c r="B348" s="54" t="s">
        <v>1085</v>
      </c>
      <c r="C348" s="154"/>
      <c r="D348" s="155"/>
      <c r="E348" s="155"/>
      <c r="F348" s="155"/>
      <c r="G348" s="17">
        <f>'ABRIL-18'!I345</f>
        <v>0</v>
      </c>
      <c r="H348" s="157"/>
      <c r="I348" s="158"/>
      <c r="J348" s="159"/>
      <c r="K348" s="159"/>
    </row>
    <row r="349" spans="1:11" ht="29.25">
      <c r="A349" s="152">
        <v>51202</v>
      </c>
      <c r="B349" s="164" t="s">
        <v>479</v>
      </c>
      <c r="C349" s="154"/>
      <c r="D349" s="14" t="s">
        <v>11</v>
      </c>
      <c r="E349" s="14" t="s">
        <v>25</v>
      </c>
      <c r="F349" s="14" t="s">
        <v>26</v>
      </c>
      <c r="G349" s="17">
        <f>'ABRIL-18'!I346</f>
        <v>4000</v>
      </c>
      <c r="H349" s="157"/>
      <c r="I349" s="17">
        <f t="shared" si="6"/>
        <v>0</v>
      </c>
      <c r="J349" s="159"/>
      <c r="K349" s="325">
        <v>4000</v>
      </c>
    </row>
    <row r="350" spans="1:11" ht="44.25">
      <c r="A350" s="152">
        <v>54111</v>
      </c>
      <c r="B350" s="164" t="s">
        <v>480</v>
      </c>
      <c r="C350" s="154"/>
      <c r="D350" s="14" t="s">
        <v>11</v>
      </c>
      <c r="E350" s="14" t="s">
        <v>25</v>
      </c>
      <c r="F350" s="14" t="s">
        <v>26</v>
      </c>
      <c r="G350" s="17">
        <f>'ABRIL-18'!I347</f>
        <v>4000</v>
      </c>
      <c r="H350" s="157"/>
      <c r="I350" s="17">
        <f t="shared" si="6"/>
        <v>0</v>
      </c>
      <c r="J350" s="159"/>
      <c r="K350" s="325">
        <v>4000</v>
      </c>
    </row>
    <row r="351" spans="1:11" ht="30">
      <c r="A351" s="152">
        <v>54112</v>
      </c>
      <c r="B351" s="164" t="s">
        <v>481</v>
      </c>
      <c r="C351" s="154"/>
      <c r="D351" s="14" t="s">
        <v>11</v>
      </c>
      <c r="E351" s="14" t="s">
        <v>25</v>
      </c>
      <c r="F351" s="14" t="s">
        <v>26</v>
      </c>
      <c r="G351" s="17">
        <f>'ABRIL-18'!I348</f>
        <v>2000</v>
      </c>
      <c r="H351" s="157"/>
      <c r="I351" s="17">
        <f t="shared" si="6"/>
        <v>0</v>
      </c>
      <c r="J351" s="159"/>
      <c r="K351" s="325">
        <v>2000</v>
      </c>
    </row>
    <row r="352" spans="1:11" ht="29.25">
      <c r="A352" s="152">
        <v>54118</v>
      </c>
      <c r="B352" s="164" t="s">
        <v>482</v>
      </c>
      <c r="C352" s="154"/>
      <c r="D352" s="14" t="s">
        <v>11</v>
      </c>
      <c r="E352" s="14" t="s">
        <v>25</v>
      </c>
      <c r="F352" s="14" t="s">
        <v>26</v>
      </c>
      <c r="G352" s="17">
        <f>'ABRIL-18'!I349</f>
        <v>700</v>
      </c>
      <c r="H352" s="157"/>
      <c r="I352" s="17">
        <f t="shared" si="6"/>
        <v>0</v>
      </c>
      <c r="J352" s="159"/>
      <c r="K352" s="325">
        <v>700</v>
      </c>
    </row>
    <row r="353" spans="1:11" ht="30">
      <c r="A353" s="152">
        <v>54313</v>
      </c>
      <c r="B353" s="164" t="s">
        <v>483</v>
      </c>
      <c r="C353" s="154"/>
      <c r="D353" s="14" t="s">
        <v>11</v>
      </c>
      <c r="E353" s="14" t="s">
        <v>25</v>
      </c>
      <c r="F353" s="14" t="s">
        <v>26</v>
      </c>
      <c r="G353" s="17">
        <f>'ABRIL-18'!I350</f>
        <v>300</v>
      </c>
      <c r="H353" s="157"/>
      <c r="I353" s="17">
        <f t="shared" si="6"/>
        <v>0</v>
      </c>
      <c r="J353" s="159"/>
      <c r="K353" s="325">
        <v>300</v>
      </c>
    </row>
    <row r="354" spans="1:11" ht="30">
      <c r="A354" s="152">
        <v>54399</v>
      </c>
      <c r="B354" s="164" t="s">
        <v>484</v>
      </c>
      <c r="C354" s="154"/>
      <c r="D354" s="14" t="s">
        <v>11</v>
      </c>
      <c r="E354" s="14" t="s">
        <v>25</v>
      </c>
      <c r="F354" s="14" t="s">
        <v>26</v>
      </c>
      <c r="G354" s="17">
        <f>'ABRIL-18'!I351</f>
        <v>990</v>
      </c>
      <c r="H354" s="157"/>
      <c r="I354" s="17">
        <f t="shared" si="6"/>
        <v>0</v>
      </c>
      <c r="J354" s="159"/>
      <c r="K354" s="325">
        <v>990</v>
      </c>
    </row>
    <row r="355" spans="1:11" ht="29.25">
      <c r="A355" s="152">
        <v>55603</v>
      </c>
      <c r="B355" s="164" t="s">
        <v>485</v>
      </c>
      <c r="C355" s="154"/>
      <c r="D355" s="14" t="s">
        <v>11</v>
      </c>
      <c r="E355" s="14" t="s">
        <v>25</v>
      </c>
      <c r="F355" s="14" t="s">
        <v>26</v>
      </c>
      <c r="G355" s="17">
        <f>'ABRIL-18'!I352</f>
        <v>10</v>
      </c>
      <c r="H355" s="157"/>
      <c r="I355" s="17">
        <f t="shared" si="6"/>
        <v>0</v>
      </c>
      <c r="J355" s="159"/>
      <c r="K355" s="325">
        <v>10</v>
      </c>
    </row>
    <row r="356" spans="1:11" ht="80.25" customHeight="1">
      <c r="A356" s="144" t="s">
        <v>486</v>
      </c>
      <c r="B356" s="54" t="s">
        <v>487</v>
      </c>
      <c r="C356" s="154"/>
      <c r="D356" s="155"/>
      <c r="E356" s="155"/>
      <c r="F356" s="155"/>
      <c r="G356" s="17">
        <f>'ABRIL-18'!I353</f>
        <v>0</v>
      </c>
      <c r="H356" s="157"/>
      <c r="I356" s="158"/>
      <c r="J356" s="159"/>
      <c r="K356" s="159"/>
    </row>
    <row r="357" spans="1:11" ht="29.25">
      <c r="A357" s="152">
        <v>51202</v>
      </c>
      <c r="B357" s="164" t="s">
        <v>488</v>
      </c>
      <c r="C357" s="154"/>
      <c r="D357" s="14" t="s">
        <v>11</v>
      </c>
      <c r="E357" s="14" t="s">
        <v>25</v>
      </c>
      <c r="F357" s="14" t="s">
        <v>26</v>
      </c>
      <c r="G357" s="17">
        <f>'ABRIL-18'!I354</f>
        <v>10000</v>
      </c>
      <c r="H357" s="157"/>
      <c r="I357" s="17">
        <f t="shared" si="6"/>
        <v>0</v>
      </c>
      <c r="J357" s="159"/>
      <c r="K357" s="326">
        <v>10000</v>
      </c>
    </row>
    <row r="358" spans="1:11" ht="29.25">
      <c r="A358" s="152">
        <v>51999</v>
      </c>
      <c r="B358" s="164" t="s">
        <v>489</v>
      </c>
      <c r="C358" s="154"/>
      <c r="D358" s="14" t="s">
        <v>11</v>
      </c>
      <c r="E358" s="14" t="s">
        <v>25</v>
      </c>
      <c r="F358" s="14" t="s">
        <v>26</v>
      </c>
      <c r="G358" s="17">
        <f>'ABRIL-18'!I355</f>
        <v>5000</v>
      </c>
      <c r="H358" s="157"/>
      <c r="I358" s="17">
        <f t="shared" si="6"/>
        <v>0</v>
      </c>
      <c r="J358" s="159"/>
      <c r="K358" s="326">
        <v>5000</v>
      </c>
    </row>
    <row r="359" spans="1:11" ht="29.25">
      <c r="A359" s="152">
        <v>54111</v>
      </c>
      <c r="B359" s="164" t="s">
        <v>490</v>
      </c>
      <c r="C359" s="154"/>
      <c r="D359" s="14" t="s">
        <v>11</v>
      </c>
      <c r="E359" s="14" t="s">
        <v>25</v>
      </c>
      <c r="F359" s="14" t="s">
        <v>26</v>
      </c>
      <c r="G359" s="17">
        <f>'ABRIL-18'!I356</f>
        <v>11000</v>
      </c>
      <c r="H359" s="157"/>
      <c r="I359" s="17">
        <f t="shared" si="6"/>
        <v>0</v>
      </c>
      <c r="J359" s="159"/>
      <c r="K359" s="326">
        <v>11000</v>
      </c>
    </row>
    <row r="360" spans="1:11" ht="29.25">
      <c r="A360" s="152">
        <v>54112</v>
      </c>
      <c r="B360" s="164" t="s">
        <v>491</v>
      </c>
      <c r="C360" s="154"/>
      <c r="D360" s="14" t="s">
        <v>11</v>
      </c>
      <c r="E360" s="14" t="s">
        <v>25</v>
      </c>
      <c r="F360" s="14" t="s">
        <v>26</v>
      </c>
      <c r="G360" s="17">
        <f>'ABRIL-18'!I357</f>
        <v>5000</v>
      </c>
      <c r="H360" s="157"/>
      <c r="I360" s="17">
        <f t="shared" si="6"/>
        <v>0</v>
      </c>
      <c r="J360" s="159"/>
      <c r="K360" s="326">
        <v>5000</v>
      </c>
    </row>
    <row r="361" spans="1:11" ht="29.25">
      <c r="A361" s="152">
        <v>54118</v>
      </c>
      <c r="B361" s="164" t="s">
        <v>492</v>
      </c>
      <c r="C361" s="154"/>
      <c r="D361" s="14" t="s">
        <v>11</v>
      </c>
      <c r="E361" s="14" t="s">
        <v>25</v>
      </c>
      <c r="F361" s="14" t="s">
        <v>26</v>
      </c>
      <c r="G361" s="17">
        <f>'ABRIL-18'!I358</f>
        <v>4988.16</v>
      </c>
      <c r="H361" s="157"/>
      <c r="I361" s="17">
        <f t="shared" si="6"/>
        <v>0</v>
      </c>
      <c r="J361" s="159"/>
      <c r="K361" s="326">
        <v>4988.16</v>
      </c>
    </row>
    <row r="362" spans="1:11" ht="29.25">
      <c r="A362" s="152">
        <v>54199</v>
      </c>
      <c r="B362" s="164" t="s">
        <v>493</v>
      </c>
      <c r="C362" s="154"/>
      <c r="D362" s="14" t="s">
        <v>11</v>
      </c>
      <c r="E362" s="14" t="s">
        <v>25</v>
      </c>
      <c r="F362" s="14" t="s">
        <v>26</v>
      </c>
      <c r="G362" s="17">
        <f>'ABRIL-18'!I359</f>
        <v>990</v>
      </c>
      <c r="H362" s="157"/>
      <c r="I362" s="17">
        <f t="shared" si="6"/>
        <v>0</v>
      </c>
      <c r="J362" s="159"/>
      <c r="K362" s="326">
        <v>990</v>
      </c>
    </row>
    <row r="363" spans="1:11" ht="29.25">
      <c r="A363" s="152">
        <v>54399</v>
      </c>
      <c r="B363" s="164" t="s">
        <v>494</v>
      </c>
      <c r="C363" s="154"/>
      <c r="D363" s="14" t="s">
        <v>11</v>
      </c>
      <c r="E363" s="14" t="s">
        <v>25</v>
      </c>
      <c r="F363" s="14" t="s">
        <v>26</v>
      </c>
      <c r="G363" s="17">
        <f>'ABRIL-18'!I360</f>
        <v>3000</v>
      </c>
      <c r="H363" s="157"/>
      <c r="I363" s="17">
        <f t="shared" si="6"/>
        <v>0</v>
      </c>
      <c r="J363" s="159"/>
      <c r="K363" s="326">
        <v>3000</v>
      </c>
    </row>
    <row r="364" spans="1:11" ht="29.25">
      <c r="A364" s="152">
        <v>55603</v>
      </c>
      <c r="B364" s="164" t="s">
        <v>495</v>
      </c>
      <c r="C364" s="154"/>
      <c r="D364" s="14" t="s">
        <v>11</v>
      </c>
      <c r="E364" s="14" t="s">
        <v>25</v>
      </c>
      <c r="F364" s="14" t="s">
        <v>26</v>
      </c>
      <c r="G364" s="17">
        <f>'ABRIL-18'!I361</f>
        <v>10</v>
      </c>
      <c r="H364" s="157"/>
      <c r="I364" s="17">
        <f t="shared" si="6"/>
        <v>0</v>
      </c>
      <c r="J364" s="159"/>
      <c r="K364" s="326">
        <v>10</v>
      </c>
    </row>
    <row r="365" spans="1:11" ht="55.5">
      <c r="A365" s="144" t="s">
        <v>504</v>
      </c>
      <c r="B365" s="54" t="s">
        <v>496</v>
      </c>
      <c r="C365" s="154" t="s">
        <v>1066</v>
      </c>
      <c r="D365" s="155"/>
      <c r="E365" s="155"/>
      <c r="F365" s="155"/>
      <c r="G365" s="17">
        <f>'ABRIL-18'!I362</f>
        <v>0</v>
      </c>
      <c r="H365" s="157"/>
      <c r="I365" s="158"/>
      <c r="J365" s="159"/>
      <c r="K365" s="159"/>
    </row>
    <row r="366" spans="1:11" ht="29.25">
      <c r="A366" s="152">
        <v>51202</v>
      </c>
      <c r="B366" s="164" t="s">
        <v>500</v>
      </c>
      <c r="C366" s="154"/>
      <c r="D366" s="14" t="s">
        <v>11</v>
      </c>
      <c r="E366" s="14" t="s">
        <v>25</v>
      </c>
      <c r="F366" s="14" t="s">
        <v>26</v>
      </c>
      <c r="G366" s="17">
        <f>'ABRIL-18'!I363</f>
        <v>5000</v>
      </c>
      <c r="H366" s="157"/>
      <c r="I366" s="17">
        <f t="shared" si="6"/>
        <v>2000</v>
      </c>
      <c r="J366" s="159"/>
      <c r="K366" s="326">
        <v>3000</v>
      </c>
    </row>
    <row r="367" spans="1:11" ht="29.25">
      <c r="A367" s="152">
        <v>54111</v>
      </c>
      <c r="B367" s="164" t="s">
        <v>499</v>
      </c>
      <c r="C367" s="154" t="s">
        <v>1066</v>
      </c>
      <c r="D367" s="14" t="s">
        <v>11</v>
      </c>
      <c r="E367" s="14" t="s">
        <v>25</v>
      </c>
      <c r="F367" s="14" t="s">
        <v>26</v>
      </c>
      <c r="G367" s="17">
        <f>'ABRIL-18'!I364</f>
        <v>5960</v>
      </c>
      <c r="H367" s="157"/>
      <c r="I367" s="17">
        <f t="shared" si="6"/>
        <v>3250</v>
      </c>
      <c r="J367" s="159"/>
      <c r="K367" s="326">
        <v>2710</v>
      </c>
    </row>
    <row r="368" spans="1:11" ht="29.25">
      <c r="A368" s="152">
        <v>54112</v>
      </c>
      <c r="B368" s="164" t="s">
        <v>497</v>
      </c>
      <c r="C368" s="154" t="s">
        <v>1066</v>
      </c>
      <c r="D368" s="14" t="s">
        <v>11</v>
      </c>
      <c r="E368" s="14" t="s">
        <v>25</v>
      </c>
      <c r="F368" s="14" t="s">
        <v>26</v>
      </c>
      <c r="G368" s="17">
        <f>'ABRIL-18'!I365</f>
        <v>5545.2999999999993</v>
      </c>
      <c r="H368" s="157"/>
      <c r="I368" s="17">
        <f t="shared" si="6"/>
        <v>3545.2999999999993</v>
      </c>
      <c r="J368" s="159"/>
      <c r="K368" s="327">
        <v>2000</v>
      </c>
    </row>
    <row r="369" spans="1:11" ht="29.25">
      <c r="A369" s="152">
        <v>54118</v>
      </c>
      <c r="B369" s="164" t="s">
        <v>498</v>
      </c>
      <c r="C369" s="154"/>
      <c r="D369" s="14" t="s">
        <v>11</v>
      </c>
      <c r="E369" s="14" t="s">
        <v>25</v>
      </c>
      <c r="F369" s="14" t="s">
        <v>26</v>
      </c>
      <c r="G369" s="17">
        <f>'ABRIL-18'!I366</f>
        <v>1700</v>
      </c>
      <c r="H369" s="157"/>
      <c r="I369" s="17">
        <f t="shared" si="6"/>
        <v>1700</v>
      </c>
      <c r="J369" s="159"/>
      <c r="K369" s="327"/>
    </row>
    <row r="370" spans="1:11" ht="29.25">
      <c r="A370" s="152">
        <v>54313</v>
      </c>
      <c r="B370" s="164" t="s">
        <v>501</v>
      </c>
      <c r="C370" s="154"/>
      <c r="D370" s="14" t="s">
        <v>11</v>
      </c>
      <c r="E370" s="14" t="s">
        <v>25</v>
      </c>
      <c r="F370" s="14" t="s">
        <v>26</v>
      </c>
      <c r="G370" s="17">
        <f>'ABRIL-18'!I367</f>
        <v>300</v>
      </c>
      <c r="H370" s="157"/>
      <c r="I370" s="17">
        <f t="shared" si="6"/>
        <v>0</v>
      </c>
      <c r="J370" s="159"/>
      <c r="K370" s="326">
        <v>300</v>
      </c>
    </row>
    <row r="371" spans="1:11" ht="29.25">
      <c r="A371" s="152">
        <v>54399</v>
      </c>
      <c r="B371" s="164" t="s">
        <v>502</v>
      </c>
      <c r="C371" s="154"/>
      <c r="D371" s="14" t="s">
        <v>11</v>
      </c>
      <c r="E371" s="14" t="s">
        <v>25</v>
      </c>
      <c r="F371" s="14" t="s">
        <v>26</v>
      </c>
      <c r="G371" s="17">
        <f>'ABRIL-18'!I368</f>
        <v>990</v>
      </c>
      <c r="H371" s="157"/>
      <c r="I371" s="17">
        <f t="shared" si="6"/>
        <v>0</v>
      </c>
      <c r="J371" s="159"/>
      <c r="K371" s="326">
        <v>990</v>
      </c>
    </row>
    <row r="372" spans="1:11" ht="29.25">
      <c r="A372" s="152">
        <v>55603</v>
      </c>
      <c r="B372" s="164" t="s">
        <v>503</v>
      </c>
      <c r="C372" s="154"/>
      <c r="D372" s="14" t="s">
        <v>11</v>
      </c>
      <c r="E372" s="14" t="s">
        <v>25</v>
      </c>
      <c r="F372" s="14" t="s">
        <v>26</v>
      </c>
      <c r="G372" s="17">
        <f>'ABRIL-18'!I369</f>
        <v>6.9999999999999991</v>
      </c>
      <c r="H372" s="157"/>
      <c r="I372" s="17">
        <f t="shared" si="6"/>
        <v>6.9999999999999991</v>
      </c>
      <c r="J372" s="159"/>
      <c r="K372" s="159"/>
    </row>
    <row r="373" spans="1:11" ht="84.75">
      <c r="A373" s="144" t="s">
        <v>505</v>
      </c>
      <c r="B373" s="53" t="s">
        <v>510</v>
      </c>
      <c r="C373" s="154"/>
      <c r="D373" s="155"/>
      <c r="E373" s="155"/>
      <c r="F373" s="155"/>
      <c r="G373" s="17">
        <f>'ABRIL-18'!I370</f>
        <v>0</v>
      </c>
      <c r="H373" s="157"/>
      <c r="I373" s="158"/>
      <c r="J373" s="159"/>
      <c r="K373" s="159"/>
    </row>
    <row r="374" spans="1:11" ht="29.25">
      <c r="A374" s="152">
        <v>51999</v>
      </c>
      <c r="B374" s="153" t="s">
        <v>506</v>
      </c>
      <c r="C374" s="154"/>
      <c r="D374" s="14" t="s">
        <v>11</v>
      </c>
      <c r="E374" s="14" t="s">
        <v>25</v>
      </c>
      <c r="F374" s="14" t="s">
        <v>26</v>
      </c>
      <c r="G374" s="17">
        <f>'ABRIL-18'!I371</f>
        <v>1500</v>
      </c>
      <c r="H374" s="157"/>
      <c r="I374" s="17">
        <f t="shared" si="6"/>
        <v>0</v>
      </c>
      <c r="J374" s="159"/>
      <c r="K374" s="326">
        <v>1500</v>
      </c>
    </row>
    <row r="375" spans="1:11" ht="29.25">
      <c r="A375" s="152">
        <v>54199</v>
      </c>
      <c r="B375" s="153" t="s">
        <v>507</v>
      </c>
      <c r="C375" s="154"/>
      <c r="D375" s="14" t="s">
        <v>11</v>
      </c>
      <c r="E375" s="14" t="s">
        <v>25</v>
      </c>
      <c r="F375" s="14" t="s">
        <v>26</v>
      </c>
      <c r="G375" s="17">
        <f>'ABRIL-18'!I372</f>
        <v>990</v>
      </c>
      <c r="H375" s="157"/>
      <c r="I375" s="17">
        <f t="shared" si="6"/>
        <v>0</v>
      </c>
      <c r="J375" s="159"/>
      <c r="K375" s="326">
        <v>990</v>
      </c>
    </row>
    <row r="376" spans="1:11" ht="43.5">
      <c r="A376" s="152">
        <v>54399</v>
      </c>
      <c r="B376" s="153" t="s">
        <v>508</v>
      </c>
      <c r="C376" s="154"/>
      <c r="D376" s="14" t="s">
        <v>11</v>
      </c>
      <c r="E376" s="14" t="s">
        <v>25</v>
      </c>
      <c r="F376" s="14" t="s">
        <v>26</v>
      </c>
      <c r="G376" s="17">
        <f>'ABRIL-18'!I373</f>
        <v>500</v>
      </c>
      <c r="H376" s="157"/>
      <c r="I376" s="17">
        <f t="shared" si="6"/>
        <v>0</v>
      </c>
      <c r="J376" s="159"/>
      <c r="K376" s="326">
        <v>500</v>
      </c>
    </row>
    <row r="377" spans="1:11" ht="29.25">
      <c r="A377" s="152">
        <v>55603</v>
      </c>
      <c r="B377" s="153" t="s">
        <v>509</v>
      </c>
      <c r="C377" s="154"/>
      <c r="D377" s="14" t="s">
        <v>11</v>
      </c>
      <c r="E377" s="14" t="s">
        <v>25</v>
      </c>
      <c r="F377" s="14" t="s">
        <v>26</v>
      </c>
      <c r="G377" s="17">
        <f>'ABRIL-18'!I374</f>
        <v>10</v>
      </c>
      <c r="H377" s="157"/>
      <c r="I377" s="17">
        <f t="shared" si="6"/>
        <v>0</v>
      </c>
      <c r="J377" s="159"/>
      <c r="K377" s="326">
        <v>10</v>
      </c>
    </row>
    <row r="378" spans="1:11" ht="94.5" customHeight="1">
      <c r="A378" s="144" t="s">
        <v>511</v>
      </c>
      <c r="B378" s="53" t="s">
        <v>512</v>
      </c>
      <c r="C378" s="154"/>
      <c r="D378" s="155"/>
      <c r="E378" s="155"/>
      <c r="F378" s="155"/>
      <c r="G378" s="17">
        <f>'ABRIL-18'!I375</f>
        <v>0</v>
      </c>
      <c r="H378" s="157"/>
      <c r="I378" s="158"/>
      <c r="J378" s="159"/>
      <c r="K378" s="159"/>
    </row>
    <row r="379" spans="1:11" ht="29.25">
      <c r="A379" s="152">
        <v>51999</v>
      </c>
      <c r="B379" s="164" t="s">
        <v>513</v>
      </c>
      <c r="C379" s="154"/>
      <c r="D379" s="14" t="s">
        <v>11</v>
      </c>
      <c r="E379" s="14" t="s">
        <v>25</v>
      </c>
      <c r="F379" s="14" t="s">
        <v>26</v>
      </c>
      <c r="G379" s="17">
        <f>'ABRIL-18'!I376</f>
        <v>1000</v>
      </c>
      <c r="H379" s="157"/>
      <c r="I379" s="17">
        <f t="shared" si="6"/>
        <v>1000</v>
      </c>
      <c r="J379" s="159"/>
      <c r="K379" s="159"/>
    </row>
    <row r="380" spans="1:11" ht="29.25">
      <c r="A380" s="152">
        <v>54115</v>
      </c>
      <c r="B380" s="164" t="s">
        <v>514</v>
      </c>
      <c r="C380" s="154"/>
      <c r="D380" s="14" t="s">
        <v>11</v>
      </c>
      <c r="E380" s="14" t="s">
        <v>25</v>
      </c>
      <c r="F380" s="14" t="s">
        <v>26</v>
      </c>
      <c r="G380" s="17">
        <f>'ABRIL-18'!I377</f>
        <v>1990</v>
      </c>
      <c r="H380" s="157"/>
      <c r="I380" s="17">
        <f t="shared" si="6"/>
        <v>1990</v>
      </c>
      <c r="J380" s="159"/>
      <c r="K380" s="159"/>
    </row>
    <row r="381" spans="1:11" ht="29.25">
      <c r="A381" s="152">
        <v>61104</v>
      </c>
      <c r="B381" s="164" t="s">
        <v>515</v>
      </c>
      <c r="C381" s="154"/>
      <c r="D381" s="14" t="s">
        <v>11</v>
      </c>
      <c r="E381" s="14" t="s">
        <v>25</v>
      </c>
      <c r="F381" s="14" t="s">
        <v>26</v>
      </c>
      <c r="G381" s="17">
        <f>'ABRIL-18'!I378</f>
        <v>2000</v>
      </c>
      <c r="H381" s="157"/>
      <c r="I381" s="17">
        <f t="shared" si="6"/>
        <v>2000</v>
      </c>
      <c r="J381" s="159"/>
      <c r="K381" s="159"/>
    </row>
    <row r="382" spans="1:11" ht="29.25">
      <c r="A382" s="152">
        <v>55603</v>
      </c>
      <c r="B382" s="164" t="s">
        <v>516</v>
      </c>
      <c r="C382" s="154"/>
      <c r="D382" s="14" t="s">
        <v>11</v>
      </c>
      <c r="E382" s="14" t="s">
        <v>25</v>
      </c>
      <c r="F382" s="14" t="s">
        <v>26</v>
      </c>
      <c r="G382" s="17">
        <f>'ABRIL-18'!I379</f>
        <v>10</v>
      </c>
      <c r="H382" s="157"/>
      <c r="I382" s="17">
        <f t="shared" si="6"/>
        <v>10</v>
      </c>
      <c r="J382" s="159"/>
      <c r="K382" s="159"/>
    </row>
    <row r="383" spans="1:11" ht="63" customHeight="1">
      <c r="A383" s="144" t="s">
        <v>517</v>
      </c>
      <c r="B383" s="53" t="s">
        <v>518</v>
      </c>
      <c r="C383" s="154"/>
      <c r="D383" s="155"/>
      <c r="E383" s="155"/>
      <c r="F383" s="155"/>
      <c r="G383" s="17">
        <f>'ABRIL-18'!I380</f>
        <v>0</v>
      </c>
      <c r="H383" s="157"/>
      <c r="I383" s="158"/>
      <c r="J383" s="159"/>
      <c r="K383" s="159"/>
    </row>
    <row r="384" spans="1:11" ht="29.25">
      <c r="A384" s="152">
        <v>51999</v>
      </c>
      <c r="B384" s="164" t="s">
        <v>519</v>
      </c>
      <c r="C384" s="154"/>
      <c r="D384" s="14" t="s">
        <v>11</v>
      </c>
      <c r="E384" s="14" t="s">
        <v>25</v>
      </c>
      <c r="F384" s="14" t="s">
        <v>26</v>
      </c>
      <c r="G384" s="17">
        <f>'ABRIL-18'!I381</f>
        <v>10000</v>
      </c>
      <c r="H384" s="157"/>
      <c r="I384" s="17">
        <f t="shared" si="6"/>
        <v>10000</v>
      </c>
      <c r="J384" s="159"/>
      <c r="K384" s="159"/>
    </row>
    <row r="385" spans="1:11" ht="30">
      <c r="A385" s="152">
        <v>54313</v>
      </c>
      <c r="B385" s="164" t="s">
        <v>520</v>
      </c>
      <c r="C385" s="154"/>
      <c r="D385" s="14" t="s">
        <v>11</v>
      </c>
      <c r="E385" s="14" t="s">
        <v>25</v>
      </c>
      <c r="F385" s="14" t="s">
        <v>26</v>
      </c>
      <c r="G385" s="17">
        <f>'ABRIL-18'!I382</f>
        <v>500</v>
      </c>
      <c r="H385" s="157"/>
      <c r="I385" s="17">
        <f t="shared" si="6"/>
        <v>500</v>
      </c>
      <c r="J385" s="159"/>
      <c r="K385" s="159"/>
    </row>
    <row r="386" spans="1:11" ht="30">
      <c r="A386" s="152">
        <v>54399</v>
      </c>
      <c r="B386" s="164" t="s">
        <v>521</v>
      </c>
      <c r="C386" s="154"/>
      <c r="D386" s="14" t="s">
        <v>11</v>
      </c>
      <c r="E386" s="14" t="s">
        <v>25</v>
      </c>
      <c r="F386" s="14" t="s">
        <v>26</v>
      </c>
      <c r="G386" s="17">
        <f>'ABRIL-18'!I383</f>
        <v>990</v>
      </c>
      <c r="H386" s="157"/>
      <c r="I386" s="17">
        <f t="shared" si="6"/>
        <v>990</v>
      </c>
      <c r="J386" s="159"/>
      <c r="K386" s="159"/>
    </row>
    <row r="387" spans="1:11" ht="29.25">
      <c r="A387" s="152">
        <v>54599</v>
      </c>
      <c r="B387" s="164" t="s">
        <v>522</v>
      </c>
      <c r="C387" s="154"/>
      <c r="D387" s="14" t="s">
        <v>11</v>
      </c>
      <c r="E387" s="14" t="s">
        <v>25</v>
      </c>
      <c r="F387" s="14" t="s">
        <v>26</v>
      </c>
      <c r="G387" s="17">
        <f>'ABRIL-18'!I384</f>
        <v>13500</v>
      </c>
      <c r="H387" s="157"/>
      <c r="I387" s="17">
        <f t="shared" si="6"/>
        <v>13500</v>
      </c>
      <c r="J387" s="159"/>
      <c r="K387" s="159"/>
    </row>
    <row r="388" spans="1:11" ht="29.25">
      <c r="A388" s="152">
        <v>55603</v>
      </c>
      <c r="B388" s="164" t="s">
        <v>523</v>
      </c>
      <c r="C388" s="154"/>
      <c r="D388" s="14" t="s">
        <v>11</v>
      </c>
      <c r="E388" s="14" t="s">
        <v>25</v>
      </c>
      <c r="F388" s="14" t="s">
        <v>26</v>
      </c>
      <c r="G388" s="17">
        <f>'ABRIL-18'!I385</f>
        <v>10</v>
      </c>
      <c r="H388" s="157"/>
      <c r="I388" s="17">
        <f t="shared" si="6"/>
        <v>10</v>
      </c>
      <c r="J388" s="159"/>
      <c r="K388" s="159"/>
    </row>
    <row r="389" spans="1:11" ht="69.75">
      <c r="A389" s="144" t="s">
        <v>524</v>
      </c>
      <c r="B389" s="53" t="s">
        <v>525</v>
      </c>
      <c r="C389" s="154"/>
      <c r="D389" s="14" t="s">
        <v>11</v>
      </c>
      <c r="E389" s="14" t="s">
        <v>25</v>
      </c>
      <c r="F389" s="14" t="s">
        <v>26</v>
      </c>
      <c r="G389" s="17">
        <f>'ABRIL-18'!I386</f>
        <v>5504.86</v>
      </c>
      <c r="H389" s="157"/>
      <c r="I389" s="158">
        <f t="shared" si="6"/>
        <v>0</v>
      </c>
      <c r="J389" s="159"/>
      <c r="K389" s="328">
        <v>5504.86</v>
      </c>
    </row>
    <row r="390" spans="1:11" ht="44.25">
      <c r="A390" s="144" t="s">
        <v>526</v>
      </c>
      <c r="B390" s="53" t="s">
        <v>527</v>
      </c>
      <c r="C390" s="154"/>
      <c r="D390" s="14" t="s">
        <v>11</v>
      </c>
      <c r="E390" s="14" t="s">
        <v>25</v>
      </c>
      <c r="F390" s="14" t="s">
        <v>26</v>
      </c>
      <c r="G390" s="17">
        <f>'ABRIL-18'!I387</f>
        <v>15000</v>
      </c>
      <c r="H390" s="157"/>
      <c r="I390" s="158">
        <f t="shared" si="6"/>
        <v>0</v>
      </c>
      <c r="J390" s="159"/>
      <c r="K390" s="329">
        <v>15000</v>
      </c>
    </row>
    <row r="391" spans="1:11" ht="39.75">
      <c r="A391" s="144" t="s">
        <v>528</v>
      </c>
      <c r="B391" s="53" t="s">
        <v>529</v>
      </c>
      <c r="C391" s="154"/>
      <c r="D391" s="14" t="s">
        <v>11</v>
      </c>
      <c r="E391" s="14" t="s">
        <v>25</v>
      </c>
      <c r="F391" s="14" t="s">
        <v>26</v>
      </c>
      <c r="G391" s="17">
        <f>'ABRIL-18'!I388</f>
        <v>8000</v>
      </c>
      <c r="H391" s="157"/>
      <c r="I391" s="158">
        <f t="shared" si="6"/>
        <v>0</v>
      </c>
      <c r="J391" s="159"/>
      <c r="K391" s="329">
        <v>8000</v>
      </c>
    </row>
    <row r="392" spans="1:11" ht="39.75">
      <c r="A392" s="144" t="s">
        <v>530</v>
      </c>
      <c r="B392" s="53" t="s">
        <v>531</v>
      </c>
      <c r="C392" s="154"/>
      <c r="D392" s="14" t="s">
        <v>11</v>
      </c>
      <c r="E392" s="14" t="s">
        <v>25</v>
      </c>
      <c r="F392" s="14" t="s">
        <v>26</v>
      </c>
      <c r="G392" s="17">
        <f>'ABRIL-18'!I389</f>
        <v>15000</v>
      </c>
      <c r="H392" s="157"/>
      <c r="I392" s="158">
        <f t="shared" si="6"/>
        <v>0</v>
      </c>
      <c r="J392" s="159"/>
      <c r="K392" s="329">
        <v>15000</v>
      </c>
    </row>
    <row r="393" spans="1:11" ht="55.5">
      <c r="A393" s="144" t="s">
        <v>532</v>
      </c>
      <c r="B393" s="53" t="s">
        <v>533</v>
      </c>
      <c r="C393" s="154"/>
      <c r="D393" s="155"/>
      <c r="E393" s="155"/>
      <c r="F393" s="155"/>
      <c r="G393" s="17">
        <f>'ABRIL-18'!I390</f>
        <v>0</v>
      </c>
      <c r="H393" s="157"/>
      <c r="I393" s="158"/>
      <c r="J393" s="159"/>
      <c r="K393" s="159"/>
    </row>
    <row r="394" spans="1:11">
      <c r="A394" s="152">
        <v>51202</v>
      </c>
      <c r="B394" s="153" t="s">
        <v>534</v>
      </c>
      <c r="C394" s="154"/>
      <c r="D394" s="14" t="s">
        <v>11</v>
      </c>
      <c r="E394" s="14" t="s">
        <v>25</v>
      </c>
      <c r="F394" s="14" t="s">
        <v>26</v>
      </c>
      <c r="G394" s="17">
        <f>'ABRIL-18'!I391</f>
        <v>8000</v>
      </c>
      <c r="H394" s="157"/>
      <c r="I394" s="158">
        <f t="shared" si="6"/>
        <v>8000</v>
      </c>
      <c r="J394" s="159"/>
      <c r="K394" s="159"/>
    </row>
    <row r="395" spans="1:11" ht="29.25">
      <c r="A395" s="152">
        <v>54111</v>
      </c>
      <c r="B395" s="153" t="s">
        <v>535</v>
      </c>
      <c r="C395" s="154"/>
      <c r="D395" s="14" t="s">
        <v>11</v>
      </c>
      <c r="E395" s="14" t="s">
        <v>25</v>
      </c>
      <c r="F395" s="14" t="s">
        <v>26</v>
      </c>
      <c r="G395" s="17">
        <f>'ABRIL-18'!I392</f>
        <v>5500</v>
      </c>
      <c r="H395" s="157"/>
      <c r="I395" s="158">
        <f t="shared" si="6"/>
        <v>5500</v>
      </c>
      <c r="J395" s="159"/>
      <c r="K395" s="159"/>
    </row>
    <row r="396" spans="1:11" ht="29.25">
      <c r="A396" s="152">
        <v>54112</v>
      </c>
      <c r="B396" s="153" t="s">
        <v>536</v>
      </c>
      <c r="C396" s="154"/>
      <c r="D396" s="14" t="s">
        <v>11</v>
      </c>
      <c r="E396" s="14" t="s">
        <v>25</v>
      </c>
      <c r="F396" s="14" t="s">
        <v>26</v>
      </c>
      <c r="G396" s="17">
        <f>'ABRIL-18'!I393</f>
        <v>5000</v>
      </c>
      <c r="H396" s="157"/>
      <c r="I396" s="158">
        <f t="shared" si="6"/>
        <v>5000</v>
      </c>
      <c r="J396" s="159"/>
      <c r="K396" s="159"/>
    </row>
    <row r="397" spans="1:11" ht="30">
      <c r="A397" s="152">
        <v>54313</v>
      </c>
      <c r="B397" s="153" t="s">
        <v>537</v>
      </c>
      <c r="C397" s="154"/>
      <c r="D397" s="14" t="s">
        <v>11</v>
      </c>
      <c r="E397" s="14" t="s">
        <v>25</v>
      </c>
      <c r="F397" s="14" t="s">
        <v>26</v>
      </c>
      <c r="G397" s="17">
        <f>'ABRIL-18'!I394</f>
        <v>500</v>
      </c>
      <c r="H397" s="157"/>
      <c r="I397" s="158">
        <f t="shared" si="6"/>
        <v>500</v>
      </c>
      <c r="J397" s="159"/>
      <c r="K397" s="159"/>
    </row>
    <row r="398" spans="1:11" ht="30">
      <c r="A398" s="152">
        <v>54399</v>
      </c>
      <c r="B398" s="153" t="s">
        <v>538</v>
      </c>
      <c r="C398" s="154"/>
      <c r="D398" s="14" t="s">
        <v>11</v>
      </c>
      <c r="E398" s="14" t="s">
        <v>25</v>
      </c>
      <c r="F398" s="14" t="s">
        <v>26</v>
      </c>
      <c r="G398" s="17">
        <f>'ABRIL-18'!I395</f>
        <v>990</v>
      </c>
      <c r="H398" s="157"/>
      <c r="I398" s="158">
        <f t="shared" si="6"/>
        <v>990</v>
      </c>
      <c r="J398" s="159"/>
      <c r="K398" s="159"/>
    </row>
    <row r="399" spans="1:11" ht="29.25">
      <c r="A399" s="152">
        <v>55603</v>
      </c>
      <c r="B399" s="153" t="s">
        <v>539</v>
      </c>
      <c r="C399" s="154"/>
      <c r="D399" s="14" t="s">
        <v>11</v>
      </c>
      <c r="E399" s="14" t="s">
        <v>25</v>
      </c>
      <c r="F399" s="14" t="s">
        <v>26</v>
      </c>
      <c r="G399" s="17">
        <f>'ABRIL-18'!I396</f>
        <v>10</v>
      </c>
      <c r="H399" s="157"/>
      <c r="I399" s="158">
        <f t="shared" si="6"/>
        <v>10</v>
      </c>
      <c r="J399" s="159"/>
      <c r="K399" s="159"/>
    </row>
    <row r="400" spans="1:11" ht="55.5">
      <c r="A400" s="144" t="s">
        <v>540</v>
      </c>
      <c r="B400" s="53" t="s">
        <v>1171</v>
      </c>
      <c r="C400" s="154"/>
      <c r="D400" s="155"/>
      <c r="E400" s="155"/>
      <c r="F400" s="155"/>
      <c r="G400" s="17">
        <f>'ABRIL-18'!I397</f>
        <v>0</v>
      </c>
      <c r="H400" s="157"/>
      <c r="I400" s="158"/>
      <c r="J400" s="159"/>
      <c r="K400" s="159"/>
    </row>
    <row r="401" spans="1:27" ht="29.25">
      <c r="A401" s="152">
        <v>51202</v>
      </c>
      <c r="B401" s="153" t="s">
        <v>542</v>
      </c>
      <c r="C401" s="154"/>
      <c r="D401" s="14" t="s">
        <v>11</v>
      </c>
      <c r="E401" s="14" t="s">
        <v>25</v>
      </c>
      <c r="F401" s="14" t="s">
        <v>26</v>
      </c>
      <c r="G401" s="17">
        <f>'ABRIL-18'!I398</f>
        <v>5000</v>
      </c>
      <c r="H401" s="157"/>
      <c r="I401" s="158">
        <f t="shared" si="6"/>
        <v>0</v>
      </c>
      <c r="J401" s="159"/>
      <c r="K401" s="326">
        <v>5000</v>
      </c>
    </row>
    <row r="402" spans="1:27" ht="39.75" customHeight="1">
      <c r="A402" s="152">
        <v>54111</v>
      </c>
      <c r="B402" s="153" t="s">
        <v>543</v>
      </c>
      <c r="C402" s="154"/>
      <c r="D402" s="14" t="s">
        <v>11</v>
      </c>
      <c r="E402" s="14" t="s">
        <v>25</v>
      </c>
      <c r="F402" s="14" t="s">
        <v>26</v>
      </c>
      <c r="G402" s="17">
        <f>'ABRIL-18'!I399</f>
        <v>5500</v>
      </c>
      <c r="H402" s="157"/>
      <c r="I402" s="158">
        <f t="shared" si="6"/>
        <v>0</v>
      </c>
      <c r="J402" s="159"/>
      <c r="K402" s="326">
        <v>5500</v>
      </c>
    </row>
    <row r="403" spans="1:27" ht="35.25" customHeight="1">
      <c r="A403" s="152">
        <v>54112</v>
      </c>
      <c r="B403" s="153" t="s">
        <v>544</v>
      </c>
      <c r="C403" s="154"/>
      <c r="D403" s="14" t="s">
        <v>11</v>
      </c>
      <c r="E403" s="14" t="s">
        <v>25</v>
      </c>
      <c r="F403" s="14" t="s">
        <v>26</v>
      </c>
      <c r="G403" s="17">
        <f>'ABRIL-18'!I400</f>
        <v>3000</v>
      </c>
      <c r="H403" s="157"/>
      <c r="I403" s="158">
        <f t="shared" ref="I403:I418" si="7">G403-H403+J403-K403</f>
        <v>0</v>
      </c>
      <c r="J403" s="159"/>
      <c r="K403" s="326">
        <v>3000</v>
      </c>
    </row>
    <row r="404" spans="1:27" ht="36.75" customHeight="1">
      <c r="A404" s="152">
        <v>54313</v>
      </c>
      <c r="B404" s="153" t="s">
        <v>545</v>
      </c>
      <c r="C404" s="154"/>
      <c r="D404" s="14" t="s">
        <v>11</v>
      </c>
      <c r="E404" s="14" t="s">
        <v>25</v>
      </c>
      <c r="F404" s="14" t="s">
        <v>26</v>
      </c>
      <c r="G404" s="17">
        <f>'ABRIL-18'!I401</f>
        <v>500</v>
      </c>
      <c r="H404" s="157"/>
      <c r="I404" s="158">
        <f t="shared" si="7"/>
        <v>0</v>
      </c>
      <c r="J404" s="159"/>
      <c r="K404" s="326">
        <v>500</v>
      </c>
      <c r="M404" s="167"/>
      <c r="N404" s="167"/>
      <c r="O404" s="167"/>
      <c r="P404" s="167"/>
      <c r="Q404" s="167"/>
    </row>
    <row r="405" spans="1:27" ht="34.5" customHeight="1">
      <c r="A405" s="152">
        <v>54399</v>
      </c>
      <c r="B405" s="153" t="s">
        <v>546</v>
      </c>
      <c r="C405" s="154"/>
      <c r="D405" s="14" t="s">
        <v>11</v>
      </c>
      <c r="E405" s="14" t="s">
        <v>25</v>
      </c>
      <c r="F405" s="14" t="s">
        <v>26</v>
      </c>
      <c r="G405" s="17">
        <f>'ABRIL-18'!I402</f>
        <v>990</v>
      </c>
      <c r="H405" s="157"/>
      <c r="I405" s="158">
        <f t="shared" si="7"/>
        <v>0</v>
      </c>
      <c r="J405" s="159"/>
      <c r="K405" s="326">
        <v>990</v>
      </c>
      <c r="M405" s="167"/>
      <c r="N405" s="167"/>
      <c r="O405" s="167"/>
      <c r="P405" s="167"/>
      <c r="Q405" s="167"/>
    </row>
    <row r="406" spans="1:27" s="47" customFormat="1" ht="29.25">
      <c r="A406" s="11">
        <v>55603</v>
      </c>
      <c r="B406" s="153" t="s">
        <v>547</v>
      </c>
      <c r="C406" s="12"/>
      <c r="D406" s="14" t="s">
        <v>11</v>
      </c>
      <c r="E406" s="14" t="s">
        <v>25</v>
      </c>
      <c r="F406" s="14" t="s">
        <v>26</v>
      </c>
      <c r="G406" s="17">
        <f>'ABRIL-18'!I403</f>
        <v>10</v>
      </c>
      <c r="H406" s="51"/>
      <c r="I406" s="158">
        <f t="shared" si="7"/>
        <v>0</v>
      </c>
      <c r="J406" s="44"/>
      <c r="K406" s="330">
        <v>10</v>
      </c>
      <c r="L406" s="165"/>
      <c r="M406" s="167"/>
      <c r="N406" s="167"/>
      <c r="O406" s="167"/>
      <c r="P406" s="167"/>
      <c r="Q406" s="167"/>
      <c r="R406" s="167"/>
      <c r="S406" s="167"/>
      <c r="T406" s="167"/>
      <c r="U406" s="167"/>
      <c r="V406" s="167"/>
      <c r="W406" s="167"/>
      <c r="X406" s="167"/>
      <c r="Y406" s="167"/>
      <c r="Z406" s="167"/>
      <c r="AA406" s="166"/>
    </row>
    <row r="407" spans="1:27" s="47" customFormat="1" ht="28.5">
      <c r="A407" s="144" t="s">
        <v>548</v>
      </c>
      <c r="B407" s="53" t="s">
        <v>549</v>
      </c>
      <c r="C407" s="12"/>
      <c r="D407" s="14" t="s">
        <v>11</v>
      </c>
      <c r="E407" s="14" t="s">
        <v>25</v>
      </c>
      <c r="F407" s="14" t="s">
        <v>26</v>
      </c>
      <c r="G407" s="17">
        <f>'ABRIL-18'!I404</f>
        <v>5000</v>
      </c>
      <c r="H407" s="51"/>
      <c r="I407" s="17">
        <f t="shared" si="7"/>
        <v>5000</v>
      </c>
      <c r="J407" s="44"/>
      <c r="K407" s="44"/>
      <c r="L407" s="165"/>
      <c r="M407" s="167"/>
      <c r="N407" s="167"/>
      <c r="O407" s="167"/>
      <c r="P407" s="167"/>
      <c r="Q407" s="167"/>
      <c r="R407" s="167"/>
      <c r="S407" s="167"/>
      <c r="T407" s="167"/>
      <c r="U407" s="167"/>
      <c r="V407" s="167"/>
      <c r="W407" s="167"/>
      <c r="X407" s="167"/>
      <c r="Y407" s="167"/>
      <c r="Z407" s="167"/>
      <c r="AA407" s="166"/>
    </row>
    <row r="408" spans="1:27" s="47" customFormat="1" ht="40.5">
      <c r="A408" s="144" t="s">
        <v>550</v>
      </c>
      <c r="B408" s="53" t="s">
        <v>1026</v>
      </c>
      <c r="C408" s="12"/>
      <c r="D408" s="3"/>
      <c r="E408" s="3"/>
      <c r="F408" s="3"/>
      <c r="G408" s="17">
        <f>'ABRIL-18'!I405</f>
        <v>0</v>
      </c>
      <c r="H408" s="51"/>
      <c r="I408" s="17"/>
      <c r="J408" s="44"/>
      <c r="K408" s="52"/>
      <c r="L408" s="165"/>
      <c r="M408" s="167"/>
      <c r="N408" s="167"/>
      <c r="O408" s="167"/>
      <c r="P408" s="167"/>
      <c r="Q408" s="167"/>
      <c r="R408" s="167"/>
      <c r="S408" s="167"/>
      <c r="T408" s="167"/>
      <c r="U408" s="167"/>
      <c r="V408" s="167"/>
      <c r="W408" s="167"/>
      <c r="X408" s="167"/>
      <c r="Y408" s="167"/>
      <c r="Z408" s="167"/>
      <c r="AA408" s="166"/>
    </row>
    <row r="409" spans="1:27" s="47" customFormat="1" ht="20.25" customHeight="1">
      <c r="A409" s="11">
        <v>51999</v>
      </c>
      <c r="B409" s="70" t="s">
        <v>552</v>
      </c>
      <c r="C409" s="12"/>
      <c r="D409" s="14" t="s">
        <v>11</v>
      </c>
      <c r="E409" s="14" t="s">
        <v>25</v>
      </c>
      <c r="F409" s="14" t="s">
        <v>26</v>
      </c>
      <c r="G409" s="17">
        <f>'ABRIL-18'!I406</f>
        <v>0</v>
      </c>
      <c r="H409" s="51"/>
      <c r="I409" s="17">
        <f t="shared" si="7"/>
        <v>0</v>
      </c>
      <c r="J409" s="44"/>
      <c r="K409" s="266"/>
      <c r="L409" s="165"/>
      <c r="M409" s="167"/>
      <c r="N409" s="167"/>
      <c r="O409" s="167"/>
      <c r="P409" s="167"/>
      <c r="Q409" s="167"/>
      <c r="R409" s="167"/>
      <c r="S409" s="167"/>
      <c r="T409" s="167"/>
      <c r="U409" s="167"/>
      <c r="V409" s="167"/>
      <c r="W409" s="167"/>
      <c r="X409" s="167"/>
      <c r="Y409" s="167"/>
      <c r="Z409" s="167"/>
    </row>
    <row r="410" spans="1:27" s="47" customFormat="1" ht="23.25" customHeight="1">
      <c r="A410" s="11">
        <v>54399</v>
      </c>
      <c r="B410" s="70" t="s">
        <v>553</v>
      </c>
      <c r="C410" s="12"/>
      <c r="D410" s="14" t="s">
        <v>11</v>
      </c>
      <c r="E410" s="14" t="s">
        <v>25</v>
      </c>
      <c r="F410" s="14" t="s">
        <v>26</v>
      </c>
      <c r="G410" s="17">
        <f>'ABRIL-18'!I407</f>
        <v>0</v>
      </c>
      <c r="H410" s="51"/>
      <c r="I410" s="17">
        <f t="shared" si="7"/>
        <v>0</v>
      </c>
      <c r="J410" s="44"/>
      <c r="K410" s="266"/>
      <c r="L410" s="165"/>
      <c r="M410" s="167"/>
      <c r="N410" s="167"/>
      <c r="O410" s="167"/>
      <c r="P410" s="167"/>
      <c r="Q410" s="167"/>
      <c r="R410" s="167"/>
      <c r="S410" s="167"/>
      <c r="T410" s="167"/>
      <c r="U410" s="167"/>
      <c r="V410" s="167"/>
      <c r="W410" s="167"/>
      <c r="X410" s="167"/>
      <c r="Y410" s="167"/>
      <c r="Z410" s="167"/>
    </row>
    <row r="411" spans="1:27" s="47" customFormat="1" ht="20.25" customHeight="1">
      <c r="A411" s="11">
        <v>54599</v>
      </c>
      <c r="B411" s="70" t="s">
        <v>554</v>
      </c>
      <c r="C411" s="12"/>
      <c r="D411" s="14" t="s">
        <v>11</v>
      </c>
      <c r="E411" s="14" t="s">
        <v>25</v>
      </c>
      <c r="F411" s="14" t="s">
        <v>26</v>
      </c>
      <c r="G411" s="17">
        <f>'ABRIL-18'!I408</f>
        <v>0</v>
      </c>
      <c r="H411" s="51"/>
      <c r="I411" s="17">
        <f t="shared" si="7"/>
        <v>0</v>
      </c>
      <c r="J411" s="44"/>
      <c r="K411" s="266"/>
      <c r="L411" s="165"/>
      <c r="M411" s="167"/>
      <c r="N411" s="167"/>
      <c r="O411" s="167"/>
      <c r="P411" s="167"/>
      <c r="Q411" s="167"/>
      <c r="R411" s="167"/>
      <c r="S411" s="167"/>
      <c r="T411" s="167"/>
      <c r="U411" s="167"/>
      <c r="V411" s="167"/>
      <c r="W411" s="167"/>
      <c r="X411" s="167"/>
      <c r="Y411" s="167"/>
      <c r="Z411" s="167"/>
    </row>
    <row r="412" spans="1:27" s="47" customFormat="1" ht="44.25" customHeight="1">
      <c r="A412" s="144" t="s">
        <v>909</v>
      </c>
      <c r="B412" s="349" t="s">
        <v>1089</v>
      </c>
      <c r="C412" s="12"/>
      <c r="D412" s="14"/>
      <c r="E412" s="14"/>
      <c r="F412" s="14"/>
      <c r="G412" s="17"/>
      <c r="H412" s="51"/>
      <c r="I412" s="17"/>
      <c r="J412" s="44"/>
      <c r="K412" s="266"/>
      <c r="L412" s="165"/>
      <c r="M412" s="167"/>
      <c r="N412" s="167"/>
      <c r="O412" s="167"/>
      <c r="P412" s="167"/>
      <c r="Q412" s="167"/>
      <c r="R412" s="167"/>
      <c r="S412" s="167"/>
      <c r="T412" s="167"/>
      <c r="U412" s="167"/>
      <c r="V412" s="167"/>
      <c r="W412" s="167"/>
      <c r="X412" s="167"/>
      <c r="Y412" s="167"/>
      <c r="Z412" s="167"/>
    </row>
    <row r="413" spans="1:27" s="47" customFormat="1" ht="31.5" customHeight="1">
      <c r="A413" s="11">
        <v>54314</v>
      </c>
      <c r="B413" s="70" t="s">
        <v>1090</v>
      </c>
      <c r="C413" s="12"/>
      <c r="D413" s="14" t="s">
        <v>11</v>
      </c>
      <c r="E413" s="14" t="s">
        <v>25</v>
      </c>
      <c r="F413" s="14" t="s">
        <v>26</v>
      </c>
      <c r="G413" s="17"/>
      <c r="H413" s="51"/>
      <c r="I413" s="17">
        <f t="shared" si="7"/>
        <v>12000</v>
      </c>
      <c r="J413" s="347">
        <v>12000</v>
      </c>
      <c r="K413" s="266"/>
      <c r="L413" s="165"/>
      <c r="M413" s="167"/>
      <c r="N413" s="167"/>
      <c r="O413" s="167"/>
      <c r="P413" s="167"/>
      <c r="Q413" s="167"/>
      <c r="R413" s="167"/>
      <c r="S413" s="167"/>
      <c r="T413" s="167"/>
      <c r="U413" s="167"/>
      <c r="V413" s="167"/>
      <c r="W413" s="167"/>
      <c r="X413" s="167"/>
      <c r="Y413" s="167"/>
      <c r="Z413" s="167"/>
    </row>
    <row r="414" spans="1:27" s="47" customFormat="1" ht="30">
      <c r="A414" s="47">
        <v>55603</v>
      </c>
      <c r="B414" s="5" t="s">
        <v>1091</v>
      </c>
      <c r="C414" s="12"/>
      <c r="D414" s="14" t="s">
        <v>11</v>
      </c>
      <c r="E414" s="14" t="s">
        <v>25</v>
      </c>
      <c r="F414" s="14" t="s">
        <v>26</v>
      </c>
      <c r="G414" s="17">
        <f>'ABRIL-18'!I409</f>
        <v>0</v>
      </c>
      <c r="H414" s="51"/>
      <c r="I414" s="17">
        <f t="shared" si="7"/>
        <v>1.3</v>
      </c>
      <c r="J414" s="316">
        <v>1.3</v>
      </c>
      <c r="K414" s="44"/>
      <c r="L414" s="165"/>
      <c r="M414" s="167"/>
      <c r="N414" s="167"/>
      <c r="O414" s="167"/>
      <c r="P414" s="167"/>
      <c r="Q414" s="167"/>
      <c r="R414" s="167"/>
      <c r="S414" s="167"/>
      <c r="T414" s="167"/>
      <c r="U414" s="167"/>
      <c r="V414" s="167"/>
      <c r="W414" s="167"/>
      <c r="X414" s="167"/>
      <c r="Y414" s="167"/>
      <c r="Z414" s="167"/>
    </row>
    <row r="415" spans="1:27" s="47" customFormat="1">
      <c r="B415" s="5"/>
      <c r="C415" s="12"/>
      <c r="D415" s="14"/>
      <c r="E415" s="14"/>
      <c r="F415" s="14"/>
      <c r="G415" s="17"/>
      <c r="H415" s="51"/>
      <c r="I415" s="17"/>
      <c r="J415" s="316"/>
      <c r="K415" s="44"/>
      <c r="L415" s="165"/>
      <c r="M415" s="167"/>
      <c r="N415" s="167"/>
      <c r="O415" s="167"/>
      <c r="P415" s="167"/>
      <c r="Q415" s="167"/>
      <c r="R415" s="167"/>
      <c r="S415" s="167"/>
      <c r="T415" s="167"/>
      <c r="U415" s="167"/>
      <c r="V415" s="167"/>
      <c r="W415" s="167"/>
      <c r="X415" s="167"/>
      <c r="Y415" s="167"/>
      <c r="Z415" s="167"/>
    </row>
    <row r="416" spans="1:27" s="47" customFormat="1" ht="34.5" customHeight="1">
      <c r="A416" s="317" t="s">
        <v>1092</v>
      </c>
      <c r="B416" s="338" t="s">
        <v>1095</v>
      </c>
      <c r="C416" s="318"/>
      <c r="D416" s="14" t="s">
        <v>11</v>
      </c>
      <c r="E416" s="14" t="s">
        <v>25</v>
      </c>
      <c r="F416" s="14" t="s">
        <v>26</v>
      </c>
      <c r="G416" s="17"/>
      <c r="H416" s="51"/>
      <c r="I416" s="17">
        <f t="shared" si="7"/>
        <v>250000</v>
      </c>
      <c r="J416" s="316">
        <v>250000</v>
      </c>
      <c r="K416" s="44"/>
      <c r="L416" s="165"/>
      <c r="M416" s="167"/>
      <c r="N416" s="167"/>
      <c r="O416" s="167"/>
      <c r="P416" s="167"/>
      <c r="Q416" s="167"/>
      <c r="R416" s="167"/>
      <c r="S416" s="167"/>
      <c r="T416" s="167"/>
      <c r="U416" s="167"/>
      <c r="V416" s="167"/>
      <c r="W416" s="167"/>
      <c r="X416" s="167"/>
      <c r="Y416" s="167"/>
      <c r="Z416" s="167"/>
    </row>
    <row r="417" spans="1:26" s="47" customFormat="1">
      <c r="B417" s="339"/>
      <c r="C417" s="12"/>
      <c r="D417" s="14"/>
      <c r="E417" s="14"/>
      <c r="F417" s="14"/>
      <c r="G417" s="17"/>
      <c r="H417" s="51"/>
      <c r="I417" s="17"/>
      <c r="J417" s="316"/>
      <c r="K417" s="44"/>
      <c r="L417" s="165"/>
      <c r="M417" s="167"/>
      <c r="N417" s="167"/>
      <c r="O417" s="167"/>
      <c r="P417" s="167"/>
      <c r="Q417" s="167"/>
      <c r="R417" s="167"/>
      <c r="S417" s="167"/>
      <c r="T417" s="167"/>
      <c r="U417" s="167"/>
      <c r="V417" s="167"/>
      <c r="W417" s="167"/>
      <c r="X417" s="167"/>
      <c r="Y417" s="167"/>
      <c r="Z417" s="167"/>
    </row>
    <row r="418" spans="1:26" s="47" customFormat="1" ht="48" customHeight="1">
      <c r="A418" s="47">
        <v>54107</v>
      </c>
      <c r="B418" s="340" t="s">
        <v>1116</v>
      </c>
      <c r="C418" s="319"/>
      <c r="D418" s="14" t="s">
        <v>11</v>
      </c>
      <c r="E418" s="14" t="s">
        <v>25</v>
      </c>
      <c r="F418" s="14" t="s">
        <v>26</v>
      </c>
      <c r="G418" s="17"/>
      <c r="H418" s="51"/>
      <c r="I418" s="17">
        <f t="shared" si="7"/>
        <v>100000</v>
      </c>
      <c r="J418" s="347">
        <f>100000</f>
        <v>100000</v>
      </c>
      <c r="K418" s="44"/>
      <c r="L418" s="165"/>
      <c r="M418" s="167"/>
      <c r="N418" s="167"/>
      <c r="O418" s="167"/>
      <c r="P418" s="167"/>
      <c r="Q418" s="167"/>
      <c r="R418" s="167"/>
      <c r="S418" s="167"/>
      <c r="T418" s="167"/>
      <c r="U418" s="167"/>
      <c r="V418" s="167"/>
      <c r="W418" s="167"/>
      <c r="X418" s="167"/>
      <c r="Y418" s="167"/>
      <c r="Z418" s="167"/>
    </row>
    <row r="419" spans="1:26" s="47" customFormat="1">
      <c r="B419" s="5"/>
      <c r="C419" s="12"/>
      <c r="D419" s="14"/>
      <c r="E419" s="14"/>
      <c r="F419" s="14"/>
      <c r="G419" s="17"/>
      <c r="H419" s="51"/>
      <c r="I419" s="17"/>
      <c r="J419" s="316"/>
      <c r="K419" s="44"/>
      <c r="L419" s="165"/>
      <c r="M419" s="167"/>
      <c r="N419" s="167"/>
      <c r="O419" s="167"/>
      <c r="P419" s="167"/>
      <c r="Q419" s="167"/>
      <c r="R419" s="167"/>
      <c r="S419" s="167"/>
      <c r="T419" s="167"/>
      <c r="U419" s="167"/>
      <c r="V419" s="167"/>
      <c r="W419" s="167"/>
      <c r="X419" s="167"/>
      <c r="Y419" s="167"/>
      <c r="Z419" s="167"/>
    </row>
    <row r="420" spans="1:26" s="47" customFormat="1">
      <c r="A420" s="11"/>
      <c r="B420" s="5"/>
      <c r="C420" s="12"/>
      <c r="D420" s="3"/>
      <c r="E420" s="3"/>
      <c r="F420" s="3"/>
      <c r="G420" s="17">
        <f>'ABRIL-18'!I410</f>
        <v>0</v>
      </c>
      <c r="H420" s="51"/>
      <c r="I420" s="17"/>
      <c r="J420" s="44"/>
      <c r="K420" s="44"/>
      <c r="L420" s="165"/>
      <c r="M420" s="167"/>
      <c r="N420" s="167"/>
      <c r="O420" s="167"/>
      <c r="P420" s="167"/>
      <c r="Q420" s="167"/>
      <c r="R420" s="167"/>
      <c r="S420" s="167"/>
      <c r="T420" s="167"/>
      <c r="U420" s="167"/>
      <c r="V420" s="167"/>
      <c r="W420" s="167"/>
      <c r="X420" s="167"/>
      <c r="Y420" s="167"/>
      <c r="Z420" s="167"/>
    </row>
    <row r="421" spans="1:26">
      <c r="A421" s="160"/>
      <c r="B421" s="161" t="s">
        <v>17</v>
      </c>
      <c r="C421" s="161"/>
      <c r="D421" s="161"/>
      <c r="E421" s="161"/>
      <c r="F421" s="161"/>
      <c r="G421" s="17">
        <f>'ABRIL-18'!I411</f>
        <v>803316.94000000018</v>
      </c>
      <c r="H421" s="163">
        <f>SUM(H159:H420)</f>
        <v>3933.86</v>
      </c>
      <c r="I421" s="162">
        <f>SUM(I159:I420)</f>
        <v>981582.36000000022</v>
      </c>
      <c r="J421" s="162">
        <f>SUM(J159:J420)</f>
        <v>367681.3</v>
      </c>
      <c r="K421" s="162">
        <f>SUM(K159:K420)</f>
        <v>185482.02</v>
      </c>
      <c r="M421" s="167"/>
      <c r="N421" s="167"/>
      <c r="O421" s="167"/>
      <c r="P421" s="167"/>
      <c r="Q421" s="167"/>
      <c r="R421" s="167"/>
      <c r="S421" s="167"/>
      <c r="T421" s="167"/>
      <c r="U421" s="167"/>
      <c r="V421" s="167"/>
      <c r="W421" s="167"/>
      <c r="X421" s="167"/>
      <c r="Y421" s="167"/>
      <c r="Z421" s="167"/>
    </row>
    <row r="422" spans="1:26" ht="58.5">
      <c r="A422" s="11" t="s">
        <v>555</v>
      </c>
      <c r="B422" s="57" t="s">
        <v>557</v>
      </c>
      <c r="C422" s="58"/>
      <c r="D422" s="14" t="s">
        <v>18</v>
      </c>
      <c r="E422" s="14" t="s">
        <v>28</v>
      </c>
      <c r="F422" s="14" t="s">
        <v>26</v>
      </c>
      <c r="G422" s="17">
        <f>'ABRIL-18'!I412</f>
        <v>1000</v>
      </c>
      <c r="H422" s="51"/>
      <c r="I422" s="17">
        <f t="shared" ref="I422:I491" si="8">G422-H422+J422-K422</f>
        <v>0</v>
      </c>
      <c r="J422" s="52"/>
      <c r="K422" s="365">
        <v>1000</v>
      </c>
      <c r="M422" s="167"/>
      <c r="N422" s="167"/>
      <c r="O422" s="167"/>
      <c r="P422" s="167"/>
      <c r="Q422" s="167"/>
      <c r="R422" s="167"/>
      <c r="S422" s="167"/>
      <c r="T422" s="167"/>
      <c r="U422" s="167"/>
      <c r="V422" s="167"/>
      <c r="W422" s="167"/>
      <c r="X422" s="167"/>
      <c r="Y422" s="167"/>
      <c r="Z422" s="167"/>
    </row>
    <row r="423" spans="1:26" ht="58.5">
      <c r="A423" s="11" t="s">
        <v>556</v>
      </c>
      <c r="B423" s="57" t="s">
        <v>558</v>
      </c>
      <c r="C423" s="58"/>
      <c r="D423" s="14" t="s">
        <v>18</v>
      </c>
      <c r="E423" s="14" t="s">
        <v>28</v>
      </c>
      <c r="F423" s="14" t="s">
        <v>26</v>
      </c>
      <c r="G423" s="17">
        <f>'ABRIL-18'!I413</f>
        <v>7000</v>
      </c>
      <c r="H423" s="51"/>
      <c r="I423" s="17">
        <f t="shared" si="8"/>
        <v>14000</v>
      </c>
      <c r="J423" s="137">
        <v>7000</v>
      </c>
      <c r="K423" s="52"/>
      <c r="M423" s="167"/>
      <c r="N423" s="167"/>
      <c r="O423" s="167"/>
      <c r="P423" s="167"/>
      <c r="Q423" s="167"/>
    </row>
    <row r="424" spans="1:26" ht="72.75">
      <c r="A424" s="11" t="s">
        <v>560</v>
      </c>
      <c r="B424" s="57" t="s">
        <v>559</v>
      </c>
      <c r="C424" s="59"/>
      <c r="D424" s="14" t="s">
        <v>18</v>
      </c>
      <c r="E424" s="14" t="s">
        <v>28</v>
      </c>
      <c r="F424" s="14" t="s">
        <v>26</v>
      </c>
      <c r="G424" s="17">
        <f>'ABRIL-18'!I414</f>
        <v>2000</v>
      </c>
      <c r="H424" s="51"/>
      <c r="I424" s="17">
        <f t="shared" si="8"/>
        <v>631.86999999999989</v>
      </c>
      <c r="J424" s="52"/>
      <c r="K424" s="365">
        <v>1368.13</v>
      </c>
    </row>
    <row r="425" spans="1:26" ht="72.75">
      <c r="A425" s="11" t="s">
        <v>561</v>
      </c>
      <c r="B425" s="57" t="s">
        <v>562</v>
      </c>
      <c r="C425" s="59"/>
      <c r="D425" s="14" t="s">
        <v>18</v>
      </c>
      <c r="E425" s="14" t="s">
        <v>28</v>
      </c>
      <c r="F425" s="14" t="s">
        <v>26</v>
      </c>
      <c r="G425" s="17">
        <f>'ABRIL-18'!I415</f>
        <v>1990</v>
      </c>
      <c r="H425" s="51"/>
      <c r="I425" s="17">
        <f t="shared" si="8"/>
        <v>1990</v>
      </c>
      <c r="J425" s="56"/>
      <c r="K425" s="56"/>
    </row>
    <row r="426" spans="1:26" ht="72.75">
      <c r="A426" s="11" t="s">
        <v>564</v>
      </c>
      <c r="B426" s="57" t="s">
        <v>563</v>
      </c>
      <c r="C426" s="59"/>
      <c r="D426" s="14" t="s">
        <v>18</v>
      </c>
      <c r="E426" s="14" t="s">
        <v>28</v>
      </c>
      <c r="F426" s="14" t="s">
        <v>26</v>
      </c>
      <c r="G426" s="17">
        <f>'ABRIL-18'!I416</f>
        <v>3000</v>
      </c>
      <c r="H426" s="51"/>
      <c r="I426" s="17">
        <f t="shared" si="8"/>
        <v>3000</v>
      </c>
      <c r="J426" s="52"/>
      <c r="K426" s="52"/>
    </row>
    <row r="427" spans="1:26" ht="72.75">
      <c r="A427" s="11" t="s">
        <v>566</v>
      </c>
      <c r="B427" s="57" t="s">
        <v>567</v>
      </c>
      <c r="C427" s="286" t="s">
        <v>1072</v>
      </c>
      <c r="D427" s="14" t="s">
        <v>18</v>
      </c>
      <c r="E427" s="14" t="s">
        <v>28</v>
      </c>
      <c r="F427" s="14" t="s">
        <v>26</v>
      </c>
      <c r="G427" s="17">
        <f>'ABRIL-18'!I417</f>
        <v>641.87000000000262</v>
      </c>
      <c r="H427" s="51">
        <v>3010</v>
      </c>
      <c r="I427" s="358">
        <f t="shared" si="8"/>
        <v>7997.0000000000036</v>
      </c>
      <c r="J427" s="365">
        <f>2368.13+7997</f>
        <v>10365.130000000001</v>
      </c>
      <c r="K427" s="52"/>
    </row>
    <row r="428" spans="1:26" ht="72.75">
      <c r="A428" s="11" t="s">
        <v>565</v>
      </c>
      <c r="B428" s="57" t="s">
        <v>568</v>
      </c>
      <c r="C428" s="59"/>
      <c r="D428" s="14" t="s">
        <v>18</v>
      </c>
      <c r="E428" s="14" t="s">
        <v>28</v>
      </c>
      <c r="F428" s="14" t="s">
        <v>26</v>
      </c>
      <c r="G428" s="17">
        <f>'ABRIL-18'!I418</f>
        <v>4147.03</v>
      </c>
      <c r="H428" s="51"/>
      <c r="I428" s="17">
        <f t="shared" si="8"/>
        <v>2297.0299999999997</v>
      </c>
      <c r="J428" s="52"/>
      <c r="K428" s="365">
        <v>1850</v>
      </c>
    </row>
    <row r="429" spans="1:26" ht="87">
      <c r="A429" s="11" t="s">
        <v>1117</v>
      </c>
      <c r="B429" s="57" t="s">
        <v>1118</v>
      </c>
      <c r="C429" s="59"/>
      <c r="D429" s="14" t="s">
        <v>18</v>
      </c>
      <c r="E429" s="14" t="s">
        <v>28</v>
      </c>
      <c r="F429" s="14" t="s">
        <v>26</v>
      </c>
      <c r="G429" s="17"/>
      <c r="H429" s="51"/>
      <c r="I429" s="17">
        <f t="shared" si="8"/>
        <v>5000</v>
      </c>
      <c r="J429" s="365">
        <v>5000</v>
      </c>
      <c r="K429" s="365"/>
    </row>
    <row r="430" spans="1:26" ht="72.75">
      <c r="A430" s="11" t="s">
        <v>569</v>
      </c>
      <c r="B430" s="57" t="s">
        <v>570</v>
      </c>
      <c r="C430" s="286" t="s">
        <v>1072</v>
      </c>
      <c r="D430" s="14" t="s">
        <v>18</v>
      </c>
      <c r="E430" s="14" t="s">
        <v>28</v>
      </c>
      <c r="F430" s="14" t="s">
        <v>26</v>
      </c>
      <c r="G430" s="17">
        <f>'ABRIL-18'!I419</f>
        <v>7000</v>
      </c>
      <c r="H430" s="51"/>
      <c r="I430" s="17">
        <f t="shared" si="8"/>
        <v>7000</v>
      </c>
      <c r="J430" s="52"/>
      <c r="K430" s="52"/>
    </row>
    <row r="431" spans="1:26" ht="72.75">
      <c r="A431" s="11" t="s">
        <v>571</v>
      </c>
      <c r="B431" s="57" t="s">
        <v>572</v>
      </c>
      <c r="C431" s="286" t="s">
        <v>1072</v>
      </c>
      <c r="D431" s="14" t="s">
        <v>18</v>
      </c>
      <c r="E431" s="14" t="s">
        <v>28</v>
      </c>
      <c r="F431" s="14" t="s">
        <v>26</v>
      </c>
      <c r="G431" s="17">
        <f>'ABRIL-18'!I420</f>
        <v>5365</v>
      </c>
      <c r="H431" s="51"/>
      <c r="I431" s="17">
        <f t="shared" si="8"/>
        <v>5365</v>
      </c>
      <c r="J431" s="137"/>
      <c r="K431" s="137"/>
    </row>
    <row r="432" spans="1:26" ht="72.75">
      <c r="A432" s="11" t="s">
        <v>969</v>
      </c>
      <c r="B432" s="57" t="s">
        <v>970</v>
      </c>
      <c r="C432" s="59"/>
      <c r="D432" s="14" t="s">
        <v>18</v>
      </c>
      <c r="E432" s="14" t="s">
        <v>28</v>
      </c>
      <c r="F432" s="14" t="s">
        <v>26</v>
      </c>
      <c r="G432" s="17">
        <f>'ABRIL-18'!I421</f>
        <v>6.9999999999999991</v>
      </c>
      <c r="H432" s="51"/>
      <c r="I432" s="17">
        <f t="shared" si="8"/>
        <v>10</v>
      </c>
      <c r="J432" s="365">
        <v>3</v>
      </c>
      <c r="K432" s="52"/>
    </row>
    <row r="433" spans="1:11" ht="31.5" customHeight="1">
      <c r="A433" s="11">
        <v>54109</v>
      </c>
      <c r="B433" s="54" t="s">
        <v>1012</v>
      </c>
      <c r="C433" s="13"/>
      <c r="D433" s="14" t="s">
        <v>18</v>
      </c>
      <c r="E433" s="14" t="s">
        <v>28</v>
      </c>
      <c r="F433" s="14" t="s">
        <v>26</v>
      </c>
      <c r="G433" s="17">
        <f>'ABRIL-18'!I422</f>
        <v>2339.9799999999996</v>
      </c>
      <c r="H433" s="51"/>
      <c r="I433" s="17">
        <f t="shared" si="8"/>
        <v>2339.9799999999996</v>
      </c>
      <c r="J433" s="52"/>
      <c r="K433" s="52"/>
    </row>
    <row r="434" spans="1:11" ht="60">
      <c r="A434" s="11" t="s">
        <v>574</v>
      </c>
      <c r="B434" s="54" t="s">
        <v>575</v>
      </c>
      <c r="C434" s="61" t="s">
        <v>1071</v>
      </c>
      <c r="D434" s="14" t="s">
        <v>18</v>
      </c>
      <c r="E434" s="14" t="s">
        <v>28</v>
      </c>
      <c r="F434" s="14" t="s">
        <v>26</v>
      </c>
      <c r="G434" s="17">
        <f>'ABRIL-18'!I423</f>
        <v>4274.8500000000004</v>
      </c>
      <c r="H434" s="51"/>
      <c r="I434" s="17">
        <f t="shared" si="8"/>
        <v>3274.8500000000004</v>
      </c>
      <c r="J434" s="52"/>
      <c r="K434" s="300">
        <v>1000</v>
      </c>
    </row>
    <row r="435" spans="1:11" ht="75">
      <c r="A435" s="11" t="s">
        <v>212</v>
      </c>
      <c r="B435" s="54" t="s">
        <v>576</v>
      </c>
      <c r="C435" s="61" t="s">
        <v>1071</v>
      </c>
      <c r="D435" s="14" t="s">
        <v>18</v>
      </c>
      <c r="E435" s="14" t="s">
        <v>28</v>
      </c>
      <c r="F435" s="14" t="s">
        <v>26</v>
      </c>
      <c r="G435" s="17">
        <f>'ABRIL-18'!I424</f>
        <v>11038.95</v>
      </c>
      <c r="H435" s="51"/>
      <c r="I435" s="17">
        <f t="shared" si="8"/>
        <v>8038.9500000000007</v>
      </c>
      <c r="J435" s="52"/>
      <c r="K435" s="300">
        <v>3000</v>
      </c>
    </row>
    <row r="436" spans="1:11" ht="75">
      <c r="A436" s="11" t="s">
        <v>577</v>
      </c>
      <c r="B436" s="54" t="s">
        <v>1094</v>
      </c>
      <c r="C436" s="13"/>
      <c r="D436" s="14" t="s">
        <v>18</v>
      </c>
      <c r="E436" s="14" t="s">
        <v>28</v>
      </c>
      <c r="F436" s="14" t="s">
        <v>26</v>
      </c>
      <c r="G436" s="17">
        <f>'ABRIL-18'!I425</f>
        <v>14524.08</v>
      </c>
      <c r="H436" s="51"/>
      <c r="I436" s="17">
        <f t="shared" si="8"/>
        <v>11524.08</v>
      </c>
      <c r="J436" s="56"/>
      <c r="K436" s="300">
        <v>3000</v>
      </c>
    </row>
    <row r="437" spans="1:11" s="220" customFormat="1" ht="30">
      <c r="A437" s="11" t="s">
        <v>218</v>
      </c>
      <c r="B437" s="54" t="s">
        <v>579</v>
      </c>
      <c r="C437" s="13"/>
      <c r="D437" s="14" t="s">
        <v>18</v>
      </c>
      <c r="E437" s="14" t="s">
        <v>28</v>
      </c>
      <c r="F437" s="14" t="s">
        <v>26</v>
      </c>
      <c r="G437" s="17">
        <f>'ABRIL-18'!I426</f>
        <v>7</v>
      </c>
      <c r="H437" s="51"/>
      <c r="I437" s="17">
        <f t="shared" si="8"/>
        <v>7</v>
      </c>
      <c r="J437" s="56"/>
      <c r="K437" s="56"/>
    </row>
    <row r="438" spans="1:11" s="229" customFormat="1" ht="9.75" customHeight="1">
      <c r="A438" s="221"/>
      <c r="B438" s="222"/>
      <c r="C438" s="223"/>
      <c r="D438" s="224"/>
      <c r="E438" s="224"/>
      <c r="F438" s="224"/>
      <c r="G438" s="17">
        <f>'ABRIL-18'!I427</f>
        <v>0</v>
      </c>
      <c r="H438" s="226"/>
      <c r="I438" s="227"/>
      <c r="J438" s="228"/>
      <c r="K438" s="228"/>
    </row>
    <row r="439" spans="1:11" ht="52.5">
      <c r="A439" s="214" t="s">
        <v>988</v>
      </c>
      <c r="B439" s="215" t="s">
        <v>581</v>
      </c>
      <c r="C439" s="344" t="s">
        <v>1104</v>
      </c>
      <c r="D439" s="187" t="s">
        <v>18</v>
      </c>
      <c r="E439" s="187" t="s">
        <v>28</v>
      </c>
      <c r="F439" s="187" t="s">
        <v>27</v>
      </c>
      <c r="G439" s="17">
        <f>'ABRIL-18'!I428</f>
        <v>16704.990000000002</v>
      </c>
      <c r="H439" s="348">
        <f>956.76+955.53</f>
        <v>1912.29</v>
      </c>
      <c r="I439" s="189">
        <f t="shared" si="8"/>
        <v>14792.7</v>
      </c>
      <c r="J439" s="219"/>
      <c r="K439" s="219"/>
    </row>
    <row r="440" spans="1:11" ht="30">
      <c r="A440" s="11" t="s">
        <v>235</v>
      </c>
      <c r="B440" s="54" t="s">
        <v>582</v>
      </c>
      <c r="C440" s="13"/>
      <c r="D440" s="14" t="s">
        <v>18</v>
      </c>
      <c r="E440" s="14" t="s">
        <v>28</v>
      </c>
      <c r="F440" s="14" t="s">
        <v>27</v>
      </c>
      <c r="G440" s="17">
        <f>'ABRIL-18'!I429</f>
        <v>6.9999999999999991</v>
      </c>
      <c r="H440" s="276">
        <v>1.3</v>
      </c>
      <c r="I440" s="17">
        <f t="shared" si="8"/>
        <v>5.6999999999999993</v>
      </c>
      <c r="J440" s="56"/>
      <c r="K440" s="56"/>
    </row>
    <row r="441" spans="1:11" ht="96" customHeight="1">
      <c r="A441" s="11" t="s">
        <v>200</v>
      </c>
      <c r="B441" s="53" t="s">
        <v>584</v>
      </c>
      <c r="C441" s="61"/>
      <c r="D441" s="14"/>
      <c r="E441" s="14"/>
      <c r="F441" s="14"/>
      <c r="G441" s="17">
        <f>'ABRIL-18'!I430</f>
        <v>0</v>
      </c>
      <c r="H441" s="51"/>
      <c r="I441" s="17"/>
      <c r="J441" s="56"/>
      <c r="K441" s="56"/>
    </row>
    <row r="442" spans="1:11" ht="30">
      <c r="A442" s="11">
        <v>54111</v>
      </c>
      <c r="B442" s="54" t="s">
        <v>583</v>
      </c>
      <c r="C442" s="13"/>
      <c r="D442" s="14" t="s">
        <v>18</v>
      </c>
      <c r="E442" s="14" t="s">
        <v>28</v>
      </c>
      <c r="F442" s="14" t="s">
        <v>27</v>
      </c>
      <c r="G442" s="17">
        <f>'ABRIL-18'!I431</f>
        <v>0</v>
      </c>
      <c r="H442" s="51"/>
      <c r="I442" s="17">
        <f t="shared" si="8"/>
        <v>0</v>
      </c>
      <c r="J442" s="56"/>
      <c r="K442" s="300"/>
    </row>
    <row r="443" spans="1:11" ht="75">
      <c r="A443" s="141" t="s">
        <v>201</v>
      </c>
      <c r="B443" s="53" t="s">
        <v>585</v>
      </c>
      <c r="C443" s="13"/>
      <c r="D443" s="14"/>
      <c r="E443" s="14"/>
      <c r="F443" s="14"/>
      <c r="G443" s="17">
        <f>'ABRIL-18'!I432</f>
        <v>0</v>
      </c>
      <c r="H443" s="51"/>
      <c r="I443" s="17"/>
      <c r="J443" s="56"/>
      <c r="K443" s="56"/>
    </row>
    <row r="444" spans="1:11" ht="29.25">
      <c r="A444" s="11">
        <v>54110</v>
      </c>
      <c r="B444" s="54" t="s">
        <v>586</v>
      </c>
      <c r="C444" s="13"/>
      <c r="D444" s="14" t="s">
        <v>18</v>
      </c>
      <c r="E444" s="14" t="s">
        <v>28</v>
      </c>
      <c r="F444" s="14" t="s">
        <v>27</v>
      </c>
      <c r="G444" s="17">
        <f>'ABRIL-18'!I433</f>
        <v>0</v>
      </c>
      <c r="H444" s="51"/>
      <c r="I444" s="17">
        <f t="shared" si="8"/>
        <v>0</v>
      </c>
      <c r="J444" s="56"/>
      <c r="K444" s="300"/>
    </row>
    <row r="445" spans="1:11" ht="30">
      <c r="A445" s="11">
        <v>54111</v>
      </c>
      <c r="B445" s="54" t="s">
        <v>587</v>
      </c>
      <c r="C445" s="13"/>
      <c r="D445" s="14" t="s">
        <v>18</v>
      </c>
      <c r="E445" s="14" t="s">
        <v>28</v>
      </c>
      <c r="F445" s="14" t="s">
        <v>27</v>
      </c>
      <c r="G445" s="17">
        <f>'ABRIL-18'!I434</f>
        <v>0</v>
      </c>
      <c r="H445" s="51"/>
      <c r="I445" s="17">
        <f t="shared" si="8"/>
        <v>0</v>
      </c>
      <c r="J445" s="56"/>
      <c r="K445" s="300"/>
    </row>
    <row r="446" spans="1:11" ht="29.25">
      <c r="A446" s="11">
        <v>54112</v>
      </c>
      <c r="B446" s="54" t="s">
        <v>588</v>
      </c>
      <c r="C446" s="59"/>
      <c r="D446" s="14" t="s">
        <v>18</v>
      </c>
      <c r="E446" s="14" t="s">
        <v>28</v>
      </c>
      <c r="F446" s="14" t="s">
        <v>27</v>
      </c>
      <c r="G446" s="17">
        <f>'ABRIL-18'!I435</f>
        <v>0</v>
      </c>
      <c r="H446" s="51"/>
      <c r="I446" s="17">
        <f t="shared" si="8"/>
        <v>0</v>
      </c>
      <c r="J446" s="56"/>
      <c r="K446" s="300"/>
    </row>
    <row r="447" spans="1:11" ht="29.25">
      <c r="A447" s="11">
        <v>55603</v>
      </c>
      <c r="B447" s="54" t="s">
        <v>974</v>
      </c>
      <c r="C447" s="55"/>
      <c r="D447" s="14" t="s">
        <v>18</v>
      </c>
      <c r="E447" s="14" t="s">
        <v>28</v>
      </c>
      <c r="F447" s="14" t="s">
        <v>27</v>
      </c>
      <c r="G447" s="17">
        <f>'ABRIL-18'!I436</f>
        <v>0</v>
      </c>
      <c r="H447" s="51"/>
      <c r="I447" s="17">
        <f t="shared" si="8"/>
        <v>0</v>
      </c>
      <c r="J447" s="11"/>
      <c r="K447" s="129"/>
    </row>
    <row r="448" spans="1:11" ht="90">
      <c r="A448" s="11" t="s">
        <v>220</v>
      </c>
      <c r="B448" s="53" t="s">
        <v>966</v>
      </c>
      <c r="C448" s="55"/>
      <c r="D448" s="14"/>
      <c r="E448" s="14"/>
      <c r="F448" s="14"/>
      <c r="G448" s="17">
        <f>'ABRIL-18'!I437</f>
        <v>0</v>
      </c>
      <c r="H448" s="51"/>
      <c r="I448" s="17"/>
      <c r="J448" s="11"/>
      <c r="K448" s="54"/>
    </row>
    <row r="449" spans="1:11" ht="29.25">
      <c r="A449" s="11">
        <v>51202</v>
      </c>
      <c r="B449" s="54" t="s">
        <v>589</v>
      </c>
      <c r="C449" s="55"/>
      <c r="D449" s="14" t="s">
        <v>18</v>
      </c>
      <c r="E449" s="14" t="s">
        <v>28</v>
      </c>
      <c r="F449" s="14" t="s">
        <v>27</v>
      </c>
      <c r="G449" s="17">
        <f>'ABRIL-18'!I438</f>
        <v>0</v>
      </c>
      <c r="H449" s="51"/>
      <c r="I449" s="17">
        <f t="shared" si="8"/>
        <v>0</v>
      </c>
      <c r="J449" s="11"/>
      <c r="K449" s="251"/>
    </row>
    <row r="450" spans="1:11" ht="29.25" customHeight="1">
      <c r="A450" s="11">
        <v>54110</v>
      </c>
      <c r="B450" s="54" t="s">
        <v>590</v>
      </c>
      <c r="C450" s="55"/>
      <c r="D450" s="14" t="s">
        <v>18</v>
      </c>
      <c r="E450" s="14" t="s">
        <v>28</v>
      </c>
      <c r="F450" s="14" t="s">
        <v>27</v>
      </c>
      <c r="G450" s="17">
        <f>'ABRIL-18'!I439</f>
        <v>0</v>
      </c>
      <c r="H450" s="51"/>
      <c r="I450" s="17">
        <f t="shared" si="8"/>
        <v>0</v>
      </c>
      <c r="J450" s="11"/>
      <c r="K450" s="251"/>
    </row>
    <row r="451" spans="1:11" ht="30">
      <c r="A451" s="11">
        <v>54111</v>
      </c>
      <c r="B451" s="54" t="s">
        <v>591</v>
      </c>
      <c r="C451" s="55"/>
      <c r="D451" s="14" t="s">
        <v>18</v>
      </c>
      <c r="E451" s="14" t="s">
        <v>28</v>
      </c>
      <c r="F451" s="14" t="s">
        <v>27</v>
      </c>
      <c r="G451" s="17">
        <f>'ABRIL-18'!I440</f>
        <v>-6.3726801613483985E-14</v>
      </c>
      <c r="H451" s="51"/>
      <c r="I451" s="17">
        <f t="shared" si="8"/>
        <v>-6.3726801613483985E-14</v>
      </c>
      <c r="J451" s="252"/>
      <c r="K451" s="251"/>
    </row>
    <row r="452" spans="1:11" ht="29.25">
      <c r="A452" s="11">
        <v>54112</v>
      </c>
      <c r="B452" s="54" t="s">
        <v>592</v>
      </c>
      <c r="C452" s="55"/>
      <c r="D452" s="14" t="s">
        <v>18</v>
      </c>
      <c r="E452" s="14" t="s">
        <v>28</v>
      </c>
      <c r="F452" s="14" t="s">
        <v>27</v>
      </c>
      <c r="G452" s="17">
        <f>'ABRIL-18'!I441</f>
        <v>0</v>
      </c>
      <c r="H452" s="51"/>
      <c r="I452" s="17">
        <f t="shared" si="8"/>
        <v>0</v>
      </c>
      <c r="J452" s="11"/>
      <c r="K452" s="251"/>
    </row>
    <row r="453" spans="1:11" ht="29.25">
      <c r="A453" s="11">
        <v>54313</v>
      </c>
      <c r="B453" s="54" t="s">
        <v>593</v>
      </c>
      <c r="C453" s="55"/>
      <c r="D453" s="14" t="s">
        <v>18</v>
      </c>
      <c r="E453" s="14" t="s">
        <v>28</v>
      </c>
      <c r="F453" s="14" t="s">
        <v>27</v>
      </c>
      <c r="G453" s="17">
        <f>'ABRIL-18'!I442</f>
        <v>0</v>
      </c>
      <c r="H453" s="51"/>
      <c r="I453" s="17">
        <f t="shared" si="8"/>
        <v>0</v>
      </c>
      <c r="J453" s="11"/>
      <c r="K453" s="251"/>
    </row>
    <row r="454" spans="1:11" ht="105" customHeight="1">
      <c r="A454" s="11" t="s">
        <v>238</v>
      </c>
      <c r="B454" s="53" t="s">
        <v>595</v>
      </c>
      <c r="C454" s="343" t="s">
        <v>1105</v>
      </c>
      <c r="D454" s="14"/>
      <c r="E454" s="14"/>
      <c r="F454" s="14"/>
      <c r="G454" s="17">
        <f>'ABRIL-18'!I443</f>
        <v>0</v>
      </c>
      <c r="H454" s="51"/>
      <c r="I454" s="17"/>
      <c r="J454" s="11"/>
      <c r="K454" s="54"/>
    </row>
    <row r="455" spans="1:11" ht="29.25">
      <c r="A455" s="11">
        <v>51202</v>
      </c>
      <c r="B455" s="54" t="s">
        <v>594</v>
      </c>
      <c r="C455" s="55"/>
      <c r="D455" s="14" t="s">
        <v>18</v>
      </c>
      <c r="E455" s="14" t="s">
        <v>28</v>
      </c>
      <c r="F455" s="14" t="s">
        <v>27</v>
      </c>
      <c r="G455" s="17">
        <f>'ABRIL-18'!I444</f>
        <v>1391.1099999999997</v>
      </c>
      <c r="H455" s="51"/>
      <c r="I455" s="17">
        <f t="shared" si="8"/>
        <v>1391.1099999999997</v>
      </c>
      <c r="J455" s="272"/>
      <c r="K455" s="129"/>
    </row>
    <row r="456" spans="1:11" ht="29.25">
      <c r="A456" s="11">
        <v>54110</v>
      </c>
      <c r="B456" s="54" t="s">
        <v>596</v>
      </c>
      <c r="C456" s="55"/>
      <c r="D456" s="14" t="s">
        <v>18</v>
      </c>
      <c r="E456" s="14" t="s">
        <v>28</v>
      </c>
      <c r="F456" s="14" t="s">
        <v>27</v>
      </c>
      <c r="G456" s="17">
        <f>'ABRIL-18'!I445</f>
        <v>240.85000000000002</v>
      </c>
      <c r="H456" s="51"/>
      <c r="I456" s="17">
        <f t="shared" si="8"/>
        <v>240.85000000000002</v>
      </c>
      <c r="J456" s="272"/>
      <c r="K456" s="129"/>
    </row>
    <row r="457" spans="1:11" ht="29.25">
      <c r="A457" s="11">
        <v>54111</v>
      </c>
      <c r="B457" s="54" t="s">
        <v>597</v>
      </c>
      <c r="C457" s="55"/>
      <c r="D457" s="14" t="s">
        <v>18</v>
      </c>
      <c r="E457" s="14" t="s">
        <v>28</v>
      </c>
      <c r="F457" s="14" t="s">
        <v>27</v>
      </c>
      <c r="G457" s="17">
        <f>'ABRIL-18'!I446</f>
        <v>0</v>
      </c>
      <c r="H457" s="51">
        <v>635</v>
      </c>
      <c r="I457" s="17">
        <f t="shared" si="8"/>
        <v>65</v>
      </c>
      <c r="J457" s="128">
        <v>700</v>
      </c>
      <c r="K457" s="129"/>
    </row>
    <row r="458" spans="1:11" ht="29.25">
      <c r="A458" s="11">
        <v>54112</v>
      </c>
      <c r="B458" s="54" t="s">
        <v>598</v>
      </c>
      <c r="C458" s="55"/>
      <c r="D458" s="14" t="s">
        <v>18</v>
      </c>
      <c r="E458" s="14" t="s">
        <v>28</v>
      </c>
      <c r="F458" s="14" t="s">
        <v>27</v>
      </c>
      <c r="G458" s="17">
        <f>'ABRIL-18'!I447</f>
        <v>1855.6400000000003</v>
      </c>
      <c r="H458" s="51"/>
      <c r="I458" s="17">
        <f t="shared" si="8"/>
        <v>490.64000000000033</v>
      </c>
      <c r="J458" s="128"/>
      <c r="K458" s="129">
        <v>1365</v>
      </c>
    </row>
    <row r="459" spans="1:11" ht="29.25">
      <c r="A459" s="11">
        <v>54118</v>
      </c>
      <c r="B459" s="54" t="s">
        <v>599</v>
      </c>
      <c r="C459" s="55"/>
      <c r="D459" s="14" t="s">
        <v>18</v>
      </c>
      <c r="E459" s="14" t="s">
        <v>28</v>
      </c>
      <c r="F459" s="14" t="s">
        <v>27</v>
      </c>
      <c r="G459" s="17">
        <f>'ABRIL-18'!I448</f>
        <v>0</v>
      </c>
      <c r="H459" s="51"/>
      <c r="I459" s="17">
        <f t="shared" si="8"/>
        <v>0</v>
      </c>
      <c r="J459" s="142"/>
      <c r="K459" s="142"/>
    </row>
    <row r="460" spans="1:11" ht="29.25">
      <c r="A460" s="11">
        <v>54304</v>
      </c>
      <c r="B460" s="54" t="s">
        <v>600</v>
      </c>
      <c r="C460" s="55"/>
      <c r="D460" s="14" t="s">
        <v>18</v>
      </c>
      <c r="E460" s="14" t="s">
        <v>28</v>
      </c>
      <c r="F460" s="14" t="s">
        <v>27</v>
      </c>
      <c r="G460" s="17">
        <f>'ABRIL-18'!I449</f>
        <v>0</v>
      </c>
      <c r="H460" s="51"/>
      <c r="I460" s="17">
        <f t="shared" si="8"/>
        <v>0</v>
      </c>
      <c r="J460" s="56"/>
      <c r="K460" s="237"/>
    </row>
    <row r="461" spans="1:11" ht="29.25">
      <c r="A461" s="11">
        <v>54313</v>
      </c>
      <c r="B461" s="54" t="s">
        <v>601</v>
      </c>
      <c r="C461" s="55"/>
      <c r="D461" s="14" t="s">
        <v>18</v>
      </c>
      <c r="E461" s="14" t="s">
        <v>28</v>
      </c>
      <c r="F461" s="14" t="s">
        <v>27</v>
      </c>
      <c r="G461" s="17">
        <f>'ABRIL-18'!I450</f>
        <v>0</v>
      </c>
      <c r="H461" s="51"/>
      <c r="I461" s="17">
        <f t="shared" si="8"/>
        <v>0</v>
      </c>
      <c r="J461" s="56"/>
      <c r="K461" s="237"/>
    </row>
    <row r="462" spans="1:11" ht="57.75">
      <c r="A462" s="11">
        <v>54316</v>
      </c>
      <c r="B462" s="54" t="s">
        <v>1047</v>
      </c>
      <c r="C462" s="55"/>
      <c r="D462" s="14" t="s">
        <v>18</v>
      </c>
      <c r="E462" s="14" t="s">
        <v>28</v>
      </c>
      <c r="F462" s="14" t="s">
        <v>27</v>
      </c>
      <c r="G462" s="17">
        <f>'ABRIL-18'!I451</f>
        <v>0</v>
      </c>
      <c r="H462" s="51"/>
      <c r="I462" s="17">
        <f t="shared" si="8"/>
        <v>0</v>
      </c>
      <c r="J462" s="137"/>
      <c r="K462" s="237"/>
    </row>
    <row r="463" spans="1:11" ht="29.25">
      <c r="A463" s="11">
        <v>54399</v>
      </c>
      <c r="B463" s="54" t="s">
        <v>602</v>
      </c>
      <c r="C463" s="13"/>
      <c r="D463" s="14" t="s">
        <v>18</v>
      </c>
      <c r="E463" s="14" t="s">
        <v>28</v>
      </c>
      <c r="F463" s="14" t="s">
        <v>27</v>
      </c>
      <c r="G463" s="17">
        <f>'ABRIL-18'!I452</f>
        <v>0</v>
      </c>
      <c r="H463" s="51"/>
      <c r="I463" s="17">
        <f t="shared" si="8"/>
        <v>0</v>
      </c>
      <c r="J463" s="56"/>
      <c r="K463" s="300"/>
    </row>
    <row r="464" spans="1:11" ht="29.25">
      <c r="A464" s="11">
        <v>55603</v>
      </c>
      <c r="B464" s="54" t="s">
        <v>603</v>
      </c>
      <c r="C464" s="55"/>
      <c r="D464" s="14" t="s">
        <v>18</v>
      </c>
      <c r="E464" s="14" t="s">
        <v>28</v>
      </c>
      <c r="F464" s="14" t="s">
        <v>27</v>
      </c>
      <c r="G464" s="17">
        <f>'ABRIL-18'!I453</f>
        <v>0</v>
      </c>
      <c r="H464" s="51"/>
      <c r="I464" s="17">
        <f t="shared" si="8"/>
        <v>0</v>
      </c>
      <c r="J464" s="56"/>
      <c r="K464" s="300"/>
    </row>
    <row r="465" spans="1:11" ht="102.75" customHeight="1">
      <c r="A465" s="141" t="s">
        <v>256</v>
      </c>
      <c r="B465" s="53" t="s">
        <v>982</v>
      </c>
      <c r="C465" s="13"/>
      <c r="D465" s="14"/>
      <c r="E465" s="14"/>
      <c r="F465" s="14"/>
      <c r="G465" s="17">
        <f>'ABRIL-18'!I454</f>
        <v>0</v>
      </c>
      <c r="H465" s="51"/>
      <c r="I465" s="17"/>
      <c r="J465" s="56"/>
      <c r="K465" s="56"/>
    </row>
    <row r="466" spans="1:11" ht="29.25">
      <c r="A466" s="11">
        <v>51202</v>
      </c>
      <c r="B466" s="53" t="s">
        <v>605</v>
      </c>
      <c r="C466" s="13"/>
      <c r="D466" s="14" t="s">
        <v>18</v>
      </c>
      <c r="E466" s="14" t="s">
        <v>28</v>
      </c>
      <c r="F466" s="14" t="s">
        <v>27</v>
      </c>
      <c r="G466" s="17">
        <f>'ABRIL-18'!I455</f>
        <v>1628.8999999999996</v>
      </c>
      <c r="H466" s="51"/>
      <c r="I466" s="17">
        <f t="shared" si="8"/>
        <v>0</v>
      </c>
      <c r="J466" s="237"/>
      <c r="K466" s="333">
        <v>1628.9</v>
      </c>
    </row>
    <row r="467" spans="1:11" ht="29.25">
      <c r="A467" s="11">
        <v>54110</v>
      </c>
      <c r="B467" s="53" t="s">
        <v>606</v>
      </c>
      <c r="C467" s="13"/>
      <c r="D467" s="14" t="s">
        <v>18</v>
      </c>
      <c r="E467" s="14" t="s">
        <v>28</v>
      </c>
      <c r="F467" s="14" t="s">
        <v>27</v>
      </c>
      <c r="G467" s="17">
        <f>'ABRIL-18'!I456</f>
        <v>236.42</v>
      </c>
      <c r="H467" s="51"/>
      <c r="I467" s="17">
        <f t="shared" si="8"/>
        <v>0</v>
      </c>
      <c r="J467" s="237"/>
      <c r="K467" s="333">
        <v>236.42</v>
      </c>
    </row>
    <row r="468" spans="1:11" ht="30">
      <c r="A468" s="11">
        <v>54111</v>
      </c>
      <c r="B468" s="53" t="s">
        <v>607</v>
      </c>
      <c r="C468" s="13"/>
      <c r="D468" s="14" t="s">
        <v>18</v>
      </c>
      <c r="E468" s="14" t="s">
        <v>28</v>
      </c>
      <c r="F468" s="14" t="s">
        <v>27</v>
      </c>
      <c r="G468" s="17">
        <f>'ABRIL-18'!I457</f>
        <v>1166.0400000000009</v>
      </c>
      <c r="H468" s="212"/>
      <c r="I468" s="17">
        <f t="shared" si="8"/>
        <v>0</v>
      </c>
      <c r="J468" s="253"/>
      <c r="K468" s="333">
        <v>1166.04</v>
      </c>
    </row>
    <row r="469" spans="1:11" ht="29.25">
      <c r="A469" s="11">
        <v>54112</v>
      </c>
      <c r="B469" s="53" t="s">
        <v>608</v>
      </c>
      <c r="C469" s="13"/>
      <c r="D469" s="14" t="s">
        <v>18</v>
      </c>
      <c r="E469" s="14" t="s">
        <v>28</v>
      </c>
      <c r="F469" s="14" t="s">
        <v>27</v>
      </c>
      <c r="G469" s="17">
        <f>'ABRIL-18'!I458</f>
        <v>0</v>
      </c>
      <c r="H469" s="51"/>
      <c r="I469" s="17">
        <f t="shared" si="8"/>
        <v>0</v>
      </c>
      <c r="J469" s="237"/>
      <c r="K469" s="334"/>
    </row>
    <row r="470" spans="1:11" ht="29.25">
      <c r="A470" s="11">
        <v>54118</v>
      </c>
      <c r="B470" s="53" t="s">
        <v>609</v>
      </c>
      <c r="C470" s="13"/>
      <c r="D470" s="14" t="s">
        <v>18</v>
      </c>
      <c r="E470" s="14" t="s">
        <v>28</v>
      </c>
      <c r="F470" s="14" t="s">
        <v>27</v>
      </c>
      <c r="G470" s="17">
        <f>'ABRIL-18'!I459</f>
        <v>0</v>
      </c>
      <c r="H470" s="51"/>
      <c r="I470" s="17">
        <f t="shared" si="8"/>
        <v>0</v>
      </c>
      <c r="J470" s="237"/>
      <c r="K470" s="333"/>
    </row>
    <row r="471" spans="1:11" ht="29.25">
      <c r="A471" s="11">
        <v>54304</v>
      </c>
      <c r="B471" s="53" t="s">
        <v>610</v>
      </c>
      <c r="C471" s="13"/>
      <c r="D471" s="14" t="s">
        <v>18</v>
      </c>
      <c r="E471" s="14" t="s">
        <v>28</v>
      </c>
      <c r="F471" s="14" t="s">
        <v>27</v>
      </c>
      <c r="G471" s="17">
        <f>'ABRIL-18'!I460</f>
        <v>200</v>
      </c>
      <c r="H471" s="51"/>
      <c r="I471" s="17">
        <f t="shared" si="8"/>
        <v>0</v>
      </c>
      <c r="J471" s="56"/>
      <c r="K471" s="300">
        <v>200</v>
      </c>
    </row>
    <row r="472" spans="1:11" ht="29.25">
      <c r="A472" s="11">
        <v>54313</v>
      </c>
      <c r="B472" s="53" t="s">
        <v>611</v>
      </c>
      <c r="C472" s="13"/>
      <c r="D472" s="14" t="s">
        <v>18</v>
      </c>
      <c r="E472" s="14" t="s">
        <v>28</v>
      </c>
      <c r="F472" s="14" t="s">
        <v>27</v>
      </c>
      <c r="G472" s="17">
        <f>'ABRIL-18'!I461</f>
        <v>110</v>
      </c>
      <c r="H472" s="51"/>
      <c r="I472" s="17">
        <f t="shared" si="8"/>
        <v>0</v>
      </c>
      <c r="J472" s="56"/>
      <c r="K472" s="300">
        <v>110</v>
      </c>
    </row>
    <row r="473" spans="1:11" ht="105">
      <c r="A473" s="141" t="s">
        <v>264</v>
      </c>
      <c r="B473" s="53" t="s">
        <v>981</v>
      </c>
      <c r="C473" s="13"/>
      <c r="D473" s="14"/>
      <c r="E473" s="14"/>
      <c r="F473" s="14"/>
      <c r="G473" s="17">
        <f>'ABRIL-18'!I462</f>
        <v>0</v>
      </c>
      <c r="H473" s="51"/>
      <c r="I473" s="17"/>
      <c r="J473" s="56"/>
      <c r="K473" s="331"/>
    </row>
    <row r="474" spans="1:11" ht="29.25">
      <c r="A474" s="11">
        <v>51202</v>
      </c>
      <c r="B474" s="53" t="s">
        <v>613</v>
      </c>
      <c r="C474" s="13"/>
      <c r="D474" s="14" t="s">
        <v>18</v>
      </c>
      <c r="E474" s="14" t="s">
        <v>28</v>
      </c>
      <c r="F474" s="14" t="s">
        <v>27</v>
      </c>
      <c r="G474" s="17">
        <f>'ABRIL-18'!I463</f>
        <v>746.66</v>
      </c>
      <c r="H474" s="51"/>
      <c r="I474" s="17">
        <f t="shared" si="8"/>
        <v>0</v>
      </c>
      <c r="J474" s="56"/>
      <c r="K474" s="335">
        <v>746.66</v>
      </c>
    </row>
    <row r="475" spans="1:11" ht="29.25">
      <c r="A475" s="11">
        <v>54110</v>
      </c>
      <c r="B475" s="53" t="s">
        <v>614</v>
      </c>
      <c r="C475" s="13"/>
      <c r="D475" s="14" t="s">
        <v>18</v>
      </c>
      <c r="E475" s="14" t="s">
        <v>28</v>
      </c>
      <c r="F475" s="14" t="s">
        <v>27</v>
      </c>
      <c r="G475" s="17">
        <f>'ABRIL-18'!I464</f>
        <v>26.909999999999997</v>
      </c>
      <c r="H475" s="51"/>
      <c r="I475" s="17">
        <f t="shared" si="8"/>
        <v>0</v>
      </c>
      <c r="J475" s="56"/>
      <c r="K475" s="336">
        <v>26.91</v>
      </c>
    </row>
    <row r="476" spans="1:11" ht="43.5">
      <c r="A476" s="11">
        <v>54111</v>
      </c>
      <c r="B476" s="53" t="s">
        <v>615</v>
      </c>
      <c r="C476" s="13"/>
      <c r="D476" s="14" t="s">
        <v>18</v>
      </c>
      <c r="E476" s="14" t="s">
        <v>28</v>
      </c>
      <c r="F476" s="14" t="s">
        <v>27</v>
      </c>
      <c r="G476" s="17">
        <f>'ABRIL-18'!I465</f>
        <v>682.25</v>
      </c>
      <c r="H476" s="51"/>
      <c r="I476" s="17">
        <f t="shared" si="8"/>
        <v>0</v>
      </c>
      <c r="J476" s="239"/>
      <c r="K476" s="333">
        <v>682.25</v>
      </c>
    </row>
    <row r="477" spans="1:11" ht="43.5">
      <c r="A477" s="11">
        <v>54112</v>
      </c>
      <c r="B477" s="53" t="s">
        <v>616</v>
      </c>
      <c r="C477" s="13"/>
      <c r="D477" s="14" t="s">
        <v>18</v>
      </c>
      <c r="E477" s="14" t="s">
        <v>28</v>
      </c>
      <c r="F477" s="14" t="s">
        <v>27</v>
      </c>
      <c r="G477" s="17">
        <f>'ABRIL-18'!I466</f>
        <v>0</v>
      </c>
      <c r="H477" s="51"/>
      <c r="I477" s="17">
        <f t="shared" si="8"/>
        <v>0</v>
      </c>
      <c r="J477" s="56"/>
      <c r="K477" s="336"/>
    </row>
    <row r="478" spans="1:11" ht="43.5">
      <c r="A478" s="11">
        <v>54118</v>
      </c>
      <c r="B478" s="53" t="s">
        <v>617</v>
      </c>
      <c r="C478" s="13"/>
      <c r="D478" s="14" t="s">
        <v>18</v>
      </c>
      <c r="E478" s="14" t="s">
        <v>28</v>
      </c>
      <c r="F478" s="14" t="s">
        <v>27</v>
      </c>
      <c r="G478" s="17">
        <f>'ABRIL-18'!I467</f>
        <v>0.62999999999999901</v>
      </c>
      <c r="H478" s="51"/>
      <c r="I478" s="17">
        <f t="shared" si="8"/>
        <v>-9.9920072216264089E-16</v>
      </c>
      <c r="J478" s="56"/>
      <c r="K478" s="301">
        <v>0.63</v>
      </c>
    </row>
    <row r="479" spans="1:11" ht="43.5">
      <c r="A479" s="11">
        <v>54304</v>
      </c>
      <c r="B479" s="53" t="s">
        <v>618</v>
      </c>
      <c r="C479" s="13"/>
      <c r="D479" s="14" t="s">
        <v>18</v>
      </c>
      <c r="E479" s="14" t="s">
        <v>28</v>
      </c>
      <c r="F479" s="14" t="s">
        <v>27</v>
      </c>
      <c r="G479" s="17">
        <f>'ABRIL-18'!I468</f>
        <v>0</v>
      </c>
      <c r="H479" s="51"/>
      <c r="I479" s="17">
        <f t="shared" si="8"/>
        <v>0</v>
      </c>
      <c r="J479" s="56"/>
      <c r="K479" s="142"/>
    </row>
    <row r="480" spans="1:11" ht="43.5">
      <c r="A480" s="11">
        <v>54313</v>
      </c>
      <c r="B480" s="53" t="s">
        <v>619</v>
      </c>
      <c r="C480" s="13"/>
      <c r="D480" s="14" t="s">
        <v>18</v>
      </c>
      <c r="E480" s="14" t="s">
        <v>28</v>
      </c>
      <c r="F480" s="14" t="s">
        <v>27</v>
      </c>
      <c r="G480" s="17">
        <f>'ABRIL-18'!I469</f>
        <v>0</v>
      </c>
      <c r="H480" s="51"/>
      <c r="I480" s="17">
        <f t="shared" si="8"/>
        <v>0</v>
      </c>
      <c r="J480" s="237"/>
      <c r="K480" s="137"/>
    </row>
    <row r="481" spans="1:11" ht="105">
      <c r="A481" s="144" t="s">
        <v>269</v>
      </c>
      <c r="B481" s="53" t="s">
        <v>983</v>
      </c>
      <c r="C481" s="13"/>
      <c r="D481" s="14"/>
      <c r="E481" s="14"/>
      <c r="F481" s="14"/>
      <c r="G481" s="17">
        <f>'ABRIL-18'!I470</f>
        <v>0</v>
      </c>
      <c r="H481" s="51"/>
      <c r="I481" s="17"/>
      <c r="J481" s="56"/>
      <c r="K481" s="56"/>
    </row>
    <row r="482" spans="1:11" ht="29.25">
      <c r="A482" s="11">
        <v>51202</v>
      </c>
      <c r="B482" s="54" t="s">
        <v>620</v>
      </c>
      <c r="C482" s="13"/>
      <c r="D482" s="14" t="s">
        <v>18</v>
      </c>
      <c r="E482" s="14" t="s">
        <v>28</v>
      </c>
      <c r="F482" s="14" t="s">
        <v>27</v>
      </c>
      <c r="G482" s="17">
        <f>'ABRIL-18'!I471</f>
        <v>6000</v>
      </c>
      <c r="H482" s="51"/>
      <c r="I482" s="17">
        <f t="shared" si="8"/>
        <v>0</v>
      </c>
      <c r="J482" s="56"/>
      <c r="K482" s="300">
        <v>6000</v>
      </c>
    </row>
    <row r="483" spans="1:11" ht="35.25" customHeight="1">
      <c r="A483" s="11">
        <v>54110</v>
      </c>
      <c r="B483" s="54" t="s">
        <v>622</v>
      </c>
      <c r="C483" s="13"/>
      <c r="D483" s="14" t="s">
        <v>18</v>
      </c>
      <c r="E483" s="14" t="s">
        <v>28</v>
      </c>
      <c r="F483" s="14" t="s">
        <v>27</v>
      </c>
      <c r="G483" s="17">
        <f>'ABRIL-18'!I472</f>
        <v>300</v>
      </c>
      <c r="H483" s="51"/>
      <c r="I483" s="17">
        <f t="shared" si="8"/>
        <v>0</v>
      </c>
      <c r="J483" s="56"/>
      <c r="K483" s="300">
        <v>300</v>
      </c>
    </row>
    <row r="484" spans="1:11" ht="43.5">
      <c r="A484" s="11">
        <v>54111</v>
      </c>
      <c r="B484" s="54" t="s">
        <v>621</v>
      </c>
      <c r="C484" s="13"/>
      <c r="D484" s="14" t="s">
        <v>18</v>
      </c>
      <c r="E484" s="14" t="s">
        <v>28</v>
      </c>
      <c r="F484" s="14" t="s">
        <v>27</v>
      </c>
      <c r="G484" s="17">
        <f>'ABRIL-18'!I473</f>
        <v>10000</v>
      </c>
      <c r="H484" s="51"/>
      <c r="I484" s="17">
        <f t="shared" si="8"/>
        <v>0</v>
      </c>
      <c r="J484" s="56"/>
      <c r="K484" s="300">
        <v>10000</v>
      </c>
    </row>
    <row r="485" spans="1:11" ht="43.5">
      <c r="A485" s="11">
        <v>54112</v>
      </c>
      <c r="B485" s="54" t="s">
        <v>623</v>
      </c>
      <c r="C485" s="13"/>
      <c r="D485" s="14" t="s">
        <v>18</v>
      </c>
      <c r="E485" s="14" t="s">
        <v>28</v>
      </c>
      <c r="F485" s="14" t="s">
        <v>27</v>
      </c>
      <c r="G485" s="17">
        <f>'ABRIL-18'!I474</f>
        <v>2695.87</v>
      </c>
      <c r="H485" s="51"/>
      <c r="I485" s="17">
        <f t="shared" si="8"/>
        <v>0</v>
      </c>
      <c r="J485" s="56"/>
      <c r="K485" s="300">
        <v>2695.87</v>
      </c>
    </row>
    <row r="486" spans="1:11" ht="43.5">
      <c r="A486" s="11">
        <v>54118</v>
      </c>
      <c r="B486" s="54" t="s">
        <v>624</v>
      </c>
      <c r="C486" s="13"/>
      <c r="D486" s="14" t="s">
        <v>18</v>
      </c>
      <c r="E486" s="14" t="s">
        <v>28</v>
      </c>
      <c r="F486" s="14" t="s">
        <v>27</v>
      </c>
      <c r="G486" s="17">
        <f>'ABRIL-18'!I475</f>
        <v>200</v>
      </c>
      <c r="H486" s="51"/>
      <c r="I486" s="17">
        <f t="shared" si="8"/>
        <v>0</v>
      </c>
      <c r="J486" s="56"/>
      <c r="K486" s="300">
        <v>200</v>
      </c>
    </row>
    <row r="487" spans="1:11" ht="43.5">
      <c r="A487" s="11">
        <v>54304</v>
      </c>
      <c r="B487" s="54" t="s">
        <v>625</v>
      </c>
      <c r="C487" s="13"/>
      <c r="D487" s="14" t="s">
        <v>18</v>
      </c>
      <c r="E487" s="14" t="s">
        <v>28</v>
      </c>
      <c r="F487" s="14" t="s">
        <v>27</v>
      </c>
      <c r="G487" s="17">
        <f>'ABRIL-18'!I476</f>
        <v>500</v>
      </c>
      <c r="H487" s="51"/>
      <c r="I487" s="17">
        <f t="shared" si="8"/>
        <v>0</v>
      </c>
      <c r="J487" s="56"/>
      <c r="K487" s="300">
        <v>500</v>
      </c>
    </row>
    <row r="488" spans="1:11" ht="43.5">
      <c r="A488" s="11">
        <v>54313</v>
      </c>
      <c r="B488" s="54" t="s">
        <v>626</v>
      </c>
      <c r="C488" s="13"/>
      <c r="D488" s="14" t="s">
        <v>18</v>
      </c>
      <c r="E488" s="14" t="s">
        <v>28</v>
      </c>
      <c r="F488" s="14" t="s">
        <v>27</v>
      </c>
      <c r="G488" s="17">
        <f>'ABRIL-18'!I477</f>
        <v>300</v>
      </c>
      <c r="H488" s="51"/>
      <c r="I488" s="17">
        <f t="shared" si="8"/>
        <v>0</v>
      </c>
      <c r="J488" s="56"/>
      <c r="K488" s="300">
        <v>300</v>
      </c>
    </row>
    <row r="489" spans="1:11" ht="105">
      <c r="A489" s="144" t="s">
        <v>289</v>
      </c>
      <c r="B489" s="53" t="s">
        <v>984</v>
      </c>
      <c r="C489" s="13"/>
      <c r="D489" s="14"/>
      <c r="E489" s="14"/>
      <c r="F489" s="14"/>
      <c r="G489" s="17">
        <f>'ABRIL-18'!I478</f>
        <v>0</v>
      </c>
      <c r="H489" s="51"/>
      <c r="I489" s="17"/>
      <c r="J489" s="56"/>
      <c r="K489" s="56"/>
    </row>
    <row r="490" spans="1:11" ht="29.25">
      <c r="A490" s="11">
        <v>51202</v>
      </c>
      <c r="B490" s="53" t="s">
        <v>628</v>
      </c>
      <c r="C490" s="13"/>
      <c r="D490" s="14" t="s">
        <v>18</v>
      </c>
      <c r="E490" s="14" t="s">
        <v>28</v>
      </c>
      <c r="F490" s="14" t="s">
        <v>27</v>
      </c>
      <c r="G490" s="17">
        <f>'ABRIL-18'!I479</f>
        <v>0</v>
      </c>
      <c r="H490" s="108"/>
      <c r="I490" s="17">
        <f t="shared" si="8"/>
        <v>0</v>
      </c>
      <c r="J490" s="56"/>
      <c r="K490" s="142"/>
    </row>
    <row r="491" spans="1:11" ht="29.25">
      <c r="A491" s="11">
        <v>54110</v>
      </c>
      <c r="B491" s="53" t="s">
        <v>629</v>
      </c>
      <c r="C491" s="13"/>
      <c r="D491" s="14" t="s">
        <v>18</v>
      </c>
      <c r="E491" s="14" t="s">
        <v>28</v>
      </c>
      <c r="F491" s="14" t="s">
        <v>27</v>
      </c>
      <c r="G491" s="17">
        <f>'ABRIL-18'!I480</f>
        <v>0</v>
      </c>
      <c r="H491" s="51"/>
      <c r="I491" s="17">
        <f t="shared" si="8"/>
        <v>0</v>
      </c>
      <c r="J491" s="56"/>
      <c r="K491" s="142"/>
    </row>
    <row r="492" spans="1:11" ht="29.25">
      <c r="A492" s="11">
        <v>54111</v>
      </c>
      <c r="B492" s="53" t="s">
        <v>630</v>
      </c>
      <c r="C492" s="13"/>
      <c r="D492" s="14" t="s">
        <v>18</v>
      </c>
      <c r="E492" s="14" t="s">
        <v>28</v>
      </c>
      <c r="F492" s="14" t="s">
        <v>27</v>
      </c>
      <c r="G492" s="17">
        <f>'ABRIL-18'!I481</f>
        <v>0</v>
      </c>
      <c r="H492" s="51"/>
      <c r="I492" s="17">
        <f t="shared" ref="I492:I555" si="9">G492-H492+J492-K492</f>
        <v>0</v>
      </c>
      <c r="J492" s="142"/>
      <c r="K492" s="142"/>
    </row>
    <row r="493" spans="1:11" ht="29.25">
      <c r="A493" s="11">
        <v>54112</v>
      </c>
      <c r="B493" s="53" t="s">
        <v>631</v>
      </c>
      <c r="C493" s="13"/>
      <c r="D493" s="14" t="s">
        <v>18</v>
      </c>
      <c r="E493" s="14" t="s">
        <v>28</v>
      </c>
      <c r="F493" s="14" t="s">
        <v>27</v>
      </c>
      <c r="G493" s="17">
        <f>'ABRIL-18'!I482</f>
        <v>0</v>
      </c>
      <c r="H493" s="51"/>
      <c r="I493" s="17">
        <f t="shared" si="9"/>
        <v>0</v>
      </c>
      <c r="J493" s="56"/>
      <c r="K493" s="142"/>
    </row>
    <row r="494" spans="1:11" ht="29.25">
      <c r="A494" s="11">
        <v>54118</v>
      </c>
      <c r="B494" s="53" t="s">
        <v>632</v>
      </c>
      <c r="C494" s="13"/>
      <c r="D494" s="14" t="s">
        <v>18</v>
      </c>
      <c r="E494" s="14" t="s">
        <v>28</v>
      </c>
      <c r="F494" s="14" t="s">
        <v>27</v>
      </c>
      <c r="G494" s="17">
        <f>'ABRIL-18'!I483</f>
        <v>0</v>
      </c>
      <c r="H494" s="51"/>
      <c r="I494" s="17">
        <f t="shared" si="9"/>
        <v>0</v>
      </c>
      <c r="J494" s="56"/>
      <c r="K494" s="137"/>
    </row>
    <row r="495" spans="1:11" ht="29.25">
      <c r="A495" s="11">
        <v>54304</v>
      </c>
      <c r="B495" s="53" t="s">
        <v>633</v>
      </c>
      <c r="C495" s="13"/>
      <c r="D495" s="14" t="s">
        <v>18</v>
      </c>
      <c r="E495" s="14" t="s">
        <v>28</v>
      </c>
      <c r="F495" s="14" t="s">
        <v>27</v>
      </c>
      <c r="G495" s="17">
        <f>'ABRIL-18'!I484</f>
        <v>0</v>
      </c>
      <c r="H495" s="51"/>
      <c r="I495" s="17">
        <f t="shared" si="9"/>
        <v>0</v>
      </c>
      <c r="J495" s="56"/>
      <c r="K495" s="137"/>
    </row>
    <row r="496" spans="1:11" ht="29.25">
      <c r="A496" s="11">
        <v>54313</v>
      </c>
      <c r="B496" s="53" t="s">
        <v>634</v>
      </c>
      <c r="C496" s="13"/>
      <c r="D496" s="14" t="s">
        <v>18</v>
      </c>
      <c r="E496" s="14" t="s">
        <v>28</v>
      </c>
      <c r="F496" s="14" t="s">
        <v>27</v>
      </c>
      <c r="G496" s="17">
        <f>'ABRIL-18'!I485</f>
        <v>0</v>
      </c>
      <c r="H496" s="51"/>
      <c r="I496" s="17">
        <f t="shared" si="9"/>
        <v>0</v>
      </c>
      <c r="J496" s="56"/>
      <c r="K496" s="142"/>
    </row>
    <row r="497" spans="1:11" ht="90">
      <c r="A497" s="141" t="s">
        <v>300</v>
      </c>
      <c r="B497" s="53" t="s">
        <v>635</v>
      </c>
      <c r="C497" s="13"/>
      <c r="D497" s="14"/>
      <c r="E497" s="14"/>
      <c r="F497" s="14"/>
      <c r="G497" s="17"/>
      <c r="H497" s="51"/>
      <c r="I497" s="17"/>
      <c r="J497" s="56"/>
      <c r="K497" s="56"/>
    </row>
    <row r="498" spans="1:11" ht="29.25">
      <c r="A498" s="11">
        <v>51202</v>
      </c>
      <c r="B498" s="53" t="s">
        <v>636</v>
      </c>
      <c r="C498" s="13"/>
      <c r="D498" s="14" t="s">
        <v>18</v>
      </c>
      <c r="E498" s="14" t="s">
        <v>28</v>
      </c>
      <c r="F498" s="14" t="s">
        <v>27</v>
      </c>
      <c r="G498" s="17">
        <f>'ABRIL-18'!I487</f>
        <v>0</v>
      </c>
      <c r="H498" s="51"/>
      <c r="I498" s="17">
        <f t="shared" si="9"/>
        <v>0</v>
      </c>
      <c r="J498" s="56"/>
      <c r="K498" s="142"/>
    </row>
    <row r="499" spans="1:11" ht="29.25">
      <c r="A499" s="11">
        <v>54110</v>
      </c>
      <c r="B499" s="53" t="s">
        <v>637</v>
      </c>
      <c r="C499" s="13"/>
      <c r="D499" s="14" t="s">
        <v>18</v>
      </c>
      <c r="E499" s="14" t="s">
        <v>28</v>
      </c>
      <c r="F499" s="14" t="s">
        <v>27</v>
      </c>
      <c r="G499" s="17">
        <f>'ABRIL-18'!I488</f>
        <v>0</v>
      </c>
      <c r="H499" s="51"/>
      <c r="I499" s="17">
        <f t="shared" si="9"/>
        <v>0</v>
      </c>
      <c r="J499" s="56"/>
      <c r="K499" s="142"/>
    </row>
    <row r="500" spans="1:11" ht="29.25">
      <c r="A500" s="11">
        <v>54111</v>
      </c>
      <c r="B500" s="53" t="s">
        <v>638</v>
      </c>
      <c r="C500" s="13"/>
      <c r="D500" s="14" t="s">
        <v>18</v>
      </c>
      <c r="E500" s="14" t="s">
        <v>28</v>
      </c>
      <c r="F500" s="14" t="s">
        <v>27</v>
      </c>
      <c r="G500" s="17">
        <f>'ABRIL-18'!I489</f>
        <v>1.8207657603852567E-13</v>
      </c>
      <c r="H500" s="211"/>
      <c r="I500" s="17">
        <f t="shared" si="9"/>
        <v>1.8207657603852567E-13</v>
      </c>
      <c r="J500" s="142"/>
      <c r="K500" s="137"/>
    </row>
    <row r="501" spans="1:11" ht="29.25">
      <c r="A501" s="11">
        <v>54304</v>
      </c>
      <c r="B501" s="53" t="s">
        <v>639</v>
      </c>
      <c r="C501" s="55"/>
      <c r="D501" s="14" t="s">
        <v>18</v>
      </c>
      <c r="E501" s="14" t="s">
        <v>28</v>
      </c>
      <c r="F501" s="14" t="s">
        <v>27</v>
      </c>
      <c r="G501" s="17">
        <f>'ABRIL-18'!I490</f>
        <v>0</v>
      </c>
      <c r="H501" s="51"/>
      <c r="I501" s="17">
        <f t="shared" si="9"/>
        <v>0</v>
      </c>
      <c r="J501" s="56"/>
      <c r="K501" s="142"/>
    </row>
    <row r="502" spans="1:11" ht="38.25" customHeight="1">
      <c r="A502" s="11">
        <v>54313</v>
      </c>
      <c r="B502" s="53" t="s">
        <v>640</v>
      </c>
      <c r="C502" s="60"/>
      <c r="D502" s="14" t="s">
        <v>18</v>
      </c>
      <c r="E502" s="14" t="s">
        <v>28</v>
      </c>
      <c r="F502" s="14" t="s">
        <v>27</v>
      </c>
      <c r="G502" s="17">
        <f>'ABRIL-18'!I491</f>
        <v>0</v>
      </c>
      <c r="H502" s="51"/>
      <c r="I502" s="17">
        <f t="shared" si="9"/>
        <v>0</v>
      </c>
      <c r="J502" s="56"/>
      <c r="K502" s="142"/>
    </row>
    <row r="503" spans="1:11" ht="91.5" customHeight="1">
      <c r="A503" s="141" t="s">
        <v>316</v>
      </c>
      <c r="B503" s="53" t="s">
        <v>641</v>
      </c>
      <c r="C503" s="60" t="s">
        <v>1013</v>
      </c>
      <c r="D503" s="14"/>
      <c r="E503" s="14"/>
      <c r="F503" s="14"/>
      <c r="G503" s="17">
        <f>'ABRIL-18'!I492</f>
        <v>0</v>
      </c>
      <c r="H503" s="51"/>
      <c r="I503" s="17"/>
      <c r="J503" s="56"/>
      <c r="K503" s="56"/>
    </row>
    <row r="504" spans="1:11" ht="38.25" customHeight="1">
      <c r="A504" s="11">
        <v>51202</v>
      </c>
      <c r="B504" s="53" t="s">
        <v>642</v>
      </c>
      <c r="C504" s="60"/>
      <c r="D504" s="14" t="s">
        <v>18</v>
      </c>
      <c r="E504" s="14" t="s">
        <v>28</v>
      </c>
      <c r="F504" s="14" t="s">
        <v>27</v>
      </c>
      <c r="G504" s="17">
        <f>'ABRIL-18'!I493</f>
        <v>7.2830630415410269E-14</v>
      </c>
      <c r="H504" s="51"/>
      <c r="I504" s="17">
        <f t="shared" si="9"/>
        <v>7.2830630415410269E-14</v>
      </c>
      <c r="J504" s="56"/>
      <c r="K504" s="142"/>
    </row>
    <row r="505" spans="1:11" ht="38.25" customHeight="1">
      <c r="A505" s="11">
        <v>54110</v>
      </c>
      <c r="B505" s="53" t="s">
        <v>643</v>
      </c>
      <c r="C505" s="60"/>
      <c r="D505" s="14" t="s">
        <v>18</v>
      </c>
      <c r="E505" s="14" t="s">
        <v>28</v>
      </c>
      <c r="F505" s="14" t="s">
        <v>27</v>
      </c>
      <c r="G505" s="17">
        <f>'ABRIL-18'!I494</f>
        <v>0</v>
      </c>
      <c r="H505" s="51"/>
      <c r="I505" s="17">
        <f t="shared" si="9"/>
        <v>0</v>
      </c>
      <c r="J505" s="56"/>
      <c r="K505" s="142"/>
    </row>
    <row r="506" spans="1:11" ht="38.25" customHeight="1">
      <c r="A506" s="11">
        <v>54111</v>
      </c>
      <c r="B506" s="53" t="s">
        <v>644</v>
      </c>
      <c r="C506" s="60"/>
      <c r="D506" s="14" t="s">
        <v>18</v>
      </c>
      <c r="E506" s="14" t="s">
        <v>28</v>
      </c>
      <c r="F506" s="14" t="s">
        <v>27</v>
      </c>
      <c r="G506" s="17">
        <f>'ABRIL-18'!I495</f>
        <v>2.2737367544323206E-13</v>
      </c>
      <c r="H506" s="51"/>
      <c r="I506" s="17">
        <f t="shared" si="9"/>
        <v>2.2737367544323206E-13</v>
      </c>
      <c r="J506" s="137"/>
      <c r="K506" s="142"/>
    </row>
    <row r="507" spans="1:11" ht="38.25" customHeight="1">
      <c r="A507" s="11">
        <v>54304</v>
      </c>
      <c r="B507" s="53" t="s">
        <v>645</v>
      </c>
      <c r="C507" s="60"/>
      <c r="D507" s="14" t="s">
        <v>18</v>
      </c>
      <c r="E507" s="14" t="s">
        <v>28</v>
      </c>
      <c r="F507" s="14" t="s">
        <v>27</v>
      </c>
      <c r="G507" s="17">
        <f>'ABRIL-18'!I496</f>
        <v>0</v>
      </c>
      <c r="H507" s="51"/>
      <c r="I507" s="17">
        <f t="shared" si="9"/>
        <v>0</v>
      </c>
      <c r="J507" s="56"/>
      <c r="K507" s="142"/>
    </row>
    <row r="508" spans="1:11" ht="38.25" customHeight="1">
      <c r="A508" s="11">
        <v>54313</v>
      </c>
      <c r="B508" s="53" t="s">
        <v>646</v>
      </c>
      <c r="C508" s="60"/>
      <c r="D508" s="14" t="s">
        <v>18</v>
      </c>
      <c r="E508" s="14" t="s">
        <v>28</v>
      </c>
      <c r="F508" s="14" t="s">
        <v>27</v>
      </c>
      <c r="G508" s="17">
        <f>'ABRIL-18'!I497</f>
        <v>0</v>
      </c>
      <c r="H508" s="51"/>
      <c r="I508" s="17">
        <f t="shared" si="9"/>
        <v>0</v>
      </c>
      <c r="J508" s="56"/>
      <c r="K508" s="142"/>
    </row>
    <row r="509" spans="1:11" ht="93.75" customHeight="1">
      <c r="A509" s="240" t="s">
        <v>326</v>
      </c>
      <c r="B509" s="53" t="s">
        <v>647</v>
      </c>
      <c r="C509" s="345" t="s">
        <v>1106</v>
      </c>
      <c r="D509" s="14"/>
      <c r="E509" s="14"/>
      <c r="F509" s="14"/>
      <c r="G509" s="17">
        <f>'ABRIL-18'!I498</f>
        <v>0</v>
      </c>
      <c r="H509" s="51"/>
      <c r="I509" s="17"/>
      <c r="J509" s="56"/>
      <c r="K509" s="56"/>
    </row>
    <row r="510" spans="1:11" ht="38.25" customHeight="1">
      <c r="A510" s="11">
        <v>51202</v>
      </c>
      <c r="B510" s="53" t="s">
        <v>648</v>
      </c>
      <c r="C510" s="60"/>
      <c r="D510" s="14" t="s">
        <v>18</v>
      </c>
      <c r="E510" s="14" t="s">
        <v>28</v>
      </c>
      <c r="F510" s="14" t="s">
        <v>27</v>
      </c>
      <c r="G510" s="17">
        <f>'ABRIL-18'!I499</f>
        <v>0</v>
      </c>
      <c r="H510" s="51"/>
      <c r="I510" s="17">
        <f t="shared" si="9"/>
        <v>0</v>
      </c>
      <c r="J510" s="301"/>
      <c r="K510" s="237"/>
    </row>
    <row r="511" spans="1:11" ht="38.25" customHeight="1">
      <c r="A511" s="11">
        <v>54110</v>
      </c>
      <c r="B511" s="53" t="s">
        <v>649</v>
      </c>
      <c r="C511" s="60"/>
      <c r="D511" s="14" t="s">
        <v>18</v>
      </c>
      <c r="E511" s="14" t="s">
        <v>28</v>
      </c>
      <c r="F511" s="14" t="s">
        <v>27</v>
      </c>
      <c r="G511" s="17">
        <f>'ABRIL-18'!I500</f>
        <v>0</v>
      </c>
      <c r="H511" s="51"/>
      <c r="I511" s="17">
        <f t="shared" si="9"/>
        <v>0</v>
      </c>
      <c r="J511" s="237"/>
      <c r="K511" s="237"/>
    </row>
    <row r="512" spans="1:11" ht="38.25" customHeight="1">
      <c r="A512" s="11">
        <v>54111</v>
      </c>
      <c r="B512" s="53" t="s">
        <v>650</v>
      </c>
      <c r="C512" s="60" t="s">
        <v>1107</v>
      </c>
      <c r="D512" s="14" t="s">
        <v>18</v>
      </c>
      <c r="E512" s="14" t="s">
        <v>28</v>
      </c>
      <c r="F512" s="14" t="s">
        <v>27</v>
      </c>
      <c r="G512" s="17">
        <f>'ABRIL-18'!I501</f>
        <v>0</v>
      </c>
      <c r="H512" s="51">
        <f>915+1850</f>
        <v>2765</v>
      </c>
      <c r="I512" s="358">
        <f t="shared" si="9"/>
        <v>0</v>
      </c>
      <c r="J512" s="346">
        <f>915+1850</f>
        <v>2765</v>
      </c>
      <c r="K512" s="237"/>
    </row>
    <row r="513" spans="1:11" ht="29.25">
      <c r="A513" s="11">
        <v>54112</v>
      </c>
      <c r="B513" s="53" t="s">
        <v>651</v>
      </c>
      <c r="C513" s="13"/>
      <c r="D513" s="14" t="s">
        <v>18</v>
      </c>
      <c r="E513" s="14" t="s">
        <v>28</v>
      </c>
      <c r="F513" s="14" t="s">
        <v>27</v>
      </c>
      <c r="G513" s="17">
        <f>'ABRIL-18'!I502</f>
        <v>0</v>
      </c>
      <c r="H513" s="51"/>
      <c r="I513" s="17">
        <f t="shared" si="9"/>
        <v>0</v>
      </c>
      <c r="J513" s="237"/>
      <c r="K513" s="237"/>
    </row>
    <row r="514" spans="1:11" ht="29.25">
      <c r="A514" s="11">
        <v>54118</v>
      </c>
      <c r="B514" s="53" t="s">
        <v>652</v>
      </c>
      <c r="C514" s="13"/>
      <c r="D514" s="14" t="s">
        <v>18</v>
      </c>
      <c r="E514" s="14" t="s">
        <v>28</v>
      </c>
      <c r="F514" s="14" t="s">
        <v>27</v>
      </c>
      <c r="G514" s="17">
        <f>'ABRIL-18'!I503</f>
        <v>0</v>
      </c>
      <c r="H514" s="51"/>
      <c r="I514" s="17">
        <f t="shared" si="9"/>
        <v>0</v>
      </c>
      <c r="J514" s="237"/>
      <c r="K514" s="237"/>
    </row>
    <row r="515" spans="1:11" ht="29.25">
      <c r="A515" s="11">
        <v>54304</v>
      </c>
      <c r="B515" s="53" t="s">
        <v>653</v>
      </c>
      <c r="C515" s="13"/>
      <c r="D515" s="14" t="s">
        <v>18</v>
      </c>
      <c r="E515" s="14" t="s">
        <v>28</v>
      </c>
      <c r="F515" s="14" t="s">
        <v>27</v>
      </c>
      <c r="G515" s="17">
        <f>'ABRIL-18'!I504</f>
        <v>0</v>
      </c>
      <c r="H515" s="51"/>
      <c r="I515" s="17">
        <f t="shared" si="9"/>
        <v>0</v>
      </c>
      <c r="J515" s="237"/>
      <c r="K515" s="237"/>
    </row>
    <row r="516" spans="1:11" ht="29.25">
      <c r="A516" s="11">
        <v>54313</v>
      </c>
      <c r="B516" s="53" t="s">
        <v>654</v>
      </c>
      <c r="C516" s="13"/>
      <c r="D516" s="14" t="s">
        <v>18</v>
      </c>
      <c r="E516" s="14" t="s">
        <v>28</v>
      </c>
      <c r="F516" s="14" t="s">
        <v>27</v>
      </c>
      <c r="G516" s="17">
        <f>'ABRIL-18'!I505</f>
        <v>250</v>
      </c>
      <c r="H516" s="51"/>
      <c r="I516" s="17">
        <f t="shared" si="9"/>
        <v>0</v>
      </c>
      <c r="J516" s="237"/>
      <c r="K516" s="346">
        <v>250</v>
      </c>
    </row>
    <row r="517" spans="1:11" ht="29.25">
      <c r="A517" s="11">
        <v>54399</v>
      </c>
      <c r="B517" s="53" t="s">
        <v>655</v>
      </c>
      <c r="C517" s="13"/>
      <c r="D517" s="14" t="s">
        <v>18</v>
      </c>
      <c r="E517" s="14" t="s">
        <v>28</v>
      </c>
      <c r="F517" s="14" t="s">
        <v>27</v>
      </c>
      <c r="G517" s="17">
        <f>'ABRIL-18'!I506</f>
        <v>0</v>
      </c>
      <c r="H517" s="51"/>
      <c r="I517" s="17">
        <f t="shared" si="9"/>
        <v>0</v>
      </c>
      <c r="J517" s="237"/>
      <c r="K517" s="237"/>
    </row>
    <row r="518" spans="1:11" ht="75">
      <c r="A518" s="141" t="s">
        <v>338</v>
      </c>
      <c r="B518" s="53" t="s">
        <v>656</v>
      </c>
      <c r="C518" s="13"/>
      <c r="D518" s="14"/>
      <c r="E518" s="14"/>
      <c r="F518" s="14"/>
      <c r="G518" s="17">
        <f>'ABRIL-18'!I507</f>
        <v>0</v>
      </c>
      <c r="H518" s="51"/>
      <c r="I518" s="17"/>
      <c r="J518" s="56"/>
      <c r="K518" s="56"/>
    </row>
    <row r="519" spans="1:11" ht="29.25">
      <c r="A519" s="11">
        <v>51202</v>
      </c>
      <c r="B519" s="54" t="s">
        <v>657</v>
      </c>
      <c r="C519" s="13"/>
      <c r="D519" s="14" t="s">
        <v>18</v>
      </c>
      <c r="E519" s="14" t="s">
        <v>28</v>
      </c>
      <c r="F519" s="14" t="s">
        <v>27</v>
      </c>
      <c r="G519" s="17">
        <f>'ABRIL-18'!I508</f>
        <v>0</v>
      </c>
      <c r="H519" s="51"/>
      <c r="I519" s="17">
        <f t="shared" si="9"/>
        <v>0</v>
      </c>
      <c r="J519" s="56"/>
      <c r="K519" s="137"/>
    </row>
    <row r="520" spans="1:11" ht="29.25">
      <c r="A520" s="11">
        <v>54110</v>
      </c>
      <c r="B520" s="54" t="s">
        <v>658</v>
      </c>
      <c r="C520" s="13"/>
      <c r="D520" s="14" t="s">
        <v>18</v>
      </c>
      <c r="E520" s="14" t="s">
        <v>28</v>
      </c>
      <c r="F520" s="14" t="s">
        <v>27</v>
      </c>
      <c r="G520" s="17">
        <f>'ABRIL-18'!I509</f>
        <v>0</v>
      </c>
      <c r="H520" s="51"/>
      <c r="I520" s="17">
        <f t="shared" si="9"/>
        <v>0</v>
      </c>
      <c r="J520" s="56"/>
      <c r="K520" s="137"/>
    </row>
    <row r="521" spans="1:11" ht="44.25">
      <c r="A521" s="11">
        <v>54111</v>
      </c>
      <c r="B521" s="54" t="s">
        <v>659</v>
      </c>
      <c r="C521" s="13"/>
      <c r="D521" s="14" t="s">
        <v>18</v>
      </c>
      <c r="E521" s="14" t="s">
        <v>28</v>
      </c>
      <c r="F521" s="14" t="s">
        <v>27</v>
      </c>
      <c r="G521" s="17">
        <f>'ABRIL-18'!I510</f>
        <v>0</v>
      </c>
      <c r="H521" s="51"/>
      <c r="I521" s="17">
        <f t="shared" si="9"/>
        <v>0</v>
      </c>
      <c r="J521" s="56"/>
      <c r="K521" s="137"/>
    </row>
    <row r="522" spans="1:11" ht="44.25">
      <c r="A522" s="11">
        <v>54112</v>
      </c>
      <c r="B522" s="54" t="s">
        <v>660</v>
      </c>
      <c r="C522" s="13"/>
      <c r="D522" s="14" t="s">
        <v>18</v>
      </c>
      <c r="E522" s="14" t="s">
        <v>28</v>
      </c>
      <c r="F522" s="14" t="s">
        <v>27</v>
      </c>
      <c r="G522" s="17">
        <f>'ABRIL-18'!I511</f>
        <v>0</v>
      </c>
      <c r="H522" s="51"/>
      <c r="I522" s="17">
        <f t="shared" si="9"/>
        <v>0</v>
      </c>
      <c r="J522" s="56"/>
      <c r="K522" s="137"/>
    </row>
    <row r="523" spans="1:11" ht="44.25">
      <c r="A523" s="11">
        <v>54304</v>
      </c>
      <c r="B523" s="54" t="s">
        <v>661</v>
      </c>
      <c r="C523" s="13"/>
      <c r="D523" s="14" t="s">
        <v>18</v>
      </c>
      <c r="E523" s="14" t="s">
        <v>28</v>
      </c>
      <c r="F523" s="14" t="s">
        <v>27</v>
      </c>
      <c r="G523" s="17">
        <f>'ABRIL-18'!I512</f>
        <v>0</v>
      </c>
      <c r="H523" s="51"/>
      <c r="I523" s="17">
        <f t="shared" si="9"/>
        <v>0</v>
      </c>
      <c r="J523" s="56"/>
      <c r="K523" s="137"/>
    </row>
    <row r="524" spans="1:11" ht="44.25">
      <c r="A524" s="11">
        <v>54313</v>
      </c>
      <c r="B524" s="54" t="s">
        <v>662</v>
      </c>
      <c r="C524" s="13"/>
      <c r="D524" s="14" t="s">
        <v>18</v>
      </c>
      <c r="E524" s="14" t="s">
        <v>28</v>
      </c>
      <c r="F524" s="14" t="s">
        <v>27</v>
      </c>
      <c r="G524" s="17">
        <f>'ABRIL-18'!I513</f>
        <v>0</v>
      </c>
      <c r="H524" s="51"/>
      <c r="I524" s="17">
        <f t="shared" si="9"/>
        <v>0</v>
      </c>
      <c r="J524" s="56"/>
      <c r="K524" s="137"/>
    </row>
    <row r="525" spans="1:11" ht="44.25">
      <c r="A525" s="11">
        <v>54399</v>
      </c>
      <c r="B525" s="54" t="s">
        <v>663</v>
      </c>
      <c r="C525" s="13"/>
      <c r="D525" s="14" t="s">
        <v>18</v>
      </c>
      <c r="E525" s="14" t="s">
        <v>28</v>
      </c>
      <c r="F525" s="14" t="s">
        <v>27</v>
      </c>
      <c r="G525" s="17">
        <f>'ABRIL-18'!I514</f>
        <v>0</v>
      </c>
      <c r="H525" s="51"/>
      <c r="I525" s="17">
        <f t="shared" si="9"/>
        <v>0</v>
      </c>
      <c r="J525" s="56"/>
      <c r="K525" s="137"/>
    </row>
    <row r="526" spans="1:11" ht="29.25">
      <c r="A526" s="11">
        <v>55603</v>
      </c>
      <c r="B526" s="54" t="s">
        <v>664</v>
      </c>
      <c r="C526" s="13"/>
      <c r="D526" s="14" t="s">
        <v>18</v>
      </c>
      <c r="E526" s="14" t="s">
        <v>28</v>
      </c>
      <c r="F526" s="14" t="s">
        <v>27</v>
      </c>
      <c r="G526" s="17">
        <f>'ABRIL-18'!I515</f>
        <v>0</v>
      </c>
      <c r="H526" s="51"/>
      <c r="I526" s="17">
        <f t="shared" si="9"/>
        <v>0</v>
      </c>
      <c r="J526" s="56"/>
      <c r="K526" s="137"/>
    </row>
    <row r="527" spans="1:11" ht="90">
      <c r="A527" s="141" t="s">
        <v>348</v>
      </c>
      <c r="B527" s="53" t="s">
        <v>665</v>
      </c>
      <c r="C527" s="13"/>
      <c r="D527" s="14"/>
      <c r="E527" s="14"/>
      <c r="F527" s="14"/>
      <c r="G527" s="17">
        <f>'ABRIL-18'!I516</f>
        <v>0</v>
      </c>
      <c r="H527" s="51"/>
      <c r="I527" s="17"/>
      <c r="J527" s="56"/>
      <c r="K527" s="56"/>
    </row>
    <row r="528" spans="1:11" ht="29.25">
      <c r="A528" s="11">
        <v>51202</v>
      </c>
      <c r="B528" s="54" t="s">
        <v>666</v>
      </c>
      <c r="C528" s="13"/>
      <c r="D528" s="14" t="s">
        <v>18</v>
      </c>
      <c r="E528" s="14" t="s">
        <v>28</v>
      </c>
      <c r="F528" s="14" t="s">
        <v>27</v>
      </c>
      <c r="G528" s="17">
        <f>'ABRIL-18'!I517</f>
        <v>3790</v>
      </c>
      <c r="H528" s="51"/>
      <c r="I528" s="17">
        <f t="shared" si="9"/>
        <v>0</v>
      </c>
      <c r="J528" s="56"/>
      <c r="K528" s="300">
        <v>3790</v>
      </c>
    </row>
    <row r="529" spans="1:11" ht="29.25">
      <c r="A529" s="11">
        <v>54110</v>
      </c>
      <c r="B529" s="54" t="s">
        <v>667</v>
      </c>
      <c r="C529" s="13"/>
      <c r="D529" s="14" t="s">
        <v>18</v>
      </c>
      <c r="E529" s="14" t="s">
        <v>28</v>
      </c>
      <c r="F529" s="14" t="s">
        <v>27</v>
      </c>
      <c r="G529" s="17">
        <f>'ABRIL-18'!I518</f>
        <v>200</v>
      </c>
      <c r="H529" s="51"/>
      <c r="I529" s="17">
        <f t="shared" si="9"/>
        <v>0</v>
      </c>
      <c r="J529" s="56"/>
      <c r="K529" s="300">
        <v>200</v>
      </c>
    </row>
    <row r="530" spans="1:11" ht="44.25">
      <c r="A530" s="11">
        <v>54111</v>
      </c>
      <c r="B530" s="54" t="s">
        <v>668</v>
      </c>
      <c r="C530" s="13"/>
      <c r="D530" s="14" t="s">
        <v>18</v>
      </c>
      <c r="E530" s="14" t="s">
        <v>28</v>
      </c>
      <c r="F530" s="14" t="s">
        <v>27</v>
      </c>
      <c r="G530" s="17">
        <f>'ABRIL-18'!I519</f>
        <v>5200</v>
      </c>
      <c r="H530" s="51"/>
      <c r="I530" s="17">
        <f t="shared" si="9"/>
        <v>0</v>
      </c>
      <c r="J530" s="56"/>
      <c r="K530" s="300">
        <v>5200</v>
      </c>
    </row>
    <row r="531" spans="1:11" ht="44.25">
      <c r="A531" s="11">
        <v>54112</v>
      </c>
      <c r="B531" s="54" t="s">
        <v>669</v>
      </c>
      <c r="C531" s="13"/>
      <c r="D531" s="14" t="s">
        <v>18</v>
      </c>
      <c r="E531" s="14" t="s">
        <v>28</v>
      </c>
      <c r="F531" s="14" t="s">
        <v>27</v>
      </c>
      <c r="G531" s="17">
        <f>'ABRIL-18'!I520</f>
        <v>200</v>
      </c>
      <c r="H531" s="51"/>
      <c r="I531" s="17">
        <f t="shared" si="9"/>
        <v>0</v>
      </c>
      <c r="J531" s="56"/>
      <c r="K531" s="300">
        <v>200</v>
      </c>
    </row>
    <row r="532" spans="1:11" ht="44.25">
      <c r="A532" s="11">
        <v>54313</v>
      </c>
      <c r="B532" s="54" t="s">
        <v>670</v>
      </c>
      <c r="C532" s="13"/>
      <c r="D532" s="14" t="s">
        <v>18</v>
      </c>
      <c r="E532" s="14" t="s">
        <v>28</v>
      </c>
      <c r="F532" s="14" t="s">
        <v>27</v>
      </c>
      <c r="G532" s="17">
        <f>'ABRIL-18'!I521</f>
        <v>300</v>
      </c>
      <c r="H532" s="51"/>
      <c r="I532" s="17">
        <f t="shared" si="9"/>
        <v>0</v>
      </c>
      <c r="J532" s="56"/>
      <c r="K532" s="300">
        <v>300</v>
      </c>
    </row>
    <row r="533" spans="1:11" ht="44.25">
      <c r="A533" s="11">
        <v>54399</v>
      </c>
      <c r="B533" s="54" t="s">
        <v>671</v>
      </c>
      <c r="C533" s="13"/>
      <c r="D533" s="14" t="s">
        <v>18</v>
      </c>
      <c r="E533" s="14" t="s">
        <v>28</v>
      </c>
      <c r="F533" s="14" t="s">
        <v>27</v>
      </c>
      <c r="G533" s="17">
        <f>'ABRIL-18'!I522</f>
        <v>300</v>
      </c>
      <c r="H533" s="51"/>
      <c r="I533" s="17">
        <f t="shared" si="9"/>
        <v>0</v>
      </c>
      <c r="J533" s="56"/>
      <c r="K533" s="300">
        <v>300</v>
      </c>
    </row>
    <row r="534" spans="1:11" ht="29.25">
      <c r="A534" s="11">
        <v>55603</v>
      </c>
      <c r="B534" s="54" t="s">
        <v>672</v>
      </c>
      <c r="C534" s="13"/>
      <c r="D534" s="14" t="s">
        <v>18</v>
      </c>
      <c r="E534" s="14" t="s">
        <v>28</v>
      </c>
      <c r="F534" s="14" t="s">
        <v>27</v>
      </c>
      <c r="G534" s="17">
        <f>'ABRIL-18'!I523</f>
        <v>10</v>
      </c>
      <c r="H534" s="51"/>
      <c r="I534" s="17">
        <f t="shared" si="9"/>
        <v>0</v>
      </c>
      <c r="J534" s="56"/>
      <c r="K534" s="300">
        <v>10</v>
      </c>
    </row>
    <row r="535" spans="1:11" ht="119.25" customHeight="1">
      <c r="A535" s="141" t="s">
        <v>358</v>
      </c>
      <c r="B535" s="53" t="s">
        <v>673</v>
      </c>
      <c r="C535" s="13"/>
      <c r="D535" s="14"/>
      <c r="E535" s="14"/>
      <c r="F535" s="14"/>
      <c r="G535" s="17">
        <f>'ABRIL-18'!I524</f>
        <v>0</v>
      </c>
      <c r="H535" s="51"/>
      <c r="I535" s="17"/>
      <c r="J535" s="56"/>
      <c r="K535" s="56"/>
    </row>
    <row r="536" spans="1:11" ht="29.25">
      <c r="A536" s="11">
        <v>51202</v>
      </c>
      <c r="B536" s="54" t="s">
        <v>674</v>
      </c>
      <c r="C536" s="13"/>
      <c r="D536" s="14" t="s">
        <v>18</v>
      </c>
      <c r="E536" s="14" t="s">
        <v>28</v>
      </c>
      <c r="F536" s="14" t="s">
        <v>27</v>
      </c>
      <c r="G536" s="17">
        <f>'ABRIL-18'!I525</f>
        <v>8000</v>
      </c>
      <c r="H536" s="51"/>
      <c r="I536" s="17">
        <f t="shared" si="9"/>
        <v>0</v>
      </c>
      <c r="J536" s="56"/>
      <c r="K536" s="300">
        <v>8000</v>
      </c>
    </row>
    <row r="537" spans="1:11" ht="29.25">
      <c r="A537" s="11">
        <v>54110</v>
      </c>
      <c r="B537" s="54" t="s">
        <v>675</v>
      </c>
      <c r="C537" s="13"/>
      <c r="D537" s="14" t="s">
        <v>18</v>
      </c>
      <c r="E537" s="14" t="s">
        <v>28</v>
      </c>
      <c r="F537" s="14" t="s">
        <v>27</v>
      </c>
      <c r="G537" s="17">
        <f>'ABRIL-18'!I526</f>
        <v>300</v>
      </c>
      <c r="H537" s="51"/>
      <c r="I537" s="17">
        <f t="shared" si="9"/>
        <v>0</v>
      </c>
      <c r="J537" s="56"/>
      <c r="K537" s="300">
        <v>300</v>
      </c>
    </row>
    <row r="538" spans="1:11" ht="29.25">
      <c r="A538" s="11">
        <v>54111</v>
      </c>
      <c r="B538" s="54" t="s">
        <v>677</v>
      </c>
      <c r="C538" s="13"/>
      <c r="D538" s="14" t="s">
        <v>18</v>
      </c>
      <c r="E538" s="14" t="s">
        <v>28</v>
      </c>
      <c r="F538" s="14" t="s">
        <v>27</v>
      </c>
      <c r="G538" s="17">
        <f>'ABRIL-18'!I527</f>
        <v>10000</v>
      </c>
      <c r="H538" s="51"/>
      <c r="I538" s="17">
        <f t="shared" si="9"/>
        <v>0</v>
      </c>
      <c r="J538" s="56"/>
      <c r="K538" s="300">
        <v>10000</v>
      </c>
    </row>
    <row r="539" spans="1:11" ht="29.25">
      <c r="A539" s="11">
        <v>54112</v>
      </c>
      <c r="B539" s="54" t="s">
        <v>676</v>
      </c>
      <c r="C539" s="13"/>
      <c r="D539" s="14" t="s">
        <v>18</v>
      </c>
      <c r="E539" s="14" t="s">
        <v>28</v>
      </c>
      <c r="F539" s="14" t="s">
        <v>27</v>
      </c>
      <c r="G539" s="17">
        <f>'ABRIL-18'!I528</f>
        <v>2000</v>
      </c>
      <c r="H539" s="51"/>
      <c r="I539" s="17">
        <f t="shared" si="9"/>
        <v>0</v>
      </c>
      <c r="J539" s="56"/>
      <c r="K539" s="300">
        <v>2000</v>
      </c>
    </row>
    <row r="540" spans="1:11" ht="29.25">
      <c r="A540" s="11">
        <v>54118</v>
      </c>
      <c r="B540" s="54" t="s">
        <v>678</v>
      </c>
      <c r="C540" s="13"/>
      <c r="D540" s="14" t="s">
        <v>18</v>
      </c>
      <c r="E540" s="14" t="s">
        <v>28</v>
      </c>
      <c r="F540" s="14" t="s">
        <v>27</v>
      </c>
      <c r="G540" s="17">
        <f>'ABRIL-18'!I529</f>
        <v>1290</v>
      </c>
      <c r="H540" s="51"/>
      <c r="I540" s="17">
        <f t="shared" si="9"/>
        <v>0</v>
      </c>
      <c r="J540" s="56"/>
      <c r="K540" s="300">
        <v>1290</v>
      </c>
    </row>
    <row r="541" spans="1:11" ht="29.25">
      <c r="A541" s="11">
        <v>54313</v>
      </c>
      <c r="B541" s="54" t="s">
        <v>679</v>
      </c>
      <c r="C541" s="13"/>
      <c r="D541" s="14" t="s">
        <v>18</v>
      </c>
      <c r="E541" s="14" t="s">
        <v>28</v>
      </c>
      <c r="F541" s="14" t="s">
        <v>27</v>
      </c>
      <c r="G541" s="17">
        <f>'ABRIL-18'!I530</f>
        <v>300</v>
      </c>
      <c r="H541" s="51"/>
      <c r="I541" s="17">
        <f t="shared" si="9"/>
        <v>0</v>
      </c>
      <c r="J541" s="56"/>
      <c r="K541" s="300">
        <v>300</v>
      </c>
    </row>
    <row r="542" spans="1:11" ht="36.75" customHeight="1">
      <c r="A542" s="11">
        <v>54399</v>
      </c>
      <c r="B542" s="54" t="s">
        <v>680</v>
      </c>
      <c r="C542" s="13"/>
      <c r="D542" s="14" t="s">
        <v>18</v>
      </c>
      <c r="E542" s="14" t="s">
        <v>28</v>
      </c>
      <c r="F542" s="14" t="s">
        <v>27</v>
      </c>
      <c r="G542" s="17">
        <f>'ABRIL-18'!I531</f>
        <v>200</v>
      </c>
      <c r="H542" s="51"/>
      <c r="I542" s="17">
        <f t="shared" si="9"/>
        <v>0</v>
      </c>
      <c r="J542" s="56"/>
      <c r="K542" s="300">
        <v>200</v>
      </c>
    </row>
    <row r="543" spans="1:11" ht="29.25">
      <c r="A543" s="11">
        <v>55603</v>
      </c>
      <c r="B543" s="54" t="s">
        <v>681</v>
      </c>
      <c r="C543" s="13"/>
      <c r="D543" s="14" t="s">
        <v>18</v>
      </c>
      <c r="E543" s="14" t="s">
        <v>28</v>
      </c>
      <c r="F543" s="14" t="s">
        <v>27</v>
      </c>
      <c r="G543" s="17">
        <f>'ABRIL-18'!I532</f>
        <v>10</v>
      </c>
      <c r="H543" s="51"/>
      <c r="I543" s="17">
        <f t="shared" si="9"/>
        <v>0</v>
      </c>
      <c r="J543" s="56"/>
      <c r="K543" s="300">
        <v>10</v>
      </c>
    </row>
    <row r="544" spans="1:11" ht="74.25">
      <c r="A544" s="141" t="s">
        <v>374</v>
      </c>
      <c r="B544" s="53" t="s">
        <v>690</v>
      </c>
      <c r="C544" s="13"/>
      <c r="D544" s="14"/>
      <c r="E544" s="14"/>
      <c r="F544" s="14"/>
      <c r="G544" s="17">
        <f>'ABRIL-18'!I533</f>
        <v>0</v>
      </c>
      <c r="H544" s="51"/>
      <c r="I544" s="17"/>
      <c r="J544" s="56"/>
      <c r="K544" s="56"/>
    </row>
    <row r="545" spans="1:11">
      <c r="A545" s="11">
        <v>51202</v>
      </c>
      <c r="B545" s="54" t="s">
        <v>682</v>
      </c>
      <c r="C545" s="13"/>
      <c r="D545" s="14" t="s">
        <v>18</v>
      </c>
      <c r="E545" s="14" t="s">
        <v>28</v>
      </c>
      <c r="F545" s="14" t="s">
        <v>27</v>
      </c>
      <c r="G545" s="17">
        <f>'ABRIL-18'!I534</f>
        <v>8900</v>
      </c>
      <c r="H545" s="51"/>
      <c r="I545" s="17">
        <f t="shared" si="9"/>
        <v>0</v>
      </c>
      <c r="J545" s="56"/>
      <c r="K545" s="300">
        <v>8900</v>
      </c>
    </row>
    <row r="546" spans="1:11" ht="29.25">
      <c r="A546" s="11">
        <v>54110</v>
      </c>
      <c r="B546" s="54" t="s">
        <v>683</v>
      </c>
      <c r="C546" s="13"/>
      <c r="D546" s="14" t="s">
        <v>18</v>
      </c>
      <c r="E546" s="14" t="s">
        <v>28</v>
      </c>
      <c r="F546" s="14" t="s">
        <v>27</v>
      </c>
      <c r="G546" s="17">
        <f>'ABRIL-18'!I535</f>
        <v>300</v>
      </c>
      <c r="H546" s="51"/>
      <c r="I546" s="17">
        <f t="shared" si="9"/>
        <v>0</v>
      </c>
      <c r="J546" s="56"/>
      <c r="K546" s="300">
        <v>300</v>
      </c>
    </row>
    <row r="547" spans="1:11" ht="30">
      <c r="A547" s="11">
        <v>54111</v>
      </c>
      <c r="B547" s="53" t="s">
        <v>689</v>
      </c>
      <c r="C547" s="13"/>
      <c r="D547" s="14" t="s">
        <v>18</v>
      </c>
      <c r="E547" s="14" t="s">
        <v>28</v>
      </c>
      <c r="F547" s="14" t="s">
        <v>27</v>
      </c>
      <c r="G547" s="17">
        <f>'ABRIL-18'!I536</f>
        <v>12000</v>
      </c>
      <c r="H547" s="51"/>
      <c r="I547" s="17">
        <f t="shared" si="9"/>
        <v>0</v>
      </c>
      <c r="J547" s="56"/>
      <c r="K547" s="300">
        <v>12000</v>
      </c>
    </row>
    <row r="548" spans="1:11" ht="29.25">
      <c r="A548" s="11">
        <v>54112</v>
      </c>
      <c r="B548" s="53" t="s">
        <v>684</v>
      </c>
      <c r="C548" s="13"/>
      <c r="D548" s="14" t="s">
        <v>18</v>
      </c>
      <c r="E548" s="14" t="s">
        <v>28</v>
      </c>
      <c r="F548" s="14" t="s">
        <v>27</v>
      </c>
      <c r="G548" s="17">
        <f>'ABRIL-18'!I537</f>
        <v>2000</v>
      </c>
      <c r="H548" s="51"/>
      <c r="I548" s="17">
        <f t="shared" si="9"/>
        <v>0</v>
      </c>
      <c r="J548" s="56"/>
      <c r="K548" s="300">
        <v>2000</v>
      </c>
    </row>
    <row r="549" spans="1:11" ht="29.25">
      <c r="A549" s="11">
        <v>54118</v>
      </c>
      <c r="B549" s="53" t="s">
        <v>685</v>
      </c>
      <c r="C549" s="13"/>
      <c r="D549" s="14" t="s">
        <v>18</v>
      </c>
      <c r="E549" s="14" t="s">
        <v>28</v>
      </c>
      <c r="F549" s="14" t="s">
        <v>27</v>
      </c>
      <c r="G549" s="17">
        <f>'ABRIL-18'!I538</f>
        <v>1290</v>
      </c>
      <c r="H549" s="51"/>
      <c r="I549" s="17">
        <f t="shared" si="9"/>
        <v>0</v>
      </c>
      <c r="J549" s="56"/>
      <c r="K549" s="300">
        <v>1290</v>
      </c>
    </row>
    <row r="550" spans="1:11" ht="29.25">
      <c r="A550" s="11">
        <v>54313</v>
      </c>
      <c r="B550" s="53" t="s">
        <v>686</v>
      </c>
      <c r="C550" s="13"/>
      <c r="D550" s="14" t="s">
        <v>18</v>
      </c>
      <c r="E550" s="14" t="s">
        <v>28</v>
      </c>
      <c r="F550" s="14" t="s">
        <v>27</v>
      </c>
      <c r="G550" s="17">
        <f>'ABRIL-18'!I539</f>
        <v>300</v>
      </c>
      <c r="H550" s="51"/>
      <c r="I550" s="17">
        <f t="shared" si="9"/>
        <v>0</v>
      </c>
      <c r="J550" s="56"/>
      <c r="K550" s="300">
        <v>300</v>
      </c>
    </row>
    <row r="551" spans="1:11" ht="29.25">
      <c r="A551" s="11">
        <v>54399</v>
      </c>
      <c r="B551" s="54" t="s">
        <v>687</v>
      </c>
      <c r="C551" s="13"/>
      <c r="D551" s="14" t="s">
        <v>18</v>
      </c>
      <c r="E551" s="14" t="s">
        <v>28</v>
      </c>
      <c r="F551" s="14" t="s">
        <v>27</v>
      </c>
      <c r="G551" s="17">
        <f>'ABRIL-18'!I540</f>
        <v>200</v>
      </c>
      <c r="H551" s="51"/>
      <c r="I551" s="17">
        <f t="shared" si="9"/>
        <v>0</v>
      </c>
      <c r="J551" s="56"/>
      <c r="K551" s="300">
        <v>200</v>
      </c>
    </row>
    <row r="552" spans="1:11" ht="29.25">
      <c r="A552" s="11">
        <v>55603</v>
      </c>
      <c r="B552" s="53" t="s">
        <v>688</v>
      </c>
      <c r="C552" s="13"/>
      <c r="D552" s="14" t="s">
        <v>18</v>
      </c>
      <c r="E552" s="14" t="s">
        <v>28</v>
      </c>
      <c r="F552" s="14" t="s">
        <v>27</v>
      </c>
      <c r="G552" s="17">
        <f>'ABRIL-18'!I541</f>
        <v>10</v>
      </c>
      <c r="H552" s="51"/>
      <c r="I552" s="17">
        <f t="shared" si="9"/>
        <v>0</v>
      </c>
      <c r="J552" s="56"/>
      <c r="K552" s="300">
        <v>10</v>
      </c>
    </row>
    <row r="553" spans="1:11" ht="60">
      <c r="A553" s="141" t="s">
        <v>388</v>
      </c>
      <c r="B553" s="53" t="s">
        <v>699</v>
      </c>
      <c r="C553" s="13"/>
      <c r="D553" s="14"/>
      <c r="E553" s="14"/>
      <c r="F553" s="14"/>
      <c r="G553" s="17">
        <f>'ABRIL-18'!I542</f>
        <v>0</v>
      </c>
      <c r="H553" s="51"/>
      <c r="I553" s="17"/>
      <c r="J553" s="56"/>
      <c r="K553" s="56"/>
    </row>
    <row r="554" spans="1:11" ht="29.25">
      <c r="A554" s="11">
        <v>51202</v>
      </c>
      <c r="B554" s="54" t="s">
        <v>691</v>
      </c>
      <c r="C554" s="13"/>
      <c r="D554" s="14" t="s">
        <v>18</v>
      </c>
      <c r="E554" s="14" t="s">
        <v>28</v>
      </c>
      <c r="F554" s="14" t="s">
        <v>27</v>
      </c>
      <c r="G554" s="17">
        <f>'ABRIL-18'!I543</f>
        <v>8900</v>
      </c>
      <c r="H554" s="51"/>
      <c r="I554" s="17">
        <f t="shared" si="9"/>
        <v>0</v>
      </c>
      <c r="J554" s="56"/>
      <c r="K554" s="300">
        <v>8900</v>
      </c>
    </row>
    <row r="555" spans="1:11" ht="29.25">
      <c r="A555" s="11">
        <v>54110</v>
      </c>
      <c r="B555" s="54" t="s">
        <v>692</v>
      </c>
      <c r="C555" s="13"/>
      <c r="D555" s="14" t="s">
        <v>18</v>
      </c>
      <c r="E555" s="14" t="s">
        <v>28</v>
      </c>
      <c r="F555" s="14" t="s">
        <v>27</v>
      </c>
      <c r="G555" s="17">
        <f>'ABRIL-18'!I544</f>
        <v>300</v>
      </c>
      <c r="H555" s="51"/>
      <c r="I555" s="17">
        <f t="shared" si="9"/>
        <v>0</v>
      </c>
      <c r="J555" s="56"/>
      <c r="K555" s="300">
        <v>300</v>
      </c>
    </row>
    <row r="556" spans="1:11" ht="44.25">
      <c r="A556" s="11">
        <v>54111</v>
      </c>
      <c r="B556" s="53" t="s">
        <v>693</v>
      </c>
      <c r="C556" s="13"/>
      <c r="D556" s="14" t="s">
        <v>18</v>
      </c>
      <c r="E556" s="14" t="s">
        <v>28</v>
      </c>
      <c r="F556" s="14" t="s">
        <v>27</v>
      </c>
      <c r="G556" s="17">
        <f>'ABRIL-18'!I545</f>
        <v>12000</v>
      </c>
      <c r="H556" s="51"/>
      <c r="I556" s="17">
        <f t="shared" ref="I556:I566" si="10">G556-H556+J556-K556</f>
        <v>0</v>
      </c>
      <c r="J556" s="56"/>
      <c r="K556" s="300">
        <v>12000</v>
      </c>
    </row>
    <row r="557" spans="1:11" ht="29.25">
      <c r="A557" s="11">
        <v>54112</v>
      </c>
      <c r="B557" s="54" t="s">
        <v>694</v>
      </c>
      <c r="C557" s="13"/>
      <c r="D557" s="14" t="s">
        <v>18</v>
      </c>
      <c r="E557" s="14" t="s">
        <v>28</v>
      </c>
      <c r="F557" s="14" t="s">
        <v>27</v>
      </c>
      <c r="G557" s="17">
        <f>'ABRIL-18'!I546</f>
        <v>2000</v>
      </c>
      <c r="H557" s="51"/>
      <c r="I557" s="17">
        <f t="shared" si="10"/>
        <v>0</v>
      </c>
      <c r="J557" s="56"/>
      <c r="K557" s="300">
        <v>2000</v>
      </c>
    </row>
    <row r="558" spans="1:11" ht="29.25">
      <c r="A558" s="11">
        <v>54118</v>
      </c>
      <c r="B558" s="54" t="s">
        <v>695</v>
      </c>
      <c r="C558" s="13"/>
      <c r="D558" s="14" t="s">
        <v>18</v>
      </c>
      <c r="E558" s="14" t="s">
        <v>28</v>
      </c>
      <c r="F558" s="14" t="s">
        <v>27</v>
      </c>
      <c r="G558" s="17">
        <f>'ABRIL-18'!I547</f>
        <v>1290</v>
      </c>
      <c r="H558" s="51"/>
      <c r="I558" s="17">
        <f t="shared" si="10"/>
        <v>0</v>
      </c>
      <c r="J558" s="56"/>
      <c r="K558" s="300">
        <v>1290</v>
      </c>
    </row>
    <row r="559" spans="1:11" ht="44.25">
      <c r="A559" s="11">
        <v>54313</v>
      </c>
      <c r="B559" s="53" t="s">
        <v>696</v>
      </c>
      <c r="C559" s="13"/>
      <c r="D559" s="14" t="s">
        <v>18</v>
      </c>
      <c r="E559" s="14" t="s">
        <v>28</v>
      </c>
      <c r="F559" s="14" t="s">
        <v>27</v>
      </c>
      <c r="G559" s="17">
        <f>'ABRIL-18'!I548</f>
        <v>300</v>
      </c>
      <c r="H559" s="51"/>
      <c r="I559" s="17">
        <f t="shared" si="10"/>
        <v>0</v>
      </c>
      <c r="J559" s="56"/>
      <c r="K559" s="300">
        <v>300</v>
      </c>
    </row>
    <row r="560" spans="1:11" ht="29.25">
      <c r="A560" s="11">
        <v>54399</v>
      </c>
      <c r="B560" s="54" t="s">
        <v>697</v>
      </c>
      <c r="C560" s="13"/>
      <c r="D560" s="14" t="s">
        <v>18</v>
      </c>
      <c r="E560" s="14" t="s">
        <v>28</v>
      </c>
      <c r="F560" s="14" t="s">
        <v>27</v>
      </c>
      <c r="G560" s="17">
        <f>'ABRIL-18'!I549</f>
        <v>200</v>
      </c>
      <c r="H560" s="51"/>
      <c r="I560" s="17">
        <f t="shared" si="10"/>
        <v>0</v>
      </c>
      <c r="J560" s="56"/>
      <c r="K560" s="300">
        <v>200</v>
      </c>
    </row>
    <row r="561" spans="1:11" ht="29.25">
      <c r="A561" s="11">
        <v>55603</v>
      </c>
      <c r="B561" s="54" t="s">
        <v>698</v>
      </c>
      <c r="C561" s="13"/>
      <c r="D561" s="14" t="s">
        <v>18</v>
      </c>
      <c r="E561" s="14" t="s">
        <v>28</v>
      </c>
      <c r="F561" s="14" t="s">
        <v>27</v>
      </c>
      <c r="G561" s="17">
        <f>'ABRIL-18'!I550</f>
        <v>10</v>
      </c>
      <c r="H561" s="51"/>
      <c r="I561" s="17">
        <f t="shared" si="10"/>
        <v>0</v>
      </c>
      <c r="J561" s="56"/>
      <c r="K561" s="300">
        <v>10</v>
      </c>
    </row>
    <row r="562" spans="1:11" ht="60">
      <c r="A562" s="141" t="s">
        <v>392</v>
      </c>
      <c r="B562" s="53" t="s">
        <v>700</v>
      </c>
      <c r="C562" s="13"/>
      <c r="D562" s="14"/>
      <c r="E562" s="14"/>
      <c r="F562" s="14"/>
      <c r="G562" s="17">
        <f>'ABRIL-18'!I551</f>
        <v>0</v>
      </c>
      <c r="H562" s="51"/>
      <c r="I562" s="17"/>
      <c r="J562" s="56"/>
      <c r="K562" s="56"/>
    </row>
    <row r="563" spans="1:11" ht="29.25">
      <c r="A563" s="11">
        <v>51202</v>
      </c>
      <c r="B563" s="54" t="s">
        <v>701</v>
      </c>
      <c r="C563" s="13"/>
      <c r="D563" s="14" t="s">
        <v>18</v>
      </c>
      <c r="E563" s="14" t="s">
        <v>28</v>
      </c>
      <c r="F563" s="14" t="s">
        <v>27</v>
      </c>
      <c r="G563" s="17">
        <f>'ABRIL-18'!I552</f>
        <v>4640</v>
      </c>
      <c r="H563" s="51"/>
      <c r="I563" s="17">
        <f t="shared" si="10"/>
        <v>0</v>
      </c>
      <c r="J563" s="56"/>
      <c r="K563" s="332">
        <v>4640</v>
      </c>
    </row>
    <row r="564" spans="1:11" ht="29.25">
      <c r="A564" s="11">
        <v>54110</v>
      </c>
      <c r="B564" s="53" t="s">
        <v>702</v>
      </c>
      <c r="C564" s="13"/>
      <c r="D564" s="14" t="s">
        <v>18</v>
      </c>
      <c r="E564" s="14" t="s">
        <v>28</v>
      </c>
      <c r="F564" s="14" t="s">
        <v>27</v>
      </c>
      <c r="G564" s="17">
        <f>'ABRIL-18'!I553</f>
        <v>100</v>
      </c>
      <c r="H564" s="51"/>
      <c r="I564" s="17">
        <f t="shared" si="10"/>
        <v>0</v>
      </c>
      <c r="J564" s="56"/>
      <c r="K564" s="332">
        <v>100</v>
      </c>
    </row>
    <row r="565" spans="1:11" ht="44.25">
      <c r="A565" s="11">
        <v>54111</v>
      </c>
      <c r="B565" s="53" t="s">
        <v>703</v>
      </c>
      <c r="C565" s="13"/>
      <c r="D565" s="14" t="s">
        <v>18</v>
      </c>
      <c r="E565" s="14" t="s">
        <v>28</v>
      </c>
      <c r="F565" s="14" t="s">
        <v>27</v>
      </c>
      <c r="G565" s="17">
        <f>'ABRIL-18'!I554</f>
        <v>5000</v>
      </c>
      <c r="H565" s="51"/>
      <c r="I565" s="17">
        <f t="shared" si="10"/>
        <v>0</v>
      </c>
      <c r="J565" s="56"/>
      <c r="K565" s="332">
        <v>5000</v>
      </c>
    </row>
    <row r="566" spans="1:11" ht="44.25">
      <c r="A566" s="11">
        <v>54313</v>
      </c>
      <c r="B566" s="53" t="s">
        <v>704</v>
      </c>
      <c r="C566" s="13"/>
      <c r="D566" s="14" t="s">
        <v>18</v>
      </c>
      <c r="E566" s="14" t="s">
        <v>28</v>
      </c>
      <c r="F566" s="14" t="s">
        <v>27</v>
      </c>
      <c r="G566" s="17">
        <f>'ABRIL-18'!I555</f>
        <v>250</v>
      </c>
      <c r="H566" s="51"/>
      <c r="I566" s="17">
        <f t="shared" si="10"/>
        <v>0</v>
      </c>
      <c r="J566" s="56"/>
      <c r="K566" s="332">
        <v>250</v>
      </c>
    </row>
    <row r="567" spans="1:11" ht="29.25">
      <c r="A567" s="11">
        <v>55603</v>
      </c>
      <c r="B567" s="53" t="s">
        <v>705</v>
      </c>
      <c r="C567" s="13"/>
      <c r="D567" s="14" t="s">
        <v>18</v>
      </c>
      <c r="E567" s="14" t="s">
        <v>28</v>
      </c>
      <c r="F567" s="14" t="s">
        <v>27</v>
      </c>
      <c r="G567" s="17">
        <f>'ABRIL-18'!I556</f>
        <v>10</v>
      </c>
      <c r="H567" s="51"/>
      <c r="I567" s="17">
        <f>G567-H567+J567-K567</f>
        <v>0</v>
      </c>
      <c r="J567" s="56"/>
      <c r="K567" s="332">
        <v>10</v>
      </c>
    </row>
    <row r="568" spans="1:11" ht="105">
      <c r="A568" s="141" t="s">
        <v>401</v>
      </c>
      <c r="B568" s="53" t="s">
        <v>706</v>
      </c>
      <c r="C568" s="13"/>
      <c r="D568" s="14"/>
      <c r="E568" s="14"/>
      <c r="F568" s="14"/>
      <c r="G568" s="17">
        <f>'ABRIL-18'!I557</f>
        <v>0</v>
      </c>
      <c r="H568" s="51"/>
      <c r="I568" s="17"/>
      <c r="J568" s="56"/>
      <c r="K568" s="56"/>
    </row>
    <row r="569" spans="1:11" ht="29.25">
      <c r="A569" s="11">
        <v>51202</v>
      </c>
      <c r="B569" s="54" t="s">
        <v>707</v>
      </c>
      <c r="C569" s="13"/>
      <c r="D569" s="14" t="s">
        <v>18</v>
      </c>
      <c r="E569" s="14" t="s">
        <v>28</v>
      </c>
      <c r="F569" s="14" t="s">
        <v>27</v>
      </c>
      <c r="G569" s="17">
        <f>'ABRIL-18'!I558</f>
        <v>7000</v>
      </c>
      <c r="H569" s="51"/>
      <c r="I569" s="17">
        <f>G569-H569+J569-K569</f>
        <v>0</v>
      </c>
      <c r="J569" s="56"/>
      <c r="K569" s="300">
        <v>7000</v>
      </c>
    </row>
    <row r="570" spans="1:11" ht="43.5">
      <c r="A570" s="11">
        <v>54110</v>
      </c>
      <c r="B570" s="54" t="s">
        <v>708</v>
      </c>
      <c r="C570" s="13"/>
      <c r="D570" s="14" t="s">
        <v>18</v>
      </c>
      <c r="E570" s="14" t="s">
        <v>28</v>
      </c>
      <c r="F570" s="14" t="s">
        <v>27</v>
      </c>
      <c r="G570" s="17">
        <f>'ABRIL-18'!I559</f>
        <v>200</v>
      </c>
      <c r="H570" s="51"/>
      <c r="I570" s="17">
        <f t="shared" ref="I570:I610" si="11">G570-H570+J570-K570</f>
        <v>0</v>
      </c>
      <c r="J570" s="56"/>
      <c r="K570" s="300">
        <v>200</v>
      </c>
    </row>
    <row r="571" spans="1:11" ht="44.25">
      <c r="A571" s="11">
        <v>54111</v>
      </c>
      <c r="B571" s="54" t="s">
        <v>709</v>
      </c>
      <c r="C571" s="13"/>
      <c r="D571" s="14" t="s">
        <v>18</v>
      </c>
      <c r="E571" s="14" t="s">
        <v>28</v>
      </c>
      <c r="F571" s="14" t="s">
        <v>27</v>
      </c>
      <c r="G571" s="17">
        <f>'ABRIL-18'!I560</f>
        <v>9290</v>
      </c>
      <c r="H571" s="51"/>
      <c r="I571" s="17">
        <f t="shared" si="11"/>
        <v>0</v>
      </c>
      <c r="J571" s="56"/>
      <c r="K571" s="300">
        <v>9290</v>
      </c>
    </row>
    <row r="572" spans="1:11" ht="43.5">
      <c r="A572" s="11">
        <v>54118</v>
      </c>
      <c r="B572" s="54" t="s">
        <v>710</v>
      </c>
      <c r="C572" s="13"/>
      <c r="D572" s="14" t="s">
        <v>18</v>
      </c>
      <c r="E572" s="14" t="s">
        <v>28</v>
      </c>
      <c r="F572" s="14" t="s">
        <v>27</v>
      </c>
      <c r="G572" s="17">
        <f>'ABRIL-18'!I561</f>
        <v>3000</v>
      </c>
      <c r="H572" s="51"/>
      <c r="I572" s="17">
        <f t="shared" si="11"/>
        <v>0</v>
      </c>
      <c r="J572" s="56"/>
      <c r="K572" s="300">
        <v>3000</v>
      </c>
    </row>
    <row r="573" spans="1:11" ht="43.5">
      <c r="A573" s="11">
        <v>54313</v>
      </c>
      <c r="B573" s="54" t="s">
        <v>711</v>
      </c>
      <c r="C573" s="13"/>
      <c r="D573" s="14" t="s">
        <v>18</v>
      </c>
      <c r="E573" s="14" t="s">
        <v>28</v>
      </c>
      <c r="F573" s="14" t="s">
        <v>27</v>
      </c>
      <c r="G573" s="17">
        <f>'ABRIL-18'!I562</f>
        <v>300</v>
      </c>
      <c r="H573" s="51"/>
      <c r="I573" s="17">
        <f t="shared" si="11"/>
        <v>0</v>
      </c>
      <c r="J573" s="56"/>
      <c r="K573" s="300">
        <v>300</v>
      </c>
    </row>
    <row r="574" spans="1:11" ht="44.25">
      <c r="A574" s="11">
        <v>54399</v>
      </c>
      <c r="B574" s="54" t="s">
        <v>712</v>
      </c>
      <c r="C574" s="13"/>
      <c r="D574" s="14" t="s">
        <v>18</v>
      </c>
      <c r="E574" s="14" t="s">
        <v>28</v>
      </c>
      <c r="F574" s="14" t="s">
        <v>27</v>
      </c>
      <c r="G574" s="17">
        <f>'ABRIL-18'!I563</f>
        <v>200</v>
      </c>
      <c r="H574" s="51"/>
      <c r="I574" s="17">
        <f t="shared" si="11"/>
        <v>0</v>
      </c>
      <c r="J574" s="56"/>
      <c r="K574" s="300">
        <v>200</v>
      </c>
    </row>
    <row r="575" spans="1:11" ht="43.5">
      <c r="A575" s="11">
        <v>55603</v>
      </c>
      <c r="B575" s="53" t="s">
        <v>713</v>
      </c>
      <c r="C575" s="13"/>
      <c r="D575" s="14" t="s">
        <v>18</v>
      </c>
      <c r="E575" s="14" t="s">
        <v>28</v>
      </c>
      <c r="F575" s="14" t="s">
        <v>27</v>
      </c>
      <c r="G575" s="17">
        <f>'ABRIL-18'!I564</f>
        <v>10</v>
      </c>
      <c r="H575" s="51"/>
      <c r="I575" s="17">
        <f t="shared" si="11"/>
        <v>0</v>
      </c>
      <c r="J575" s="56"/>
      <c r="K575" s="300">
        <v>10</v>
      </c>
    </row>
    <row r="576" spans="1:11" ht="59.25">
      <c r="A576" s="141" t="s">
        <v>408</v>
      </c>
      <c r="B576" s="53" t="s">
        <v>714</v>
      </c>
      <c r="C576" s="13"/>
      <c r="D576" s="14"/>
      <c r="E576" s="14"/>
      <c r="F576" s="14"/>
      <c r="G576" s="17">
        <f>'ABRIL-18'!I565</f>
        <v>0</v>
      </c>
      <c r="H576" s="51"/>
      <c r="I576" s="17"/>
      <c r="J576" s="56"/>
      <c r="K576" s="56"/>
    </row>
    <row r="577" spans="1:11" ht="29.25">
      <c r="A577" s="11">
        <v>51202</v>
      </c>
      <c r="B577" s="54" t="s">
        <v>715</v>
      </c>
      <c r="C577" s="13"/>
      <c r="D577" s="14" t="s">
        <v>18</v>
      </c>
      <c r="E577" s="14" t="s">
        <v>28</v>
      </c>
      <c r="F577" s="14" t="s">
        <v>27</v>
      </c>
      <c r="G577" s="17">
        <f>'ABRIL-18'!I566</f>
        <v>6190</v>
      </c>
      <c r="H577" s="51"/>
      <c r="I577" s="17">
        <f t="shared" si="11"/>
        <v>0</v>
      </c>
      <c r="J577" s="56"/>
      <c r="K577" s="142">
        <v>6190</v>
      </c>
    </row>
    <row r="578" spans="1:11" ht="29.25">
      <c r="A578" s="11">
        <v>54110</v>
      </c>
      <c r="B578" s="54" t="s">
        <v>716</v>
      </c>
      <c r="C578" s="13"/>
      <c r="D578" s="14" t="s">
        <v>18</v>
      </c>
      <c r="E578" s="14" t="s">
        <v>28</v>
      </c>
      <c r="F578" s="14" t="s">
        <v>27</v>
      </c>
      <c r="G578" s="17">
        <f>'ABRIL-18'!I567</f>
        <v>300</v>
      </c>
      <c r="H578" s="51"/>
      <c r="I578" s="17">
        <f t="shared" si="11"/>
        <v>0</v>
      </c>
      <c r="J578" s="56"/>
      <c r="K578" s="142">
        <v>300</v>
      </c>
    </row>
    <row r="579" spans="1:11" ht="44.25">
      <c r="A579" s="11">
        <v>54111</v>
      </c>
      <c r="B579" s="54" t="s">
        <v>717</v>
      </c>
      <c r="C579" s="13"/>
      <c r="D579" s="14" t="s">
        <v>18</v>
      </c>
      <c r="E579" s="14" t="s">
        <v>28</v>
      </c>
      <c r="F579" s="14" t="s">
        <v>27</v>
      </c>
      <c r="G579" s="17">
        <f>'ABRIL-18'!I568</f>
        <v>10000</v>
      </c>
      <c r="H579" s="51"/>
      <c r="I579" s="17">
        <f t="shared" si="11"/>
        <v>0</v>
      </c>
      <c r="J579" s="56"/>
      <c r="K579" s="142">
        <v>10000</v>
      </c>
    </row>
    <row r="580" spans="1:11" ht="43.5">
      <c r="A580" s="11">
        <v>54112</v>
      </c>
      <c r="B580" s="53" t="s">
        <v>718</v>
      </c>
      <c r="C580" s="13"/>
      <c r="D580" s="14" t="s">
        <v>18</v>
      </c>
      <c r="E580" s="14" t="s">
        <v>28</v>
      </c>
      <c r="F580" s="14" t="s">
        <v>27</v>
      </c>
      <c r="G580" s="17">
        <f>'ABRIL-18'!I569</f>
        <v>2000</v>
      </c>
      <c r="H580" s="51"/>
      <c r="I580" s="17">
        <f t="shared" si="11"/>
        <v>0</v>
      </c>
      <c r="J580" s="56"/>
      <c r="K580" s="142">
        <v>2000</v>
      </c>
    </row>
    <row r="581" spans="1:11" ht="29.25">
      <c r="A581" s="11">
        <v>54118</v>
      </c>
      <c r="B581" s="54" t="s">
        <v>719</v>
      </c>
      <c r="C581" s="13"/>
      <c r="D581" s="14" t="s">
        <v>18</v>
      </c>
      <c r="E581" s="14" t="s">
        <v>28</v>
      </c>
      <c r="F581" s="14" t="s">
        <v>27</v>
      </c>
      <c r="G581" s="17">
        <f>'ABRIL-18'!I570</f>
        <v>1000</v>
      </c>
      <c r="H581" s="51"/>
      <c r="I581" s="17">
        <f t="shared" si="11"/>
        <v>0</v>
      </c>
      <c r="J581" s="56"/>
      <c r="K581" s="142">
        <v>1000</v>
      </c>
    </row>
    <row r="582" spans="1:11" ht="44.25">
      <c r="A582" s="11">
        <v>54313</v>
      </c>
      <c r="B582" s="54" t="s">
        <v>720</v>
      </c>
      <c r="C582" s="13"/>
      <c r="D582" s="14" t="s">
        <v>18</v>
      </c>
      <c r="E582" s="14" t="s">
        <v>28</v>
      </c>
      <c r="F582" s="14" t="s">
        <v>27</v>
      </c>
      <c r="G582" s="17">
        <f>'ABRIL-18'!I571</f>
        <v>300</v>
      </c>
      <c r="H582" s="51"/>
      <c r="I582" s="17">
        <f t="shared" si="11"/>
        <v>0</v>
      </c>
      <c r="J582" s="56"/>
      <c r="K582" s="142">
        <v>300</v>
      </c>
    </row>
    <row r="583" spans="1:11" ht="44.25">
      <c r="A583" s="11">
        <v>54399</v>
      </c>
      <c r="B583" s="53" t="s">
        <v>721</v>
      </c>
      <c r="C583" s="13"/>
      <c r="D583" s="14" t="s">
        <v>18</v>
      </c>
      <c r="E583" s="14" t="s">
        <v>28</v>
      </c>
      <c r="F583" s="14" t="s">
        <v>27</v>
      </c>
      <c r="G583" s="17">
        <f>'ABRIL-18'!I572</f>
        <v>200</v>
      </c>
      <c r="H583" s="51"/>
      <c r="I583" s="17">
        <f t="shared" si="11"/>
        <v>0</v>
      </c>
      <c r="J583" s="56"/>
      <c r="K583" s="142">
        <v>200</v>
      </c>
    </row>
    <row r="584" spans="1:11" ht="29.25">
      <c r="A584" s="11">
        <v>55603</v>
      </c>
      <c r="B584" s="53" t="s">
        <v>722</v>
      </c>
      <c r="C584" s="13"/>
      <c r="D584" s="14" t="s">
        <v>18</v>
      </c>
      <c r="E584" s="14" t="s">
        <v>28</v>
      </c>
      <c r="F584" s="14" t="s">
        <v>27</v>
      </c>
      <c r="G584" s="17">
        <f>'ABRIL-18'!I573</f>
        <v>10</v>
      </c>
      <c r="H584" s="51"/>
      <c r="I584" s="17">
        <f t="shared" si="11"/>
        <v>0</v>
      </c>
      <c r="J584" s="56"/>
      <c r="K584" s="142">
        <v>10</v>
      </c>
    </row>
    <row r="585" spans="1:11" ht="89.25">
      <c r="A585" s="141" t="s">
        <v>418</v>
      </c>
      <c r="B585" s="53" t="s">
        <v>723</v>
      </c>
      <c r="C585" s="13"/>
      <c r="D585" s="14"/>
      <c r="E585" s="14"/>
      <c r="F585" s="14"/>
      <c r="G585" s="17">
        <f>'ABRIL-18'!I574</f>
        <v>0</v>
      </c>
      <c r="H585" s="51"/>
      <c r="I585" s="17"/>
      <c r="J585" s="56"/>
      <c r="K585" s="56"/>
    </row>
    <row r="586" spans="1:11" ht="29.25">
      <c r="A586" s="11">
        <v>51202</v>
      </c>
      <c r="B586" s="53" t="s">
        <v>724</v>
      </c>
      <c r="C586" s="13"/>
      <c r="D586" s="14" t="s">
        <v>18</v>
      </c>
      <c r="E586" s="14" t="s">
        <v>28</v>
      </c>
      <c r="F586" s="14" t="s">
        <v>27</v>
      </c>
      <c r="G586" s="17">
        <f>'ABRIL-18'!I575</f>
        <v>7000</v>
      </c>
      <c r="H586" s="51"/>
      <c r="I586" s="17">
        <f t="shared" si="11"/>
        <v>0</v>
      </c>
      <c r="J586" s="56"/>
      <c r="K586" s="337">
        <v>7000</v>
      </c>
    </row>
    <row r="587" spans="1:11" ht="29.25">
      <c r="A587" s="11">
        <v>54110</v>
      </c>
      <c r="B587" s="53" t="s">
        <v>725</v>
      </c>
      <c r="C587" s="13"/>
      <c r="D587" s="14" t="s">
        <v>18</v>
      </c>
      <c r="E587" s="14" t="s">
        <v>28</v>
      </c>
      <c r="F587" s="14" t="s">
        <v>27</v>
      </c>
      <c r="G587" s="17">
        <f>'ABRIL-18'!I576</f>
        <v>200</v>
      </c>
      <c r="H587" s="51"/>
      <c r="I587" s="17">
        <f t="shared" si="11"/>
        <v>0</v>
      </c>
      <c r="J587" s="56"/>
      <c r="K587" s="337">
        <v>200</v>
      </c>
    </row>
    <row r="588" spans="1:11" ht="29.25">
      <c r="A588" s="11">
        <v>54111</v>
      </c>
      <c r="B588" s="53" t="s">
        <v>726</v>
      </c>
      <c r="C588" s="13"/>
      <c r="D588" s="14" t="s">
        <v>18</v>
      </c>
      <c r="E588" s="14" t="s">
        <v>28</v>
      </c>
      <c r="F588" s="14" t="s">
        <v>27</v>
      </c>
      <c r="G588" s="17">
        <f>'ABRIL-18'!I577</f>
        <v>9290</v>
      </c>
      <c r="H588" s="51"/>
      <c r="I588" s="17">
        <f t="shared" si="11"/>
        <v>0</v>
      </c>
      <c r="J588" s="56"/>
      <c r="K588" s="337">
        <v>9290</v>
      </c>
    </row>
    <row r="589" spans="1:11" ht="29.25">
      <c r="A589" s="11">
        <v>54118</v>
      </c>
      <c r="B589" s="53" t="s">
        <v>727</v>
      </c>
      <c r="C589" s="13"/>
      <c r="D589" s="14" t="s">
        <v>18</v>
      </c>
      <c r="E589" s="14" t="s">
        <v>28</v>
      </c>
      <c r="F589" s="14" t="s">
        <v>27</v>
      </c>
      <c r="G589" s="17">
        <f>'ABRIL-18'!I578</f>
        <v>3000</v>
      </c>
      <c r="H589" s="51"/>
      <c r="I589" s="17">
        <f t="shared" si="11"/>
        <v>0</v>
      </c>
      <c r="J589" s="56"/>
      <c r="K589" s="337">
        <v>3000</v>
      </c>
    </row>
    <row r="590" spans="1:11" ht="29.25">
      <c r="A590" s="11">
        <v>54313</v>
      </c>
      <c r="B590" s="53" t="s">
        <v>728</v>
      </c>
      <c r="C590" s="13"/>
      <c r="D590" s="14" t="s">
        <v>18</v>
      </c>
      <c r="E590" s="14" t="s">
        <v>28</v>
      </c>
      <c r="F590" s="14" t="s">
        <v>27</v>
      </c>
      <c r="G590" s="17">
        <f>'ABRIL-18'!I579</f>
        <v>300</v>
      </c>
      <c r="H590" s="51"/>
      <c r="I590" s="17">
        <f t="shared" si="11"/>
        <v>0</v>
      </c>
      <c r="J590" s="56"/>
      <c r="K590" s="337">
        <v>300</v>
      </c>
    </row>
    <row r="591" spans="1:11" ht="30">
      <c r="A591" s="11">
        <v>54399</v>
      </c>
      <c r="B591" s="53" t="s">
        <v>729</v>
      </c>
      <c r="C591" s="13"/>
      <c r="D591" s="14" t="s">
        <v>18</v>
      </c>
      <c r="E591" s="14" t="s">
        <v>28</v>
      </c>
      <c r="F591" s="14" t="s">
        <v>27</v>
      </c>
      <c r="G591" s="17">
        <f>'ABRIL-18'!I580</f>
        <v>200</v>
      </c>
      <c r="H591" s="51"/>
      <c r="I591" s="17">
        <f t="shared" si="11"/>
        <v>0</v>
      </c>
      <c r="J591" s="56"/>
      <c r="K591" s="337">
        <v>200</v>
      </c>
    </row>
    <row r="592" spans="1:11" ht="29.25">
      <c r="A592" s="11">
        <v>55603</v>
      </c>
      <c r="B592" s="53" t="s">
        <v>730</v>
      </c>
      <c r="C592" s="13"/>
      <c r="D592" s="14" t="s">
        <v>18</v>
      </c>
      <c r="E592" s="14" t="s">
        <v>28</v>
      </c>
      <c r="F592" s="14" t="s">
        <v>27</v>
      </c>
      <c r="G592" s="17">
        <f>'ABRIL-18'!I581</f>
        <v>10</v>
      </c>
      <c r="H592" s="51"/>
      <c r="I592" s="17">
        <f t="shared" si="11"/>
        <v>0</v>
      </c>
      <c r="J592" s="56"/>
      <c r="K592" s="337">
        <v>10</v>
      </c>
    </row>
    <row r="593" spans="1:11" ht="90">
      <c r="A593" s="141" t="s">
        <v>429</v>
      </c>
      <c r="B593" s="53" t="s">
        <v>731</v>
      </c>
      <c r="C593" s="13"/>
      <c r="D593" s="14"/>
      <c r="E593" s="14"/>
      <c r="F593" s="14"/>
      <c r="G593" s="17">
        <f>'ABRIL-18'!I582</f>
        <v>0</v>
      </c>
      <c r="H593" s="51"/>
      <c r="I593" s="17"/>
      <c r="J593" s="56"/>
      <c r="K593" s="56"/>
    </row>
    <row r="594" spans="1:11">
      <c r="A594" s="11">
        <v>51202</v>
      </c>
      <c r="B594" s="53" t="s">
        <v>732</v>
      </c>
      <c r="C594" s="13"/>
      <c r="D594" s="14" t="s">
        <v>18</v>
      </c>
      <c r="E594" s="14" t="s">
        <v>28</v>
      </c>
      <c r="F594" s="14" t="s">
        <v>27</v>
      </c>
      <c r="G594" s="17">
        <f>'ABRIL-18'!I583</f>
        <v>12190</v>
      </c>
      <c r="H594" s="51"/>
      <c r="I594" s="17">
        <f t="shared" si="11"/>
        <v>12190</v>
      </c>
      <c r="J594" s="56"/>
      <c r="K594" s="56"/>
    </row>
    <row r="595" spans="1:11" ht="29.25">
      <c r="A595" s="11">
        <v>54110</v>
      </c>
      <c r="B595" s="53" t="s">
        <v>733</v>
      </c>
      <c r="C595" s="13"/>
      <c r="D595" s="14" t="s">
        <v>18</v>
      </c>
      <c r="E595" s="14" t="s">
        <v>28</v>
      </c>
      <c r="F595" s="14" t="s">
        <v>27</v>
      </c>
      <c r="G595" s="17">
        <f>'ABRIL-18'!I584</f>
        <v>300</v>
      </c>
      <c r="H595" s="51"/>
      <c r="I595" s="17">
        <f t="shared" si="11"/>
        <v>300</v>
      </c>
      <c r="J595" s="56"/>
      <c r="K595" s="56"/>
    </row>
    <row r="596" spans="1:11" ht="29.25">
      <c r="A596" s="11">
        <v>54111</v>
      </c>
      <c r="B596" s="53" t="s">
        <v>734</v>
      </c>
      <c r="C596" s="13"/>
      <c r="D596" s="14" t="s">
        <v>18</v>
      </c>
      <c r="E596" s="14" t="s">
        <v>28</v>
      </c>
      <c r="F596" s="14" t="s">
        <v>27</v>
      </c>
      <c r="G596" s="17">
        <f>'ABRIL-18'!I585</f>
        <v>15000</v>
      </c>
      <c r="H596" s="51"/>
      <c r="I596" s="17">
        <f t="shared" si="11"/>
        <v>15000</v>
      </c>
      <c r="J596" s="56"/>
      <c r="K596" s="56"/>
    </row>
    <row r="597" spans="1:11" ht="29.25">
      <c r="A597" s="11">
        <v>54112</v>
      </c>
      <c r="B597" s="53" t="s">
        <v>735</v>
      </c>
      <c r="C597" s="13"/>
      <c r="D597" s="14" t="s">
        <v>18</v>
      </c>
      <c r="E597" s="14" t="s">
        <v>28</v>
      </c>
      <c r="F597" s="14" t="s">
        <v>27</v>
      </c>
      <c r="G597" s="17">
        <f>'ABRIL-18'!I586</f>
        <v>8000</v>
      </c>
      <c r="H597" s="51"/>
      <c r="I597" s="17">
        <f t="shared" si="11"/>
        <v>8000</v>
      </c>
      <c r="J597" s="56"/>
      <c r="K597" s="56"/>
    </row>
    <row r="598" spans="1:11" ht="29.25">
      <c r="A598" s="11">
        <v>54118</v>
      </c>
      <c r="B598" s="53" t="s">
        <v>736</v>
      </c>
      <c r="C598" s="13"/>
      <c r="D598" s="14" t="s">
        <v>18</v>
      </c>
      <c r="E598" s="14" t="s">
        <v>28</v>
      </c>
      <c r="F598" s="14" t="s">
        <v>27</v>
      </c>
      <c r="G598" s="17">
        <f>'ABRIL-18'!I587</f>
        <v>7000</v>
      </c>
      <c r="H598" s="51"/>
      <c r="I598" s="17">
        <f t="shared" si="11"/>
        <v>7000</v>
      </c>
      <c r="J598" s="56"/>
      <c r="K598" s="56"/>
    </row>
    <row r="599" spans="1:11" ht="29.25">
      <c r="A599" s="11">
        <v>54304</v>
      </c>
      <c r="B599" s="53" t="s">
        <v>737</v>
      </c>
      <c r="C599" s="13"/>
      <c r="D599" s="14" t="s">
        <v>18</v>
      </c>
      <c r="E599" s="14" t="s">
        <v>28</v>
      </c>
      <c r="F599" s="14" t="s">
        <v>27</v>
      </c>
      <c r="G599" s="17">
        <f>'ABRIL-18'!I588</f>
        <v>2000</v>
      </c>
      <c r="H599" s="51"/>
      <c r="I599" s="17">
        <f t="shared" si="11"/>
        <v>2000</v>
      </c>
      <c r="J599" s="56"/>
      <c r="K599" s="56"/>
    </row>
    <row r="600" spans="1:11" ht="30">
      <c r="A600" s="11">
        <v>54313</v>
      </c>
      <c r="B600" s="53" t="s">
        <v>738</v>
      </c>
      <c r="C600" s="13"/>
      <c r="D600" s="14" t="s">
        <v>18</v>
      </c>
      <c r="E600" s="14" t="s">
        <v>28</v>
      </c>
      <c r="F600" s="14" t="s">
        <v>27</v>
      </c>
      <c r="G600" s="17">
        <f>'ABRIL-18'!I589</f>
        <v>300</v>
      </c>
      <c r="H600" s="51"/>
      <c r="I600" s="17">
        <f t="shared" si="11"/>
        <v>300</v>
      </c>
      <c r="J600" s="56"/>
      <c r="K600" s="56"/>
    </row>
    <row r="601" spans="1:11" ht="29.25">
      <c r="A601" s="11">
        <v>54399</v>
      </c>
      <c r="B601" s="53" t="s">
        <v>739</v>
      </c>
      <c r="C601" s="13"/>
      <c r="D601" s="14" t="s">
        <v>18</v>
      </c>
      <c r="E601" s="14" t="s">
        <v>28</v>
      </c>
      <c r="F601" s="14" t="s">
        <v>27</v>
      </c>
      <c r="G601" s="17">
        <f>'ABRIL-18'!I590</f>
        <v>200</v>
      </c>
      <c r="H601" s="51"/>
      <c r="I601" s="17">
        <f t="shared" si="11"/>
        <v>200</v>
      </c>
      <c r="J601" s="56"/>
      <c r="K601" s="56"/>
    </row>
    <row r="602" spans="1:11" ht="29.25">
      <c r="A602" s="11">
        <v>55603</v>
      </c>
      <c r="B602" s="53" t="s">
        <v>740</v>
      </c>
      <c r="C602" s="13"/>
      <c r="D602" s="14" t="s">
        <v>18</v>
      </c>
      <c r="E602" s="14" t="s">
        <v>28</v>
      </c>
      <c r="F602" s="14" t="s">
        <v>27</v>
      </c>
      <c r="G602" s="17">
        <f>'ABRIL-18'!I591</f>
        <v>10</v>
      </c>
      <c r="H602" s="51"/>
      <c r="I602" s="17">
        <f t="shared" si="11"/>
        <v>10</v>
      </c>
      <c r="J602" s="56"/>
      <c r="K602" s="56"/>
    </row>
    <row r="603" spans="1:11" ht="75">
      <c r="A603" s="144" t="s">
        <v>437</v>
      </c>
      <c r="B603" s="53" t="s">
        <v>742</v>
      </c>
      <c r="C603" s="13"/>
      <c r="D603" s="14"/>
      <c r="E603" s="14"/>
      <c r="F603" s="14"/>
      <c r="G603" s="17">
        <f>'ABRIL-18'!I592</f>
        <v>0</v>
      </c>
      <c r="H603" s="51"/>
      <c r="I603" s="17"/>
      <c r="J603" s="56"/>
      <c r="K603" s="56"/>
    </row>
    <row r="604" spans="1:11" ht="29.25">
      <c r="A604" s="11">
        <v>51202</v>
      </c>
      <c r="B604" s="53" t="s">
        <v>743</v>
      </c>
      <c r="C604" s="13"/>
      <c r="D604" s="14" t="s">
        <v>18</v>
      </c>
      <c r="E604" s="14" t="s">
        <v>28</v>
      </c>
      <c r="F604" s="14" t="s">
        <v>27</v>
      </c>
      <c r="G604" s="17">
        <f>'ABRIL-18'!I593</f>
        <v>7000</v>
      </c>
      <c r="H604" s="51"/>
      <c r="I604" s="17">
        <f t="shared" si="11"/>
        <v>0</v>
      </c>
      <c r="J604" s="56"/>
      <c r="K604" s="337">
        <v>7000</v>
      </c>
    </row>
    <row r="605" spans="1:11" ht="29.25">
      <c r="A605" s="11">
        <v>54110</v>
      </c>
      <c r="B605" s="53" t="s">
        <v>744</v>
      </c>
      <c r="C605" s="13"/>
      <c r="D605" s="14" t="s">
        <v>18</v>
      </c>
      <c r="E605" s="14" t="s">
        <v>28</v>
      </c>
      <c r="F605" s="14" t="s">
        <v>27</v>
      </c>
      <c r="G605" s="17">
        <f>'ABRIL-18'!I594</f>
        <v>200</v>
      </c>
      <c r="H605" s="51"/>
      <c r="I605" s="17">
        <f t="shared" si="11"/>
        <v>0</v>
      </c>
      <c r="J605" s="56"/>
      <c r="K605" s="337">
        <v>200</v>
      </c>
    </row>
    <row r="606" spans="1:11" ht="43.5">
      <c r="A606" s="11">
        <v>54111</v>
      </c>
      <c r="B606" s="53" t="s">
        <v>745</v>
      </c>
      <c r="C606" s="13"/>
      <c r="D606" s="14" t="s">
        <v>18</v>
      </c>
      <c r="E606" s="14" t="s">
        <v>28</v>
      </c>
      <c r="F606" s="14" t="s">
        <v>27</v>
      </c>
      <c r="G606" s="17">
        <f>'ABRIL-18'!I595</f>
        <v>9290</v>
      </c>
      <c r="H606" s="51"/>
      <c r="I606" s="17">
        <f t="shared" si="11"/>
        <v>0</v>
      </c>
      <c r="J606" s="56"/>
      <c r="K606" s="337">
        <v>9290</v>
      </c>
    </row>
    <row r="607" spans="1:11" ht="43.5">
      <c r="A607" s="11">
        <v>54118</v>
      </c>
      <c r="B607" s="53" t="s">
        <v>746</v>
      </c>
      <c r="C607" s="13"/>
      <c r="D607" s="14" t="s">
        <v>18</v>
      </c>
      <c r="E607" s="14" t="s">
        <v>28</v>
      </c>
      <c r="F607" s="14" t="s">
        <v>27</v>
      </c>
      <c r="G607" s="17">
        <f>'ABRIL-18'!I596</f>
        <v>3000</v>
      </c>
      <c r="H607" s="51"/>
      <c r="I607" s="17">
        <f t="shared" si="11"/>
        <v>2366.81</v>
      </c>
      <c r="J607" s="56"/>
      <c r="K607" s="337">
        <v>633.19000000000005</v>
      </c>
    </row>
    <row r="608" spans="1:11" ht="43.5">
      <c r="A608" s="11">
        <v>54313</v>
      </c>
      <c r="B608" s="53" t="s">
        <v>747</v>
      </c>
      <c r="C608" s="13"/>
      <c r="D608" s="14" t="s">
        <v>18</v>
      </c>
      <c r="E608" s="14" t="s">
        <v>28</v>
      </c>
      <c r="F608" s="14" t="s">
        <v>27</v>
      </c>
      <c r="G608" s="17">
        <f>'ABRIL-18'!I597</f>
        <v>300</v>
      </c>
      <c r="H608" s="51"/>
      <c r="I608" s="17">
        <f t="shared" si="11"/>
        <v>0</v>
      </c>
      <c r="J608" s="56"/>
      <c r="K608" s="337">
        <v>300</v>
      </c>
    </row>
    <row r="609" spans="1:11" ht="44.25">
      <c r="A609" s="11">
        <v>54399</v>
      </c>
      <c r="B609" s="53" t="s">
        <v>748</v>
      </c>
      <c r="C609" s="13"/>
      <c r="D609" s="14" t="s">
        <v>18</v>
      </c>
      <c r="E609" s="14" t="s">
        <v>28</v>
      </c>
      <c r="F609" s="14" t="s">
        <v>27</v>
      </c>
      <c r="G609" s="17">
        <f>'ABRIL-18'!I598</f>
        <v>200</v>
      </c>
      <c r="H609" s="51"/>
      <c r="I609" s="17">
        <f t="shared" si="11"/>
        <v>0</v>
      </c>
      <c r="J609" s="56"/>
      <c r="K609" s="337">
        <v>200</v>
      </c>
    </row>
    <row r="610" spans="1:11" ht="29.25">
      <c r="A610" s="11">
        <v>55603</v>
      </c>
      <c r="B610" s="53" t="s">
        <v>749</v>
      </c>
      <c r="C610" s="13"/>
      <c r="D610" s="14" t="s">
        <v>18</v>
      </c>
      <c r="E610" s="14" t="s">
        <v>28</v>
      </c>
      <c r="F610" s="14" t="s">
        <v>27</v>
      </c>
      <c r="G610" s="17">
        <f>'ABRIL-18'!I599</f>
        <v>10</v>
      </c>
      <c r="H610" s="51"/>
      <c r="I610" s="17">
        <f t="shared" si="11"/>
        <v>10</v>
      </c>
      <c r="J610" s="56"/>
      <c r="K610" s="56"/>
    </row>
    <row r="611" spans="1:11">
      <c r="A611" s="11"/>
      <c r="B611" s="54"/>
      <c r="C611" s="13"/>
      <c r="D611" s="14"/>
      <c r="E611" s="14"/>
      <c r="F611" s="14"/>
      <c r="G611" s="17">
        <f>'ABRIL-18'!I600</f>
        <v>0</v>
      </c>
      <c r="H611" s="51"/>
      <c r="I611" s="17"/>
      <c r="J611" s="56"/>
      <c r="K611" s="56"/>
    </row>
    <row r="612" spans="1:11" ht="60">
      <c r="A612" s="141" t="s">
        <v>443</v>
      </c>
      <c r="B612" s="53" t="s">
        <v>750</v>
      </c>
      <c r="C612" s="13"/>
      <c r="D612" s="14"/>
      <c r="E612" s="14"/>
      <c r="F612" s="14"/>
      <c r="G612" s="17">
        <f>'ABRIL-18'!I601</f>
        <v>0</v>
      </c>
      <c r="H612" s="51"/>
      <c r="I612" s="17"/>
      <c r="J612" s="56"/>
      <c r="K612" s="56"/>
    </row>
    <row r="613" spans="1:11" ht="29.25">
      <c r="A613" s="11">
        <v>51202</v>
      </c>
      <c r="B613" s="53" t="s">
        <v>741</v>
      </c>
      <c r="C613" s="13"/>
      <c r="D613" s="14" t="s">
        <v>18</v>
      </c>
      <c r="E613" s="14" t="s">
        <v>28</v>
      </c>
      <c r="F613" s="14" t="s">
        <v>27</v>
      </c>
      <c r="G613" s="17">
        <f>'ABRIL-18'!I602</f>
        <v>3000</v>
      </c>
      <c r="H613" s="51"/>
      <c r="I613" s="17">
        <f t="shared" ref="I613:I679" si="12">G613-H613+J613-K613</f>
        <v>3000</v>
      </c>
      <c r="J613" s="56"/>
      <c r="K613" s="56"/>
    </row>
    <row r="614" spans="1:11" ht="29.25">
      <c r="A614" s="11">
        <v>54110</v>
      </c>
      <c r="B614" s="53" t="s">
        <v>751</v>
      </c>
      <c r="C614" s="13"/>
      <c r="D614" s="14" t="s">
        <v>18</v>
      </c>
      <c r="E614" s="14" t="s">
        <v>28</v>
      </c>
      <c r="F614" s="14" t="s">
        <v>27</v>
      </c>
      <c r="G614" s="17">
        <f>'ABRIL-18'!I603</f>
        <v>100</v>
      </c>
      <c r="H614" s="51"/>
      <c r="I614" s="17">
        <f t="shared" si="12"/>
        <v>100</v>
      </c>
      <c r="J614" s="56"/>
      <c r="K614" s="56"/>
    </row>
    <row r="615" spans="1:11" ht="43.5">
      <c r="A615" s="11">
        <v>54111</v>
      </c>
      <c r="B615" s="53" t="s">
        <v>752</v>
      </c>
      <c r="C615" s="13"/>
      <c r="D615" s="14" t="s">
        <v>18</v>
      </c>
      <c r="E615" s="14" t="s">
        <v>28</v>
      </c>
      <c r="F615" s="14" t="s">
        <v>27</v>
      </c>
      <c r="G615" s="17">
        <f>'ABRIL-18'!I604</f>
        <v>2000</v>
      </c>
      <c r="H615" s="51"/>
      <c r="I615" s="17">
        <f t="shared" si="12"/>
        <v>2000</v>
      </c>
      <c r="J615" s="56"/>
      <c r="K615" s="56"/>
    </row>
    <row r="616" spans="1:11" ht="29.25">
      <c r="A616" s="11">
        <v>54118</v>
      </c>
      <c r="B616" s="53" t="s">
        <v>753</v>
      </c>
      <c r="C616" s="13"/>
      <c r="D616" s="14" t="s">
        <v>18</v>
      </c>
      <c r="E616" s="14" t="s">
        <v>28</v>
      </c>
      <c r="F616" s="14" t="s">
        <v>27</v>
      </c>
      <c r="G616" s="17">
        <f>'ABRIL-18'!I605</f>
        <v>290</v>
      </c>
      <c r="H616" s="51"/>
      <c r="I616" s="17">
        <f t="shared" si="12"/>
        <v>290</v>
      </c>
      <c r="J616" s="56"/>
      <c r="K616" s="56"/>
    </row>
    <row r="617" spans="1:11" ht="29.25">
      <c r="A617" s="11">
        <v>54304</v>
      </c>
      <c r="B617" s="53" t="s">
        <v>754</v>
      </c>
      <c r="C617" s="13"/>
      <c r="D617" s="14" t="s">
        <v>18</v>
      </c>
      <c r="E617" s="14" t="s">
        <v>28</v>
      </c>
      <c r="F617" s="14" t="s">
        <v>27</v>
      </c>
      <c r="G617" s="17">
        <f>'ABRIL-18'!I606</f>
        <v>100</v>
      </c>
      <c r="H617" s="51"/>
      <c r="I617" s="17">
        <f t="shared" si="12"/>
        <v>100</v>
      </c>
      <c r="J617" s="56"/>
      <c r="K617" s="56"/>
    </row>
    <row r="618" spans="1:11" ht="29.25">
      <c r="A618" s="11">
        <v>54313</v>
      </c>
      <c r="B618" s="53" t="s">
        <v>755</v>
      </c>
      <c r="C618" s="13"/>
      <c r="D618" s="14" t="s">
        <v>18</v>
      </c>
      <c r="E618" s="14" t="s">
        <v>28</v>
      </c>
      <c r="F618" s="14" t="s">
        <v>27</v>
      </c>
      <c r="G618" s="17">
        <f>'ABRIL-18'!I607</f>
        <v>300</v>
      </c>
      <c r="H618" s="17"/>
      <c r="I618" s="17">
        <f t="shared" si="12"/>
        <v>300</v>
      </c>
      <c r="J618" s="56"/>
      <c r="K618" s="56"/>
    </row>
    <row r="619" spans="1:11" ht="43.5">
      <c r="A619" s="11">
        <v>54399</v>
      </c>
      <c r="B619" s="53" t="s">
        <v>756</v>
      </c>
      <c r="C619" s="13"/>
      <c r="D619" s="14" t="s">
        <v>18</v>
      </c>
      <c r="E619" s="14" t="s">
        <v>28</v>
      </c>
      <c r="F619" s="14" t="s">
        <v>27</v>
      </c>
      <c r="G619" s="17">
        <f>'ABRIL-18'!I608</f>
        <v>200</v>
      </c>
      <c r="H619" s="51"/>
      <c r="I619" s="17">
        <f t="shared" si="12"/>
        <v>200</v>
      </c>
      <c r="J619" s="56"/>
      <c r="K619" s="56"/>
    </row>
    <row r="620" spans="1:11" ht="29.25">
      <c r="A620" s="11">
        <v>55603</v>
      </c>
      <c r="B620" s="53" t="s">
        <v>757</v>
      </c>
      <c r="C620" s="13"/>
      <c r="D620" s="14" t="s">
        <v>18</v>
      </c>
      <c r="E620" s="14" t="s">
        <v>28</v>
      </c>
      <c r="F620" s="14" t="s">
        <v>27</v>
      </c>
      <c r="G620" s="17">
        <f>'ABRIL-18'!I609</f>
        <v>10</v>
      </c>
      <c r="H620" s="51"/>
      <c r="I620" s="17">
        <f t="shared" si="12"/>
        <v>10</v>
      </c>
      <c r="J620" s="56"/>
      <c r="K620" s="56"/>
    </row>
    <row r="621" spans="1:11" ht="60">
      <c r="A621" s="141" t="s">
        <v>451</v>
      </c>
      <c r="B621" s="53" t="s">
        <v>758</v>
      </c>
      <c r="C621" s="13"/>
      <c r="D621" s="14"/>
      <c r="E621" s="14"/>
      <c r="F621" s="14"/>
      <c r="G621" s="17">
        <f>'ABRIL-18'!I610</f>
        <v>0</v>
      </c>
      <c r="H621" s="51"/>
      <c r="I621" s="17"/>
      <c r="J621" s="56"/>
      <c r="K621" s="56"/>
    </row>
    <row r="622" spans="1:11" ht="29.25">
      <c r="A622" s="11">
        <v>51202</v>
      </c>
      <c r="B622" s="54" t="s">
        <v>759</v>
      </c>
      <c r="C622" s="13"/>
      <c r="D622" s="14" t="s">
        <v>18</v>
      </c>
      <c r="E622" s="14" t="s">
        <v>28</v>
      </c>
      <c r="F622" s="14" t="s">
        <v>27</v>
      </c>
      <c r="G622" s="17">
        <f>'ABRIL-18'!I611</f>
        <v>0</v>
      </c>
      <c r="H622" s="51"/>
      <c r="I622" s="17">
        <f t="shared" si="12"/>
        <v>0</v>
      </c>
      <c r="J622" s="56"/>
      <c r="K622" s="142"/>
    </row>
    <row r="623" spans="1:11" ht="29.25">
      <c r="A623" s="11">
        <v>54110</v>
      </c>
      <c r="B623" s="54" t="s">
        <v>760</v>
      </c>
      <c r="C623" s="13"/>
      <c r="D623" s="14" t="s">
        <v>18</v>
      </c>
      <c r="E623" s="14" t="s">
        <v>28</v>
      </c>
      <c r="F623" s="14" t="s">
        <v>27</v>
      </c>
      <c r="G623" s="17">
        <f>'ABRIL-18'!I612</f>
        <v>0</v>
      </c>
      <c r="H623" s="51"/>
      <c r="I623" s="17">
        <f t="shared" si="12"/>
        <v>0</v>
      </c>
      <c r="J623" s="56"/>
      <c r="K623" s="142"/>
    </row>
    <row r="624" spans="1:11" ht="41.25" customHeight="1">
      <c r="A624" s="11">
        <v>54111</v>
      </c>
      <c r="B624" s="54" t="s">
        <v>761</v>
      </c>
      <c r="C624" s="13"/>
      <c r="D624" s="14" t="s">
        <v>18</v>
      </c>
      <c r="E624" s="14" t="s">
        <v>28</v>
      </c>
      <c r="F624" s="14" t="s">
        <v>27</v>
      </c>
      <c r="G624" s="17">
        <f>'ABRIL-18'!I613</f>
        <v>0</v>
      </c>
      <c r="H624" s="51"/>
      <c r="I624" s="17">
        <f t="shared" si="12"/>
        <v>0</v>
      </c>
      <c r="J624" s="56"/>
      <c r="K624" s="142"/>
    </row>
    <row r="625" spans="1:11" ht="30" customHeight="1">
      <c r="A625" s="11">
        <v>54118</v>
      </c>
      <c r="B625" s="54" t="s">
        <v>762</v>
      </c>
      <c r="C625" s="13"/>
      <c r="D625" s="14" t="s">
        <v>18</v>
      </c>
      <c r="E625" s="14" t="s">
        <v>28</v>
      </c>
      <c r="F625" s="14" t="s">
        <v>27</v>
      </c>
      <c r="G625" s="17">
        <f>'ABRIL-18'!I614</f>
        <v>0</v>
      </c>
      <c r="H625" s="51"/>
      <c r="I625" s="17">
        <f t="shared" si="12"/>
        <v>0</v>
      </c>
      <c r="J625" s="56"/>
      <c r="K625" s="142"/>
    </row>
    <row r="626" spans="1:11" ht="29.25">
      <c r="A626" s="11">
        <v>54313</v>
      </c>
      <c r="B626" s="54" t="s">
        <v>763</v>
      </c>
      <c r="C626" s="13"/>
      <c r="D626" s="14" t="s">
        <v>18</v>
      </c>
      <c r="E626" s="14" t="s">
        <v>28</v>
      </c>
      <c r="F626" s="14" t="s">
        <v>27</v>
      </c>
      <c r="G626" s="17">
        <f>'ABRIL-18'!I615</f>
        <v>0</v>
      </c>
      <c r="H626" s="51"/>
      <c r="I626" s="17">
        <f t="shared" si="12"/>
        <v>0</v>
      </c>
      <c r="J626" s="56"/>
      <c r="K626" s="142"/>
    </row>
    <row r="627" spans="1:11" ht="44.25">
      <c r="A627" s="11">
        <v>54399</v>
      </c>
      <c r="B627" s="54" t="s">
        <v>764</v>
      </c>
      <c r="C627" s="13"/>
      <c r="D627" s="14" t="s">
        <v>18</v>
      </c>
      <c r="E627" s="14" t="s">
        <v>28</v>
      </c>
      <c r="F627" s="14" t="s">
        <v>27</v>
      </c>
      <c r="G627" s="17">
        <f>'ABRIL-18'!I616</f>
        <v>0</v>
      </c>
      <c r="H627" s="51"/>
      <c r="I627" s="17">
        <f t="shared" si="12"/>
        <v>0</v>
      </c>
      <c r="J627" s="56"/>
      <c r="K627" s="142"/>
    </row>
    <row r="628" spans="1:11" ht="29.25">
      <c r="A628" s="11">
        <v>55603</v>
      </c>
      <c r="B628" s="54" t="s">
        <v>765</v>
      </c>
      <c r="C628" s="13"/>
      <c r="D628" s="14" t="s">
        <v>18</v>
      </c>
      <c r="E628" s="14" t="s">
        <v>28</v>
      </c>
      <c r="F628" s="14" t="s">
        <v>27</v>
      </c>
      <c r="G628" s="17">
        <f>'ABRIL-18'!I617</f>
        <v>0</v>
      </c>
      <c r="H628" s="51"/>
      <c r="I628" s="17">
        <f t="shared" si="12"/>
        <v>0</v>
      </c>
      <c r="J628" s="56"/>
      <c r="K628" s="142"/>
    </row>
    <row r="629" spans="1:11" ht="78.75" customHeight="1">
      <c r="A629" s="141" t="s">
        <v>459</v>
      </c>
      <c r="B629" s="53" t="s">
        <v>766</v>
      </c>
      <c r="C629" s="13"/>
      <c r="D629" s="14"/>
      <c r="E629" s="14"/>
      <c r="F629" s="14"/>
      <c r="G629" s="17">
        <f>'ABRIL-18'!I618</f>
        <v>0</v>
      </c>
      <c r="H629" s="51"/>
      <c r="I629" s="17"/>
      <c r="J629" s="56"/>
      <c r="K629" s="56"/>
    </row>
    <row r="630" spans="1:11" ht="29.25">
      <c r="A630" s="11">
        <v>51202</v>
      </c>
      <c r="B630" s="54" t="s">
        <v>767</v>
      </c>
      <c r="C630" s="13"/>
      <c r="D630" s="14" t="s">
        <v>18</v>
      </c>
      <c r="E630" s="14" t="s">
        <v>28</v>
      </c>
      <c r="F630" s="14" t="s">
        <v>27</v>
      </c>
      <c r="G630" s="17">
        <f>'ABRIL-18'!I619</f>
        <v>0</v>
      </c>
      <c r="H630" s="51"/>
      <c r="I630" s="17">
        <f t="shared" si="12"/>
        <v>0</v>
      </c>
      <c r="J630" s="56"/>
      <c r="K630" s="137"/>
    </row>
    <row r="631" spans="1:11" ht="29.25">
      <c r="A631" s="11">
        <v>54110</v>
      </c>
      <c r="B631" s="54" t="s">
        <v>768</v>
      </c>
      <c r="C631" s="13"/>
      <c r="D631" s="14" t="s">
        <v>18</v>
      </c>
      <c r="E631" s="14" t="s">
        <v>28</v>
      </c>
      <c r="F631" s="14" t="s">
        <v>27</v>
      </c>
      <c r="G631" s="17">
        <f>'ABRIL-18'!I620</f>
        <v>0</v>
      </c>
      <c r="H631" s="51"/>
      <c r="I631" s="17">
        <f t="shared" si="12"/>
        <v>0</v>
      </c>
      <c r="J631" s="56"/>
      <c r="K631" s="137"/>
    </row>
    <row r="632" spans="1:11" ht="43.5">
      <c r="A632" s="11">
        <v>54111</v>
      </c>
      <c r="B632" s="54" t="s">
        <v>769</v>
      </c>
      <c r="C632" s="13"/>
      <c r="D632" s="14" t="s">
        <v>18</v>
      </c>
      <c r="E632" s="14" t="s">
        <v>28</v>
      </c>
      <c r="F632" s="14" t="s">
        <v>27</v>
      </c>
      <c r="G632" s="17">
        <f>'ABRIL-18'!I621</f>
        <v>0</v>
      </c>
      <c r="H632" s="51"/>
      <c r="I632" s="17">
        <f t="shared" si="12"/>
        <v>0</v>
      </c>
      <c r="J632" s="56"/>
      <c r="K632" s="137"/>
    </row>
    <row r="633" spans="1:11" ht="43.5">
      <c r="A633" s="11">
        <v>54118</v>
      </c>
      <c r="B633" s="54" t="s">
        <v>770</v>
      </c>
      <c r="C633" s="13"/>
      <c r="D633" s="14" t="s">
        <v>18</v>
      </c>
      <c r="E633" s="14" t="s">
        <v>28</v>
      </c>
      <c r="F633" s="14" t="s">
        <v>27</v>
      </c>
      <c r="G633" s="17">
        <f>'ABRIL-18'!I622</f>
        <v>0</v>
      </c>
      <c r="H633" s="51"/>
      <c r="I633" s="17">
        <f t="shared" si="12"/>
        <v>0</v>
      </c>
      <c r="J633" s="56"/>
      <c r="K633" s="137"/>
    </row>
    <row r="634" spans="1:11" ht="44.25">
      <c r="A634" s="11">
        <v>54313</v>
      </c>
      <c r="B634" s="54" t="s">
        <v>771</v>
      </c>
      <c r="C634" s="13"/>
      <c r="D634" s="14" t="s">
        <v>18</v>
      </c>
      <c r="E634" s="14" t="s">
        <v>28</v>
      </c>
      <c r="F634" s="14" t="s">
        <v>27</v>
      </c>
      <c r="G634" s="17">
        <f>'ABRIL-18'!I623</f>
        <v>0</v>
      </c>
      <c r="H634" s="51"/>
      <c r="I634" s="17">
        <f t="shared" si="12"/>
        <v>0</v>
      </c>
      <c r="J634" s="56"/>
      <c r="K634" s="137"/>
    </row>
    <row r="635" spans="1:11" ht="43.5">
      <c r="A635" s="11">
        <v>54399</v>
      </c>
      <c r="B635" s="54" t="s">
        <v>772</v>
      </c>
      <c r="C635" s="13"/>
      <c r="D635" s="14" t="s">
        <v>18</v>
      </c>
      <c r="E635" s="14" t="s">
        <v>28</v>
      </c>
      <c r="F635" s="14" t="s">
        <v>27</v>
      </c>
      <c r="G635" s="17">
        <f>'ABRIL-18'!I624</f>
        <v>0</v>
      </c>
      <c r="H635" s="51"/>
      <c r="I635" s="17">
        <f t="shared" si="12"/>
        <v>0</v>
      </c>
      <c r="J635" s="56"/>
      <c r="K635" s="137"/>
    </row>
    <row r="636" spans="1:11" ht="43.5">
      <c r="A636" s="11">
        <v>55603</v>
      </c>
      <c r="B636" s="54" t="s">
        <v>773</v>
      </c>
      <c r="C636" s="13"/>
      <c r="D636" s="14" t="s">
        <v>18</v>
      </c>
      <c r="E636" s="14" t="s">
        <v>28</v>
      </c>
      <c r="F636" s="14" t="s">
        <v>27</v>
      </c>
      <c r="G636" s="17">
        <f>'ABRIL-18'!I625</f>
        <v>0</v>
      </c>
      <c r="H636" s="51"/>
      <c r="I636" s="17">
        <f t="shared" si="12"/>
        <v>0</v>
      </c>
      <c r="J636" s="56"/>
      <c r="K636" s="137"/>
    </row>
    <row r="637" spans="1:11" ht="74.25">
      <c r="A637" s="141" t="s">
        <v>461</v>
      </c>
      <c r="B637" s="53" t="s">
        <v>774</v>
      </c>
      <c r="C637" s="13"/>
      <c r="D637" s="14"/>
      <c r="E637" s="14"/>
      <c r="F637" s="14"/>
      <c r="G637" s="17">
        <f>'ABRIL-18'!I626</f>
        <v>0</v>
      </c>
      <c r="H637" s="51"/>
      <c r="I637" s="17"/>
      <c r="J637" s="56"/>
      <c r="K637" s="56"/>
    </row>
    <row r="638" spans="1:11" ht="29.25">
      <c r="A638" s="11">
        <v>51202</v>
      </c>
      <c r="B638" s="54" t="s">
        <v>775</v>
      </c>
      <c r="C638" s="13"/>
      <c r="D638" s="14" t="s">
        <v>18</v>
      </c>
      <c r="E638" s="14" t="s">
        <v>28</v>
      </c>
      <c r="F638" s="14" t="s">
        <v>27</v>
      </c>
      <c r="G638" s="17">
        <f>'ABRIL-18'!I627</f>
        <v>7000</v>
      </c>
      <c r="H638" s="51"/>
      <c r="I638" s="17">
        <f t="shared" si="12"/>
        <v>7000</v>
      </c>
      <c r="J638" s="56"/>
      <c r="K638" s="56"/>
    </row>
    <row r="639" spans="1:11" ht="29.25">
      <c r="A639" s="11">
        <v>54110</v>
      </c>
      <c r="B639" s="54" t="s">
        <v>776</v>
      </c>
      <c r="C639" s="13"/>
      <c r="D639" s="14" t="s">
        <v>18</v>
      </c>
      <c r="E639" s="14" t="s">
        <v>28</v>
      </c>
      <c r="F639" s="14" t="s">
        <v>27</v>
      </c>
      <c r="G639" s="17">
        <f>'ABRIL-18'!I628</f>
        <v>200</v>
      </c>
      <c r="H639" s="51"/>
      <c r="I639" s="17">
        <f t="shared" si="12"/>
        <v>200</v>
      </c>
      <c r="J639" s="56"/>
      <c r="K639" s="56"/>
    </row>
    <row r="640" spans="1:11" ht="44.25">
      <c r="A640" s="11">
        <v>54111</v>
      </c>
      <c r="B640" s="54" t="s">
        <v>777</v>
      </c>
      <c r="C640" s="13"/>
      <c r="D640" s="14" t="s">
        <v>18</v>
      </c>
      <c r="E640" s="14" t="s">
        <v>28</v>
      </c>
      <c r="F640" s="14" t="s">
        <v>27</v>
      </c>
      <c r="G640" s="17">
        <f>'ABRIL-18'!I629</f>
        <v>9290</v>
      </c>
      <c r="H640" s="51"/>
      <c r="I640" s="17">
        <f t="shared" si="12"/>
        <v>9290</v>
      </c>
      <c r="J640" s="56"/>
      <c r="K640" s="56"/>
    </row>
    <row r="641" spans="1:11" ht="43.5">
      <c r="A641" s="11">
        <v>54118</v>
      </c>
      <c r="B641" s="54" t="s">
        <v>778</v>
      </c>
      <c r="C641" s="13"/>
      <c r="D641" s="14" t="s">
        <v>18</v>
      </c>
      <c r="E641" s="14" t="s">
        <v>28</v>
      </c>
      <c r="F641" s="14" t="s">
        <v>27</v>
      </c>
      <c r="G641" s="17">
        <f>'ABRIL-18'!I630</f>
        <v>3000</v>
      </c>
      <c r="H641" s="51"/>
      <c r="I641" s="17">
        <f t="shared" si="12"/>
        <v>3000</v>
      </c>
      <c r="J641" s="56"/>
      <c r="K641" s="56"/>
    </row>
    <row r="642" spans="1:11" ht="43.5">
      <c r="A642" s="11">
        <v>54313</v>
      </c>
      <c r="B642" s="54" t="s">
        <v>779</v>
      </c>
      <c r="C642" s="13"/>
      <c r="D642" s="14" t="s">
        <v>18</v>
      </c>
      <c r="E642" s="14" t="s">
        <v>28</v>
      </c>
      <c r="F642" s="14" t="s">
        <v>27</v>
      </c>
      <c r="G642" s="17">
        <f>'ABRIL-18'!I631</f>
        <v>300</v>
      </c>
      <c r="H642" s="51"/>
      <c r="I642" s="17">
        <f t="shared" si="12"/>
        <v>300</v>
      </c>
      <c r="J642" s="56"/>
      <c r="K642" s="56"/>
    </row>
    <row r="643" spans="1:11" ht="43.5">
      <c r="A643" s="11">
        <v>54399</v>
      </c>
      <c r="B643" s="54" t="s">
        <v>780</v>
      </c>
      <c r="C643" s="13"/>
      <c r="D643" s="14" t="s">
        <v>18</v>
      </c>
      <c r="E643" s="14" t="s">
        <v>28</v>
      </c>
      <c r="F643" s="14" t="s">
        <v>27</v>
      </c>
      <c r="G643" s="17">
        <f>'ABRIL-18'!I632</f>
        <v>200</v>
      </c>
      <c r="H643" s="51"/>
      <c r="I643" s="17">
        <f t="shared" si="12"/>
        <v>200</v>
      </c>
      <c r="J643" s="56"/>
      <c r="K643" s="56"/>
    </row>
    <row r="644" spans="1:11" ht="43.5">
      <c r="A644" s="11">
        <v>55603</v>
      </c>
      <c r="B644" s="54" t="s">
        <v>781</v>
      </c>
      <c r="C644" s="13"/>
      <c r="D644" s="14" t="s">
        <v>18</v>
      </c>
      <c r="E644" s="14" t="s">
        <v>28</v>
      </c>
      <c r="F644" s="14" t="s">
        <v>27</v>
      </c>
      <c r="G644" s="17">
        <f>'ABRIL-18'!I633</f>
        <v>10</v>
      </c>
      <c r="H644" s="51"/>
      <c r="I644" s="17">
        <f t="shared" si="12"/>
        <v>10</v>
      </c>
      <c r="J644" s="56"/>
      <c r="K644" s="56"/>
    </row>
    <row r="645" spans="1:11" ht="89.25">
      <c r="A645" s="141" t="s">
        <v>468</v>
      </c>
      <c r="B645" s="53" t="s">
        <v>782</v>
      </c>
      <c r="C645" s="13"/>
      <c r="D645" s="14"/>
      <c r="E645" s="14"/>
      <c r="F645" s="14"/>
      <c r="G645" s="17">
        <f>'ABRIL-18'!I634</f>
        <v>0</v>
      </c>
      <c r="H645" s="51"/>
      <c r="I645" s="17"/>
      <c r="J645" s="56"/>
      <c r="K645" s="56"/>
    </row>
    <row r="646" spans="1:11" ht="29.25">
      <c r="A646" s="11">
        <v>51202</v>
      </c>
      <c r="B646" s="54" t="s">
        <v>783</v>
      </c>
      <c r="C646" s="13"/>
      <c r="D646" s="14" t="s">
        <v>18</v>
      </c>
      <c r="E646" s="14" t="s">
        <v>28</v>
      </c>
      <c r="F646" s="14" t="s">
        <v>27</v>
      </c>
      <c r="G646" s="17">
        <f>'ABRIL-18'!I635</f>
        <v>7000</v>
      </c>
      <c r="H646" s="51"/>
      <c r="I646" s="17">
        <f t="shared" si="12"/>
        <v>7000</v>
      </c>
      <c r="J646" s="56"/>
      <c r="K646" s="56"/>
    </row>
    <row r="647" spans="1:11" ht="43.5">
      <c r="A647" s="11">
        <v>54110</v>
      </c>
      <c r="B647" s="54" t="s">
        <v>784</v>
      </c>
      <c r="C647" s="13"/>
      <c r="D647" s="14" t="s">
        <v>18</v>
      </c>
      <c r="E647" s="14" t="s">
        <v>28</v>
      </c>
      <c r="F647" s="14" t="s">
        <v>27</v>
      </c>
      <c r="G647" s="17">
        <f>'ABRIL-18'!I636</f>
        <v>200</v>
      </c>
      <c r="H647" s="51"/>
      <c r="I647" s="17">
        <f t="shared" si="12"/>
        <v>200</v>
      </c>
      <c r="J647" s="56"/>
      <c r="K647" s="56"/>
    </row>
    <row r="648" spans="1:11" ht="44.25">
      <c r="A648" s="11">
        <v>54111</v>
      </c>
      <c r="B648" s="53" t="s">
        <v>785</v>
      </c>
      <c r="C648" s="13"/>
      <c r="D648" s="14" t="s">
        <v>18</v>
      </c>
      <c r="E648" s="14" t="s">
        <v>28</v>
      </c>
      <c r="F648" s="14" t="s">
        <v>27</v>
      </c>
      <c r="G648" s="17">
        <f>'ABRIL-18'!I637</f>
        <v>9290</v>
      </c>
      <c r="H648" s="51"/>
      <c r="I648" s="17">
        <f t="shared" si="12"/>
        <v>9290</v>
      </c>
      <c r="J648" s="56"/>
      <c r="K648" s="56"/>
    </row>
    <row r="649" spans="1:11" ht="43.5">
      <c r="A649" s="11">
        <v>54118</v>
      </c>
      <c r="B649" s="54" t="s">
        <v>786</v>
      </c>
      <c r="C649" s="13"/>
      <c r="D649" s="14" t="s">
        <v>18</v>
      </c>
      <c r="E649" s="14" t="s">
        <v>28</v>
      </c>
      <c r="F649" s="14" t="s">
        <v>27</v>
      </c>
      <c r="G649" s="17">
        <f>'ABRIL-18'!I638</f>
        <v>3000</v>
      </c>
      <c r="H649" s="51"/>
      <c r="I649" s="17">
        <f t="shared" si="12"/>
        <v>3000</v>
      </c>
      <c r="J649" s="56"/>
      <c r="K649" s="56"/>
    </row>
    <row r="650" spans="1:11" ht="44.25">
      <c r="A650" s="11">
        <v>54313</v>
      </c>
      <c r="B650" s="54" t="s">
        <v>787</v>
      </c>
      <c r="C650" s="13"/>
      <c r="D650" s="14" t="s">
        <v>18</v>
      </c>
      <c r="E650" s="14" t="s">
        <v>28</v>
      </c>
      <c r="F650" s="14" t="s">
        <v>27</v>
      </c>
      <c r="G650" s="17">
        <f>'ABRIL-18'!I639</f>
        <v>300</v>
      </c>
      <c r="H650" s="51"/>
      <c r="I650" s="17">
        <f t="shared" si="12"/>
        <v>300</v>
      </c>
      <c r="J650" s="56"/>
      <c r="K650" s="56"/>
    </row>
    <row r="651" spans="1:11" ht="44.25">
      <c r="A651" s="11">
        <v>54399</v>
      </c>
      <c r="B651" s="54" t="s">
        <v>788</v>
      </c>
      <c r="C651" s="13"/>
      <c r="D651" s="14" t="s">
        <v>18</v>
      </c>
      <c r="E651" s="14" t="s">
        <v>28</v>
      </c>
      <c r="F651" s="14" t="s">
        <v>27</v>
      </c>
      <c r="G651" s="17">
        <f>'ABRIL-18'!I640</f>
        <v>200</v>
      </c>
      <c r="H651" s="51"/>
      <c r="I651" s="17">
        <f t="shared" si="12"/>
        <v>200</v>
      </c>
      <c r="J651" s="56"/>
      <c r="K651" s="56"/>
    </row>
    <row r="652" spans="1:11" ht="40.5" customHeight="1">
      <c r="A652" s="11">
        <v>55603</v>
      </c>
      <c r="B652" s="54" t="s">
        <v>789</v>
      </c>
      <c r="C652" s="13"/>
      <c r="D652" s="14" t="s">
        <v>18</v>
      </c>
      <c r="E652" s="14" t="s">
        <v>28</v>
      </c>
      <c r="F652" s="14" t="s">
        <v>27</v>
      </c>
      <c r="G652" s="17">
        <f>'ABRIL-18'!I641</f>
        <v>10</v>
      </c>
      <c r="H652" s="51"/>
      <c r="I652" s="17">
        <f t="shared" si="12"/>
        <v>10</v>
      </c>
      <c r="J652" s="56"/>
      <c r="K652" s="56"/>
    </row>
    <row r="653" spans="1:11" ht="60">
      <c r="A653" s="144" t="s">
        <v>477</v>
      </c>
      <c r="B653" s="53" t="s">
        <v>791</v>
      </c>
      <c r="C653" s="13"/>
      <c r="D653" s="14"/>
      <c r="E653" s="14"/>
      <c r="F653" s="14"/>
      <c r="G653" s="17">
        <f>'ABRIL-18'!I642</f>
        <v>0</v>
      </c>
      <c r="H653" s="51"/>
      <c r="I653" s="17"/>
      <c r="J653" s="56"/>
      <c r="K653" s="56"/>
    </row>
    <row r="654" spans="1:11" ht="30">
      <c r="A654" s="11">
        <v>51202</v>
      </c>
      <c r="B654" s="54" t="s">
        <v>792</v>
      </c>
      <c r="C654" s="13"/>
      <c r="D654" s="14" t="s">
        <v>18</v>
      </c>
      <c r="E654" s="14" t="s">
        <v>28</v>
      </c>
      <c r="F654" s="14" t="s">
        <v>27</v>
      </c>
      <c r="G654" s="17">
        <f>'ABRIL-18'!I643</f>
        <v>9000</v>
      </c>
      <c r="H654" s="51"/>
      <c r="I654" s="17">
        <f t="shared" si="12"/>
        <v>9000</v>
      </c>
      <c r="J654" s="56"/>
      <c r="K654" s="56"/>
    </row>
    <row r="655" spans="1:11" ht="30">
      <c r="A655" s="11">
        <v>54110</v>
      </c>
      <c r="B655" s="54" t="s">
        <v>793</v>
      </c>
      <c r="C655" s="13"/>
      <c r="D655" s="14" t="s">
        <v>18</v>
      </c>
      <c r="E655" s="14" t="s">
        <v>28</v>
      </c>
      <c r="F655" s="14" t="s">
        <v>27</v>
      </c>
      <c r="G655" s="17">
        <f>'ABRIL-18'!I644</f>
        <v>200</v>
      </c>
      <c r="H655" s="51"/>
      <c r="I655" s="17">
        <f t="shared" si="12"/>
        <v>200</v>
      </c>
      <c r="J655" s="56"/>
      <c r="K655" s="56"/>
    </row>
    <row r="656" spans="1:11" ht="30">
      <c r="A656" s="11">
        <v>54111</v>
      </c>
      <c r="B656" s="54" t="s">
        <v>794</v>
      </c>
      <c r="C656" s="13"/>
      <c r="D656" s="14" t="s">
        <v>18</v>
      </c>
      <c r="E656" s="14" t="s">
        <v>28</v>
      </c>
      <c r="F656" s="14" t="s">
        <v>27</v>
      </c>
      <c r="G656" s="17">
        <f>'ABRIL-18'!I645</f>
        <v>11290</v>
      </c>
      <c r="H656" s="51"/>
      <c r="I656" s="17">
        <f t="shared" si="12"/>
        <v>11290</v>
      </c>
      <c r="J656" s="56"/>
      <c r="K656" s="56"/>
    </row>
    <row r="657" spans="1:11" ht="30">
      <c r="A657" s="11">
        <v>54118</v>
      </c>
      <c r="B657" s="54" t="s">
        <v>795</v>
      </c>
      <c r="C657" s="13"/>
      <c r="D657" s="14" t="s">
        <v>18</v>
      </c>
      <c r="E657" s="14" t="s">
        <v>28</v>
      </c>
      <c r="F657" s="14" t="s">
        <v>27</v>
      </c>
      <c r="G657" s="17">
        <f>'ABRIL-18'!I646</f>
        <v>3000</v>
      </c>
      <c r="H657" s="51"/>
      <c r="I657" s="17">
        <f t="shared" si="12"/>
        <v>3000</v>
      </c>
      <c r="J657" s="56"/>
      <c r="K657" s="56"/>
    </row>
    <row r="658" spans="1:11" ht="45">
      <c r="A658" s="11">
        <v>54313</v>
      </c>
      <c r="B658" s="54" t="s">
        <v>796</v>
      </c>
      <c r="C658" s="13"/>
      <c r="D658" s="14" t="s">
        <v>18</v>
      </c>
      <c r="E658" s="14" t="s">
        <v>28</v>
      </c>
      <c r="F658" s="14" t="s">
        <v>27</v>
      </c>
      <c r="G658" s="17">
        <f>'ABRIL-18'!I647</f>
        <v>300</v>
      </c>
      <c r="H658" s="51"/>
      <c r="I658" s="17">
        <f t="shared" si="12"/>
        <v>300</v>
      </c>
      <c r="J658" s="56"/>
      <c r="K658" s="56"/>
    </row>
    <row r="659" spans="1:11" ht="30">
      <c r="A659" s="11">
        <v>54399</v>
      </c>
      <c r="B659" s="54" t="s">
        <v>797</v>
      </c>
      <c r="C659" s="13"/>
      <c r="D659" s="14" t="s">
        <v>18</v>
      </c>
      <c r="E659" s="14" t="s">
        <v>28</v>
      </c>
      <c r="F659" s="14" t="s">
        <v>27</v>
      </c>
      <c r="G659" s="17">
        <f>'ABRIL-18'!I648</f>
        <v>1200</v>
      </c>
      <c r="H659" s="51"/>
      <c r="I659" s="17">
        <f t="shared" si="12"/>
        <v>1200</v>
      </c>
      <c r="J659" s="56"/>
      <c r="K659" s="56"/>
    </row>
    <row r="660" spans="1:11" ht="30">
      <c r="A660" s="11">
        <v>55603</v>
      </c>
      <c r="B660" s="54" t="s">
        <v>798</v>
      </c>
      <c r="C660" s="13"/>
      <c r="D660" s="14" t="s">
        <v>18</v>
      </c>
      <c r="E660" s="14" t="s">
        <v>28</v>
      </c>
      <c r="F660" s="14" t="s">
        <v>27</v>
      </c>
      <c r="G660" s="17">
        <f>'ABRIL-18'!I649</f>
        <v>10</v>
      </c>
      <c r="H660" s="51"/>
      <c r="I660" s="17">
        <f t="shared" si="12"/>
        <v>10</v>
      </c>
      <c r="J660" s="56"/>
      <c r="K660" s="56"/>
    </row>
    <row r="661" spans="1:11" ht="60">
      <c r="A661" s="141" t="s">
        <v>486</v>
      </c>
      <c r="B661" s="53" t="s">
        <v>790</v>
      </c>
      <c r="C661" s="13"/>
      <c r="D661" s="14"/>
      <c r="E661" s="14"/>
      <c r="F661" s="14"/>
      <c r="G661" s="17">
        <f>'ABRIL-18'!I650</f>
        <v>0</v>
      </c>
      <c r="H661" s="51"/>
      <c r="I661" s="17"/>
      <c r="J661" s="56"/>
      <c r="K661" s="56"/>
    </row>
    <row r="662" spans="1:11" ht="29.25">
      <c r="A662" s="11">
        <v>51202</v>
      </c>
      <c r="B662" s="54" t="s">
        <v>799</v>
      </c>
      <c r="C662" s="13"/>
      <c r="D662" s="14" t="s">
        <v>18</v>
      </c>
      <c r="E662" s="14" t="s">
        <v>28</v>
      </c>
      <c r="F662" s="14" t="s">
        <v>27</v>
      </c>
      <c r="G662" s="17">
        <f>'ABRIL-18'!I651</f>
        <v>9000</v>
      </c>
      <c r="H662" s="51"/>
      <c r="I662" s="17">
        <f t="shared" si="12"/>
        <v>9000</v>
      </c>
      <c r="J662" s="56"/>
      <c r="K662" s="56"/>
    </row>
    <row r="663" spans="1:11" ht="29.25">
      <c r="A663" s="11">
        <v>54110</v>
      </c>
      <c r="B663" s="54" t="s">
        <v>800</v>
      </c>
      <c r="C663" s="13"/>
      <c r="D663" s="14" t="s">
        <v>18</v>
      </c>
      <c r="E663" s="14" t="s">
        <v>28</v>
      </c>
      <c r="F663" s="14" t="s">
        <v>27</v>
      </c>
      <c r="G663" s="17">
        <f>'ABRIL-18'!I652</f>
        <v>200</v>
      </c>
      <c r="H663" s="51"/>
      <c r="I663" s="17">
        <f t="shared" si="12"/>
        <v>200</v>
      </c>
      <c r="J663" s="56"/>
      <c r="K663" s="56"/>
    </row>
    <row r="664" spans="1:11" ht="44.25">
      <c r="A664" s="11">
        <v>54111</v>
      </c>
      <c r="B664" s="54" t="s">
        <v>801</v>
      </c>
      <c r="C664" s="13"/>
      <c r="D664" s="14" t="s">
        <v>18</v>
      </c>
      <c r="E664" s="14" t="s">
        <v>28</v>
      </c>
      <c r="F664" s="14" t="s">
        <v>27</v>
      </c>
      <c r="G664" s="17">
        <f>'ABRIL-18'!I653</f>
        <v>12290</v>
      </c>
      <c r="H664" s="51"/>
      <c r="I664" s="17">
        <f t="shared" si="12"/>
        <v>12290</v>
      </c>
      <c r="J664" s="56"/>
      <c r="K664" s="56"/>
    </row>
    <row r="665" spans="1:11" ht="29.25">
      <c r="A665" s="11">
        <v>54118</v>
      </c>
      <c r="B665" s="54" t="s">
        <v>802</v>
      </c>
      <c r="C665" s="13"/>
      <c r="D665" s="14" t="s">
        <v>18</v>
      </c>
      <c r="E665" s="14" t="s">
        <v>28</v>
      </c>
      <c r="F665" s="14" t="s">
        <v>27</v>
      </c>
      <c r="G665" s="17">
        <f>'ABRIL-18'!I654</f>
        <v>3000</v>
      </c>
      <c r="H665" s="51"/>
      <c r="I665" s="17">
        <f t="shared" si="12"/>
        <v>3000</v>
      </c>
      <c r="J665" s="56"/>
      <c r="K665" s="56"/>
    </row>
    <row r="666" spans="1:11" ht="43.5">
      <c r="A666" s="11">
        <v>54313</v>
      </c>
      <c r="B666" s="54" t="s">
        <v>803</v>
      </c>
      <c r="C666" s="13"/>
      <c r="D666" s="14" t="s">
        <v>18</v>
      </c>
      <c r="E666" s="14" t="s">
        <v>28</v>
      </c>
      <c r="F666" s="14" t="s">
        <v>27</v>
      </c>
      <c r="G666" s="17">
        <f>'ABRIL-18'!I655</f>
        <v>300</v>
      </c>
      <c r="H666" s="51"/>
      <c r="I666" s="17">
        <f t="shared" si="12"/>
        <v>300</v>
      </c>
      <c r="J666" s="56"/>
      <c r="K666" s="56"/>
    </row>
    <row r="667" spans="1:11" ht="43.5">
      <c r="A667" s="11">
        <v>54399</v>
      </c>
      <c r="B667" s="54" t="s">
        <v>804</v>
      </c>
      <c r="C667" s="13"/>
      <c r="D667" s="14" t="s">
        <v>18</v>
      </c>
      <c r="E667" s="14" t="s">
        <v>28</v>
      </c>
      <c r="F667" s="14" t="s">
        <v>27</v>
      </c>
      <c r="G667" s="17">
        <f>'ABRIL-18'!I656</f>
        <v>200</v>
      </c>
      <c r="H667" s="51"/>
      <c r="I667" s="17">
        <f t="shared" si="12"/>
        <v>200</v>
      </c>
      <c r="J667" s="56"/>
      <c r="K667" s="56"/>
    </row>
    <row r="668" spans="1:11" ht="33.75" customHeight="1">
      <c r="A668" s="11">
        <v>55603</v>
      </c>
      <c r="B668" s="54" t="s">
        <v>805</v>
      </c>
      <c r="C668" s="13"/>
      <c r="D668" s="14" t="s">
        <v>18</v>
      </c>
      <c r="E668" s="14" t="s">
        <v>28</v>
      </c>
      <c r="F668" s="14" t="s">
        <v>27</v>
      </c>
      <c r="G668" s="17">
        <f>'ABRIL-18'!I657</f>
        <v>10</v>
      </c>
      <c r="H668" s="51"/>
      <c r="I668" s="17">
        <f t="shared" si="12"/>
        <v>10</v>
      </c>
      <c r="J668" s="56"/>
      <c r="K668" s="56"/>
    </row>
    <row r="669" spans="1:11" ht="75">
      <c r="A669" s="141" t="s">
        <v>504</v>
      </c>
      <c r="B669" s="53" t="s">
        <v>806</v>
      </c>
      <c r="C669" s="13"/>
      <c r="D669" s="14"/>
      <c r="E669" s="14"/>
      <c r="F669" s="14"/>
      <c r="G669" s="17">
        <f>'ABRIL-18'!I658</f>
        <v>0</v>
      </c>
      <c r="H669" s="51"/>
      <c r="I669" s="17"/>
      <c r="J669" s="56"/>
      <c r="K669" s="56"/>
    </row>
    <row r="670" spans="1:11" ht="29.25">
      <c r="A670" s="11">
        <v>51202</v>
      </c>
      <c r="B670" s="54" t="s">
        <v>807</v>
      </c>
      <c r="C670" s="13"/>
      <c r="D670" s="14" t="s">
        <v>18</v>
      </c>
      <c r="E670" s="14" t="s">
        <v>28</v>
      </c>
      <c r="F670" s="14" t="s">
        <v>27</v>
      </c>
      <c r="G670" s="17">
        <f>'ABRIL-18'!I659</f>
        <v>7000</v>
      </c>
      <c r="H670" s="51"/>
      <c r="I670" s="17">
        <f t="shared" si="12"/>
        <v>7000</v>
      </c>
      <c r="J670" s="56"/>
      <c r="K670" s="56"/>
    </row>
    <row r="671" spans="1:11" ht="29.25">
      <c r="A671" s="11">
        <v>54110</v>
      </c>
      <c r="B671" s="54" t="s">
        <v>808</v>
      </c>
      <c r="C671" s="13"/>
      <c r="D671" s="14" t="s">
        <v>18</v>
      </c>
      <c r="E671" s="14" t="s">
        <v>28</v>
      </c>
      <c r="F671" s="14" t="s">
        <v>27</v>
      </c>
      <c r="G671" s="17">
        <f>'ABRIL-18'!I660</f>
        <v>200</v>
      </c>
      <c r="H671" s="51"/>
      <c r="I671" s="17">
        <f t="shared" si="12"/>
        <v>200</v>
      </c>
      <c r="J671" s="56"/>
      <c r="K671" s="56"/>
    </row>
    <row r="672" spans="1:11" ht="29.25">
      <c r="A672" s="11">
        <v>54111</v>
      </c>
      <c r="B672" s="54" t="s">
        <v>809</v>
      </c>
      <c r="C672" s="13"/>
      <c r="D672" s="14" t="s">
        <v>18</v>
      </c>
      <c r="E672" s="14" t="s">
        <v>28</v>
      </c>
      <c r="F672" s="14" t="s">
        <v>27</v>
      </c>
      <c r="G672" s="17">
        <f>'ABRIL-18'!I661</f>
        <v>10290</v>
      </c>
      <c r="H672" s="51"/>
      <c r="I672" s="17">
        <f t="shared" si="12"/>
        <v>10290</v>
      </c>
      <c r="J672" s="56"/>
      <c r="K672" s="56"/>
    </row>
    <row r="673" spans="1:11" ht="29.25">
      <c r="A673" s="11">
        <v>54118</v>
      </c>
      <c r="B673" s="54" t="s">
        <v>810</v>
      </c>
      <c r="C673" s="13"/>
      <c r="D673" s="14" t="s">
        <v>18</v>
      </c>
      <c r="E673" s="14" t="s">
        <v>28</v>
      </c>
      <c r="F673" s="14" t="s">
        <v>27</v>
      </c>
      <c r="G673" s="17">
        <f>'ABRIL-18'!I662</f>
        <v>1500</v>
      </c>
      <c r="H673" s="51"/>
      <c r="I673" s="17">
        <f t="shared" si="12"/>
        <v>1500</v>
      </c>
      <c r="J673" s="56"/>
      <c r="K673" s="56"/>
    </row>
    <row r="674" spans="1:11" ht="44.25">
      <c r="A674" s="11">
        <v>54313</v>
      </c>
      <c r="B674" s="54" t="s">
        <v>811</v>
      </c>
      <c r="C674" s="13"/>
      <c r="D674" s="14" t="s">
        <v>18</v>
      </c>
      <c r="E674" s="14" t="s">
        <v>28</v>
      </c>
      <c r="F674" s="14" t="s">
        <v>27</v>
      </c>
      <c r="G674" s="17">
        <f>'ABRIL-18'!I663</f>
        <v>300</v>
      </c>
      <c r="H674" s="51"/>
      <c r="I674" s="17">
        <f t="shared" si="12"/>
        <v>300</v>
      </c>
      <c r="J674" s="56"/>
      <c r="K674" s="56"/>
    </row>
    <row r="675" spans="1:11" ht="29.25">
      <c r="A675" s="11">
        <v>54399</v>
      </c>
      <c r="B675" s="54" t="s">
        <v>812</v>
      </c>
      <c r="C675" s="13"/>
      <c r="D675" s="14" t="s">
        <v>18</v>
      </c>
      <c r="E675" s="14" t="s">
        <v>28</v>
      </c>
      <c r="F675" s="14" t="s">
        <v>27</v>
      </c>
      <c r="G675" s="17">
        <f>'ABRIL-18'!I664</f>
        <v>700</v>
      </c>
      <c r="H675" s="51"/>
      <c r="I675" s="17">
        <f t="shared" si="12"/>
        <v>700</v>
      </c>
      <c r="J675" s="56"/>
      <c r="K675" s="56"/>
    </row>
    <row r="676" spans="1:11" ht="29.25">
      <c r="A676" s="11">
        <v>55603</v>
      </c>
      <c r="B676" s="54" t="s">
        <v>813</v>
      </c>
      <c r="C676" s="13"/>
      <c r="D676" s="14" t="s">
        <v>18</v>
      </c>
      <c r="E676" s="14" t="s">
        <v>28</v>
      </c>
      <c r="F676" s="14" t="s">
        <v>27</v>
      </c>
      <c r="G676" s="17">
        <f>'ABRIL-18'!I665</f>
        <v>10</v>
      </c>
      <c r="H676" s="51"/>
      <c r="I676" s="17">
        <f t="shared" si="12"/>
        <v>10</v>
      </c>
      <c r="J676" s="56"/>
      <c r="K676" s="56"/>
    </row>
    <row r="677" spans="1:11" ht="88.5">
      <c r="A677" s="141" t="s">
        <v>505</v>
      </c>
      <c r="B677" s="53" t="s">
        <v>821</v>
      </c>
      <c r="C677" s="13"/>
      <c r="D677" s="14"/>
      <c r="E677" s="14"/>
      <c r="F677" s="14"/>
      <c r="G677" s="17">
        <f>'ABRIL-18'!I666</f>
        <v>0</v>
      </c>
      <c r="H677" s="51"/>
      <c r="I677" s="17"/>
      <c r="J677" s="56"/>
      <c r="K677" s="56"/>
    </row>
    <row r="678" spans="1:11" ht="29.25">
      <c r="A678" s="11">
        <v>51202</v>
      </c>
      <c r="B678" s="54" t="s">
        <v>814</v>
      </c>
      <c r="C678" s="13"/>
      <c r="D678" s="14" t="s">
        <v>18</v>
      </c>
      <c r="E678" s="14" t="s">
        <v>28</v>
      </c>
      <c r="F678" s="14" t="s">
        <v>27</v>
      </c>
      <c r="G678" s="17">
        <f>'ABRIL-18'!I667</f>
        <v>9000</v>
      </c>
      <c r="H678" s="51"/>
      <c r="I678" s="17">
        <f t="shared" si="12"/>
        <v>9000</v>
      </c>
      <c r="J678" s="56"/>
      <c r="K678" s="56"/>
    </row>
    <row r="679" spans="1:11" ht="29.25">
      <c r="A679" s="11">
        <v>54110</v>
      </c>
      <c r="B679" s="54" t="s">
        <v>815</v>
      </c>
      <c r="C679" s="13"/>
      <c r="D679" s="14" t="s">
        <v>18</v>
      </c>
      <c r="E679" s="14" t="s">
        <v>28</v>
      </c>
      <c r="F679" s="14" t="s">
        <v>27</v>
      </c>
      <c r="G679" s="17">
        <f>'ABRIL-18'!I668</f>
        <v>200</v>
      </c>
      <c r="H679" s="51"/>
      <c r="I679" s="17">
        <f t="shared" si="12"/>
        <v>200</v>
      </c>
      <c r="J679" s="56"/>
      <c r="K679" s="56"/>
    </row>
    <row r="680" spans="1:11" ht="44.25">
      <c r="A680" s="11">
        <v>54111</v>
      </c>
      <c r="B680" s="53" t="s">
        <v>816</v>
      </c>
      <c r="C680" s="13"/>
      <c r="D680" s="14" t="s">
        <v>18</v>
      </c>
      <c r="E680" s="14" t="s">
        <v>28</v>
      </c>
      <c r="F680" s="14" t="s">
        <v>27</v>
      </c>
      <c r="G680" s="17">
        <f>'ABRIL-18'!I669</f>
        <v>12290</v>
      </c>
      <c r="H680" s="51"/>
      <c r="I680" s="17">
        <f t="shared" ref="I680:I743" si="13">G680-H680+J680-K680</f>
        <v>12290</v>
      </c>
      <c r="J680" s="56"/>
      <c r="K680" s="56"/>
    </row>
    <row r="681" spans="1:11" ht="29.25">
      <c r="A681" s="11">
        <v>54118</v>
      </c>
      <c r="B681" s="54" t="s">
        <v>817</v>
      </c>
      <c r="C681" s="13"/>
      <c r="D681" s="14" t="s">
        <v>18</v>
      </c>
      <c r="E681" s="14" t="s">
        <v>28</v>
      </c>
      <c r="F681" s="14" t="s">
        <v>27</v>
      </c>
      <c r="G681" s="17">
        <f>'ABRIL-18'!I670</f>
        <v>3000</v>
      </c>
      <c r="H681" s="51"/>
      <c r="I681" s="17">
        <f t="shared" si="13"/>
        <v>3000</v>
      </c>
      <c r="J681" s="56"/>
      <c r="K681" s="56"/>
    </row>
    <row r="682" spans="1:11" ht="44.25">
      <c r="A682" s="11">
        <v>54313</v>
      </c>
      <c r="B682" s="54" t="s">
        <v>818</v>
      </c>
      <c r="C682" s="13"/>
      <c r="D682" s="14" t="s">
        <v>18</v>
      </c>
      <c r="E682" s="14" t="s">
        <v>28</v>
      </c>
      <c r="F682" s="14" t="s">
        <v>27</v>
      </c>
      <c r="G682" s="17">
        <f>'ABRIL-18'!I671</f>
        <v>300</v>
      </c>
      <c r="H682" s="51"/>
      <c r="I682" s="17">
        <f t="shared" si="13"/>
        <v>300</v>
      </c>
      <c r="J682" s="56"/>
      <c r="K682" s="56"/>
    </row>
    <row r="683" spans="1:11" ht="43.5">
      <c r="A683" s="11">
        <v>54399</v>
      </c>
      <c r="B683" s="54" t="s">
        <v>819</v>
      </c>
      <c r="C683" s="13"/>
      <c r="D683" s="14" t="s">
        <v>18</v>
      </c>
      <c r="E683" s="14" t="s">
        <v>28</v>
      </c>
      <c r="F683" s="14" t="s">
        <v>27</v>
      </c>
      <c r="G683" s="17">
        <f>'ABRIL-18'!I672</f>
        <v>200</v>
      </c>
      <c r="H683" s="51"/>
      <c r="I683" s="17">
        <f t="shared" si="13"/>
        <v>200</v>
      </c>
      <c r="J683" s="56"/>
      <c r="K683" s="56"/>
    </row>
    <row r="684" spans="1:11" ht="29.25">
      <c r="A684" s="11">
        <v>55603</v>
      </c>
      <c r="B684" s="54" t="s">
        <v>820</v>
      </c>
      <c r="C684" s="13"/>
      <c r="D684" s="14" t="s">
        <v>18</v>
      </c>
      <c r="E684" s="14" t="s">
        <v>28</v>
      </c>
      <c r="F684" s="14" t="s">
        <v>27</v>
      </c>
      <c r="G684" s="17">
        <f>'ABRIL-18'!I673</f>
        <v>10</v>
      </c>
      <c r="H684" s="51"/>
      <c r="I684" s="17">
        <f t="shared" si="13"/>
        <v>10</v>
      </c>
      <c r="J684" s="56"/>
      <c r="K684" s="56"/>
    </row>
    <row r="685" spans="1:11" ht="75">
      <c r="A685" s="141" t="s">
        <v>511</v>
      </c>
      <c r="B685" s="53" t="s">
        <v>824</v>
      </c>
      <c r="C685" s="13"/>
      <c r="D685" s="14"/>
      <c r="E685" s="14"/>
      <c r="F685" s="14"/>
      <c r="G685" s="17">
        <f>'ABRIL-18'!I674</f>
        <v>0</v>
      </c>
      <c r="H685" s="51"/>
      <c r="I685" s="17"/>
      <c r="J685" s="56"/>
      <c r="K685" s="56"/>
    </row>
    <row r="686" spans="1:11" ht="29.25">
      <c r="A686" s="11">
        <v>51202</v>
      </c>
      <c r="B686" s="54" t="s">
        <v>823</v>
      </c>
      <c r="C686" s="13"/>
      <c r="D686" s="14" t="s">
        <v>18</v>
      </c>
      <c r="E686" s="14" t="s">
        <v>28</v>
      </c>
      <c r="F686" s="14" t="s">
        <v>27</v>
      </c>
      <c r="G686" s="17">
        <f>'ABRIL-18'!I675</f>
        <v>3000</v>
      </c>
      <c r="H686" s="51"/>
      <c r="I686" s="17">
        <f t="shared" si="13"/>
        <v>3000</v>
      </c>
      <c r="J686" s="56"/>
      <c r="K686" s="56"/>
    </row>
    <row r="687" spans="1:11" ht="29.25">
      <c r="A687" s="11">
        <v>54110</v>
      </c>
      <c r="B687" s="54" t="s">
        <v>825</v>
      </c>
      <c r="C687" s="13"/>
      <c r="D687" s="14" t="s">
        <v>18</v>
      </c>
      <c r="E687" s="14" t="s">
        <v>28</v>
      </c>
      <c r="F687" s="14" t="s">
        <v>27</v>
      </c>
      <c r="G687" s="17">
        <f>'ABRIL-18'!I676</f>
        <v>200</v>
      </c>
      <c r="H687" s="51"/>
      <c r="I687" s="17">
        <f t="shared" si="13"/>
        <v>200</v>
      </c>
      <c r="J687" s="56"/>
      <c r="K687" s="56"/>
    </row>
    <row r="688" spans="1:11" ht="44.25">
      <c r="A688" s="11">
        <v>54111</v>
      </c>
      <c r="B688" s="54" t="s">
        <v>826</v>
      </c>
      <c r="C688" s="13"/>
      <c r="D688" s="14" t="s">
        <v>18</v>
      </c>
      <c r="E688" s="14" t="s">
        <v>28</v>
      </c>
      <c r="F688" s="14" t="s">
        <v>27</v>
      </c>
      <c r="G688" s="17">
        <f>'ABRIL-18'!I677</f>
        <v>4990</v>
      </c>
      <c r="H688" s="51"/>
      <c r="I688" s="17">
        <f t="shared" si="13"/>
        <v>4990</v>
      </c>
      <c r="J688" s="56"/>
      <c r="K688" s="56"/>
    </row>
    <row r="689" spans="1:11" ht="29.25">
      <c r="A689" s="11">
        <v>54118</v>
      </c>
      <c r="B689" s="54" t="s">
        <v>827</v>
      </c>
      <c r="C689" s="13"/>
      <c r="D689" s="14" t="s">
        <v>18</v>
      </c>
      <c r="E689" s="14" t="s">
        <v>28</v>
      </c>
      <c r="F689" s="14" t="s">
        <v>27</v>
      </c>
      <c r="G689" s="17">
        <f>'ABRIL-18'!I678</f>
        <v>800</v>
      </c>
      <c r="H689" s="51"/>
      <c r="I689" s="17">
        <f t="shared" si="13"/>
        <v>800</v>
      </c>
      <c r="J689" s="56"/>
      <c r="K689" s="56"/>
    </row>
    <row r="690" spans="1:11" ht="44.25">
      <c r="A690" s="11">
        <v>54313</v>
      </c>
      <c r="B690" s="54" t="s">
        <v>828</v>
      </c>
      <c r="C690" s="13"/>
      <c r="D690" s="14" t="s">
        <v>18</v>
      </c>
      <c r="E690" s="14" t="s">
        <v>28</v>
      </c>
      <c r="F690" s="14" t="s">
        <v>27</v>
      </c>
      <c r="G690" s="17">
        <f>'ABRIL-18'!I679</f>
        <v>300</v>
      </c>
      <c r="H690" s="51"/>
      <c r="I690" s="17">
        <f t="shared" si="13"/>
        <v>300</v>
      </c>
      <c r="J690" s="56"/>
      <c r="K690" s="56"/>
    </row>
    <row r="691" spans="1:11" ht="44.25">
      <c r="A691" s="11">
        <v>54399</v>
      </c>
      <c r="B691" s="54" t="s">
        <v>829</v>
      </c>
      <c r="C691" s="13"/>
      <c r="D691" s="14" t="s">
        <v>18</v>
      </c>
      <c r="E691" s="14" t="s">
        <v>28</v>
      </c>
      <c r="F691" s="14" t="s">
        <v>27</v>
      </c>
      <c r="G691" s="17">
        <f>'ABRIL-18'!I680</f>
        <v>700</v>
      </c>
      <c r="H691" s="51"/>
      <c r="I691" s="17">
        <f t="shared" si="13"/>
        <v>700</v>
      </c>
      <c r="J691" s="56"/>
      <c r="K691" s="56"/>
    </row>
    <row r="692" spans="1:11" ht="29.25">
      <c r="A692" s="11">
        <v>55603</v>
      </c>
      <c r="B692" s="54" t="s">
        <v>830</v>
      </c>
      <c r="C692" s="13"/>
      <c r="D692" s="14" t="s">
        <v>18</v>
      </c>
      <c r="E692" s="14" t="s">
        <v>28</v>
      </c>
      <c r="F692" s="14" t="s">
        <v>27</v>
      </c>
      <c r="G692" s="17">
        <f>'ABRIL-18'!I681</f>
        <v>10</v>
      </c>
      <c r="H692" s="51"/>
      <c r="I692" s="17">
        <f t="shared" si="13"/>
        <v>10</v>
      </c>
      <c r="J692" s="56"/>
      <c r="K692" s="56"/>
    </row>
    <row r="693" spans="1:11" ht="74.25">
      <c r="A693" s="141" t="s">
        <v>517</v>
      </c>
      <c r="B693" s="53" t="s">
        <v>822</v>
      </c>
      <c r="C693" s="13"/>
      <c r="D693" s="14"/>
      <c r="E693" s="14"/>
      <c r="F693" s="14"/>
      <c r="G693" s="17">
        <f>'ABRIL-18'!I682</f>
        <v>0</v>
      </c>
      <c r="H693" s="51"/>
      <c r="I693" s="17"/>
      <c r="J693" s="56"/>
      <c r="K693" s="56"/>
    </row>
    <row r="694" spans="1:11" ht="29.25">
      <c r="A694" s="11">
        <v>51202</v>
      </c>
      <c r="B694" s="54" t="s">
        <v>831</v>
      </c>
      <c r="C694" s="13"/>
      <c r="D694" s="14" t="s">
        <v>18</v>
      </c>
      <c r="E694" s="14" t="s">
        <v>28</v>
      </c>
      <c r="F694" s="14" t="s">
        <v>27</v>
      </c>
      <c r="G694" s="17">
        <f>'ABRIL-18'!I683</f>
        <v>9000</v>
      </c>
      <c r="H694" s="51"/>
      <c r="I694" s="17">
        <f t="shared" si="13"/>
        <v>9000</v>
      </c>
      <c r="J694" s="56"/>
      <c r="K694" s="56"/>
    </row>
    <row r="695" spans="1:11" ht="29.25">
      <c r="A695" s="11">
        <v>54110</v>
      </c>
      <c r="B695" s="54" t="s">
        <v>832</v>
      </c>
      <c r="C695" s="13"/>
      <c r="D695" s="14" t="s">
        <v>18</v>
      </c>
      <c r="E695" s="14" t="s">
        <v>28</v>
      </c>
      <c r="F695" s="14" t="s">
        <v>27</v>
      </c>
      <c r="G695" s="17">
        <f>'ABRIL-18'!I684</f>
        <v>200</v>
      </c>
      <c r="H695" s="51"/>
      <c r="I695" s="17">
        <f t="shared" si="13"/>
        <v>200</v>
      </c>
      <c r="J695" s="56"/>
      <c r="K695" s="56"/>
    </row>
    <row r="696" spans="1:11" ht="29.25">
      <c r="A696" s="11">
        <v>54111</v>
      </c>
      <c r="B696" s="54" t="s">
        <v>833</v>
      </c>
      <c r="C696" s="13"/>
      <c r="D696" s="14" t="s">
        <v>18</v>
      </c>
      <c r="E696" s="14" t="s">
        <v>28</v>
      </c>
      <c r="F696" s="14" t="s">
        <v>27</v>
      </c>
      <c r="G696" s="17">
        <f>'ABRIL-18'!I685</f>
        <v>12290</v>
      </c>
      <c r="H696" s="51"/>
      <c r="I696" s="17">
        <f t="shared" si="13"/>
        <v>12290</v>
      </c>
      <c r="J696" s="56"/>
      <c r="K696" s="56"/>
    </row>
    <row r="697" spans="1:11" ht="29.25">
      <c r="A697" s="11">
        <v>54118</v>
      </c>
      <c r="B697" s="54" t="s">
        <v>834</v>
      </c>
      <c r="C697" s="13"/>
      <c r="D697" s="14" t="s">
        <v>18</v>
      </c>
      <c r="E697" s="14" t="s">
        <v>28</v>
      </c>
      <c r="F697" s="14" t="s">
        <v>27</v>
      </c>
      <c r="G697" s="17">
        <f>'ABRIL-18'!I686</f>
        <v>3000</v>
      </c>
      <c r="H697" s="51"/>
      <c r="I697" s="17">
        <f t="shared" si="13"/>
        <v>3000</v>
      </c>
      <c r="J697" s="56"/>
      <c r="K697" s="56"/>
    </row>
    <row r="698" spans="1:11" ht="29.25">
      <c r="A698" s="11">
        <v>54313</v>
      </c>
      <c r="B698" s="54" t="s">
        <v>835</v>
      </c>
      <c r="C698" s="13"/>
      <c r="D698" s="14" t="s">
        <v>18</v>
      </c>
      <c r="E698" s="14" t="s">
        <v>28</v>
      </c>
      <c r="F698" s="14" t="s">
        <v>27</v>
      </c>
      <c r="G698" s="17">
        <f>'ABRIL-18'!I687</f>
        <v>300</v>
      </c>
      <c r="H698" s="51"/>
      <c r="I698" s="17">
        <f t="shared" si="13"/>
        <v>300</v>
      </c>
      <c r="J698" s="56"/>
      <c r="K698" s="56"/>
    </row>
    <row r="699" spans="1:11" ht="29.25">
      <c r="A699" s="11">
        <v>54399</v>
      </c>
      <c r="B699" s="54" t="s">
        <v>836</v>
      </c>
      <c r="C699" s="13"/>
      <c r="D699" s="14" t="s">
        <v>18</v>
      </c>
      <c r="E699" s="14" t="s">
        <v>28</v>
      </c>
      <c r="F699" s="14" t="s">
        <v>27</v>
      </c>
      <c r="G699" s="17">
        <f>'ABRIL-18'!I688</f>
        <v>200</v>
      </c>
      <c r="H699" s="51"/>
      <c r="I699" s="17">
        <f t="shared" si="13"/>
        <v>200</v>
      </c>
      <c r="J699" s="56"/>
      <c r="K699" s="56"/>
    </row>
    <row r="700" spans="1:11" ht="29.25">
      <c r="A700" s="11">
        <v>55603</v>
      </c>
      <c r="B700" s="53" t="s">
        <v>837</v>
      </c>
      <c r="C700" s="13"/>
      <c r="D700" s="14" t="s">
        <v>18</v>
      </c>
      <c r="E700" s="14" t="s">
        <v>28</v>
      </c>
      <c r="F700" s="14" t="s">
        <v>27</v>
      </c>
      <c r="G700" s="17">
        <f>'ABRIL-18'!I689</f>
        <v>10</v>
      </c>
      <c r="H700" s="51"/>
      <c r="I700" s="17">
        <f t="shared" si="13"/>
        <v>10</v>
      </c>
      <c r="J700" s="56"/>
      <c r="K700" s="56"/>
    </row>
    <row r="701" spans="1:11" ht="75">
      <c r="A701" s="141" t="s">
        <v>838</v>
      </c>
      <c r="B701" s="53" t="s">
        <v>840</v>
      </c>
      <c r="C701" s="13"/>
      <c r="D701" s="14"/>
      <c r="E701" s="14"/>
      <c r="F701" s="14"/>
      <c r="G701" s="17">
        <f>'ABRIL-18'!I690</f>
        <v>0</v>
      </c>
      <c r="H701" s="51"/>
      <c r="I701" s="17"/>
      <c r="J701" s="56"/>
      <c r="K701" s="56"/>
    </row>
    <row r="702" spans="1:11" ht="29.25">
      <c r="A702" s="11">
        <v>51202</v>
      </c>
      <c r="B702" s="54" t="s">
        <v>842</v>
      </c>
      <c r="C702" s="13"/>
      <c r="D702" s="14" t="s">
        <v>18</v>
      </c>
      <c r="E702" s="14" t="s">
        <v>28</v>
      </c>
      <c r="F702" s="14" t="s">
        <v>27</v>
      </c>
      <c r="G702" s="17">
        <f>'ABRIL-18'!I691</f>
        <v>9000</v>
      </c>
      <c r="H702" s="51"/>
      <c r="I702" s="17">
        <f t="shared" si="13"/>
        <v>9000</v>
      </c>
      <c r="J702" s="56"/>
      <c r="K702" s="56"/>
    </row>
    <row r="703" spans="1:11" ht="43.5">
      <c r="A703" s="11">
        <v>54110</v>
      </c>
      <c r="B703" s="53" t="s">
        <v>844</v>
      </c>
      <c r="C703" s="13"/>
      <c r="D703" s="14" t="s">
        <v>18</v>
      </c>
      <c r="E703" s="14" t="s">
        <v>28</v>
      </c>
      <c r="F703" s="14" t="s">
        <v>27</v>
      </c>
      <c r="G703" s="17">
        <f>'ABRIL-18'!I692</f>
        <v>200</v>
      </c>
      <c r="H703" s="51"/>
      <c r="I703" s="17">
        <f t="shared" si="13"/>
        <v>200</v>
      </c>
      <c r="J703" s="56"/>
      <c r="K703" s="56"/>
    </row>
    <row r="704" spans="1:11" ht="44.25">
      <c r="A704" s="11">
        <v>54111</v>
      </c>
      <c r="B704" s="53" t="s">
        <v>845</v>
      </c>
      <c r="C704" s="13"/>
      <c r="D704" s="14" t="s">
        <v>18</v>
      </c>
      <c r="E704" s="14" t="s">
        <v>28</v>
      </c>
      <c r="F704" s="14" t="s">
        <v>27</v>
      </c>
      <c r="G704" s="17">
        <f>'ABRIL-18'!I693</f>
        <v>12290</v>
      </c>
      <c r="H704" s="51"/>
      <c r="I704" s="17">
        <f t="shared" si="13"/>
        <v>12290</v>
      </c>
      <c r="J704" s="56"/>
      <c r="K704" s="56"/>
    </row>
    <row r="705" spans="1:11" ht="43.5">
      <c r="A705" s="11">
        <v>54118</v>
      </c>
      <c r="B705" s="53" t="s">
        <v>846</v>
      </c>
      <c r="C705" s="13"/>
      <c r="D705" s="14" t="s">
        <v>18</v>
      </c>
      <c r="E705" s="14" t="s">
        <v>28</v>
      </c>
      <c r="F705" s="14" t="s">
        <v>27</v>
      </c>
      <c r="G705" s="17">
        <f>'ABRIL-18'!I694</f>
        <v>3000</v>
      </c>
      <c r="H705" s="51"/>
      <c r="I705" s="17">
        <f t="shared" si="13"/>
        <v>3000</v>
      </c>
      <c r="J705" s="56"/>
      <c r="K705" s="56"/>
    </row>
    <row r="706" spans="1:11" ht="44.25">
      <c r="A706" s="11">
        <v>54313</v>
      </c>
      <c r="B706" s="53" t="s">
        <v>847</v>
      </c>
      <c r="C706" s="13"/>
      <c r="D706" s="14" t="s">
        <v>18</v>
      </c>
      <c r="E706" s="14" t="s">
        <v>28</v>
      </c>
      <c r="F706" s="14" t="s">
        <v>27</v>
      </c>
      <c r="G706" s="17">
        <f>'ABRIL-18'!I695</f>
        <v>300</v>
      </c>
      <c r="H706" s="51"/>
      <c r="I706" s="17">
        <f t="shared" si="13"/>
        <v>300</v>
      </c>
      <c r="J706" s="56"/>
      <c r="K706" s="56"/>
    </row>
    <row r="707" spans="1:11" ht="44.25">
      <c r="A707" s="11">
        <v>54399</v>
      </c>
      <c r="B707" s="53" t="s">
        <v>848</v>
      </c>
      <c r="C707" s="13"/>
      <c r="D707" s="14" t="s">
        <v>18</v>
      </c>
      <c r="E707" s="14" t="s">
        <v>28</v>
      </c>
      <c r="F707" s="14" t="s">
        <v>27</v>
      </c>
      <c r="G707" s="17">
        <f>'ABRIL-18'!I696</f>
        <v>200</v>
      </c>
      <c r="H707" s="51"/>
      <c r="I707" s="17">
        <f t="shared" si="13"/>
        <v>200</v>
      </c>
      <c r="J707" s="56"/>
      <c r="K707" s="56"/>
    </row>
    <row r="708" spans="1:11" ht="43.5">
      <c r="A708" s="11">
        <v>55603</v>
      </c>
      <c r="B708" s="53" t="s">
        <v>849</v>
      </c>
      <c r="C708" s="13"/>
      <c r="D708" s="14" t="s">
        <v>18</v>
      </c>
      <c r="E708" s="14" t="s">
        <v>28</v>
      </c>
      <c r="F708" s="14" t="s">
        <v>27</v>
      </c>
      <c r="G708" s="17">
        <f>'ABRIL-18'!I697</f>
        <v>10</v>
      </c>
      <c r="H708" s="51"/>
      <c r="I708" s="17">
        <f t="shared" si="13"/>
        <v>10</v>
      </c>
      <c r="J708" s="56"/>
      <c r="K708" s="56"/>
    </row>
    <row r="709" spans="1:11" ht="60">
      <c r="A709" s="141" t="s">
        <v>839</v>
      </c>
      <c r="B709" s="53" t="s">
        <v>841</v>
      </c>
      <c r="C709" s="13"/>
      <c r="D709" s="14"/>
      <c r="E709" s="14"/>
      <c r="F709" s="14"/>
      <c r="G709" s="17">
        <f>'ABRIL-18'!I698</f>
        <v>0</v>
      </c>
      <c r="H709" s="51"/>
      <c r="I709" s="17"/>
      <c r="J709" s="56"/>
      <c r="K709" s="56"/>
    </row>
    <row r="710" spans="1:11" ht="29.25">
      <c r="A710" s="11">
        <v>51202</v>
      </c>
      <c r="B710" s="54" t="s">
        <v>843</v>
      </c>
      <c r="C710" s="13"/>
      <c r="D710" s="14" t="s">
        <v>18</v>
      </c>
      <c r="E710" s="14" t="s">
        <v>28</v>
      </c>
      <c r="F710" s="14" t="s">
        <v>27</v>
      </c>
      <c r="G710" s="17">
        <f>'ABRIL-18'!I699</f>
        <v>9000</v>
      </c>
      <c r="H710" s="51"/>
      <c r="I710" s="17">
        <f t="shared" si="13"/>
        <v>9000</v>
      </c>
      <c r="J710" s="56"/>
      <c r="K710" s="56"/>
    </row>
    <row r="711" spans="1:11" ht="29.25">
      <c r="A711" s="11">
        <v>54110</v>
      </c>
      <c r="B711" s="53" t="s">
        <v>850</v>
      </c>
      <c r="C711" s="13"/>
      <c r="D711" s="14" t="s">
        <v>18</v>
      </c>
      <c r="E711" s="14" t="s">
        <v>28</v>
      </c>
      <c r="F711" s="14" t="s">
        <v>27</v>
      </c>
      <c r="G711" s="17">
        <f>'ABRIL-18'!I700</f>
        <v>200</v>
      </c>
      <c r="H711" s="51"/>
      <c r="I711" s="17">
        <f t="shared" si="13"/>
        <v>200</v>
      </c>
      <c r="J711" s="56"/>
      <c r="K711" s="56"/>
    </row>
    <row r="712" spans="1:11" ht="29.25">
      <c r="A712" s="11">
        <v>54111</v>
      </c>
      <c r="B712" s="54" t="s">
        <v>851</v>
      </c>
      <c r="C712" s="13"/>
      <c r="D712" s="14" t="s">
        <v>18</v>
      </c>
      <c r="E712" s="14" t="s">
        <v>28</v>
      </c>
      <c r="F712" s="14" t="s">
        <v>27</v>
      </c>
      <c r="G712" s="17">
        <f>'ABRIL-18'!I701</f>
        <v>12290</v>
      </c>
      <c r="H712" s="51"/>
      <c r="I712" s="17">
        <f t="shared" si="13"/>
        <v>12290</v>
      </c>
      <c r="J712" s="56"/>
      <c r="K712" s="56"/>
    </row>
    <row r="713" spans="1:11" ht="29.25">
      <c r="A713" s="11">
        <v>54118</v>
      </c>
      <c r="B713" s="53" t="s">
        <v>852</v>
      </c>
      <c r="C713" s="13"/>
      <c r="D713" s="14" t="s">
        <v>18</v>
      </c>
      <c r="E713" s="14" t="s">
        <v>28</v>
      </c>
      <c r="F713" s="14" t="s">
        <v>27</v>
      </c>
      <c r="G713" s="17">
        <f>'ABRIL-18'!I702</f>
        <v>3000</v>
      </c>
      <c r="H713" s="51"/>
      <c r="I713" s="17">
        <f t="shared" si="13"/>
        <v>3000</v>
      </c>
      <c r="J713" s="56"/>
      <c r="K713" s="56"/>
    </row>
    <row r="714" spans="1:11" ht="29.25">
      <c r="A714" s="11">
        <v>54313</v>
      </c>
      <c r="B714" s="54" t="s">
        <v>853</v>
      </c>
      <c r="C714" s="13"/>
      <c r="D714" s="14" t="s">
        <v>18</v>
      </c>
      <c r="E714" s="14" t="s">
        <v>28</v>
      </c>
      <c r="F714" s="14" t="s">
        <v>27</v>
      </c>
      <c r="G714" s="17">
        <f>'ABRIL-18'!I703</f>
        <v>300</v>
      </c>
      <c r="H714" s="51"/>
      <c r="I714" s="17">
        <f t="shared" si="13"/>
        <v>300</v>
      </c>
      <c r="J714" s="56"/>
      <c r="K714" s="56"/>
    </row>
    <row r="715" spans="1:11" ht="37.5" customHeight="1">
      <c r="A715" s="11">
        <v>54399</v>
      </c>
      <c r="B715" s="54" t="s">
        <v>854</v>
      </c>
      <c r="C715" s="13"/>
      <c r="D715" s="14" t="s">
        <v>18</v>
      </c>
      <c r="E715" s="14" t="s">
        <v>28</v>
      </c>
      <c r="F715" s="14" t="s">
        <v>27</v>
      </c>
      <c r="G715" s="17">
        <f>'ABRIL-18'!I704</f>
        <v>200</v>
      </c>
      <c r="H715" s="51"/>
      <c r="I715" s="17">
        <f t="shared" si="13"/>
        <v>200</v>
      </c>
      <c r="J715" s="56"/>
      <c r="K715" s="56"/>
    </row>
    <row r="716" spans="1:11" ht="29.25">
      <c r="A716" s="11">
        <v>55603</v>
      </c>
      <c r="B716" s="54" t="s">
        <v>855</v>
      </c>
      <c r="C716" s="13"/>
      <c r="D716" s="14" t="s">
        <v>18</v>
      </c>
      <c r="E716" s="14" t="s">
        <v>28</v>
      </c>
      <c r="F716" s="14" t="s">
        <v>27</v>
      </c>
      <c r="G716" s="17">
        <f>'ABRIL-18'!I705</f>
        <v>10</v>
      </c>
      <c r="H716" s="51"/>
      <c r="I716" s="17">
        <f t="shared" si="13"/>
        <v>10</v>
      </c>
      <c r="J716" s="56"/>
      <c r="K716" s="56"/>
    </row>
    <row r="717" spans="1:11" ht="60">
      <c r="A717" s="141" t="s">
        <v>872</v>
      </c>
      <c r="B717" s="53" t="s">
        <v>856</v>
      </c>
      <c r="C717" s="13"/>
      <c r="D717" s="14"/>
      <c r="E717" s="14"/>
      <c r="F717" s="14"/>
      <c r="G717" s="17">
        <f>'ABRIL-18'!I706</f>
        <v>0</v>
      </c>
      <c r="H717" s="51"/>
      <c r="I717" s="17"/>
      <c r="J717" s="56"/>
      <c r="K717" s="56"/>
    </row>
    <row r="718" spans="1:11" ht="29.25">
      <c r="A718" s="11">
        <v>51202</v>
      </c>
      <c r="B718" s="54" t="s">
        <v>857</v>
      </c>
      <c r="C718" s="13"/>
      <c r="D718" s="14" t="s">
        <v>18</v>
      </c>
      <c r="E718" s="14" t="s">
        <v>28</v>
      </c>
      <c r="F718" s="14" t="s">
        <v>27</v>
      </c>
      <c r="G718" s="17">
        <f>'ABRIL-18'!I707</f>
        <v>1800</v>
      </c>
      <c r="H718" s="51"/>
      <c r="I718" s="17">
        <f t="shared" si="13"/>
        <v>1800</v>
      </c>
      <c r="J718" s="56"/>
      <c r="K718" s="56"/>
    </row>
    <row r="719" spans="1:11" ht="29.25">
      <c r="A719" s="11">
        <v>54110</v>
      </c>
      <c r="B719" s="53" t="s">
        <v>858</v>
      </c>
      <c r="C719" s="13"/>
      <c r="D719" s="14" t="s">
        <v>18</v>
      </c>
      <c r="E719" s="14" t="s">
        <v>28</v>
      </c>
      <c r="F719" s="14" t="s">
        <v>27</v>
      </c>
      <c r="G719" s="17">
        <f>'ABRIL-18'!I708</f>
        <v>100</v>
      </c>
      <c r="H719" s="51"/>
      <c r="I719" s="17">
        <f t="shared" si="13"/>
        <v>100</v>
      </c>
      <c r="J719" s="56"/>
      <c r="K719" s="56"/>
    </row>
    <row r="720" spans="1:11" ht="44.25">
      <c r="A720" s="11">
        <v>54111</v>
      </c>
      <c r="B720" s="53" t="s">
        <v>859</v>
      </c>
      <c r="C720" s="13"/>
      <c r="D720" s="14" t="s">
        <v>18</v>
      </c>
      <c r="E720" s="14" t="s">
        <v>28</v>
      </c>
      <c r="F720" s="14" t="s">
        <v>27</v>
      </c>
      <c r="G720" s="17">
        <f>'ABRIL-18'!I709</f>
        <v>2590</v>
      </c>
      <c r="H720" s="51"/>
      <c r="I720" s="17">
        <f t="shared" si="13"/>
        <v>2590</v>
      </c>
      <c r="J720" s="56"/>
      <c r="K720" s="56"/>
    </row>
    <row r="721" spans="1:11" ht="29.25">
      <c r="A721" s="11">
        <v>54118</v>
      </c>
      <c r="B721" s="53" t="s">
        <v>860</v>
      </c>
      <c r="C721" s="13"/>
      <c r="D721" s="14" t="s">
        <v>18</v>
      </c>
      <c r="E721" s="14" t="s">
        <v>28</v>
      </c>
      <c r="F721" s="14" t="s">
        <v>27</v>
      </c>
      <c r="G721" s="17">
        <f>'ABRIL-18'!I710</f>
        <v>100</v>
      </c>
      <c r="H721" s="51"/>
      <c r="I721" s="17">
        <f t="shared" si="13"/>
        <v>100</v>
      </c>
      <c r="J721" s="56"/>
      <c r="K721" s="56"/>
    </row>
    <row r="722" spans="1:11" ht="44.25">
      <c r="A722" s="11">
        <v>54313</v>
      </c>
      <c r="B722" s="53" t="s">
        <v>861</v>
      </c>
      <c r="C722" s="13"/>
      <c r="D722" s="14" t="s">
        <v>18</v>
      </c>
      <c r="E722" s="14" t="s">
        <v>28</v>
      </c>
      <c r="F722" s="14" t="s">
        <v>27</v>
      </c>
      <c r="G722" s="17">
        <f>'ABRIL-18'!I711</f>
        <v>200</v>
      </c>
      <c r="H722" s="51"/>
      <c r="I722" s="17">
        <f t="shared" si="13"/>
        <v>200</v>
      </c>
      <c r="J722" s="56"/>
      <c r="K722" s="56"/>
    </row>
    <row r="723" spans="1:11" ht="44.25">
      <c r="A723" s="11">
        <v>54399</v>
      </c>
      <c r="B723" s="53" t="s">
        <v>862</v>
      </c>
      <c r="C723" s="13"/>
      <c r="D723" s="14" t="s">
        <v>18</v>
      </c>
      <c r="E723" s="14" t="s">
        <v>28</v>
      </c>
      <c r="F723" s="14" t="s">
        <v>27</v>
      </c>
      <c r="G723" s="17">
        <f>'ABRIL-18'!I712</f>
        <v>200</v>
      </c>
      <c r="H723" s="51"/>
      <c r="I723" s="17">
        <f t="shared" si="13"/>
        <v>200</v>
      </c>
      <c r="J723" s="56"/>
      <c r="K723" s="56"/>
    </row>
    <row r="724" spans="1:11" ht="29.25">
      <c r="A724" s="11">
        <v>55603</v>
      </c>
      <c r="B724" s="53" t="s">
        <v>863</v>
      </c>
      <c r="C724" s="13"/>
      <c r="D724" s="14" t="s">
        <v>18</v>
      </c>
      <c r="E724" s="14" t="s">
        <v>28</v>
      </c>
      <c r="F724" s="14" t="s">
        <v>27</v>
      </c>
      <c r="G724" s="17">
        <f>'ABRIL-18'!I713</f>
        <v>10</v>
      </c>
      <c r="H724" s="51"/>
      <c r="I724" s="17">
        <f t="shared" si="13"/>
        <v>10</v>
      </c>
      <c r="J724" s="56"/>
      <c r="K724" s="56"/>
    </row>
    <row r="725" spans="1:11" ht="59.25">
      <c r="A725" s="141" t="s">
        <v>873</v>
      </c>
      <c r="B725" s="53" t="s">
        <v>864</v>
      </c>
      <c r="C725" s="13"/>
      <c r="D725" s="14"/>
      <c r="E725" s="14"/>
      <c r="F725" s="14"/>
      <c r="G725" s="17">
        <f>'ABRIL-18'!I714</f>
        <v>0</v>
      </c>
      <c r="H725" s="51"/>
      <c r="I725" s="17"/>
      <c r="J725" s="56"/>
      <c r="K725" s="56"/>
    </row>
    <row r="726" spans="1:11" ht="29.25">
      <c r="A726" s="11">
        <v>51202</v>
      </c>
      <c r="B726" s="53" t="s">
        <v>865</v>
      </c>
      <c r="C726" s="13"/>
      <c r="D726" s="14" t="s">
        <v>18</v>
      </c>
      <c r="E726" s="14" t="s">
        <v>28</v>
      </c>
      <c r="F726" s="14" t="s">
        <v>27</v>
      </c>
      <c r="G726" s="17">
        <f>'ABRIL-18'!I715</f>
        <v>7000</v>
      </c>
      <c r="H726" s="51"/>
      <c r="I726" s="17">
        <f t="shared" si="13"/>
        <v>7000</v>
      </c>
      <c r="J726" s="56"/>
      <c r="K726" s="56"/>
    </row>
    <row r="727" spans="1:11" ht="29.25">
      <c r="A727" s="11">
        <v>54110</v>
      </c>
      <c r="B727" s="53" t="s">
        <v>866</v>
      </c>
      <c r="C727" s="13"/>
      <c r="D727" s="14" t="s">
        <v>18</v>
      </c>
      <c r="E727" s="14" t="s">
        <v>28</v>
      </c>
      <c r="F727" s="14" t="s">
        <v>27</v>
      </c>
      <c r="G727" s="17">
        <f>'ABRIL-18'!I716</f>
        <v>200</v>
      </c>
      <c r="H727" s="51"/>
      <c r="I727" s="17">
        <f t="shared" si="13"/>
        <v>200</v>
      </c>
      <c r="J727" s="56"/>
      <c r="K727" s="56"/>
    </row>
    <row r="728" spans="1:11" ht="30">
      <c r="A728" s="11">
        <v>54111</v>
      </c>
      <c r="B728" s="53" t="s">
        <v>867</v>
      </c>
      <c r="C728" s="13"/>
      <c r="D728" s="14" t="s">
        <v>18</v>
      </c>
      <c r="E728" s="14" t="s">
        <v>28</v>
      </c>
      <c r="F728" s="14" t="s">
        <v>27</v>
      </c>
      <c r="G728" s="17">
        <f>'ABRIL-18'!I717</f>
        <v>10290</v>
      </c>
      <c r="H728" s="51"/>
      <c r="I728" s="17">
        <f t="shared" si="13"/>
        <v>10290</v>
      </c>
      <c r="J728" s="56"/>
      <c r="K728" s="56"/>
    </row>
    <row r="729" spans="1:11" ht="29.25">
      <c r="A729" s="11">
        <v>54118</v>
      </c>
      <c r="B729" s="53" t="s">
        <v>868</v>
      </c>
      <c r="C729" s="13"/>
      <c r="D729" s="14" t="s">
        <v>18</v>
      </c>
      <c r="E729" s="14" t="s">
        <v>28</v>
      </c>
      <c r="F729" s="14" t="s">
        <v>27</v>
      </c>
      <c r="G729" s="17">
        <f>'ABRIL-18'!I718</f>
        <v>2000</v>
      </c>
      <c r="H729" s="51"/>
      <c r="I729" s="17">
        <f t="shared" si="13"/>
        <v>2000</v>
      </c>
      <c r="J729" s="56"/>
      <c r="K729" s="56"/>
    </row>
    <row r="730" spans="1:11" ht="44.25">
      <c r="A730" s="11">
        <v>54313</v>
      </c>
      <c r="B730" s="53" t="s">
        <v>869</v>
      </c>
      <c r="C730" s="13"/>
      <c r="D730" s="14" t="s">
        <v>18</v>
      </c>
      <c r="E730" s="14" t="s">
        <v>28</v>
      </c>
      <c r="F730" s="14" t="s">
        <v>27</v>
      </c>
      <c r="G730" s="17">
        <f>'ABRIL-18'!I719</f>
        <v>300</v>
      </c>
      <c r="H730" s="51"/>
      <c r="I730" s="17">
        <f t="shared" si="13"/>
        <v>300</v>
      </c>
      <c r="J730" s="56"/>
      <c r="K730" s="56"/>
    </row>
    <row r="731" spans="1:11" ht="30">
      <c r="A731" s="11">
        <v>54399</v>
      </c>
      <c r="B731" s="53" t="s">
        <v>870</v>
      </c>
      <c r="C731" s="13"/>
      <c r="D731" s="14" t="s">
        <v>18</v>
      </c>
      <c r="E731" s="14" t="s">
        <v>28</v>
      </c>
      <c r="F731" s="14" t="s">
        <v>27</v>
      </c>
      <c r="G731" s="17">
        <f>'ABRIL-18'!I720</f>
        <v>200</v>
      </c>
      <c r="H731" s="51"/>
      <c r="I731" s="17">
        <f t="shared" si="13"/>
        <v>200</v>
      </c>
      <c r="J731" s="56"/>
      <c r="K731" s="56"/>
    </row>
    <row r="732" spans="1:11" ht="29.25">
      <c r="A732" s="11">
        <v>55603</v>
      </c>
      <c r="B732" s="53" t="s">
        <v>871</v>
      </c>
      <c r="C732" s="13"/>
      <c r="D732" s="14" t="s">
        <v>18</v>
      </c>
      <c r="E732" s="14" t="s">
        <v>28</v>
      </c>
      <c r="F732" s="14" t="s">
        <v>27</v>
      </c>
      <c r="G732" s="17">
        <f>'ABRIL-18'!I721</f>
        <v>10</v>
      </c>
      <c r="H732" s="51"/>
      <c r="I732" s="17">
        <f t="shared" si="13"/>
        <v>10</v>
      </c>
      <c r="J732" s="56"/>
      <c r="K732" s="56"/>
    </row>
    <row r="733" spans="1:11" ht="60">
      <c r="A733" s="141" t="s">
        <v>532</v>
      </c>
      <c r="B733" s="53" t="s">
        <v>874</v>
      </c>
      <c r="C733" s="13"/>
      <c r="D733" s="14"/>
      <c r="E733" s="14"/>
      <c r="F733" s="14"/>
      <c r="G733" s="17">
        <f>'ABRIL-18'!I722</f>
        <v>0</v>
      </c>
      <c r="H733" s="51"/>
      <c r="I733" s="17"/>
      <c r="J733" s="56"/>
      <c r="K733" s="56"/>
    </row>
    <row r="734" spans="1:11" ht="29.25">
      <c r="A734" s="11">
        <v>51202</v>
      </c>
      <c r="B734" s="53" t="s">
        <v>875</v>
      </c>
      <c r="C734" s="13"/>
      <c r="D734" s="14" t="s">
        <v>18</v>
      </c>
      <c r="E734" s="14" t="s">
        <v>28</v>
      </c>
      <c r="F734" s="14" t="s">
        <v>27</v>
      </c>
      <c r="G734" s="17">
        <f>'ABRIL-18'!I723</f>
        <v>6990</v>
      </c>
      <c r="H734" s="51"/>
      <c r="I734" s="17">
        <f t="shared" si="13"/>
        <v>6990</v>
      </c>
      <c r="J734" s="56"/>
      <c r="K734" s="56"/>
    </row>
    <row r="735" spans="1:11" ht="29.25">
      <c r="A735" s="11">
        <v>54110</v>
      </c>
      <c r="B735" s="53" t="s">
        <v>876</v>
      </c>
      <c r="C735" s="13"/>
      <c r="D735" s="14" t="s">
        <v>18</v>
      </c>
      <c r="E735" s="14" t="s">
        <v>28</v>
      </c>
      <c r="F735" s="14" t="s">
        <v>27</v>
      </c>
      <c r="G735" s="17">
        <f>'ABRIL-18'!I724</f>
        <v>200</v>
      </c>
      <c r="H735" s="51"/>
      <c r="I735" s="17">
        <f t="shared" si="13"/>
        <v>200</v>
      </c>
      <c r="J735" s="56"/>
      <c r="K735" s="56"/>
    </row>
    <row r="736" spans="1:11" ht="44.25">
      <c r="A736" s="11">
        <v>54111</v>
      </c>
      <c r="B736" s="53" t="s">
        <v>881</v>
      </c>
      <c r="C736" s="13"/>
      <c r="D736" s="14" t="s">
        <v>18</v>
      </c>
      <c r="E736" s="14" t="s">
        <v>28</v>
      </c>
      <c r="F736" s="14" t="s">
        <v>27</v>
      </c>
      <c r="G736" s="17">
        <f>'ABRIL-18'!I725</f>
        <v>10000</v>
      </c>
      <c r="H736" s="51"/>
      <c r="I736" s="17">
        <f t="shared" si="13"/>
        <v>10000</v>
      </c>
      <c r="J736" s="56"/>
      <c r="K736" s="56"/>
    </row>
    <row r="737" spans="1:11" ht="29.25">
      <c r="A737" s="11">
        <v>54118</v>
      </c>
      <c r="B737" s="53" t="s">
        <v>877</v>
      </c>
      <c r="C737" s="13"/>
      <c r="D737" s="14" t="s">
        <v>18</v>
      </c>
      <c r="E737" s="14" t="s">
        <v>28</v>
      </c>
      <c r="F737" s="14" t="s">
        <v>27</v>
      </c>
      <c r="G737" s="17">
        <f>'ABRIL-18'!I726</f>
        <v>2000</v>
      </c>
      <c r="H737" s="51"/>
      <c r="I737" s="17">
        <f t="shared" si="13"/>
        <v>2000</v>
      </c>
      <c r="J737" s="56"/>
      <c r="K737" s="56"/>
    </row>
    <row r="738" spans="1:11" ht="44.25">
      <c r="A738" s="11">
        <v>54313</v>
      </c>
      <c r="B738" s="53" t="s">
        <v>878</v>
      </c>
      <c r="C738" s="13"/>
      <c r="D738" s="14" t="s">
        <v>18</v>
      </c>
      <c r="E738" s="14" t="s">
        <v>28</v>
      </c>
      <c r="F738" s="14" t="s">
        <v>27</v>
      </c>
      <c r="G738" s="17">
        <f>'ABRIL-18'!I727</f>
        <v>300</v>
      </c>
      <c r="H738" s="51"/>
      <c r="I738" s="17">
        <f t="shared" si="13"/>
        <v>300</v>
      </c>
      <c r="J738" s="56"/>
      <c r="K738" s="56"/>
    </row>
    <row r="739" spans="1:11" ht="43.5">
      <c r="A739" s="11">
        <v>54399</v>
      </c>
      <c r="B739" s="53" t="s">
        <v>879</v>
      </c>
      <c r="C739" s="13"/>
      <c r="D739" s="14" t="s">
        <v>18</v>
      </c>
      <c r="E739" s="14" t="s">
        <v>28</v>
      </c>
      <c r="F739" s="14" t="s">
        <v>27</v>
      </c>
      <c r="G739" s="17">
        <f>'ABRIL-18'!I728</f>
        <v>500</v>
      </c>
      <c r="H739" s="51"/>
      <c r="I739" s="17">
        <f t="shared" si="13"/>
        <v>500</v>
      </c>
      <c r="J739" s="56"/>
      <c r="K739" s="56"/>
    </row>
    <row r="740" spans="1:11" ht="29.25">
      <c r="A740" s="11">
        <v>55603</v>
      </c>
      <c r="B740" s="53" t="s">
        <v>880</v>
      </c>
      <c r="C740" s="13"/>
      <c r="D740" s="14" t="s">
        <v>18</v>
      </c>
      <c r="E740" s="14" t="s">
        <v>28</v>
      </c>
      <c r="F740" s="14" t="s">
        <v>27</v>
      </c>
      <c r="G740" s="17">
        <f>'ABRIL-18'!I729</f>
        <v>10</v>
      </c>
      <c r="H740" s="51"/>
      <c r="I740" s="17">
        <f t="shared" si="13"/>
        <v>10</v>
      </c>
      <c r="J740" s="56"/>
      <c r="K740" s="56"/>
    </row>
    <row r="741" spans="1:11" ht="72.75">
      <c r="A741" s="144" t="s">
        <v>540</v>
      </c>
      <c r="B741" s="53" t="s">
        <v>882</v>
      </c>
      <c r="C741" s="13"/>
      <c r="D741" s="14"/>
      <c r="E741" s="14"/>
      <c r="F741" s="14"/>
      <c r="G741" s="17">
        <f>'ABRIL-18'!I730</f>
        <v>0</v>
      </c>
      <c r="H741" s="51"/>
      <c r="I741" s="17"/>
      <c r="J741" s="56"/>
      <c r="K741" s="56"/>
    </row>
    <row r="742" spans="1:11" ht="43.5">
      <c r="A742" s="11">
        <v>51202</v>
      </c>
      <c r="B742" s="53" t="s">
        <v>883</v>
      </c>
      <c r="C742" s="13"/>
      <c r="D742" s="14" t="s">
        <v>18</v>
      </c>
      <c r="E742" s="14" t="s">
        <v>28</v>
      </c>
      <c r="F742" s="14" t="s">
        <v>27</v>
      </c>
      <c r="G742" s="17">
        <f>'ABRIL-18'!I731</f>
        <v>10000</v>
      </c>
      <c r="H742" s="51"/>
      <c r="I742" s="17">
        <f t="shared" si="13"/>
        <v>10000</v>
      </c>
      <c r="J742" s="56"/>
      <c r="K742" s="56"/>
    </row>
    <row r="743" spans="1:11" ht="43.5">
      <c r="A743" s="11">
        <v>54110</v>
      </c>
      <c r="B743" s="53" t="s">
        <v>968</v>
      </c>
      <c r="C743" s="13"/>
      <c r="D743" s="14" t="s">
        <v>18</v>
      </c>
      <c r="E743" s="14" t="s">
        <v>28</v>
      </c>
      <c r="F743" s="14" t="s">
        <v>27</v>
      </c>
      <c r="G743" s="17">
        <f>'ABRIL-18'!I732</f>
        <v>500</v>
      </c>
      <c r="H743" s="51"/>
      <c r="I743" s="17">
        <f t="shared" si="13"/>
        <v>500</v>
      </c>
      <c r="J743" s="56"/>
      <c r="K743" s="56"/>
    </row>
    <row r="744" spans="1:11" ht="44.25">
      <c r="A744" s="11">
        <v>54111</v>
      </c>
      <c r="B744" s="53" t="s">
        <v>884</v>
      </c>
      <c r="C744" s="13"/>
      <c r="D744" s="14" t="s">
        <v>18</v>
      </c>
      <c r="E744" s="14" t="s">
        <v>28</v>
      </c>
      <c r="F744" s="14" t="s">
        <v>27</v>
      </c>
      <c r="G744" s="17">
        <f>'ABRIL-18'!I733</f>
        <v>15000</v>
      </c>
      <c r="H744" s="51"/>
      <c r="I744" s="17">
        <f t="shared" ref="I744:I790" si="14">G744-H744+J744-K744</f>
        <v>15000</v>
      </c>
      <c r="J744" s="56"/>
      <c r="K744" s="56"/>
    </row>
    <row r="745" spans="1:11" ht="43.5">
      <c r="A745" s="11">
        <v>54118</v>
      </c>
      <c r="B745" s="53" t="s">
        <v>885</v>
      </c>
      <c r="C745" s="13"/>
      <c r="D745" s="14" t="s">
        <v>18</v>
      </c>
      <c r="E745" s="14" t="s">
        <v>28</v>
      </c>
      <c r="F745" s="14" t="s">
        <v>27</v>
      </c>
      <c r="G745" s="17">
        <f>'ABRIL-18'!I734</f>
        <v>5000</v>
      </c>
      <c r="H745" s="51"/>
      <c r="I745" s="17">
        <f t="shared" si="14"/>
        <v>5000</v>
      </c>
      <c r="J745" s="56"/>
      <c r="K745" s="56"/>
    </row>
    <row r="746" spans="1:11" ht="43.5">
      <c r="A746" s="11">
        <v>54304</v>
      </c>
      <c r="B746" s="53" t="s">
        <v>889</v>
      </c>
      <c r="C746" s="13"/>
      <c r="D746" s="14" t="s">
        <v>18</v>
      </c>
      <c r="E746" s="14" t="s">
        <v>28</v>
      </c>
      <c r="F746" s="14" t="s">
        <v>27</v>
      </c>
      <c r="G746" s="17">
        <f>'ABRIL-18'!I735</f>
        <v>2690</v>
      </c>
      <c r="H746" s="51"/>
      <c r="I746" s="17">
        <f t="shared" si="14"/>
        <v>2690</v>
      </c>
      <c r="J746" s="56"/>
      <c r="K746" s="56"/>
    </row>
    <row r="747" spans="1:11" ht="44.25">
      <c r="A747" s="11">
        <v>54313</v>
      </c>
      <c r="B747" s="53" t="s">
        <v>886</v>
      </c>
      <c r="C747" s="13"/>
      <c r="D747" s="14" t="s">
        <v>18</v>
      </c>
      <c r="E747" s="14" t="s">
        <v>28</v>
      </c>
      <c r="F747" s="14" t="s">
        <v>27</v>
      </c>
      <c r="G747" s="17">
        <f>'ABRIL-18'!I736</f>
        <v>300</v>
      </c>
      <c r="H747" s="51"/>
      <c r="I747" s="17">
        <f t="shared" si="14"/>
        <v>300</v>
      </c>
      <c r="J747" s="56"/>
      <c r="K747" s="56"/>
    </row>
    <row r="748" spans="1:11" ht="44.25">
      <c r="A748" s="11">
        <v>54399</v>
      </c>
      <c r="B748" s="53" t="s">
        <v>887</v>
      </c>
      <c r="C748" s="13"/>
      <c r="D748" s="14" t="s">
        <v>18</v>
      </c>
      <c r="E748" s="14" t="s">
        <v>28</v>
      </c>
      <c r="F748" s="14" t="s">
        <v>27</v>
      </c>
      <c r="G748" s="17">
        <f>'ABRIL-18'!I737</f>
        <v>1500</v>
      </c>
      <c r="H748" s="51"/>
      <c r="I748" s="17">
        <f t="shared" si="14"/>
        <v>1500</v>
      </c>
      <c r="J748" s="56"/>
      <c r="K748" s="56"/>
    </row>
    <row r="749" spans="1:11" ht="43.5">
      <c r="A749" s="11">
        <v>55603</v>
      </c>
      <c r="B749" s="53" t="s">
        <v>888</v>
      </c>
      <c r="C749" s="13"/>
      <c r="D749" s="14" t="s">
        <v>18</v>
      </c>
      <c r="E749" s="14" t="s">
        <v>28</v>
      </c>
      <c r="F749" s="14" t="s">
        <v>27</v>
      </c>
      <c r="G749" s="17">
        <f>'ABRIL-18'!I738</f>
        <v>10</v>
      </c>
      <c r="H749" s="51"/>
      <c r="I749" s="17">
        <f t="shared" si="14"/>
        <v>10</v>
      </c>
      <c r="J749" s="56"/>
      <c r="K749" s="56"/>
    </row>
    <row r="750" spans="1:11" ht="63.75" customHeight="1">
      <c r="A750" s="141" t="s">
        <v>901</v>
      </c>
      <c r="B750" s="53" t="s">
        <v>890</v>
      </c>
      <c r="C750" s="61" t="s">
        <v>1108</v>
      </c>
      <c r="D750" s="14"/>
      <c r="E750" s="14"/>
      <c r="F750" s="14"/>
      <c r="G750" s="17">
        <f>'ABRIL-18'!I739</f>
        <v>0</v>
      </c>
      <c r="H750" s="51"/>
      <c r="I750" s="17"/>
      <c r="J750" s="56"/>
      <c r="K750" s="56"/>
    </row>
    <row r="751" spans="1:11" ht="29.25">
      <c r="A751" s="11">
        <v>51202</v>
      </c>
      <c r="B751" s="53" t="s">
        <v>1014</v>
      </c>
      <c r="C751" s="13"/>
      <c r="D751" s="14" t="s">
        <v>18</v>
      </c>
      <c r="E751" s="14" t="s">
        <v>28</v>
      </c>
      <c r="F751" s="14" t="s">
        <v>27</v>
      </c>
      <c r="G751" s="17">
        <f>'ABRIL-18'!I740</f>
        <v>7800</v>
      </c>
      <c r="H751" s="51">
        <f>56+56</f>
        <v>112</v>
      </c>
      <c r="I751" s="17">
        <f t="shared" si="14"/>
        <v>7688</v>
      </c>
      <c r="J751" s="56"/>
      <c r="K751" s="56"/>
    </row>
    <row r="752" spans="1:11" ht="29.25">
      <c r="A752" s="11">
        <v>51999</v>
      </c>
      <c r="B752" s="53" t="s">
        <v>1015</v>
      </c>
      <c r="C752" s="13"/>
      <c r="D752" s="14" t="s">
        <v>18</v>
      </c>
      <c r="E752" s="14" t="s">
        <v>28</v>
      </c>
      <c r="F752" s="14" t="s">
        <v>27</v>
      </c>
      <c r="G752" s="17">
        <f>'ABRIL-18'!I741</f>
        <v>931.59999999999991</v>
      </c>
      <c r="H752" s="51"/>
      <c r="I752" s="17">
        <f t="shared" si="14"/>
        <v>931.59999999999991</v>
      </c>
      <c r="J752" s="56"/>
      <c r="K752" s="56"/>
    </row>
    <row r="753" spans="1:11" ht="29.25">
      <c r="A753" s="11">
        <v>54110</v>
      </c>
      <c r="B753" s="53" t="s">
        <v>1016</v>
      </c>
      <c r="C753" s="13"/>
      <c r="D753" s="14" t="s">
        <v>18</v>
      </c>
      <c r="E753" s="14" t="s">
        <v>28</v>
      </c>
      <c r="F753" s="14" t="s">
        <v>27</v>
      </c>
      <c r="G753" s="17">
        <f>'ABRIL-18'!I742</f>
        <v>500</v>
      </c>
      <c r="H753" s="51"/>
      <c r="I753" s="17">
        <f t="shared" si="14"/>
        <v>500</v>
      </c>
      <c r="J753" s="56"/>
      <c r="K753" s="56"/>
    </row>
    <row r="754" spans="1:11" ht="29.25">
      <c r="A754" s="11">
        <v>54111</v>
      </c>
      <c r="B754" s="53" t="s">
        <v>1017</v>
      </c>
      <c r="C754" s="13"/>
      <c r="D754" s="14" t="s">
        <v>18</v>
      </c>
      <c r="E754" s="14" t="s">
        <v>28</v>
      </c>
      <c r="F754" s="14" t="s">
        <v>27</v>
      </c>
      <c r="G754" s="17">
        <f>'ABRIL-18'!I743</f>
        <v>10000</v>
      </c>
      <c r="H754" s="51"/>
      <c r="I754" s="17">
        <f t="shared" si="14"/>
        <v>10000</v>
      </c>
      <c r="J754" s="56"/>
      <c r="K754" s="127"/>
    </row>
    <row r="755" spans="1:11" ht="44.25">
      <c r="A755" s="11">
        <v>54112</v>
      </c>
      <c r="B755" s="53" t="s">
        <v>1021</v>
      </c>
      <c r="C755" s="13"/>
      <c r="D755" s="14" t="s">
        <v>18</v>
      </c>
      <c r="E755" s="14" t="s">
        <v>28</v>
      </c>
      <c r="F755" s="14" t="s">
        <v>27</v>
      </c>
      <c r="G755" s="17">
        <f>'ABRIL-18'!I744</f>
        <v>2981.25</v>
      </c>
      <c r="H755" s="51"/>
      <c r="I755" s="17">
        <f t="shared" si="14"/>
        <v>2981.25</v>
      </c>
      <c r="J755" s="56"/>
      <c r="K755" s="56"/>
    </row>
    <row r="756" spans="1:11" ht="29.25">
      <c r="A756" s="11">
        <v>54118</v>
      </c>
      <c r="B756" s="53" t="s">
        <v>1020</v>
      </c>
      <c r="C756" s="61" t="s">
        <v>1109</v>
      </c>
      <c r="D756" s="14" t="s">
        <v>18</v>
      </c>
      <c r="E756" s="14" t="s">
        <v>28</v>
      </c>
      <c r="F756" s="14" t="s">
        <v>27</v>
      </c>
      <c r="G756" s="17">
        <f>'ABRIL-18'!I745</f>
        <v>2929.4</v>
      </c>
      <c r="H756" s="51">
        <f>19.5+347</f>
        <v>366.5</v>
      </c>
      <c r="I756" s="17">
        <f t="shared" si="14"/>
        <v>2562.9</v>
      </c>
      <c r="J756" s="56"/>
      <c r="K756" s="56"/>
    </row>
    <row r="757" spans="1:11" ht="29.25">
      <c r="A757" s="11">
        <v>54199</v>
      </c>
      <c r="B757" s="53" t="s">
        <v>1018</v>
      </c>
      <c r="C757" s="13"/>
      <c r="D757" s="14" t="s">
        <v>18</v>
      </c>
      <c r="E757" s="14" t="s">
        <v>28</v>
      </c>
      <c r="F757" s="14" t="s">
        <v>27</v>
      </c>
      <c r="G757" s="17">
        <f>'ABRIL-18'!I746</f>
        <v>2079.0500000000002</v>
      </c>
      <c r="H757" s="51"/>
      <c r="I757" s="17">
        <f t="shared" si="14"/>
        <v>2079.0500000000002</v>
      </c>
      <c r="J757" s="56"/>
      <c r="K757" s="56"/>
    </row>
    <row r="758" spans="1:11" ht="29.25">
      <c r="A758" s="11">
        <v>54313</v>
      </c>
      <c r="B758" s="53" t="s">
        <v>1019</v>
      </c>
      <c r="C758" s="13"/>
      <c r="D758" s="14" t="s">
        <v>18</v>
      </c>
      <c r="E758" s="14" t="s">
        <v>28</v>
      </c>
      <c r="F758" s="14" t="s">
        <v>27</v>
      </c>
      <c r="G758" s="17">
        <f>'ABRIL-18'!I747</f>
        <v>1650</v>
      </c>
      <c r="H758" s="51"/>
      <c r="I758" s="17">
        <f t="shared" si="14"/>
        <v>1650</v>
      </c>
      <c r="J758" s="56"/>
      <c r="K758" s="56"/>
    </row>
    <row r="759" spans="1:11" ht="44.25">
      <c r="A759" s="11">
        <v>54399</v>
      </c>
      <c r="B759" s="53" t="s">
        <v>1022</v>
      </c>
      <c r="C759" s="13"/>
      <c r="D759" s="14" t="s">
        <v>18</v>
      </c>
      <c r="E759" s="14" t="s">
        <v>28</v>
      </c>
      <c r="F759" s="14" t="s">
        <v>27</v>
      </c>
      <c r="G759" s="17">
        <f>'ABRIL-18'!I748</f>
        <v>1439.35</v>
      </c>
      <c r="H759" s="51"/>
      <c r="I759" s="17">
        <f t="shared" si="14"/>
        <v>1439.35</v>
      </c>
      <c r="J759" s="137"/>
      <c r="K759" s="56"/>
    </row>
    <row r="760" spans="1:11" ht="29.25">
      <c r="A760" s="11">
        <v>55603</v>
      </c>
      <c r="B760" s="53" t="s">
        <v>898</v>
      </c>
      <c r="C760" s="13"/>
      <c r="D760" s="14" t="s">
        <v>18</v>
      </c>
      <c r="E760" s="14" t="s">
        <v>28</v>
      </c>
      <c r="F760" s="14" t="s">
        <v>27</v>
      </c>
      <c r="G760" s="17">
        <f>'ABRIL-18'!I749</f>
        <v>5.3</v>
      </c>
      <c r="H760" s="370"/>
      <c r="I760" s="17">
        <f t="shared" si="14"/>
        <v>5.3</v>
      </c>
      <c r="J760" s="56"/>
      <c r="K760" s="56"/>
    </row>
    <row r="761" spans="1:11" ht="60">
      <c r="A761" s="141">
        <v>41</v>
      </c>
      <c r="B761" s="53" t="s">
        <v>902</v>
      </c>
      <c r="C761" s="13"/>
      <c r="D761" s="14"/>
      <c r="E761" s="14"/>
      <c r="F761" s="14"/>
      <c r="G761" s="17">
        <f>'ABRIL-18'!I750</f>
        <v>0</v>
      </c>
      <c r="H761" s="51"/>
      <c r="I761" s="17"/>
      <c r="J761" s="56"/>
      <c r="K761" s="56"/>
    </row>
    <row r="762" spans="1:11" ht="29.25">
      <c r="A762" s="11">
        <v>51999</v>
      </c>
      <c r="B762" s="53" t="s">
        <v>903</v>
      </c>
      <c r="C762" s="13"/>
      <c r="D762" s="14" t="s">
        <v>18</v>
      </c>
      <c r="E762" s="14" t="s">
        <v>28</v>
      </c>
      <c r="F762" s="14" t="s">
        <v>27</v>
      </c>
      <c r="G762" s="17">
        <f>'ABRIL-18'!I751</f>
        <v>1000</v>
      </c>
      <c r="H762" s="51"/>
      <c r="I762" s="17">
        <f t="shared" si="14"/>
        <v>1000</v>
      </c>
      <c r="J762" s="56"/>
      <c r="K762" s="56"/>
    </row>
    <row r="763" spans="1:11" ht="44.25">
      <c r="A763" s="11">
        <v>54111</v>
      </c>
      <c r="B763" s="53" t="s">
        <v>904</v>
      </c>
      <c r="C763" s="13"/>
      <c r="D763" s="14" t="s">
        <v>18</v>
      </c>
      <c r="E763" s="14" t="s">
        <v>28</v>
      </c>
      <c r="F763" s="14" t="s">
        <v>27</v>
      </c>
      <c r="G763" s="17">
        <f>'ABRIL-18'!I752</f>
        <v>1000</v>
      </c>
      <c r="H763" s="51"/>
      <c r="I763" s="17">
        <f t="shared" si="14"/>
        <v>1000</v>
      </c>
      <c r="J763" s="56"/>
      <c r="K763" s="56"/>
    </row>
    <row r="764" spans="1:11" ht="43.5">
      <c r="A764" s="11">
        <v>54118</v>
      </c>
      <c r="B764" s="53" t="s">
        <v>905</v>
      </c>
      <c r="C764" s="13"/>
      <c r="D764" s="14" t="s">
        <v>18</v>
      </c>
      <c r="E764" s="14" t="s">
        <v>28</v>
      </c>
      <c r="F764" s="14" t="s">
        <v>27</v>
      </c>
      <c r="G764" s="17">
        <f>'ABRIL-18'!I753</f>
        <v>1000</v>
      </c>
      <c r="H764" s="51"/>
      <c r="I764" s="17">
        <f t="shared" si="14"/>
        <v>1000</v>
      </c>
      <c r="J764" s="56"/>
      <c r="K764" s="56"/>
    </row>
    <row r="765" spans="1:11" ht="44.25">
      <c r="A765" s="11">
        <v>54313</v>
      </c>
      <c r="B765" s="53" t="s">
        <v>906</v>
      </c>
      <c r="C765" s="13"/>
      <c r="D765" s="14" t="s">
        <v>18</v>
      </c>
      <c r="E765" s="14" t="s">
        <v>28</v>
      </c>
      <c r="F765" s="14" t="s">
        <v>27</v>
      </c>
      <c r="G765" s="17">
        <f>'ABRIL-18'!I754</f>
        <v>100</v>
      </c>
      <c r="H765" s="51"/>
      <c r="I765" s="17">
        <f t="shared" si="14"/>
        <v>100</v>
      </c>
      <c r="J765" s="56"/>
      <c r="K765" s="56"/>
    </row>
    <row r="766" spans="1:11" ht="44.25">
      <c r="A766" s="11">
        <v>54399</v>
      </c>
      <c r="B766" s="53" t="s">
        <v>907</v>
      </c>
      <c r="C766" s="13"/>
      <c r="D766" s="14" t="s">
        <v>18</v>
      </c>
      <c r="E766" s="14" t="s">
        <v>28</v>
      </c>
      <c r="F766" s="14" t="s">
        <v>27</v>
      </c>
      <c r="G766" s="17">
        <f>'ABRIL-18'!I755</f>
        <v>1890</v>
      </c>
      <c r="H766" s="51"/>
      <c r="I766" s="17">
        <f t="shared" si="14"/>
        <v>1890</v>
      </c>
      <c r="J766" s="56"/>
      <c r="K766" s="56"/>
    </row>
    <row r="767" spans="1:11" ht="29.25">
      <c r="A767" s="11">
        <v>55603</v>
      </c>
      <c r="B767" s="53" t="s">
        <v>908</v>
      </c>
      <c r="C767" s="13"/>
      <c r="D767" s="14" t="s">
        <v>18</v>
      </c>
      <c r="E767" s="14" t="s">
        <v>28</v>
      </c>
      <c r="F767" s="14" t="s">
        <v>27</v>
      </c>
      <c r="G767" s="17">
        <f>'ABRIL-18'!I756</f>
        <v>10</v>
      </c>
      <c r="H767" s="51"/>
      <c r="I767" s="17">
        <f t="shared" si="14"/>
        <v>10</v>
      </c>
      <c r="J767" s="56"/>
      <c r="K767" s="56"/>
    </row>
    <row r="768" spans="1:11" ht="45">
      <c r="A768" s="141" t="s">
        <v>909</v>
      </c>
      <c r="B768" s="53" t="s">
        <v>910</v>
      </c>
      <c r="C768" s="13"/>
      <c r="D768" s="14"/>
      <c r="E768" s="14"/>
      <c r="F768" s="14"/>
      <c r="G768" s="17">
        <f>'ABRIL-18'!I757</f>
        <v>0</v>
      </c>
      <c r="H768" s="51"/>
      <c r="I768" s="17"/>
      <c r="J768" s="56"/>
      <c r="K768" s="56"/>
    </row>
    <row r="769" spans="1:11" ht="29.25">
      <c r="A769" s="11">
        <v>51999</v>
      </c>
      <c r="B769" s="54" t="s">
        <v>911</v>
      </c>
      <c r="C769" s="13"/>
      <c r="D769" s="14" t="s">
        <v>18</v>
      </c>
      <c r="E769" s="14" t="s">
        <v>28</v>
      </c>
      <c r="F769" s="14" t="s">
        <v>27</v>
      </c>
      <c r="G769" s="17">
        <f>'ABRIL-18'!I758</f>
        <v>500</v>
      </c>
      <c r="H769" s="51"/>
      <c r="I769" s="17">
        <f t="shared" si="14"/>
        <v>500</v>
      </c>
      <c r="J769" s="56"/>
      <c r="K769" s="56"/>
    </row>
    <row r="770" spans="1:11" ht="29.25">
      <c r="A770" s="11">
        <v>54110</v>
      </c>
      <c r="B770" s="54" t="s">
        <v>912</v>
      </c>
      <c r="C770" s="13"/>
      <c r="D770" s="14" t="s">
        <v>18</v>
      </c>
      <c r="E770" s="14" t="s">
        <v>28</v>
      </c>
      <c r="F770" s="14" t="s">
        <v>27</v>
      </c>
      <c r="G770" s="17">
        <f>'ABRIL-18'!I759</f>
        <v>500</v>
      </c>
      <c r="H770" s="51"/>
      <c r="I770" s="17">
        <f t="shared" si="14"/>
        <v>500</v>
      </c>
      <c r="J770" s="56"/>
      <c r="K770" s="56"/>
    </row>
    <row r="771" spans="1:11" ht="30">
      <c r="A771" s="11">
        <v>54111</v>
      </c>
      <c r="B771" s="53" t="s">
        <v>913</v>
      </c>
      <c r="C771" s="13"/>
      <c r="D771" s="14" t="s">
        <v>18</v>
      </c>
      <c r="E771" s="14" t="s">
        <v>28</v>
      </c>
      <c r="F771" s="14" t="s">
        <v>27</v>
      </c>
      <c r="G771" s="17">
        <f>'ABRIL-18'!I760</f>
        <v>1000</v>
      </c>
      <c r="H771" s="51"/>
      <c r="I771" s="17">
        <f t="shared" si="14"/>
        <v>1000</v>
      </c>
      <c r="J771" s="56"/>
      <c r="K771" s="56"/>
    </row>
    <row r="772" spans="1:11" ht="29.25">
      <c r="A772" s="11">
        <v>54118</v>
      </c>
      <c r="B772" s="53" t="s">
        <v>914</v>
      </c>
      <c r="C772" s="13"/>
      <c r="D772" s="14" t="s">
        <v>18</v>
      </c>
      <c r="E772" s="14" t="s">
        <v>28</v>
      </c>
      <c r="F772" s="14" t="s">
        <v>27</v>
      </c>
      <c r="G772" s="17">
        <f>'ABRIL-18'!I761</f>
        <v>1000</v>
      </c>
      <c r="H772" s="51"/>
      <c r="I772" s="17">
        <f t="shared" si="14"/>
        <v>1000</v>
      </c>
      <c r="J772" s="56"/>
      <c r="K772" s="56"/>
    </row>
    <row r="773" spans="1:11" ht="29.25">
      <c r="A773" s="11">
        <v>54199</v>
      </c>
      <c r="B773" s="53" t="s">
        <v>915</v>
      </c>
      <c r="C773" s="13"/>
      <c r="D773" s="14" t="s">
        <v>18</v>
      </c>
      <c r="E773" s="14" t="s">
        <v>28</v>
      </c>
      <c r="F773" s="14" t="s">
        <v>27</v>
      </c>
      <c r="G773" s="17">
        <f>'ABRIL-18'!I762</f>
        <v>500</v>
      </c>
      <c r="H773" s="51"/>
      <c r="I773" s="17">
        <f t="shared" si="14"/>
        <v>500</v>
      </c>
      <c r="J773" s="56"/>
      <c r="K773" s="56"/>
    </row>
    <row r="774" spans="1:11" ht="44.25">
      <c r="A774" s="11">
        <v>54313</v>
      </c>
      <c r="B774" s="53" t="s">
        <v>916</v>
      </c>
      <c r="C774" s="13"/>
      <c r="D774" s="14" t="s">
        <v>18</v>
      </c>
      <c r="E774" s="14" t="s">
        <v>28</v>
      </c>
      <c r="F774" s="14" t="s">
        <v>27</v>
      </c>
      <c r="G774" s="17">
        <f>'ABRIL-18'!I763</f>
        <v>600</v>
      </c>
      <c r="H774" s="51"/>
      <c r="I774" s="17">
        <f t="shared" si="14"/>
        <v>600</v>
      </c>
      <c r="J774" s="56"/>
      <c r="K774" s="56"/>
    </row>
    <row r="775" spans="1:11" ht="30">
      <c r="A775" s="11">
        <v>54399</v>
      </c>
      <c r="B775" s="53" t="s">
        <v>917</v>
      </c>
      <c r="C775" s="13"/>
      <c r="D775" s="14" t="s">
        <v>18</v>
      </c>
      <c r="E775" s="14" t="s">
        <v>28</v>
      </c>
      <c r="F775" s="14" t="s">
        <v>27</v>
      </c>
      <c r="G775" s="17">
        <f>'ABRIL-18'!I764</f>
        <v>890</v>
      </c>
      <c r="H775" s="51"/>
      <c r="I775" s="17">
        <f t="shared" si="14"/>
        <v>890</v>
      </c>
      <c r="J775" s="56"/>
      <c r="K775" s="56"/>
    </row>
    <row r="776" spans="1:11" ht="29.25">
      <c r="A776" s="11">
        <v>55603</v>
      </c>
      <c r="B776" s="53" t="s">
        <v>918</v>
      </c>
      <c r="C776" s="13"/>
      <c r="D776" s="14" t="s">
        <v>18</v>
      </c>
      <c r="E776" s="14" t="s">
        <v>28</v>
      </c>
      <c r="F776" s="14" t="s">
        <v>27</v>
      </c>
      <c r="G776" s="17">
        <f>'ABRIL-18'!I765</f>
        <v>10</v>
      </c>
      <c r="H776" s="51"/>
      <c r="I776" s="17">
        <f t="shared" si="14"/>
        <v>10</v>
      </c>
      <c r="J776" s="56"/>
      <c r="K776" s="56"/>
    </row>
    <row r="777" spans="1:11" ht="74.25">
      <c r="A777" s="141" t="s">
        <v>1093</v>
      </c>
      <c r="B777" s="53" t="s">
        <v>964</v>
      </c>
      <c r="C777" s="13"/>
      <c r="D777" s="14"/>
      <c r="E777" s="14"/>
      <c r="F777" s="14"/>
      <c r="G777" s="17">
        <f>'ABRIL-18'!I766</f>
        <v>0</v>
      </c>
      <c r="H777" s="51"/>
      <c r="I777" s="17"/>
      <c r="J777" s="56"/>
      <c r="K777" s="56"/>
    </row>
    <row r="778" spans="1:11" s="178" customFormat="1" ht="45">
      <c r="A778" s="1" t="s">
        <v>19</v>
      </c>
      <c r="B778" s="179" t="s">
        <v>965</v>
      </c>
      <c r="C778" s="180"/>
      <c r="D778" s="14" t="s">
        <v>18</v>
      </c>
      <c r="E778" s="14" t="s">
        <v>28</v>
      </c>
      <c r="F778" s="14" t="s">
        <v>27</v>
      </c>
      <c r="G778" s="17">
        <f>'ABRIL-18'!I767</f>
        <v>1.8189894035458565E-12</v>
      </c>
      <c r="H778" s="210"/>
      <c r="I778" s="17">
        <f t="shared" si="14"/>
        <v>1.8189894035458565E-12</v>
      </c>
      <c r="J778" s="143"/>
      <c r="K778" s="209"/>
    </row>
    <row r="779" spans="1:11" s="178" customFormat="1" ht="71.25">
      <c r="A779" s="1">
        <v>51202</v>
      </c>
      <c r="B779" s="53" t="s">
        <v>985</v>
      </c>
      <c r="C779" s="180"/>
      <c r="D779" s="14" t="s">
        <v>18</v>
      </c>
      <c r="E779" s="14" t="s">
        <v>28</v>
      </c>
      <c r="F779" s="14" t="s">
        <v>27</v>
      </c>
      <c r="G779" s="17">
        <f>'ABRIL-18'!I768</f>
        <v>0.15999999999939973</v>
      </c>
      <c r="H779" s="210"/>
      <c r="I779" s="17">
        <f t="shared" si="14"/>
        <v>0.15999999999939973</v>
      </c>
      <c r="J779" s="209"/>
      <c r="K779" s="209"/>
    </row>
    <row r="780" spans="1:11" ht="29.25">
      <c r="A780" s="11">
        <v>54118</v>
      </c>
      <c r="B780" s="53" t="s">
        <v>919</v>
      </c>
      <c r="C780" s="13"/>
      <c r="D780" s="14" t="s">
        <v>18</v>
      </c>
      <c r="E780" s="14" t="s">
        <v>28</v>
      </c>
      <c r="F780" s="14" t="s">
        <v>27</v>
      </c>
      <c r="G780" s="17">
        <f>'ABRIL-18'!I769</f>
        <v>0</v>
      </c>
      <c r="H780" s="51"/>
      <c r="I780" s="17">
        <f t="shared" si="14"/>
        <v>0</v>
      </c>
      <c r="J780" s="56"/>
      <c r="K780" s="137"/>
    </row>
    <row r="781" spans="1:11" ht="44.25">
      <c r="A781" s="11">
        <v>54313</v>
      </c>
      <c r="B781" s="168" t="s">
        <v>920</v>
      </c>
      <c r="C781" s="13"/>
      <c r="D781" s="14" t="s">
        <v>18</v>
      </c>
      <c r="E781" s="14" t="s">
        <v>28</v>
      </c>
      <c r="F781" s="14" t="s">
        <v>27</v>
      </c>
      <c r="G781" s="17">
        <f>'ABRIL-18'!I770</f>
        <v>0</v>
      </c>
      <c r="H781" s="51"/>
      <c r="I781" s="17">
        <f t="shared" si="14"/>
        <v>0</v>
      </c>
      <c r="J781" s="56"/>
      <c r="K781" s="137"/>
    </row>
    <row r="782" spans="1:11" ht="29.25">
      <c r="A782" s="11">
        <v>56303</v>
      </c>
      <c r="B782" s="53" t="s">
        <v>921</v>
      </c>
      <c r="C782" s="13"/>
      <c r="D782" s="14" t="s">
        <v>18</v>
      </c>
      <c r="E782" s="14" t="s">
        <v>28</v>
      </c>
      <c r="F782" s="14" t="s">
        <v>27</v>
      </c>
      <c r="G782" s="17">
        <f>'ABRIL-18'!I771</f>
        <v>0</v>
      </c>
      <c r="H782" s="51"/>
      <c r="I782" s="17">
        <f t="shared" si="14"/>
        <v>0</v>
      </c>
      <c r="J782" s="56"/>
      <c r="K782" s="137"/>
    </row>
    <row r="783" spans="1:11" ht="29.25">
      <c r="A783" s="11">
        <v>55603</v>
      </c>
      <c r="B783" s="53" t="s">
        <v>922</v>
      </c>
      <c r="C783" s="13"/>
      <c r="D783" s="14" t="s">
        <v>18</v>
      </c>
      <c r="E783" s="14" t="s">
        <v>28</v>
      </c>
      <c r="F783" s="14" t="s">
        <v>27</v>
      </c>
      <c r="G783" s="17">
        <f>'ABRIL-18'!I772</f>
        <v>0</v>
      </c>
      <c r="H783" s="51"/>
      <c r="I783" s="17">
        <f t="shared" si="14"/>
        <v>0</v>
      </c>
      <c r="J783" s="56"/>
      <c r="K783" s="137"/>
    </row>
    <row r="784" spans="1:11" ht="103.5">
      <c r="A784" s="11" t="s">
        <v>923</v>
      </c>
      <c r="B784" s="53" t="s">
        <v>924</v>
      </c>
      <c r="C784" s="13"/>
      <c r="D784" s="14" t="s">
        <v>18</v>
      </c>
      <c r="E784" s="14" t="s">
        <v>28</v>
      </c>
      <c r="F784" s="14" t="s">
        <v>27</v>
      </c>
      <c r="G784" s="17">
        <f>'ABRIL-18'!I773</f>
        <v>682.41000000000349</v>
      </c>
      <c r="H784" s="51"/>
      <c r="I784" s="17">
        <f t="shared" si="14"/>
        <v>3.5242919693700969E-12</v>
      </c>
      <c r="J784" s="56"/>
      <c r="K784" s="266">
        <f>624.3+58.11</f>
        <v>682.41</v>
      </c>
    </row>
    <row r="785" spans="1:11">
      <c r="A785" s="38"/>
      <c r="B785" s="161" t="s">
        <v>975</v>
      </c>
      <c r="C785" s="39"/>
      <c r="D785" s="39"/>
      <c r="E785" s="39"/>
      <c r="F785" s="39"/>
      <c r="G785" s="17">
        <f>'ABRIL-18'!I774</f>
        <v>673677.55000000016</v>
      </c>
      <c r="H785" s="95">
        <f>SUM(H422:H784)</f>
        <v>8802.09</v>
      </c>
      <c r="I785" s="40">
        <f>SUM(I422:I784)</f>
        <v>482676.17999999993</v>
      </c>
      <c r="J785" s="40">
        <f>SUM(J422:J784)</f>
        <v>25833.13</v>
      </c>
      <c r="K785" s="40">
        <f>SUM(K422:K784)</f>
        <v>208032.41</v>
      </c>
    </row>
    <row r="786" spans="1:11" s="198" customFormat="1" ht="54.75" customHeight="1" thickBot="1">
      <c r="A786" s="191" t="s">
        <v>925</v>
      </c>
      <c r="B786" s="192" t="s">
        <v>926</v>
      </c>
      <c r="C786" s="193"/>
      <c r="D786" s="194" t="s">
        <v>20</v>
      </c>
      <c r="E786" s="194" t="s">
        <v>31</v>
      </c>
      <c r="F786" s="194" t="s">
        <v>27</v>
      </c>
      <c r="G786" s="17">
        <f>' MARZO-18-1'!I766</f>
        <v>0</v>
      </c>
      <c r="H786" s="246"/>
      <c r="I786" s="196">
        <f t="shared" si="14"/>
        <v>0</v>
      </c>
      <c r="J786" s="197"/>
      <c r="K786" s="267"/>
    </row>
    <row r="787" spans="1:11" s="199" customFormat="1" ht="23.25" customHeight="1" thickBot="1">
      <c r="A787" s="38"/>
      <c r="B787" s="161" t="s">
        <v>21</v>
      </c>
      <c r="C787" s="39"/>
      <c r="D787" s="39"/>
      <c r="E787" s="39"/>
      <c r="F787" s="39"/>
      <c r="G787" s="17">
        <f>' MARZO-18-1'!I767</f>
        <v>0</v>
      </c>
      <c r="H787" s="95">
        <f>SUM(H786)</f>
        <v>0</v>
      </c>
      <c r="I787" s="196">
        <f t="shared" si="14"/>
        <v>0</v>
      </c>
      <c r="J787" s="40"/>
      <c r="K787" s="40">
        <f>SUM(K786)</f>
        <v>0</v>
      </c>
    </row>
    <row r="788" spans="1:11" s="171" customFormat="1" ht="45">
      <c r="A788" s="184" t="s">
        <v>929</v>
      </c>
      <c r="B788" s="185" t="s">
        <v>928</v>
      </c>
      <c r="C788" s="186"/>
      <c r="D788" s="187" t="s">
        <v>22</v>
      </c>
      <c r="E788" s="187" t="s">
        <v>31</v>
      </c>
      <c r="F788" s="187" t="s">
        <v>27</v>
      </c>
      <c r="G788" s="17">
        <f>'ABRIL-18'!I777</f>
        <v>117.86000000000001</v>
      </c>
      <c r="H788" s="245"/>
      <c r="I788" s="189">
        <f t="shared" si="14"/>
        <v>117.86000000000001</v>
      </c>
      <c r="J788" s="190"/>
      <c r="K788" s="268"/>
    </row>
    <row r="789" spans="1:11" s="171" customFormat="1" ht="63" customHeight="1">
      <c r="A789" s="175" t="s">
        <v>927</v>
      </c>
      <c r="B789" s="174" t="s">
        <v>978</v>
      </c>
      <c r="C789" s="139"/>
      <c r="D789" s="14" t="s">
        <v>22</v>
      </c>
      <c r="E789" s="14" t="s">
        <v>31</v>
      </c>
      <c r="F789" s="14" t="s">
        <v>27</v>
      </c>
      <c r="G789" s="17">
        <f>'ABRIL-18'!I778</f>
        <v>290.39999999999998</v>
      </c>
      <c r="H789" s="244"/>
      <c r="I789" s="17">
        <f t="shared" si="14"/>
        <v>290.39999999999998</v>
      </c>
      <c r="J789" s="140"/>
      <c r="K789" s="140"/>
    </row>
    <row r="790" spans="1:11">
      <c r="A790" s="38"/>
      <c r="B790" s="161" t="s">
        <v>23</v>
      </c>
      <c r="C790" s="39"/>
      <c r="D790" s="39"/>
      <c r="E790" s="39"/>
      <c r="F790" s="39"/>
      <c r="G790" s="17">
        <f>' MARZO-18-1'!I770</f>
        <v>408.2600000000001</v>
      </c>
      <c r="H790" s="95">
        <f>SUM(H788:H789)</f>
        <v>0</v>
      </c>
      <c r="I790" s="17">
        <f t="shared" si="14"/>
        <v>408.2600000000001</v>
      </c>
      <c r="J790" s="40"/>
      <c r="K790" s="40">
        <f>SUM(K788:K789)</f>
        <v>0</v>
      </c>
    </row>
    <row r="791" spans="1:11" s="171" customFormat="1" ht="116.25" customHeight="1">
      <c r="A791" s="169" t="s">
        <v>200</v>
      </c>
      <c r="B791" s="174" t="s">
        <v>1081</v>
      </c>
      <c r="C791" s="139"/>
      <c r="D791" s="139"/>
      <c r="E791" s="139"/>
      <c r="F791" s="139"/>
      <c r="G791" s="17"/>
      <c r="H791" s="170"/>
      <c r="I791" s="140"/>
      <c r="J791" s="140"/>
      <c r="K791" s="140"/>
    </row>
    <row r="792" spans="1:11" s="171" customFormat="1" ht="38.25" customHeight="1">
      <c r="A792" s="255">
        <v>51999</v>
      </c>
      <c r="B792" s="173" t="s">
        <v>933</v>
      </c>
      <c r="C792" s="139"/>
      <c r="D792" s="14" t="s">
        <v>11</v>
      </c>
      <c r="E792" s="14" t="s">
        <v>25</v>
      </c>
      <c r="F792" s="257" t="s">
        <v>1025</v>
      </c>
      <c r="G792" s="17">
        <f>'ABRIL-18'!I781</f>
        <v>2100</v>
      </c>
      <c r="H792" s="140"/>
      <c r="I792" s="17">
        <f t="shared" ref="I792:I828" si="15">G792-H792+J792-K792</f>
        <v>2100</v>
      </c>
      <c r="J792" s="135"/>
      <c r="K792" s="135"/>
    </row>
    <row r="793" spans="1:11" s="171" customFormat="1" ht="30" customHeight="1">
      <c r="A793" s="255">
        <v>54199</v>
      </c>
      <c r="B793" s="173" t="s">
        <v>931</v>
      </c>
      <c r="C793" s="139"/>
      <c r="D793" s="14" t="s">
        <v>11</v>
      </c>
      <c r="E793" s="14" t="s">
        <v>25</v>
      </c>
      <c r="F793" s="257" t="s">
        <v>1025</v>
      </c>
      <c r="G793" s="17">
        <f>'ABRIL-18'!I782</f>
        <v>0</v>
      </c>
      <c r="H793" s="170"/>
      <c r="I793" s="17">
        <f t="shared" si="15"/>
        <v>0</v>
      </c>
      <c r="J793" s="135"/>
      <c r="K793" s="135"/>
    </row>
    <row r="794" spans="1:11" s="171" customFormat="1" ht="24.75" customHeight="1">
      <c r="A794" s="255">
        <v>55799</v>
      </c>
      <c r="B794" s="173" t="s">
        <v>932</v>
      </c>
      <c r="C794" s="139"/>
      <c r="D794" s="14" t="s">
        <v>11</v>
      </c>
      <c r="E794" s="14" t="s">
        <v>25</v>
      </c>
      <c r="F794" s="257" t="s">
        <v>1025</v>
      </c>
      <c r="G794" s="17">
        <f>'ABRIL-18'!I783</f>
        <v>1413.6799999999998</v>
      </c>
      <c r="H794" s="170"/>
      <c r="I794" s="17">
        <f t="shared" si="15"/>
        <v>1413.6799999999998</v>
      </c>
      <c r="J794" s="135"/>
      <c r="K794" s="135"/>
    </row>
    <row r="795" spans="1:11" s="171" customFormat="1" ht="68.25" customHeight="1">
      <c r="A795" s="176" t="s">
        <v>201</v>
      </c>
      <c r="B795" s="173" t="s">
        <v>934</v>
      </c>
      <c r="C795" s="257" t="s">
        <v>1124</v>
      </c>
      <c r="D795" s="139"/>
      <c r="E795" s="139"/>
      <c r="F795" s="257" t="s">
        <v>1024</v>
      </c>
      <c r="G795" s="17">
        <f>'ABRIL-18'!I784</f>
        <v>0</v>
      </c>
      <c r="H795" s="170"/>
      <c r="I795" s="17"/>
      <c r="J795" s="140"/>
      <c r="K795" s="140"/>
    </row>
    <row r="796" spans="1:11" s="171" customFormat="1" ht="37.5" customHeight="1">
      <c r="A796" s="254">
        <v>51202</v>
      </c>
      <c r="B796" s="173" t="s">
        <v>954</v>
      </c>
      <c r="C796" s="139"/>
      <c r="D796" s="14" t="s">
        <v>11</v>
      </c>
      <c r="E796" s="14" t="s">
        <v>25</v>
      </c>
      <c r="F796" s="257" t="s">
        <v>1024</v>
      </c>
      <c r="G796" s="17">
        <f>'ABRIL-18'!I785</f>
        <v>4335.670000000001</v>
      </c>
      <c r="H796" s="140"/>
      <c r="I796" s="17">
        <f t="shared" si="15"/>
        <v>335.67000000000098</v>
      </c>
      <c r="J796" s="140"/>
      <c r="K796" s="135">
        <v>4000</v>
      </c>
    </row>
    <row r="797" spans="1:11" s="171" customFormat="1" ht="33" customHeight="1">
      <c r="A797" s="254">
        <v>51999</v>
      </c>
      <c r="B797" s="177" t="s">
        <v>935</v>
      </c>
      <c r="C797" s="139"/>
      <c r="D797" s="14" t="s">
        <v>11</v>
      </c>
      <c r="E797" s="14" t="s">
        <v>25</v>
      </c>
      <c r="F797" s="257" t="s">
        <v>1024</v>
      </c>
      <c r="G797" s="17">
        <f>'ABRIL-18'!I786</f>
        <v>0</v>
      </c>
      <c r="H797" s="140"/>
      <c r="I797" s="17">
        <f t="shared" si="15"/>
        <v>0</v>
      </c>
      <c r="J797" s="140"/>
      <c r="K797" s="135"/>
    </row>
    <row r="798" spans="1:11" s="171" customFormat="1" ht="29.25">
      <c r="A798" s="254">
        <v>54110</v>
      </c>
      <c r="B798" s="177" t="s">
        <v>936</v>
      </c>
      <c r="C798" s="139"/>
      <c r="D798" s="14" t="s">
        <v>11</v>
      </c>
      <c r="E798" s="14" t="s">
        <v>25</v>
      </c>
      <c r="F798" s="257" t="s">
        <v>1024</v>
      </c>
      <c r="G798" s="17">
        <f>'ABRIL-18'!I787</f>
        <v>1893.86</v>
      </c>
      <c r="H798" s="140"/>
      <c r="I798" s="17">
        <f t="shared" si="15"/>
        <v>393.8599999999999</v>
      </c>
      <c r="J798" s="140"/>
      <c r="K798" s="135">
        <v>1500</v>
      </c>
    </row>
    <row r="799" spans="1:11" s="171" customFormat="1" ht="44.25">
      <c r="A799" s="254">
        <v>54111</v>
      </c>
      <c r="B799" s="173" t="s">
        <v>937</v>
      </c>
      <c r="C799" s="139"/>
      <c r="D799" s="14" t="s">
        <v>11</v>
      </c>
      <c r="E799" s="14" t="s">
        <v>25</v>
      </c>
      <c r="F799" s="257" t="s">
        <v>1024</v>
      </c>
      <c r="G799" s="17">
        <f>'ABRIL-18'!I788</f>
        <v>8419.9700000000012</v>
      </c>
      <c r="H799" s="140">
        <f>243</f>
        <v>243</v>
      </c>
      <c r="I799" s="17">
        <f t="shared" si="15"/>
        <v>176.97000000000116</v>
      </c>
      <c r="J799" s="140"/>
      <c r="K799" s="135">
        <v>8000</v>
      </c>
    </row>
    <row r="800" spans="1:11" s="171" customFormat="1" ht="44.25">
      <c r="A800" s="254">
        <v>54112</v>
      </c>
      <c r="B800" s="173" t="s">
        <v>938</v>
      </c>
      <c r="C800" s="139"/>
      <c r="D800" s="14" t="s">
        <v>11</v>
      </c>
      <c r="E800" s="14" t="s">
        <v>25</v>
      </c>
      <c r="F800" s="257" t="s">
        <v>1024</v>
      </c>
      <c r="G800" s="17">
        <f>'ABRIL-18'!I789</f>
        <v>2846.6500000000015</v>
      </c>
      <c r="H800" s="140">
        <f>943.2+482+18708.15</f>
        <v>20133.350000000002</v>
      </c>
      <c r="I800" s="18">
        <f t="shared" si="15"/>
        <v>713.29999999999927</v>
      </c>
      <c r="J800" s="135">
        <v>18000</v>
      </c>
      <c r="K800" s="135"/>
    </row>
    <row r="801" spans="1:11" s="171" customFormat="1" ht="29.25">
      <c r="A801" s="254">
        <v>54118</v>
      </c>
      <c r="B801" s="173" t="s">
        <v>939</v>
      </c>
      <c r="C801" s="139"/>
      <c r="D801" s="14" t="s">
        <v>11</v>
      </c>
      <c r="E801" s="14" t="s">
        <v>25</v>
      </c>
      <c r="F801" s="257" t="s">
        <v>1024</v>
      </c>
      <c r="G801" s="17">
        <f>'ABRIL-18'!I790</f>
        <v>2557.4499999999998</v>
      </c>
      <c r="H801" s="135">
        <f>272.7+243</f>
        <v>515.70000000000005</v>
      </c>
      <c r="I801" s="17">
        <f t="shared" si="15"/>
        <v>41.749999999999773</v>
      </c>
      <c r="J801" s="140"/>
      <c r="K801" s="135">
        <v>2000</v>
      </c>
    </row>
    <row r="802" spans="1:11" s="171" customFormat="1" ht="29.25">
      <c r="A802" s="254">
        <v>54304</v>
      </c>
      <c r="B802" s="173" t="s">
        <v>940</v>
      </c>
      <c r="C802" s="139"/>
      <c r="D802" s="14" t="s">
        <v>11</v>
      </c>
      <c r="E802" s="14" t="s">
        <v>25</v>
      </c>
      <c r="F802" s="257" t="s">
        <v>1024</v>
      </c>
      <c r="G802" s="17">
        <f>'ABRIL-18'!I791</f>
        <v>2000</v>
      </c>
      <c r="H802" s="170"/>
      <c r="I802" s="17">
        <f t="shared" si="15"/>
        <v>0</v>
      </c>
      <c r="J802" s="140"/>
      <c r="K802" s="135">
        <v>2000</v>
      </c>
    </row>
    <row r="803" spans="1:11" s="171" customFormat="1" ht="39" customHeight="1">
      <c r="A803" s="254">
        <v>54313</v>
      </c>
      <c r="B803" s="173" t="s">
        <v>941</v>
      </c>
      <c r="C803" s="139"/>
      <c r="D803" s="14" t="s">
        <v>11</v>
      </c>
      <c r="E803" s="14" t="s">
        <v>25</v>
      </c>
      <c r="F803" s="257" t="s">
        <v>1024</v>
      </c>
      <c r="G803" s="17">
        <f>'ABRIL-18'!I792</f>
        <v>1000</v>
      </c>
      <c r="H803" s="170"/>
      <c r="I803" s="17">
        <f t="shared" si="15"/>
        <v>0</v>
      </c>
      <c r="J803" s="140"/>
      <c r="K803" s="135">
        <v>1000</v>
      </c>
    </row>
    <row r="804" spans="1:11" s="171" customFormat="1" ht="36" customHeight="1">
      <c r="A804" s="254">
        <v>54399</v>
      </c>
      <c r="B804" s="173" t="s">
        <v>942</v>
      </c>
      <c r="C804" s="139"/>
      <c r="D804" s="14" t="s">
        <v>11</v>
      </c>
      <c r="E804" s="14" t="s">
        <v>25</v>
      </c>
      <c r="F804" s="257" t="s">
        <v>1024</v>
      </c>
      <c r="G804" s="17">
        <f>'ABRIL-18'!I793</f>
        <v>995</v>
      </c>
      <c r="H804" s="244">
        <f>198.21+1243</f>
        <v>1441.21</v>
      </c>
      <c r="I804" s="18">
        <f t="shared" si="15"/>
        <v>53.789999999999964</v>
      </c>
      <c r="J804" s="135">
        <v>500</v>
      </c>
      <c r="K804" s="135"/>
    </row>
    <row r="805" spans="1:11" s="171" customFormat="1" ht="34.5" customHeight="1">
      <c r="A805" s="254">
        <v>55603</v>
      </c>
      <c r="B805" s="173" t="s">
        <v>943</v>
      </c>
      <c r="C805" s="139"/>
      <c r="D805" s="14" t="s">
        <v>11</v>
      </c>
      <c r="E805" s="14" t="s">
        <v>25</v>
      </c>
      <c r="F805" s="257" t="s">
        <v>1024</v>
      </c>
      <c r="G805" s="17">
        <f>'ABRIL-18'!I794</f>
        <v>6.35</v>
      </c>
      <c r="H805" s="170"/>
      <c r="I805" s="134">
        <f t="shared" si="15"/>
        <v>6.35</v>
      </c>
      <c r="J805" s="135"/>
      <c r="K805" s="140"/>
    </row>
    <row r="806" spans="1:11" s="171" customFormat="1" ht="98.25" customHeight="1">
      <c r="A806" s="169" t="s">
        <v>220</v>
      </c>
      <c r="B806" s="241" t="s">
        <v>973</v>
      </c>
      <c r="C806" s="139" t="s">
        <v>1126</v>
      </c>
      <c r="D806" s="14"/>
      <c r="E806" s="14"/>
      <c r="F806" s="257" t="s">
        <v>1024</v>
      </c>
      <c r="G806" s="17">
        <f>'ABRIL-18'!I795</f>
        <v>0</v>
      </c>
      <c r="H806" s="170"/>
      <c r="I806" s="17"/>
      <c r="J806" s="140"/>
      <c r="K806" s="140"/>
    </row>
    <row r="807" spans="1:11" s="171" customFormat="1" ht="29.25">
      <c r="A807" s="254">
        <v>51202</v>
      </c>
      <c r="B807" s="173" t="s">
        <v>944</v>
      </c>
      <c r="C807" s="139"/>
      <c r="D807" s="14" t="s">
        <v>11</v>
      </c>
      <c r="E807" s="14" t="s">
        <v>25</v>
      </c>
      <c r="F807" s="257" t="s">
        <v>1024</v>
      </c>
      <c r="G807" s="17">
        <f>'ABRIL-18'!I796</f>
        <v>12091.14</v>
      </c>
      <c r="H807" s="140"/>
      <c r="I807" s="17">
        <f t="shared" si="15"/>
        <v>12091.14</v>
      </c>
      <c r="J807" s="140"/>
      <c r="K807" s="140"/>
    </row>
    <row r="808" spans="1:11" s="171" customFormat="1" ht="29.25">
      <c r="A808" s="254">
        <v>51999</v>
      </c>
      <c r="B808" s="173" t="s">
        <v>946</v>
      </c>
      <c r="C808" s="139"/>
      <c r="D808" s="14" t="s">
        <v>11</v>
      </c>
      <c r="E808" s="14" t="s">
        <v>25</v>
      </c>
      <c r="F808" s="257" t="s">
        <v>1024</v>
      </c>
      <c r="G808" s="17">
        <f>'ABRIL-18'!I797</f>
        <v>1000</v>
      </c>
      <c r="H808" s="140"/>
      <c r="I808" s="17">
        <f t="shared" si="15"/>
        <v>1000</v>
      </c>
      <c r="J808" s="140"/>
      <c r="K808" s="140"/>
    </row>
    <row r="809" spans="1:11" s="171" customFormat="1" ht="36" customHeight="1">
      <c r="A809" s="254">
        <v>54110</v>
      </c>
      <c r="B809" s="173" t="s">
        <v>945</v>
      </c>
      <c r="C809" s="139"/>
      <c r="D809" s="14" t="s">
        <v>11</v>
      </c>
      <c r="E809" s="14" t="s">
        <v>25</v>
      </c>
      <c r="F809" s="257" t="s">
        <v>1024</v>
      </c>
      <c r="G809" s="17">
        <f>'ABRIL-18'!I798</f>
        <v>2000</v>
      </c>
      <c r="H809" s="140"/>
      <c r="I809" s="17">
        <f t="shared" si="15"/>
        <v>2000</v>
      </c>
      <c r="J809" s="140"/>
      <c r="K809" s="140"/>
    </row>
    <row r="810" spans="1:11" s="171" customFormat="1" ht="41.25" customHeight="1">
      <c r="A810" s="254">
        <v>54111</v>
      </c>
      <c r="B810" s="173" t="s">
        <v>947</v>
      </c>
      <c r="C810" s="139"/>
      <c r="D810" s="14" t="s">
        <v>11</v>
      </c>
      <c r="E810" s="14" t="s">
        <v>25</v>
      </c>
      <c r="F810" s="257" t="s">
        <v>1024</v>
      </c>
      <c r="G810" s="17">
        <f>'ABRIL-18'!I799</f>
        <v>18000</v>
      </c>
      <c r="H810" s="140">
        <v>4123</v>
      </c>
      <c r="I810" s="17">
        <f t="shared" si="15"/>
        <v>13877</v>
      </c>
      <c r="J810" s="140"/>
      <c r="K810" s="140"/>
    </row>
    <row r="811" spans="1:11" s="171" customFormat="1" ht="35.25" customHeight="1">
      <c r="A811" s="254">
        <v>54112</v>
      </c>
      <c r="B811" s="173" t="s">
        <v>948</v>
      </c>
      <c r="C811" s="139"/>
      <c r="D811" s="14" t="s">
        <v>11</v>
      </c>
      <c r="E811" s="14" t="s">
        <v>25</v>
      </c>
      <c r="F811" s="257" t="s">
        <v>1024</v>
      </c>
      <c r="G811" s="17">
        <f>'ABRIL-18'!I800</f>
        <v>5265.95</v>
      </c>
      <c r="H811" s="140"/>
      <c r="I811" s="17">
        <f t="shared" si="15"/>
        <v>5265.95</v>
      </c>
      <c r="J811" s="140"/>
      <c r="K811" s="140"/>
    </row>
    <row r="812" spans="1:11" s="171" customFormat="1" ht="29.25">
      <c r="A812" s="254">
        <v>54118</v>
      </c>
      <c r="B812" s="173" t="s">
        <v>949</v>
      </c>
      <c r="C812" s="139"/>
      <c r="D812" s="14" t="s">
        <v>11</v>
      </c>
      <c r="E812" s="14" t="s">
        <v>25</v>
      </c>
      <c r="F812" s="257" t="s">
        <v>1024</v>
      </c>
      <c r="G812" s="17">
        <f>'ABRIL-18'!I801</f>
        <v>3000</v>
      </c>
      <c r="H812" s="140">
        <f>330</f>
        <v>330</v>
      </c>
      <c r="I812" s="17">
        <f t="shared" si="15"/>
        <v>2670</v>
      </c>
      <c r="J812" s="140"/>
      <c r="K812" s="140"/>
    </row>
    <row r="813" spans="1:11" s="171" customFormat="1" ht="29.25">
      <c r="A813" s="254">
        <v>54304</v>
      </c>
      <c r="B813" s="173" t="s">
        <v>950</v>
      </c>
      <c r="C813" s="139"/>
      <c r="D813" s="14" t="s">
        <v>11</v>
      </c>
      <c r="E813" s="14" t="s">
        <v>25</v>
      </c>
      <c r="F813" s="257" t="s">
        <v>1024</v>
      </c>
      <c r="G813" s="17">
        <f>'ABRIL-18'!I802</f>
        <v>12000</v>
      </c>
      <c r="H813" s="140"/>
      <c r="I813" s="17">
        <f t="shared" si="15"/>
        <v>12000</v>
      </c>
      <c r="J813" s="140"/>
      <c r="K813" s="140"/>
    </row>
    <row r="814" spans="1:11" s="171" customFormat="1" ht="44.25">
      <c r="A814" s="254">
        <v>54313</v>
      </c>
      <c r="B814" s="173" t="s">
        <v>951</v>
      </c>
      <c r="C814" s="139"/>
      <c r="D814" s="14" t="s">
        <v>11</v>
      </c>
      <c r="E814" s="14" t="s">
        <v>25</v>
      </c>
      <c r="F814" s="257" t="s">
        <v>1024</v>
      </c>
      <c r="G814" s="17">
        <f>'ABRIL-18'!I803</f>
        <v>1000</v>
      </c>
      <c r="H814" s="140"/>
      <c r="I814" s="17">
        <f t="shared" si="15"/>
        <v>1000</v>
      </c>
      <c r="J814" s="140"/>
      <c r="K814" s="140"/>
    </row>
    <row r="815" spans="1:11" s="171" customFormat="1" ht="44.25">
      <c r="A815" s="254">
        <v>54399</v>
      </c>
      <c r="B815" s="173" t="s">
        <v>952</v>
      </c>
      <c r="C815" s="139"/>
      <c r="D815" s="14" t="s">
        <v>11</v>
      </c>
      <c r="E815" s="14" t="s">
        <v>25</v>
      </c>
      <c r="F815" s="257" t="s">
        <v>1024</v>
      </c>
      <c r="G815" s="17">
        <f>'ABRIL-18'!I804</f>
        <v>1988</v>
      </c>
      <c r="H815" s="140"/>
      <c r="I815" s="17">
        <f t="shared" si="15"/>
        <v>1988</v>
      </c>
      <c r="J815" s="135"/>
      <c r="K815" s="135"/>
    </row>
    <row r="816" spans="1:11" s="171" customFormat="1" ht="50.25" customHeight="1">
      <c r="A816" s="254">
        <v>55603</v>
      </c>
      <c r="B816" s="173" t="s">
        <v>953</v>
      </c>
      <c r="C816" s="139"/>
      <c r="D816" s="14" t="s">
        <v>11</v>
      </c>
      <c r="E816" s="14" t="s">
        <v>25</v>
      </c>
      <c r="F816" s="257" t="s">
        <v>1024</v>
      </c>
      <c r="G816" s="17">
        <f>'ABRIL-18'!I805</f>
        <v>6.35</v>
      </c>
      <c r="H816" s="140"/>
      <c r="I816" s="134">
        <f t="shared" si="15"/>
        <v>6.35</v>
      </c>
      <c r="J816" s="135"/>
      <c r="K816" s="135"/>
    </row>
    <row r="817" spans="1:11" s="171" customFormat="1" ht="99.75">
      <c r="A817" s="256" t="s">
        <v>238</v>
      </c>
      <c r="B817" s="241" t="s">
        <v>972</v>
      </c>
      <c r="C817" s="139" t="s">
        <v>1127</v>
      </c>
      <c r="D817" s="14"/>
      <c r="E817" s="14"/>
      <c r="F817" s="257" t="s">
        <v>1024</v>
      </c>
      <c r="G817" s="17">
        <f>'ABRIL-18'!I806</f>
        <v>0</v>
      </c>
      <c r="H817" s="170"/>
      <c r="I817" s="17"/>
      <c r="J817" s="140"/>
      <c r="K817" s="140"/>
    </row>
    <row r="818" spans="1:11" s="171" customFormat="1" ht="29.25">
      <c r="A818" s="254">
        <v>51202</v>
      </c>
      <c r="B818" s="173" t="s">
        <v>955</v>
      </c>
      <c r="C818" s="139"/>
      <c r="D818" s="14" t="s">
        <v>11</v>
      </c>
      <c r="E818" s="14" t="s">
        <v>25</v>
      </c>
      <c r="F818" s="257" t="s">
        <v>1024</v>
      </c>
      <c r="G818" s="17">
        <f>'ABRIL-18'!I807</f>
        <v>6476.74</v>
      </c>
      <c r="H818" s="244"/>
      <c r="I818" s="17">
        <f t="shared" si="15"/>
        <v>5476.74</v>
      </c>
      <c r="J818" s="140"/>
      <c r="K818" s="135">
        <v>1000</v>
      </c>
    </row>
    <row r="819" spans="1:11" s="171" customFormat="1" ht="43.5">
      <c r="A819" s="254">
        <v>51999</v>
      </c>
      <c r="B819" s="173" t="s">
        <v>956</v>
      </c>
      <c r="C819" s="139"/>
      <c r="D819" s="14" t="s">
        <v>11</v>
      </c>
      <c r="E819" s="14" t="s">
        <v>25</v>
      </c>
      <c r="F819" s="257" t="s">
        <v>1024</v>
      </c>
      <c r="G819" s="17">
        <f>'ABRIL-18'!I808</f>
        <v>0</v>
      </c>
      <c r="H819" s="244"/>
      <c r="I819" s="17">
        <f t="shared" si="15"/>
        <v>0</v>
      </c>
      <c r="J819" s="140"/>
      <c r="K819" s="135"/>
    </row>
    <row r="820" spans="1:11" s="171" customFormat="1" ht="43.5">
      <c r="A820" s="254">
        <v>54110</v>
      </c>
      <c r="B820" s="173" t="s">
        <v>957</v>
      </c>
      <c r="C820" s="139"/>
      <c r="D820" s="14" t="s">
        <v>11</v>
      </c>
      <c r="E820" s="14" t="s">
        <v>25</v>
      </c>
      <c r="F820" s="257" t="s">
        <v>1024</v>
      </c>
      <c r="G820" s="17">
        <f>'ABRIL-18'!I809</f>
        <v>1909.2</v>
      </c>
      <c r="H820" s="244"/>
      <c r="I820" s="17">
        <f t="shared" si="15"/>
        <v>909.2</v>
      </c>
      <c r="J820" s="140"/>
      <c r="K820" s="135">
        <v>1000</v>
      </c>
    </row>
    <row r="821" spans="1:11" s="171" customFormat="1" ht="44.25">
      <c r="A821" s="254">
        <v>54111</v>
      </c>
      <c r="B821" s="173" t="s">
        <v>958</v>
      </c>
      <c r="C821" s="139"/>
      <c r="D821" s="14" t="s">
        <v>11</v>
      </c>
      <c r="E821" s="14" t="s">
        <v>25</v>
      </c>
      <c r="F821" s="257" t="s">
        <v>1024</v>
      </c>
      <c r="G821" s="17">
        <f>'ABRIL-18'!I810</f>
        <v>4620</v>
      </c>
      <c r="H821" s="244">
        <f>1659.5+417</f>
        <v>2076.5</v>
      </c>
      <c r="I821" s="17">
        <f t="shared" si="15"/>
        <v>1543.5</v>
      </c>
      <c r="J821" s="140"/>
      <c r="K821" s="135">
        <v>1000</v>
      </c>
    </row>
    <row r="822" spans="1:11" s="171" customFormat="1" ht="44.25">
      <c r="A822" s="254">
        <v>54112</v>
      </c>
      <c r="B822" s="173" t="s">
        <v>959</v>
      </c>
      <c r="C822" s="139"/>
      <c r="D822" s="14" t="s">
        <v>11</v>
      </c>
      <c r="E822" s="14" t="s">
        <v>25</v>
      </c>
      <c r="F822" s="257" t="s">
        <v>1024</v>
      </c>
      <c r="G822" s="17">
        <f>'ABRIL-18'!I811</f>
        <v>391.85000000000036</v>
      </c>
      <c r="H822" s="244"/>
      <c r="I822" s="134">
        <f t="shared" si="15"/>
        <v>391.85000000000036</v>
      </c>
      <c r="J822" s="135"/>
      <c r="K822" s="135"/>
    </row>
    <row r="823" spans="1:11" s="171" customFormat="1" ht="38.25" customHeight="1">
      <c r="A823" s="254">
        <v>54118</v>
      </c>
      <c r="B823" s="173" t="s">
        <v>960</v>
      </c>
      <c r="C823" s="139"/>
      <c r="D823" s="14" t="s">
        <v>11</v>
      </c>
      <c r="E823" s="14" t="s">
        <v>25</v>
      </c>
      <c r="F823" s="257" t="s">
        <v>1024</v>
      </c>
      <c r="G823" s="17">
        <f>'ABRIL-18'!I812</f>
        <v>998.59999999999991</v>
      </c>
      <c r="H823" s="244">
        <f>267.5+3716.7+530.55+19</f>
        <v>4533.75</v>
      </c>
      <c r="I823" s="18">
        <f t="shared" si="15"/>
        <v>1464.85</v>
      </c>
      <c r="J823" s="135">
        <v>5000</v>
      </c>
      <c r="K823" s="135"/>
    </row>
    <row r="824" spans="1:11" s="171" customFormat="1" ht="39" customHeight="1">
      <c r="A824" s="254">
        <v>54304</v>
      </c>
      <c r="B824" s="173" t="s">
        <v>961</v>
      </c>
      <c r="C824" s="139"/>
      <c r="D824" s="14" t="s">
        <v>11</v>
      </c>
      <c r="E824" s="14" t="s">
        <v>25</v>
      </c>
      <c r="F824" s="257" t="s">
        <v>1024</v>
      </c>
      <c r="G824" s="17">
        <f>'ABRIL-18'!I813</f>
        <v>1993</v>
      </c>
      <c r="H824" s="170"/>
      <c r="I824" s="17">
        <f t="shared" si="15"/>
        <v>993</v>
      </c>
      <c r="J824" s="135"/>
      <c r="K824" s="135">
        <v>1000</v>
      </c>
    </row>
    <row r="825" spans="1:11" s="171" customFormat="1" ht="39" customHeight="1">
      <c r="A825" s="254">
        <v>54313</v>
      </c>
      <c r="B825" s="173" t="s">
        <v>962</v>
      </c>
      <c r="C825" s="139"/>
      <c r="D825" s="14" t="s">
        <v>11</v>
      </c>
      <c r="E825" s="14" t="s">
        <v>25</v>
      </c>
      <c r="F825" s="257" t="s">
        <v>1024</v>
      </c>
      <c r="G825" s="17">
        <f>'ABRIL-18'!I814</f>
        <v>500</v>
      </c>
      <c r="H825" s="170"/>
      <c r="I825" s="17">
        <f t="shared" si="15"/>
        <v>500</v>
      </c>
      <c r="J825" s="135"/>
      <c r="K825" s="135"/>
    </row>
    <row r="826" spans="1:11" s="171" customFormat="1" ht="45" customHeight="1">
      <c r="A826" s="254">
        <v>54316</v>
      </c>
      <c r="B826" s="173" t="s">
        <v>1023</v>
      </c>
      <c r="C826" s="139"/>
      <c r="D826" s="14" t="s">
        <v>11</v>
      </c>
      <c r="E826" s="14" t="s">
        <v>25</v>
      </c>
      <c r="F826" s="257" t="s">
        <v>1024</v>
      </c>
      <c r="G826" s="17">
        <f>'ABRIL-18'!I815</f>
        <v>50</v>
      </c>
      <c r="H826" s="170"/>
      <c r="I826" s="134">
        <f t="shared" si="15"/>
        <v>50</v>
      </c>
      <c r="J826" s="135"/>
      <c r="K826" s="135"/>
    </row>
    <row r="827" spans="1:11" s="171" customFormat="1" ht="40.5" customHeight="1">
      <c r="A827" s="254">
        <v>54399</v>
      </c>
      <c r="B827" s="173" t="s">
        <v>963</v>
      </c>
      <c r="C827" s="139"/>
      <c r="D827" s="14" t="s">
        <v>11</v>
      </c>
      <c r="E827" s="14" t="s">
        <v>25</v>
      </c>
      <c r="F827" s="257" t="s">
        <v>1024</v>
      </c>
      <c r="G827" s="17">
        <f>'ABRIL-18'!I816</f>
        <v>1495</v>
      </c>
      <c r="H827" s="170"/>
      <c r="I827" s="17">
        <f t="shared" si="15"/>
        <v>495</v>
      </c>
      <c r="J827" s="135"/>
      <c r="K827" s="135">
        <v>1000</v>
      </c>
    </row>
    <row r="828" spans="1:11" s="171" customFormat="1" ht="57.75">
      <c r="A828" s="254">
        <v>55603</v>
      </c>
      <c r="B828" s="173" t="s">
        <v>971</v>
      </c>
      <c r="C828" s="139"/>
      <c r="D828" s="14" t="s">
        <v>11</v>
      </c>
      <c r="E828" s="14" t="s">
        <v>25</v>
      </c>
      <c r="F828" s="257" t="s">
        <v>1024</v>
      </c>
      <c r="G828" s="17">
        <f>'ABRIL-18'!I817</f>
        <v>6.35</v>
      </c>
      <c r="H828" s="170"/>
      <c r="I828" s="134">
        <f t="shared" si="15"/>
        <v>6.35</v>
      </c>
      <c r="J828" s="135"/>
      <c r="K828" s="140"/>
    </row>
    <row r="829" spans="1:11" ht="21">
      <c r="A829" s="38" t="s">
        <v>8</v>
      </c>
      <c r="B829" s="39" t="s">
        <v>24</v>
      </c>
      <c r="C829" s="39"/>
      <c r="D829" s="39" t="s">
        <v>11</v>
      </c>
      <c r="E829" s="39" t="s">
        <v>25</v>
      </c>
      <c r="F829" s="257" t="s">
        <v>1024</v>
      </c>
      <c r="G829" s="17">
        <f>'ABRIL-18'!I818</f>
        <v>102360.81</v>
      </c>
      <c r="H829" s="95">
        <f>SUM(H791:H828)</f>
        <v>33396.51</v>
      </c>
      <c r="I829" s="40">
        <f>G829-H829+J829-K829</f>
        <v>68964.299999999988</v>
      </c>
      <c r="J829" s="40">
        <f>SUM(J791:J828)</f>
        <v>23500</v>
      </c>
      <c r="K829" s="40">
        <f>SUM(K791:K828)</f>
        <v>23500</v>
      </c>
    </row>
    <row r="830" spans="1:11" ht="28.5">
      <c r="A830" s="169" t="s">
        <v>15</v>
      </c>
      <c r="B830" s="282" t="s">
        <v>990</v>
      </c>
      <c r="C830" s="139" t="s">
        <v>1070</v>
      </c>
      <c r="D830" s="14" t="s">
        <v>18</v>
      </c>
      <c r="E830" s="14" t="s">
        <v>28</v>
      </c>
      <c r="F830" s="287" t="s">
        <v>1073</v>
      </c>
      <c r="G830" s="17">
        <f>'ABRIL-18'!I819</f>
        <v>0</v>
      </c>
      <c r="H830" s="170"/>
      <c r="I830" s="135">
        <f>G830-H830+J830-K830</f>
        <v>0</v>
      </c>
      <c r="J830" s="135"/>
      <c r="K830" s="140"/>
    </row>
    <row r="831" spans="1:11" ht="25.5">
      <c r="A831" s="38"/>
      <c r="B831" s="39" t="s">
        <v>989</v>
      </c>
      <c r="C831" s="39"/>
      <c r="D831" s="99" t="s">
        <v>18</v>
      </c>
      <c r="E831" s="99" t="s">
        <v>28</v>
      </c>
      <c r="F831" s="242" t="s">
        <v>996</v>
      </c>
      <c r="G831" s="17"/>
      <c r="H831" s="95">
        <f>SUM(H830)</f>
        <v>0</v>
      </c>
      <c r="I831" s="40">
        <f>SUM(I830)</f>
        <v>0</v>
      </c>
      <c r="J831" s="40"/>
      <c r="K831" s="40"/>
    </row>
    <row r="832" spans="1:11" ht="28.5">
      <c r="A832" s="169" t="s">
        <v>16</v>
      </c>
      <c r="B832" s="282" t="s">
        <v>1068</v>
      </c>
      <c r="C832" s="139" t="s">
        <v>1070</v>
      </c>
      <c r="D832" s="14" t="s">
        <v>18</v>
      </c>
      <c r="E832" s="14" t="s">
        <v>28</v>
      </c>
      <c r="F832" s="139" t="s">
        <v>1074</v>
      </c>
      <c r="G832" s="17">
        <f>'ABRIL-18'!I821</f>
        <v>10</v>
      </c>
      <c r="H832" s="170"/>
      <c r="I832" s="244">
        <f>G832-H832+J832-K832</f>
        <v>10</v>
      </c>
      <c r="J832" s="140"/>
      <c r="K832" s="140"/>
    </row>
    <row r="833" spans="1:11">
      <c r="A833" s="38"/>
      <c r="B833" s="39" t="s">
        <v>989</v>
      </c>
      <c r="C833" s="39"/>
      <c r="D833" s="99" t="s">
        <v>18</v>
      </c>
      <c r="E833" s="99" t="s">
        <v>28</v>
      </c>
      <c r="F833" s="139" t="s">
        <v>1069</v>
      </c>
      <c r="G833" s="17">
        <f>SUM(G832)</f>
        <v>10</v>
      </c>
      <c r="H833" s="95">
        <f>SUM(H832)</f>
        <v>0</v>
      </c>
      <c r="I833" s="40">
        <f>SUM(I830:I832)</f>
        <v>10</v>
      </c>
      <c r="J833" s="40">
        <f>SUM(J832)</f>
        <v>0</v>
      </c>
      <c r="K833" s="40"/>
    </row>
    <row r="834" spans="1:11" ht="20.25" customHeight="1">
      <c r="A834" s="469" t="s">
        <v>124</v>
      </c>
      <c r="B834" s="469"/>
      <c r="C834" s="469"/>
      <c r="D834" s="48"/>
      <c r="E834" s="48"/>
      <c r="F834" s="48"/>
      <c r="G834" s="17">
        <f>'ABRIL-18'!I823</f>
        <v>2349954.1700000004</v>
      </c>
      <c r="H834" s="51">
        <f>H833+H831+H829+H790+H787+H785+H421+H158+H150+H137+H126+H101+H74+H61</f>
        <v>164241.54999999999</v>
      </c>
      <c r="I834" s="49">
        <f>I833+I831+I829+I790+I787+I785+I421+I158+I150+I137+I126+I101+I74+I61</f>
        <v>2185712.62</v>
      </c>
      <c r="J834" s="231">
        <f>J833+J831+J829+J790+J787+J785+J421+J158+J150+J137+J126+J101+J74+J61</f>
        <v>479414.43</v>
      </c>
      <c r="K834" s="231">
        <f>K829+K790+K785+K421+K158+K150+K137+K126+K101+K74+K61+K787</f>
        <v>479414.43</v>
      </c>
    </row>
    <row r="835" spans="1:11">
      <c r="J835" s="130"/>
    </row>
    <row r="836" spans="1:11">
      <c r="I836" s="274"/>
      <c r="J836" s="262">
        <f>J834-K834</f>
        <v>0</v>
      </c>
    </row>
    <row r="837" spans="1:11">
      <c r="A837" s="232" t="s">
        <v>1031</v>
      </c>
    </row>
    <row r="838" spans="1:11">
      <c r="A838" s="273" t="s">
        <v>1050</v>
      </c>
      <c r="B838" s="273"/>
      <c r="C838" s="273"/>
      <c r="D838" s="273"/>
      <c r="E838" s="273"/>
      <c r="F838" s="273"/>
    </row>
  </sheetData>
  <mergeCells count="3">
    <mergeCell ref="B1:K1"/>
    <mergeCell ref="B2:J2"/>
    <mergeCell ref="A834:C834"/>
  </mergeCells>
  <pageMargins left="0.15748031496062992" right="0.11811023622047245" top="0.19685039370078741" bottom="0.62992125984251968" header="0.15748031496062992" footer="0.11811023622047245"/>
  <pageSetup paperSize="5" scale="80" orientation="landscape" horizontalDpi="4294967293" verticalDpi="4294967293" r:id="rId1"/>
  <headerFooter>
    <oddFooter>&amp;L&amp;P
&amp;F
&amp;D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9</vt:i4>
      </vt:variant>
    </vt:vector>
  </HeadingPairs>
  <TitlesOfParts>
    <vt:vector size="34" baseType="lpstr">
      <vt:lpstr>Enero-18</vt:lpstr>
      <vt:lpstr>Resumen Enero</vt:lpstr>
      <vt:lpstr>FEBRERO-18</vt:lpstr>
      <vt:lpstr>Resumen Febrero</vt:lpstr>
      <vt:lpstr> MARZO-18-1</vt:lpstr>
      <vt:lpstr>Resumen Marzo</vt:lpstr>
      <vt:lpstr>ABRIL-18</vt:lpstr>
      <vt:lpstr>Resumen ABRIL-18</vt:lpstr>
      <vt:lpstr>MAYO-18 </vt:lpstr>
      <vt:lpstr>Resumen MAYO-18 </vt:lpstr>
      <vt:lpstr>JUNIO-18 </vt:lpstr>
      <vt:lpstr>Resumen JUNIO-18 </vt:lpstr>
      <vt:lpstr>JULIO-18  </vt:lpstr>
      <vt:lpstr>Resumen JULIO -18  </vt:lpstr>
      <vt:lpstr>AGOST-18</vt:lpstr>
      <vt:lpstr>Resumen AGOSTO -18  </vt:lpstr>
      <vt:lpstr>SEPT-18</vt:lpstr>
      <vt:lpstr>Resum SEPT-18</vt:lpstr>
      <vt:lpstr>OCT-18</vt:lpstr>
      <vt:lpstr>RESUM.OCT-18</vt:lpstr>
      <vt:lpstr>NOV-18 </vt:lpstr>
      <vt:lpstr>RESUM.NOV-18 </vt:lpstr>
      <vt:lpstr>DIC-18</vt:lpstr>
      <vt:lpstr>RESUM.DIC-18 </vt:lpstr>
      <vt:lpstr>DIC-18-MES 13</vt:lpstr>
      <vt:lpstr>' MARZO-18-1'!Área_de_impresión</vt:lpstr>
      <vt:lpstr>'ABRIL-18'!Área_de_impresión</vt:lpstr>
      <vt:lpstr>'AGOST-18'!Área_de_impresión</vt:lpstr>
      <vt:lpstr>'Enero-18'!Área_de_impresión</vt:lpstr>
      <vt:lpstr>'FEBRERO-18'!Área_de_impresión</vt:lpstr>
      <vt:lpstr>'JULIO-18  '!Área_de_impresión</vt:lpstr>
      <vt:lpstr>'JUNIO-18 '!Área_de_impresión</vt:lpstr>
      <vt:lpstr>'MAYO-18 '!Área_de_impresión</vt:lpstr>
      <vt:lpstr>'SEPT-18'!Área_de_impresión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dc:creator>
  <cp:lastModifiedBy>CONTABILIDAD</cp:lastModifiedBy>
  <cp:lastPrinted>2019-05-01T19:48:47Z</cp:lastPrinted>
  <dcterms:created xsi:type="dcterms:W3CDTF">2017-02-06T18:06:11Z</dcterms:created>
  <dcterms:modified xsi:type="dcterms:W3CDTF">2019-05-01T20:13:34Z</dcterms:modified>
</cp:coreProperties>
</file>