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28455" windowHeight="12525"/>
  </bookViews>
  <sheets>
    <sheet name="Hoja1" sheetId="1" r:id="rId1"/>
    <sheet name="Hoja2" sheetId="2" r:id="rId2"/>
    <sheet name="Hoja3" sheetId="3" r:id="rId3"/>
  </sheets>
  <calcPr calcId="124519"/>
</workbook>
</file>

<file path=xl/calcChain.xml><?xml version="1.0" encoding="utf-8"?>
<calcChain xmlns="http://schemas.openxmlformats.org/spreadsheetml/2006/main">
  <c r="AE584" i="1"/>
  <c r="AC584"/>
  <c r="AA584"/>
  <c r="X584"/>
  <c r="W584"/>
  <c r="U584"/>
  <c r="S584"/>
  <c r="R584"/>
  <c r="Q584"/>
  <c r="M584"/>
  <c r="L584"/>
  <c r="K584"/>
  <c r="J584"/>
  <c r="G584"/>
  <c r="F584"/>
  <c r="E584"/>
  <c r="D584"/>
  <c r="C584"/>
  <c r="AF582"/>
  <c r="AD582"/>
  <c r="Y582"/>
  <c r="V582"/>
  <c r="AF581"/>
  <c r="AD581"/>
  <c r="Y581"/>
  <c r="V581"/>
  <c r="H581"/>
  <c r="AF580"/>
  <c r="AD580"/>
  <c r="Y580"/>
  <c r="V580"/>
  <c r="H580"/>
  <c r="AF579"/>
  <c r="AD579"/>
  <c r="Y579"/>
  <c r="V579"/>
  <c r="H579"/>
  <c r="AF578"/>
  <c r="AD578"/>
  <c r="Y578"/>
  <c r="V578"/>
  <c r="H578"/>
  <c r="AF577"/>
  <c r="AD577"/>
  <c r="Y577"/>
  <c r="V577"/>
  <c r="H577"/>
  <c r="AF576"/>
  <c r="Z576"/>
  <c r="AD576" s="1"/>
  <c r="Y576"/>
  <c r="O576"/>
  <c r="V576" s="1"/>
  <c r="H576"/>
  <c r="AF575"/>
  <c r="AB575"/>
  <c r="Z575"/>
  <c r="Y575"/>
  <c r="P575"/>
  <c r="O575"/>
  <c r="H575"/>
  <c r="AF574"/>
  <c r="AB574"/>
  <c r="Z574"/>
  <c r="Y574"/>
  <c r="T574"/>
  <c r="O574"/>
  <c r="N574"/>
  <c r="N584" s="1"/>
  <c r="I574"/>
  <c r="I584" s="1"/>
  <c r="H574"/>
  <c r="AF573"/>
  <c r="AB573"/>
  <c r="Z573"/>
  <c r="Y573"/>
  <c r="T573"/>
  <c r="O573"/>
  <c r="H573"/>
  <c r="AF572"/>
  <c r="AB572"/>
  <c r="Z572"/>
  <c r="Y572"/>
  <c r="O572"/>
  <c r="V572" s="1"/>
  <c r="H572"/>
  <c r="AF571"/>
  <c r="AB571"/>
  <c r="Z571"/>
  <c r="Y571"/>
  <c r="T571"/>
  <c r="O571"/>
  <c r="H571"/>
  <c r="AF570"/>
  <c r="AD570"/>
  <c r="Y570"/>
  <c r="T570"/>
  <c r="O570"/>
  <c r="H570"/>
  <c r="AF569"/>
  <c r="AB569"/>
  <c r="Z569"/>
  <c r="Y569"/>
  <c r="O569"/>
  <c r="V569" s="1"/>
  <c r="H569"/>
  <c r="AF568"/>
  <c r="AB568"/>
  <c r="Z568"/>
  <c r="AD568" s="1"/>
  <c r="Y568"/>
  <c r="T568"/>
  <c r="O568"/>
  <c r="H568"/>
  <c r="AF567"/>
  <c r="AB567"/>
  <c r="Z567"/>
  <c r="Y567"/>
  <c r="O567"/>
  <c r="V567" s="1"/>
  <c r="H567"/>
  <c r="AF566"/>
  <c r="AB566"/>
  <c r="Z566"/>
  <c r="Y566"/>
  <c r="O566"/>
  <c r="V566" s="1"/>
  <c r="H566"/>
  <c r="AF565"/>
  <c r="AB565"/>
  <c r="Z565"/>
  <c r="Y565"/>
  <c r="O565"/>
  <c r="V565" s="1"/>
  <c r="H565"/>
  <c r="AF564"/>
  <c r="Z564"/>
  <c r="AD564" s="1"/>
  <c r="Y564"/>
  <c r="P564"/>
  <c r="O564"/>
  <c r="H564"/>
  <c r="AF563"/>
  <c r="AB563"/>
  <c r="Z563"/>
  <c r="Y563"/>
  <c r="T563"/>
  <c r="O563"/>
  <c r="V563" s="1"/>
  <c r="H563"/>
  <c r="AF562"/>
  <c r="AD562"/>
  <c r="Y562"/>
  <c r="P562"/>
  <c r="O562"/>
  <c r="V562" s="1"/>
  <c r="H562"/>
  <c r="AF561"/>
  <c r="AB561"/>
  <c r="Z561"/>
  <c r="AD561" s="1"/>
  <c r="Y561"/>
  <c r="O561"/>
  <c r="V561" s="1"/>
  <c r="H561"/>
  <c r="AF560"/>
  <c r="AF584" s="1"/>
  <c r="AB560"/>
  <c r="Z560"/>
  <c r="Z584" s="1"/>
  <c r="Y560"/>
  <c r="T560"/>
  <c r="T584" s="1"/>
  <c r="O560"/>
  <c r="H560"/>
  <c r="H584" s="1"/>
  <c r="AE547"/>
  <c r="AC547"/>
  <c r="AA547"/>
  <c r="X547"/>
  <c r="W547"/>
  <c r="U547"/>
  <c r="T547"/>
  <c r="S547"/>
  <c r="Q547"/>
  <c r="P547"/>
  <c r="N547"/>
  <c r="M547"/>
  <c r="L547"/>
  <c r="K547"/>
  <c r="J547"/>
  <c r="I547"/>
  <c r="G547"/>
  <c r="F547"/>
  <c r="E547"/>
  <c r="D547"/>
  <c r="C547"/>
  <c r="AF545"/>
  <c r="AB545"/>
  <c r="Z545"/>
  <c r="AD545" s="1"/>
  <c r="Y545"/>
  <c r="V545"/>
  <c r="O545"/>
  <c r="H545"/>
  <c r="AF544"/>
  <c r="AD544"/>
  <c r="Y544"/>
  <c r="V544"/>
  <c r="H544"/>
  <c r="AF543"/>
  <c r="AD543"/>
  <c r="Y543"/>
  <c r="V543"/>
  <c r="H543"/>
  <c r="AF542"/>
  <c r="AD542"/>
  <c r="Y542"/>
  <c r="V542"/>
  <c r="H542"/>
  <c r="AF541"/>
  <c r="AD541"/>
  <c r="Y541"/>
  <c r="V541"/>
  <c r="H541"/>
  <c r="AF540"/>
  <c r="AD540"/>
  <c r="Y540"/>
  <c r="V540"/>
  <c r="H540"/>
  <c r="AF539"/>
  <c r="AD539"/>
  <c r="Y539"/>
  <c r="V539"/>
  <c r="H539"/>
  <c r="AF538"/>
  <c r="AB538"/>
  <c r="Z538"/>
  <c r="Y538"/>
  <c r="O538"/>
  <c r="V538" s="1"/>
  <c r="H538"/>
  <c r="AF537"/>
  <c r="AB537"/>
  <c r="Z537"/>
  <c r="Y537"/>
  <c r="O537"/>
  <c r="V537" s="1"/>
  <c r="H537"/>
  <c r="AF536"/>
  <c r="AB536"/>
  <c r="Z536"/>
  <c r="Y536"/>
  <c r="R536"/>
  <c r="R547" s="1"/>
  <c r="O536"/>
  <c r="H536"/>
  <c r="AF535"/>
  <c r="AD535"/>
  <c r="Y535"/>
  <c r="V535"/>
  <c r="H535"/>
  <c r="AF534"/>
  <c r="AD534"/>
  <c r="Y534"/>
  <c r="V534"/>
  <c r="H534"/>
  <c r="AF533"/>
  <c r="AD533"/>
  <c r="Y533"/>
  <c r="V533"/>
  <c r="H533"/>
  <c r="AF532"/>
  <c r="AD532"/>
  <c r="Y532"/>
  <c r="V532"/>
  <c r="H532"/>
  <c r="AF531"/>
  <c r="AD531"/>
  <c r="Y531"/>
  <c r="V531"/>
  <c r="H531"/>
  <c r="AF530"/>
  <c r="AD530"/>
  <c r="Y530"/>
  <c r="V530"/>
  <c r="H530"/>
  <c r="AF529"/>
  <c r="AD529"/>
  <c r="Y529"/>
  <c r="V529"/>
  <c r="H529"/>
  <c r="AF528"/>
  <c r="AD528"/>
  <c r="Y528"/>
  <c r="V528"/>
  <c r="H528"/>
  <c r="AF527"/>
  <c r="AD527"/>
  <c r="Y527"/>
  <c r="V527"/>
  <c r="H527"/>
  <c r="AF526"/>
  <c r="AD526"/>
  <c r="Y526"/>
  <c r="V526"/>
  <c r="H526"/>
  <c r="AF525"/>
  <c r="AD525"/>
  <c r="Y525"/>
  <c r="V525"/>
  <c r="H525"/>
  <c r="AE512"/>
  <c r="AB512"/>
  <c r="AA512"/>
  <c r="Z512"/>
  <c r="X512"/>
  <c r="W512"/>
  <c r="U512"/>
  <c r="T512"/>
  <c r="S512"/>
  <c r="R512"/>
  <c r="Q512"/>
  <c r="P512"/>
  <c r="O512"/>
  <c r="N512"/>
  <c r="M512"/>
  <c r="L512"/>
  <c r="K512"/>
  <c r="J512"/>
  <c r="I512"/>
  <c r="G512"/>
  <c r="F512"/>
  <c r="E512"/>
  <c r="D512"/>
  <c r="C512"/>
  <c r="AF510"/>
  <c r="AD510"/>
  <c r="Y510"/>
  <c r="V510"/>
  <c r="H510"/>
  <c r="AF509"/>
  <c r="AD509"/>
  <c r="Y509"/>
  <c r="V509"/>
  <c r="H509"/>
  <c r="AF508"/>
  <c r="AD508"/>
  <c r="Y508"/>
  <c r="V508"/>
  <c r="H508"/>
  <c r="AF507"/>
  <c r="AD507"/>
  <c r="Y507"/>
  <c r="V507"/>
  <c r="H507"/>
  <c r="AF506"/>
  <c r="AD506"/>
  <c r="Y506"/>
  <c r="V506"/>
  <c r="H506"/>
  <c r="AF505"/>
  <c r="AD505"/>
  <c r="Y505"/>
  <c r="V505"/>
  <c r="H505"/>
  <c r="AF504"/>
  <c r="AD504"/>
  <c r="Y504"/>
  <c r="V504"/>
  <c r="H504"/>
  <c r="AF503"/>
  <c r="AD503"/>
  <c r="Y503"/>
  <c r="V503"/>
  <c r="H503"/>
  <c r="AF502"/>
  <c r="AD502"/>
  <c r="Y502"/>
  <c r="V502"/>
  <c r="H502"/>
  <c r="AF501"/>
  <c r="AD501"/>
  <c r="Y501"/>
  <c r="V501"/>
  <c r="H501"/>
  <c r="AF500"/>
  <c r="AD500"/>
  <c r="Y500"/>
  <c r="V500"/>
  <c r="H500"/>
  <c r="AF499"/>
  <c r="AD499"/>
  <c r="Y499"/>
  <c r="V499"/>
  <c r="H499"/>
  <c r="AF498"/>
  <c r="AD498"/>
  <c r="Y498"/>
  <c r="V498"/>
  <c r="H498"/>
  <c r="AF497"/>
  <c r="AD497"/>
  <c r="Y497"/>
  <c r="V497"/>
  <c r="H497"/>
  <c r="AF496"/>
  <c r="AD496"/>
  <c r="Y496"/>
  <c r="V496"/>
  <c r="H496"/>
  <c r="AF495"/>
  <c r="AD495"/>
  <c r="Y495"/>
  <c r="V495"/>
  <c r="H495"/>
  <c r="AF494"/>
  <c r="AD494"/>
  <c r="Y494"/>
  <c r="V494"/>
  <c r="H494"/>
  <c r="AF493"/>
  <c r="AD493"/>
  <c r="Y493"/>
  <c r="V493"/>
  <c r="H493"/>
  <c r="AF492"/>
  <c r="AD492"/>
  <c r="Y492"/>
  <c r="V492"/>
  <c r="H492"/>
  <c r="AF491"/>
  <c r="AD491"/>
  <c r="Y491"/>
  <c r="V491"/>
  <c r="H491"/>
  <c r="AF490"/>
  <c r="AD490"/>
  <c r="Y490"/>
  <c r="V490"/>
  <c r="H490"/>
  <c r="AF489"/>
  <c r="AD489"/>
  <c r="Y489"/>
  <c r="V489"/>
  <c r="H489"/>
  <c r="AF488"/>
  <c r="AD488"/>
  <c r="Y488"/>
  <c r="V488"/>
  <c r="H488"/>
  <c r="AE477"/>
  <c r="AC477"/>
  <c r="AB477"/>
  <c r="AA477"/>
  <c r="Z477"/>
  <c r="X477"/>
  <c r="W477"/>
  <c r="U477"/>
  <c r="T477"/>
  <c r="S477"/>
  <c r="R477"/>
  <c r="Q477"/>
  <c r="P477"/>
  <c r="O477"/>
  <c r="N477"/>
  <c r="M477"/>
  <c r="L477"/>
  <c r="K477"/>
  <c r="J477"/>
  <c r="H477"/>
  <c r="G477"/>
  <c r="F477"/>
  <c r="E477"/>
  <c r="D477"/>
  <c r="C477"/>
  <c r="AF475"/>
  <c r="AD475"/>
  <c r="Y475"/>
  <c r="V475"/>
  <c r="I475"/>
  <c r="AF474"/>
  <c r="AD474"/>
  <c r="Y474"/>
  <c r="V474"/>
  <c r="I474"/>
  <c r="AF473"/>
  <c r="AD473"/>
  <c r="Y473"/>
  <c r="V473"/>
  <c r="I473"/>
  <c r="AF472"/>
  <c r="AD472"/>
  <c r="Y472"/>
  <c r="V472"/>
  <c r="I472"/>
  <c r="AF471"/>
  <c r="AD471"/>
  <c r="Y471"/>
  <c r="V471"/>
  <c r="I471"/>
  <c r="AF470"/>
  <c r="AD470"/>
  <c r="Y470"/>
  <c r="V470"/>
  <c r="I470"/>
  <c r="AF469"/>
  <c r="AD469"/>
  <c r="Y469"/>
  <c r="V469"/>
  <c r="I469"/>
  <c r="AF468"/>
  <c r="AD468"/>
  <c r="Y468"/>
  <c r="V468"/>
  <c r="I468"/>
  <c r="AF467"/>
  <c r="AD467"/>
  <c r="Y467"/>
  <c r="V467"/>
  <c r="I467"/>
  <c r="AF466"/>
  <c r="AD466"/>
  <c r="Y466"/>
  <c r="V466"/>
  <c r="I466"/>
  <c r="AF465"/>
  <c r="AD465"/>
  <c r="Y465"/>
  <c r="V465"/>
  <c r="I465"/>
  <c r="AF464"/>
  <c r="AD464"/>
  <c r="Y464"/>
  <c r="V464"/>
  <c r="I464"/>
  <c r="AF463"/>
  <c r="AD463"/>
  <c r="Y463"/>
  <c r="V463"/>
  <c r="I463"/>
  <c r="AF462"/>
  <c r="AD462"/>
  <c r="Y462"/>
  <c r="V462"/>
  <c r="I462"/>
  <c r="AF461"/>
  <c r="AD461"/>
  <c r="Y461"/>
  <c r="V461"/>
  <c r="I461"/>
  <c r="AF460"/>
  <c r="AD460"/>
  <c r="Y460"/>
  <c r="V460"/>
  <c r="I460"/>
  <c r="AF459"/>
  <c r="AD459"/>
  <c r="Y459"/>
  <c r="V459"/>
  <c r="I459"/>
  <c r="AF458"/>
  <c r="AD458"/>
  <c r="Y458"/>
  <c r="V458"/>
  <c r="I458"/>
  <c r="AF457"/>
  <c r="AD457"/>
  <c r="Y457"/>
  <c r="V457"/>
  <c r="I457"/>
  <c r="AF456"/>
  <c r="AD456"/>
  <c r="Y456"/>
  <c r="V456"/>
  <c r="I456"/>
  <c r="AF455"/>
  <c r="AD455"/>
  <c r="Y455"/>
  <c r="V455"/>
  <c r="I455"/>
  <c r="AF454"/>
  <c r="AD454"/>
  <c r="Y454"/>
  <c r="V454"/>
  <c r="I454"/>
  <c r="AF453"/>
  <c r="AD453"/>
  <c r="Y453"/>
  <c r="V453"/>
  <c r="I453"/>
  <c r="AF452"/>
  <c r="AD452"/>
  <c r="Y452"/>
  <c r="V452"/>
  <c r="I452"/>
  <c r="AE441"/>
  <c r="AC441"/>
  <c r="AB441"/>
  <c r="AA441"/>
  <c r="Z441"/>
  <c r="X441"/>
  <c r="W441"/>
  <c r="U441"/>
  <c r="T441"/>
  <c r="S441"/>
  <c r="R441"/>
  <c r="Q441"/>
  <c r="P441"/>
  <c r="O441"/>
  <c r="N441"/>
  <c r="M441"/>
  <c r="L441"/>
  <c r="K441"/>
  <c r="J441"/>
  <c r="I441"/>
  <c r="G441"/>
  <c r="F441"/>
  <c r="E441"/>
  <c r="D441"/>
  <c r="C441"/>
  <c r="AF439"/>
  <c r="AD439"/>
  <c r="Y439"/>
  <c r="V439"/>
  <c r="H439"/>
  <c r="AF438"/>
  <c r="AD438"/>
  <c r="Y438"/>
  <c r="V438"/>
  <c r="H438"/>
  <c r="AF437"/>
  <c r="AD437"/>
  <c r="Y437"/>
  <c r="V437"/>
  <c r="H437"/>
  <c r="AF436"/>
  <c r="AD436"/>
  <c r="Y436"/>
  <c r="V436"/>
  <c r="H436"/>
  <c r="AF435"/>
  <c r="AD435"/>
  <c r="Y435"/>
  <c r="V435"/>
  <c r="H435"/>
  <c r="AF434"/>
  <c r="AD434"/>
  <c r="Y434"/>
  <c r="V434"/>
  <c r="H434"/>
  <c r="AF433"/>
  <c r="AD433"/>
  <c r="Y433"/>
  <c r="V433"/>
  <c r="H433"/>
  <c r="AF432"/>
  <c r="AD432"/>
  <c r="Y432"/>
  <c r="V432"/>
  <c r="H432"/>
  <c r="AF431"/>
  <c r="AD431"/>
  <c r="Y431"/>
  <c r="V431"/>
  <c r="H431"/>
  <c r="AF430"/>
  <c r="AD430"/>
  <c r="Y430"/>
  <c r="V430"/>
  <c r="H430"/>
  <c r="AF429"/>
  <c r="AD429"/>
  <c r="Y429"/>
  <c r="V429"/>
  <c r="H429"/>
  <c r="AF428"/>
  <c r="AD428"/>
  <c r="Y428"/>
  <c r="V428"/>
  <c r="H428"/>
  <c r="AF427"/>
  <c r="AD427"/>
  <c r="Y427"/>
  <c r="V427"/>
  <c r="H427"/>
  <c r="AF426"/>
  <c r="AD426"/>
  <c r="Y426"/>
  <c r="V426"/>
  <c r="H426"/>
  <c r="AF425"/>
  <c r="AD425"/>
  <c r="Y425"/>
  <c r="V425"/>
  <c r="H425"/>
  <c r="AF424"/>
  <c r="AD424"/>
  <c r="Y424"/>
  <c r="V424"/>
  <c r="H424"/>
  <c r="AF423"/>
  <c r="AD423"/>
  <c r="Y423"/>
  <c r="V423"/>
  <c r="H423"/>
  <c r="AF422"/>
  <c r="AD422"/>
  <c r="Y422"/>
  <c r="V422"/>
  <c r="H422"/>
  <c r="AF421"/>
  <c r="AD421"/>
  <c r="Y421"/>
  <c r="V421"/>
  <c r="H421"/>
  <c r="AF420"/>
  <c r="AD420"/>
  <c r="Y420"/>
  <c r="V420"/>
  <c r="H420"/>
  <c r="AF419"/>
  <c r="AF441" s="1"/>
  <c r="AD419"/>
  <c r="Y419"/>
  <c r="V419"/>
  <c r="H419"/>
  <c r="H441" s="1"/>
  <c r="AE408"/>
  <c r="AC408"/>
  <c r="AB408"/>
  <c r="AA408"/>
  <c r="Z408"/>
  <c r="X408"/>
  <c r="W408"/>
  <c r="U408"/>
  <c r="T408"/>
  <c r="S408"/>
  <c r="R408"/>
  <c r="Q408"/>
  <c r="P408"/>
  <c r="O408"/>
  <c r="N408"/>
  <c r="M408"/>
  <c r="L408"/>
  <c r="K408"/>
  <c r="J408"/>
  <c r="H408"/>
  <c r="G408"/>
  <c r="F408"/>
  <c r="E408"/>
  <c r="D408"/>
  <c r="C408"/>
  <c r="AF406"/>
  <c r="AD406"/>
  <c r="Y406"/>
  <c r="V406"/>
  <c r="I406"/>
  <c r="AF405"/>
  <c r="AD405"/>
  <c r="Y405"/>
  <c r="V405"/>
  <c r="I405"/>
  <c r="AF404"/>
  <c r="AD404"/>
  <c r="Y404"/>
  <c r="V404"/>
  <c r="I404"/>
  <c r="AF403"/>
  <c r="AD403"/>
  <c r="Y403"/>
  <c r="V403"/>
  <c r="I403"/>
  <c r="AF402"/>
  <c r="AD402"/>
  <c r="Y402"/>
  <c r="V402"/>
  <c r="I402"/>
  <c r="AF401"/>
  <c r="AD401"/>
  <c r="Y401"/>
  <c r="V401"/>
  <c r="I401"/>
  <c r="AF400"/>
  <c r="AD400"/>
  <c r="Y400"/>
  <c r="V400"/>
  <c r="I400"/>
  <c r="AF399"/>
  <c r="AD399"/>
  <c r="Y399"/>
  <c r="V399"/>
  <c r="I399"/>
  <c r="AF398"/>
  <c r="AD398"/>
  <c r="Y398"/>
  <c r="V398"/>
  <c r="I398"/>
  <c r="AF397"/>
  <c r="AD397"/>
  <c r="Y397"/>
  <c r="V397"/>
  <c r="I397"/>
  <c r="AF396"/>
  <c r="AD396"/>
  <c r="Y396"/>
  <c r="V396"/>
  <c r="I396"/>
  <c r="AF395"/>
  <c r="AD395"/>
  <c r="Y395"/>
  <c r="V395"/>
  <c r="I395"/>
  <c r="AF394"/>
  <c r="AD394"/>
  <c r="Y394"/>
  <c r="V394"/>
  <c r="I394"/>
  <c r="AF393"/>
  <c r="AD393"/>
  <c r="Y393"/>
  <c r="V393"/>
  <c r="I393"/>
  <c r="AF392"/>
  <c r="AD392"/>
  <c r="Y392"/>
  <c r="V392"/>
  <c r="I392"/>
  <c r="AF391"/>
  <c r="AD391"/>
  <c r="Y391"/>
  <c r="V391"/>
  <c r="I391"/>
  <c r="AF390"/>
  <c r="AD390"/>
  <c r="Y390"/>
  <c r="V390"/>
  <c r="I390"/>
  <c r="AF389"/>
  <c r="AD389"/>
  <c r="Y389"/>
  <c r="V389"/>
  <c r="I389"/>
  <c r="AF388"/>
  <c r="AD388"/>
  <c r="Y388"/>
  <c r="V388"/>
  <c r="I388"/>
  <c r="AF387"/>
  <c r="AD387"/>
  <c r="Y387"/>
  <c r="V387"/>
  <c r="I387"/>
  <c r="AF386"/>
  <c r="AD386"/>
  <c r="Y386"/>
  <c r="V386"/>
  <c r="I386"/>
  <c r="AF385"/>
  <c r="AD385"/>
  <c r="Y385"/>
  <c r="V385"/>
  <c r="I385"/>
  <c r="AF384"/>
  <c r="AD384"/>
  <c r="Y384"/>
  <c r="V384"/>
  <c r="I384"/>
  <c r="AF383"/>
  <c r="AD383"/>
  <c r="Y383"/>
  <c r="V383"/>
  <c r="I383"/>
  <c r="AE372"/>
  <c r="AC372"/>
  <c r="AB372"/>
  <c r="AA372"/>
  <c r="Z372"/>
  <c r="X372"/>
  <c r="W372"/>
  <c r="Y372" s="1"/>
  <c r="U372"/>
  <c r="T372"/>
  <c r="S372"/>
  <c r="R372"/>
  <c r="Q372"/>
  <c r="P372"/>
  <c r="O372"/>
  <c r="N372"/>
  <c r="M372"/>
  <c r="L372"/>
  <c r="K372"/>
  <c r="J372"/>
  <c r="H372"/>
  <c r="G372"/>
  <c r="F372"/>
  <c r="E372"/>
  <c r="D372"/>
  <c r="C372"/>
  <c r="I372" s="1"/>
  <c r="AF371"/>
  <c r="AD371"/>
  <c r="Y371"/>
  <c r="V371"/>
  <c r="I371"/>
  <c r="AF370"/>
  <c r="AD370"/>
  <c r="Y370"/>
  <c r="V370"/>
  <c r="I370"/>
  <c r="AF369"/>
  <c r="AD369"/>
  <c r="Y369"/>
  <c r="V369"/>
  <c r="I369"/>
  <c r="AF368"/>
  <c r="AD368"/>
  <c r="Y368"/>
  <c r="V368"/>
  <c r="I368"/>
  <c r="AF367"/>
  <c r="AD367"/>
  <c r="Y367"/>
  <c r="V367"/>
  <c r="I367"/>
  <c r="AF366"/>
  <c r="AD366"/>
  <c r="Y366"/>
  <c r="V366"/>
  <c r="I366"/>
  <c r="AF365"/>
  <c r="AD365"/>
  <c r="Y365"/>
  <c r="V365"/>
  <c r="I365"/>
  <c r="AF364"/>
  <c r="AD364"/>
  <c r="Y364"/>
  <c r="V364"/>
  <c r="I364"/>
  <c r="AF363"/>
  <c r="AD363"/>
  <c r="Y363"/>
  <c r="V363"/>
  <c r="I363"/>
  <c r="AF362"/>
  <c r="AD362"/>
  <c r="Y362"/>
  <c r="V362"/>
  <c r="I362"/>
  <c r="AF361"/>
  <c r="AD361"/>
  <c r="Y361"/>
  <c r="V361"/>
  <c r="I361"/>
  <c r="AF360"/>
  <c r="AD360"/>
  <c r="Y360"/>
  <c r="V360"/>
  <c r="I360"/>
  <c r="AF359"/>
  <c r="AD359"/>
  <c r="Y359"/>
  <c r="V359"/>
  <c r="I359"/>
  <c r="AF358"/>
  <c r="AD358"/>
  <c r="Y358"/>
  <c r="V358"/>
  <c r="I358"/>
  <c r="AF357"/>
  <c r="AD357"/>
  <c r="Y357"/>
  <c r="V357"/>
  <c r="I357"/>
  <c r="AF356"/>
  <c r="AD356"/>
  <c r="Y356"/>
  <c r="V356"/>
  <c r="I356"/>
  <c r="AF355"/>
  <c r="AD355"/>
  <c r="Y355"/>
  <c r="V355"/>
  <c r="I355"/>
  <c r="AF354"/>
  <c r="AD354"/>
  <c r="Y354"/>
  <c r="V354"/>
  <c r="I354"/>
  <c r="AF353"/>
  <c r="AD353"/>
  <c r="Y353"/>
  <c r="V353"/>
  <c r="I353"/>
  <c r="AF352"/>
  <c r="AD352"/>
  <c r="Y352"/>
  <c r="V352"/>
  <c r="I352"/>
  <c r="AF351"/>
  <c r="AD351"/>
  <c r="Y351"/>
  <c r="V351"/>
  <c r="I351"/>
  <c r="AF350"/>
  <c r="AD350"/>
  <c r="Y350"/>
  <c r="V350"/>
  <c r="I350"/>
  <c r="AF349"/>
  <c r="AD349"/>
  <c r="AD372" s="1"/>
  <c r="Y349"/>
  <c r="V349"/>
  <c r="V372" s="1"/>
  <c r="I349"/>
  <c r="AE338"/>
  <c r="AC338"/>
  <c r="AB338"/>
  <c r="AA338"/>
  <c r="Z338"/>
  <c r="X338"/>
  <c r="W338"/>
  <c r="U338"/>
  <c r="T338"/>
  <c r="S338"/>
  <c r="R338"/>
  <c r="Q338"/>
  <c r="P338"/>
  <c r="O338"/>
  <c r="N338"/>
  <c r="M338"/>
  <c r="L338"/>
  <c r="K338"/>
  <c r="J338"/>
  <c r="H338"/>
  <c r="G338"/>
  <c r="F338"/>
  <c r="E338"/>
  <c r="D338"/>
  <c r="C338"/>
  <c r="I336"/>
  <c r="AF335"/>
  <c r="AD335"/>
  <c r="Y335"/>
  <c r="V335"/>
  <c r="I335"/>
  <c r="AF334"/>
  <c r="AD334"/>
  <c r="Y334"/>
  <c r="V334"/>
  <c r="I334"/>
  <c r="AF333"/>
  <c r="AD333"/>
  <c r="Y333"/>
  <c r="V333"/>
  <c r="I333"/>
  <c r="AF332"/>
  <c r="AD332"/>
  <c r="Y332"/>
  <c r="V332"/>
  <c r="I332"/>
  <c r="AF331"/>
  <c r="AD331"/>
  <c r="Y331"/>
  <c r="V331"/>
  <c r="I331"/>
  <c r="AF330"/>
  <c r="AD330"/>
  <c r="Y330"/>
  <c r="V330"/>
  <c r="I330"/>
  <c r="AF329"/>
  <c r="AH329" s="1"/>
  <c r="AD329"/>
  <c r="Y329"/>
  <c r="V329"/>
  <c r="I329"/>
  <c r="AF328"/>
  <c r="AD328"/>
  <c r="Y328"/>
  <c r="V328"/>
  <c r="I328"/>
  <c r="AF327"/>
  <c r="AD327"/>
  <c r="Y327"/>
  <c r="V327"/>
  <c r="I327"/>
  <c r="AF326"/>
  <c r="AD326"/>
  <c r="Y326"/>
  <c r="V326"/>
  <c r="I326"/>
  <c r="AF325"/>
  <c r="AD325"/>
  <c r="Y325"/>
  <c r="V325"/>
  <c r="I325"/>
  <c r="AF324"/>
  <c r="AD324"/>
  <c r="Y324"/>
  <c r="V324"/>
  <c r="I324"/>
  <c r="AF323"/>
  <c r="AD323"/>
  <c r="Y323"/>
  <c r="V323"/>
  <c r="I323"/>
  <c r="AF322"/>
  <c r="AD322"/>
  <c r="Y322"/>
  <c r="V322"/>
  <c r="I322"/>
  <c r="AF321"/>
  <c r="AD321"/>
  <c r="Y321"/>
  <c r="V321"/>
  <c r="I321"/>
  <c r="AF320"/>
  <c r="AD320"/>
  <c r="Y320"/>
  <c r="V320"/>
  <c r="I320"/>
  <c r="AF319"/>
  <c r="AD319"/>
  <c r="Y319"/>
  <c r="V319"/>
  <c r="I319"/>
  <c r="AF318"/>
  <c r="AD318"/>
  <c r="Y318"/>
  <c r="V318"/>
  <c r="I318"/>
  <c r="AF317"/>
  <c r="AD317"/>
  <c r="Y317"/>
  <c r="V317"/>
  <c r="I317"/>
  <c r="AF316"/>
  <c r="AD316"/>
  <c r="Y316"/>
  <c r="V316"/>
  <c r="V338" s="1"/>
  <c r="I316"/>
  <c r="AF315"/>
  <c r="AD315"/>
  <c r="Y315"/>
  <c r="Y338" s="1"/>
  <c r="V315"/>
  <c r="I315"/>
  <c r="I338" s="1"/>
  <c r="AD338" l="1"/>
  <c r="AF372"/>
  <c r="Y408"/>
  <c r="AF408"/>
  <c r="I408"/>
  <c r="V441"/>
  <c r="AD441"/>
  <c r="V477"/>
  <c r="AD477"/>
  <c r="H512"/>
  <c r="Y512"/>
  <c r="AF512"/>
  <c r="AD536"/>
  <c r="AD547" s="1"/>
  <c r="AD565"/>
  <c r="AD571"/>
  <c r="AH571" s="1"/>
  <c r="AD572"/>
  <c r="V573"/>
  <c r="AD574"/>
  <c r="V575"/>
  <c r="AH327"/>
  <c r="AH315"/>
  <c r="AH323"/>
  <c r="AH331"/>
  <c r="AH335"/>
  <c r="AH351"/>
  <c r="AH353"/>
  <c r="AH357"/>
  <c r="AH363"/>
  <c r="AH365"/>
  <c r="AH367"/>
  <c r="AH369"/>
  <c r="AH371"/>
  <c r="AH384"/>
  <c r="AH386"/>
  <c r="AH388"/>
  <c r="AH390"/>
  <c r="AH392"/>
  <c r="AH394"/>
  <c r="AH396"/>
  <c r="AH398"/>
  <c r="AH400"/>
  <c r="AH402"/>
  <c r="AH404"/>
  <c r="AH406"/>
  <c r="V408"/>
  <c r="AH421"/>
  <c r="AH423"/>
  <c r="AH425"/>
  <c r="AH427"/>
  <c r="AH429"/>
  <c r="AH431"/>
  <c r="AH433"/>
  <c r="AH435"/>
  <c r="AH437"/>
  <c r="AH439"/>
  <c r="AH454"/>
  <c r="AH456"/>
  <c r="AH458"/>
  <c r="AH460"/>
  <c r="AH462"/>
  <c r="AH464"/>
  <c r="AH466"/>
  <c r="AH468"/>
  <c r="AH470"/>
  <c r="AH472"/>
  <c r="AH474"/>
  <c r="AH489"/>
  <c r="AH491"/>
  <c r="AH493"/>
  <c r="AH495"/>
  <c r="AH497"/>
  <c r="AH499"/>
  <c r="AH501"/>
  <c r="AH503"/>
  <c r="AH505"/>
  <c r="AH507"/>
  <c r="AH509"/>
  <c r="AH526"/>
  <c r="AH528"/>
  <c r="AH530"/>
  <c r="AH532"/>
  <c r="AH534"/>
  <c r="AH539"/>
  <c r="AH541"/>
  <c r="AH543"/>
  <c r="AH545"/>
  <c r="AH577"/>
  <c r="AH579"/>
  <c r="AH581"/>
  <c r="AH317"/>
  <c r="AH319"/>
  <c r="AH321"/>
  <c r="AH325"/>
  <c r="AH333"/>
  <c r="AH355"/>
  <c r="AH359"/>
  <c r="AH361"/>
  <c r="AH316"/>
  <c r="AH318"/>
  <c r="AH320"/>
  <c r="AH322"/>
  <c r="AH324"/>
  <c r="AH326"/>
  <c r="AH328"/>
  <c r="AH330"/>
  <c r="AH332"/>
  <c r="AH334"/>
  <c r="AH350"/>
  <c r="AH352"/>
  <c r="AH354"/>
  <c r="AH356"/>
  <c r="AH358"/>
  <c r="AH360"/>
  <c r="AH362"/>
  <c r="AH364"/>
  <c r="AH366"/>
  <c r="AH368"/>
  <c r="AH370"/>
  <c r="AD408"/>
  <c r="AH385"/>
  <c r="AH387"/>
  <c r="AH389"/>
  <c r="AH391"/>
  <c r="AH393"/>
  <c r="AH395"/>
  <c r="AH397"/>
  <c r="AH399"/>
  <c r="AH401"/>
  <c r="AH403"/>
  <c r="AH405"/>
  <c r="Y441"/>
  <c r="AH420"/>
  <c r="AH422"/>
  <c r="AH424"/>
  <c r="AH426"/>
  <c r="AH428"/>
  <c r="AH430"/>
  <c r="AH432"/>
  <c r="AH434"/>
  <c r="AH436"/>
  <c r="AH438"/>
  <c r="Y477"/>
  <c r="AF477"/>
  <c r="AH453"/>
  <c r="AH455"/>
  <c r="AH457"/>
  <c r="AH459"/>
  <c r="AH461"/>
  <c r="AH463"/>
  <c r="AH465"/>
  <c r="AH467"/>
  <c r="AH469"/>
  <c r="AH471"/>
  <c r="AH473"/>
  <c r="AH475"/>
  <c r="I477"/>
  <c r="V512"/>
  <c r="AD512"/>
  <c r="AH490"/>
  <c r="AH492"/>
  <c r="AH494"/>
  <c r="AH496"/>
  <c r="AH498"/>
  <c r="AH500"/>
  <c r="AH502"/>
  <c r="AH504"/>
  <c r="AH506"/>
  <c r="AH508"/>
  <c r="AH510"/>
  <c r="H547"/>
  <c r="Y547"/>
  <c r="AH525"/>
  <c r="AH527"/>
  <c r="AH529"/>
  <c r="AH531"/>
  <c r="AH533"/>
  <c r="AH535"/>
  <c r="O547"/>
  <c r="AB547"/>
  <c r="AD537"/>
  <c r="AH537" s="1"/>
  <c r="AD538"/>
  <c r="AH538" s="1"/>
  <c r="AH540"/>
  <c r="AH542"/>
  <c r="AH544"/>
  <c r="O584"/>
  <c r="Y584"/>
  <c r="AB584"/>
  <c r="P584"/>
  <c r="AD563"/>
  <c r="V564"/>
  <c r="AD566"/>
  <c r="AH566" s="1"/>
  <c r="AD567"/>
  <c r="AH567" s="1"/>
  <c r="V568"/>
  <c r="AH568" s="1"/>
  <c r="AD569"/>
  <c r="AH569" s="1"/>
  <c r="V570"/>
  <c r="V571"/>
  <c r="AD573"/>
  <c r="AD575"/>
  <c r="AH576"/>
  <c r="AH578"/>
  <c r="AH580"/>
  <c r="AH582"/>
  <c r="AH338"/>
  <c r="AH342" s="1"/>
  <c r="AH561"/>
  <c r="AH562"/>
  <c r="AH565"/>
  <c r="AH570"/>
  <c r="AH572"/>
  <c r="AH563"/>
  <c r="AH564"/>
  <c r="AH573"/>
  <c r="AH349"/>
  <c r="AH383"/>
  <c r="AH408" s="1"/>
  <c r="AH419"/>
  <c r="AH452"/>
  <c r="AH477" s="1"/>
  <c r="AH488"/>
  <c r="Z547"/>
  <c r="AF547"/>
  <c r="V560"/>
  <c r="AD560"/>
  <c r="AF338"/>
  <c r="V536"/>
  <c r="V547" s="1"/>
  <c r="V574"/>
  <c r="AH574" s="1"/>
  <c r="AH512" l="1"/>
  <c r="AH441"/>
  <c r="AH372"/>
  <c r="AH575"/>
  <c r="AD584"/>
  <c r="AH560"/>
  <c r="AH584" s="1"/>
  <c r="V584"/>
  <c r="AH536"/>
  <c r="AH547" s="1"/>
  <c r="AG305" l="1"/>
  <c r="AE305"/>
  <c r="Z305"/>
  <c r="Y305"/>
  <c r="W305"/>
  <c r="V305"/>
  <c r="T305"/>
  <c r="R305"/>
  <c r="N305"/>
  <c r="M305"/>
  <c r="L305"/>
  <c r="K305"/>
  <c r="H305"/>
  <c r="G305"/>
  <c r="F305"/>
  <c r="E305"/>
  <c r="D305"/>
  <c r="C305"/>
  <c r="AH303"/>
  <c r="AF303"/>
  <c r="AA303"/>
  <c r="X303"/>
  <c r="I303"/>
  <c r="AH302"/>
  <c r="AD302"/>
  <c r="AB302"/>
  <c r="AA302"/>
  <c r="P302"/>
  <c r="X302" s="1"/>
  <c r="I302"/>
  <c r="AH301"/>
  <c r="AB301"/>
  <c r="AF301" s="1"/>
  <c r="AA301"/>
  <c r="Q301"/>
  <c r="P301"/>
  <c r="I301"/>
  <c r="AH300"/>
  <c r="AD300"/>
  <c r="AB300"/>
  <c r="AA300"/>
  <c r="P300"/>
  <c r="X300" s="1"/>
  <c r="I300"/>
  <c r="AH299"/>
  <c r="AD299"/>
  <c r="AB299"/>
  <c r="AA299"/>
  <c r="P299"/>
  <c r="X299" s="1"/>
  <c r="I299"/>
  <c r="AH298"/>
  <c r="AD298"/>
  <c r="AB298"/>
  <c r="AA298"/>
  <c r="P298"/>
  <c r="X298" s="1"/>
  <c r="I298"/>
  <c r="AH297"/>
  <c r="AF297"/>
  <c r="AA297"/>
  <c r="P297"/>
  <c r="J297"/>
  <c r="I297"/>
  <c r="AH296"/>
  <c r="AD296"/>
  <c r="AB296"/>
  <c r="AA296"/>
  <c r="P296"/>
  <c r="J296"/>
  <c r="I296"/>
  <c r="AH295"/>
  <c r="AF295"/>
  <c r="AA295"/>
  <c r="X295"/>
  <c r="I295"/>
  <c r="AH294"/>
  <c r="AF294"/>
  <c r="AA294"/>
  <c r="P294"/>
  <c r="X294" s="1"/>
  <c r="I294"/>
  <c r="AH293"/>
  <c r="AF293"/>
  <c r="AA293"/>
  <c r="P293"/>
  <c r="X293" s="1"/>
  <c r="I293"/>
  <c r="AH292"/>
  <c r="AF292"/>
  <c r="AA292"/>
  <c r="X292"/>
  <c r="I292"/>
  <c r="AH291"/>
  <c r="AD291"/>
  <c r="AB291"/>
  <c r="AA291"/>
  <c r="P291"/>
  <c r="J291"/>
  <c r="I291"/>
  <c r="AH290"/>
  <c r="AD290"/>
  <c r="AB290"/>
  <c r="AA290"/>
  <c r="P290"/>
  <c r="J290"/>
  <c r="I290"/>
  <c r="AH289"/>
  <c r="AD289"/>
  <c r="AB289"/>
  <c r="AA289"/>
  <c r="S289"/>
  <c r="S305" s="1"/>
  <c r="P289"/>
  <c r="I289"/>
  <c r="AH288"/>
  <c r="AD288"/>
  <c r="AB288"/>
  <c r="AA288"/>
  <c r="P288"/>
  <c r="X288" s="1"/>
  <c r="I288"/>
  <c r="AH287"/>
  <c r="AD287"/>
  <c r="AB287"/>
  <c r="AA287"/>
  <c r="P287"/>
  <c r="X287" s="1"/>
  <c r="I287"/>
  <c r="AH286"/>
  <c r="AF286"/>
  <c r="AA286"/>
  <c r="P286"/>
  <c r="J286"/>
  <c r="I286"/>
  <c r="AH285"/>
  <c r="AD285"/>
  <c r="AB285"/>
  <c r="AA285"/>
  <c r="U285"/>
  <c r="P285"/>
  <c r="J285"/>
  <c r="I285"/>
  <c r="AH284"/>
  <c r="AD284"/>
  <c r="AB284"/>
  <c r="AA284"/>
  <c r="Q284"/>
  <c r="Q305" s="1"/>
  <c r="P284"/>
  <c r="I284"/>
  <c r="AH283"/>
  <c r="AD283"/>
  <c r="AB283"/>
  <c r="AA283"/>
  <c r="P283"/>
  <c r="X283" s="1"/>
  <c r="I283"/>
  <c r="AH282"/>
  <c r="AF282"/>
  <c r="AA282"/>
  <c r="X282"/>
  <c r="I282"/>
  <c r="AH281"/>
  <c r="AD281"/>
  <c r="AB281"/>
  <c r="AA281"/>
  <c r="P281"/>
  <c r="X281" s="1"/>
  <c r="I281"/>
  <c r="AH280"/>
  <c r="AH305" s="1"/>
  <c r="AC280"/>
  <c r="AC305" s="1"/>
  <c r="AB280"/>
  <c r="AB305" s="1"/>
  <c r="AA280"/>
  <c r="U280"/>
  <c r="U305" s="1"/>
  <c r="P280"/>
  <c r="O280"/>
  <c r="O305" s="1"/>
  <c r="J280"/>
  <c r="I280"/>
  <c r="I305" s="1"/>
  <c r="AG272"/>
  <c r="AE272"/>
  <c r="AC272"/>
  <c r="Z272"/>
  <c r="Y272"/>
  <c r="W272"/>
  <c r="V272"/>
  <c r="U272"/>
  <c r="T272"/>
  <c r="S272"/>
  <c r="R272"/>
  <c r="Q272"/>
  <c r="O272"/>
  <c r="N272"/>
  <c r="M272"/>
  <c r="L272"/>
  <c r="K272"/>
  <c r="H272"/>
  <c r="G272"/>
  <c r="F272"/>
  <c r="E272"/>
  <c r="D272"/>
  <c r="C272"/>
  <c r="AH270"/>
  <c r="AF270"/>
  <c r="AA270"/>
  <c r="X270"/>
  <c r="I270"/>
  <c r="AH269"/>
  <c r="AF269"/>
  <c r="AA269"/>
  <c r="X269"/>
  <c r="I269"/>
  <c r="AH268"/>
  <c r="AF268"/>
  <c r="AA268"/>
  <c r="X268"/>
  <c r="I268"/>
  <c r="AH267"/>
  <c r="AF267"/>
  <c r="AA267"/>
  <c r="X267"/>
  <c r="I267"/>
  <c r="AH266"/>
  <c r="AF266"/>
  <c r="AA266"/>
  <c r="X266"/>
  <c r="I266"/>
  <c r="AH265"/>
  <c r="AF265"/>
  <c r="AA265"/>
  <c r="X265"/>
  <c r="I265"/>
  <c r="AH264"/>
  <c r="AF264"/>
  <c r="AA264"/>
  <c r="X264"/>
  <c r="I264"/>
  <c r="AH263"/>
  <c r="AD263"/>
  <c r="AB263"/>
  <c r="AA263"/>
  <c r="P263"/>
  <c r="J263"/>
  <c r="X263" s="1"/>
  <c r="I263"/>
  <c r="AH262"/>
  <c r="AF262"/>
  <c r="AA262"/>
  <c r="P262"/>
  <c r="X262" s="1"/>
  <c r="I262"/>
  <c r="AH261"/>
  <c r="AD261"/>
  <c r="AB261"/>
  <c r="AA261"/>
  <c r="P261"/>
  <c r="J261"/>
  <c r="I261"/>
  <c r="AH260"/>
  <c r="AB260"/>
  <c r="AF260" s="1"/>
  <c r="AA260"/>
  <c r="P260"/>
  <c r="X260" s="1"/>
  <c r="I260"/>
  <c r="AH259"/>
  <c r="AD259"/>
  <c r="AB259"/>
  <c r="AA259"/>
  <c r="P259"/>
  <c r="J259"/>
  <c r="I259"/>
  <c r="AH258"/>
  <c r="AD258"/>
  <c r="AB258"/>
  <c r="AA258"/>
  <c r="P258"/>
  <c r="X258" s="1"/>
  <c r="I258"/>
  <c r="AH257"/>
  <c r="AD257"/>
  <c r="AB257"/>
  <c r="AA257"/>
  <c r="P257"/>
  <c r="X257" s="1"/>
  <c r="I257"/>
  <c r="AH256"/>
  <c r="AD256"/>
  <c r="AB256"/>
  <c r="AA256"/>
  <c r="P256"/>
  <c r="X256" s="1"/>
  <c r="I256"/>
  <c r="AH255"/>
  <c r="AF255"/>
  <c r="AA255"/>
  <c r="P255"/>
  <c r="X255" s="1"/>
  <c r="I255"/>
  <c r="AH254"/>
  <c r="AD254"/>
  <c r="AB254"/>
  <c r="AA254"/>
  <c r="P254"/>
  <c r="X254" s="1"/>
  <c r="I254"/>
  <c r="AH253"/>
  <c r="AB253"/>
  <c r="AF253" s="1"/>
  <c r="AA253"/>
  <c r="P253"/>
  <c r="X253" s="1"/>
  <c r="I253"/>
  <c r="AH252"/>
  <c r="AB252"/>
  <c r="AF252" s="1"/>
  <c r="AA252"/>
  <c r="P252"/>
  <c r="X252" s="1"/>
  <c r="I252"/>
  <c r="AH251"/>
  <c r="AD251"/>
  <c r="AB251"/>
  <c r="AA251"/>
  <c r="P251"/>
  <c r="J251"/>
  <c r="I251"/>
  <c r="AH250"/>
  <c r="AD250"/>
  <c r="AB250"/>
  <c r="AA250"/>
  <c r="P250"/>
  <c r="X250" s="1"/>
  <c r="I250"/>
  <c r="AH249"/>
  <c r="AD249"/>
  <c r="AB249"/>
  <c r="AA249"/>
  <c r="P249"/>
  <c r="X249" s="1"/>
  <c r="I249"/>
  <c r="AH248"/>
  <c r="AD248"/>
  <c r="AB248"/>
  <c r="AA248"/>
  <c r="P248"/>
  <c r="X248" s="1"/>
  <c r="I248"/>
  <c r="AH247"/>
  <c r="AD247"/>
  <c r="AB247"/>
  <c r="AF247" s="1"/>
  <c r="AA247"/>
  <c r="P247"/>
  <c r="X247" s="1"/>
  <c r="I247"/>
  <c r="AG239"/>
  <c r="AE239"/>
  <c r="AC239"/>
  <c r="Z239"/>
  <c r="Y239"/>
  <c r="W239"/>
  <c r="T239"/>
  <c r="R239"/>
  <c r="N239"/>
  <c r="M239"/>
  <c r="L239"/>
  <c r="K239"/>
  <c r="H239"/>
  <c r="G239"/>
  <c r="F239"/>
  <c r="E239"/>
  <c r="D239"/>
  <c r="C239"/>
  <c r="AH237"/>
  <c r="AF237"/>
  <c r="AA237"/>
  <c r="X237"/>
  <c r="I237"/>
  <c r="AH236"/>
  <c r="AF236"/>
  <c r="AA236"/>
  <c r="X236"/>
  <c r="I236"/>
  <c r="AH235"/>
  <c r="AD235"/>
  <c r="AB235"/>
  <c r="AF235" s="1"/>
  <c r="AA235"/>
  <c r="X235"/>
  <c r="P235"/>
  <c r="I235"/>
  <c r="AH234"/>
  <c r="AD234"/>
  <c r="AB234"/>
  <c r="AA234"/>
  <c r="P234"/>
  <c r="J234"/>
  <c r="X234" s="1"/>
  <c r="I234"/>
  <c r="AH233"/>
  <c r="AD233"/>
  <c r="AB233"/>
  <c r="AF233" s="1"/>
  <c r="AA233"/>
  <c r="P233"/>
  <c r="X233" s="1"/>
  <c r="I233"/>
  <c r="AH232"/>
  <c r="AD232"/>
  <c r="AB232"/>
  <c r="AF232" s="1"/>
  <c r="AA232"/>
  <c r="X232"/>
  <c r="P232"/>
  <c r="I232"/>
  <c r="AH231"/>
  <c r="AD231"/>
  <c r="AB231"/>
  <c r="AA231"/>
  <c r="P231"/>
  <c r="X231" s="1"/>
  <c r="I231"/>
  <c r="AH230"/>
  <c r="AD230"/>
  <c r="AB230"/>
  <c r="AA230"/>
  <c r="P230"/>
  <c r="X230" s="1"/>
  <c r="I230"/>
  <c r="AH229"/>
  <c r="AB229"/>
  <c r="AF229" s="1"/>
  <c r="AA229"/>
  <c r="P229"/>
  <c r="X229" s="1"/>
  <c r="I229"/>
  <c r="AH228"/>
  <c r="AD228"/>
  <c r="AB228"/>
  <c r="AF228" s="1"/>
  <c r="AA228"/>
  <c r="U228"/>
  <c r="Q228"/>
  <c r="Q239" s="1"/>
  <c r="P228"/>
  <c r="J228"/>
  <c r="I228"/>
  <c r="AH227"/>
  <c r="AB227"/>
  <c r="AF227" s="1"/>
  <c r="AA227"/>
  <c r="U227"/>
  <c r="P227"/>
  <c r="I227"/>
  <c r="AH226"/>
  <c r="AF226"/>
  <c r="AB226"/>
  <c r="AA226"/>
  <c r="P226"/>
  <c r="X226" s="1"/>
  <c r="I226"/>
  <c r="AH225"/>
  <c r="AD225"/>
  <c r="AB225"/>
  <c r="AA225"/>
  <c r="U225"/>
  <c r="P225"/>
  <c r="X225" s="1"/>
  <c r="I225"/>
  <c r="AH224"/>
  <c r="AD224"/>
  <c r="AB224"/>
  <c r="AF224" s="1"/>
  <c r="AA224"/>
  <c r="X224"/>
  <c r="P224"/>
  <c r="I224"/>
  <c r="AH223"/>
  <c r="AD223"/>
  <c r="AB223"/>
  <c r="AA223"/>
  <c r="U223"/>
  <c r="P223"/>
  <c r="X223" s="1"/>
  <c r="I223"/>
  <c r="AH222"/>
  <c r="AB222"/>
  <c r="AF222" s="1"/>
  <c r="AA222"/>
  <c r="P222"/>
  <c r="X222" s="1"/>
  <c r="I222"/>
  <c r="AH221"/>
  <c r="AD221"/>
  <c r="AB221"/>
  <c r="AA221"/>
  <c r="U221"/>
  <c r="P221"/>
  <c r="O221"/>
  <c r="J221"/>
  <c r="I221"/>
  <c r="AH220"/>
  <c r="AD220"/>
  <c r="AB220"/>
  <c r="AA220"/>
  <c r="U220"/>
  <c r="P220"/>
  <c r="I220"/>
  <c r="AH219"/>
  <c r="AB219"/>
  <c r="AF219" s="1"/>
  <c r="AA219"/>
  <c r="P219"/>
  <c r="X219" s="1"/>
  <c r="I219"/>
  <c r="AH218"/>
  <c r="AD218"/>
  <c r="AB218"/>
  <c r="AF218" s="1"/>
  <c r="AA218"/>
  <c r="P218"/>
  <c r="X218" s="1"/>
  <c r="I218"/>
  <c r="AH217"/>
  <c r="AD217"/>
  <c r="AB217"/>
  <c r="AF217" s="1"/>
  <c r="AA217"/>
  <c r="U217"/>
  <c r="S217"/>
  <c r="S239" s="1"/>
  <c r="P217"/>
  <c r="O217"/>
  <c r="I217"/>
  <c r="AH216"/>
  <c r="AD216"/>
  <c r="AB216"/>
  <c r="AA216"/>
  <c r="P216"/>
  <c r="X216" s="1"/>
  <c r="I216"/>
  <c r="AH215"/>
  <c r="AD215"/>
  <c r="AB215"/>
  <c r="AA215"/>
  <c r="U215"/>
  <c r="P215"/>
  <c r="O215"/>
  <c r="I215"/>
  <c r="AI236" l="1"/>
  <c r="I239"/>
  <c r="P239"/>
  <c r="AA239"/>
  <c r="AD239"/>
  <c r="AF216"/>
  <c r="X217"/>
  <c r="X220"/>
  <c r="AF221"/>
  <c r="AF250"/>
  <c r="AI250" s="1"/>
  <c r="J272"/>
  <c r="AF257"/>
  <c r="AI257" s="1"/>
  <c r="AF258"/>
  <c r="X259"/>
  <c r="AF261"/>
  <c r="AD305"/>
  <c r="AF283"/>
  <c r="X284"/>
  <c r="X285"/>
  <c r="AF288"/>
  <c r="AI288" s="1"/>
  <c r="X289"/>
  <c r="AF290"/>
  <c r="AI290" s="1"/>
  <c r="X291"/>
  <c r="X296"/>
  <c r="AF299"/>
  <c r="AF300"/>
  <c r="AI300" s="1"/>
  <c r="X301"/>
  <c r="AI216"/>
  <c r="AI217"/>
  <c r="AI224"/>
  <c r="AI232"/>
  <c r="AI235"/>
  <c r="AI237"/>
  <c r="J239"/>
  <c r="AI255"/>
  <c r="AI265"/>
  <c r="AI267"/>
  <c r="AI269"/>
  <c r="AI294"/>
  <c r="AI299"/>
  <c r="AI303"/>
  <c r="O239"/>
  <c r="U239"/>
  <c r="AB239"/>
  <c r="AH239"/>
  <c r="AF220"/>
  <c r="X221"/>
  <c r="AF223"/>
  <c r="AF225"/>
  <c r="AI225" s="1"/>
  <c r="X227"/>
  <c r="X228"/>
  <c r="AI228" s="1"/>
  <c r="AF230"/>
  <c r="AI230" s="1"/>
  <c r="AF231"/>
  <c r="AI231" s="1"/>
  <c r="AF234"/>
  <c r="I272"/>
  <c r="AA272"/>
  <c r="AD272"/>
  <c r="AF248"/>
  <c r="AI248" s="1"/>
  <c r="AF249"/>
  <c r="AI249" s="1"/>
  <c r="AF251"/>
  <c r="AF254"/>
  <c r="AI254" s="1"/>
  <c r="AF256"/>
  <c r="AF259"/>
  <c r="AI259" s="1"/>
  <c r="AI260"/>
  <c r="X261"/>
  <c r="AI261" s="1"/>
  <c r="AI262"/>
  <c r="AF263"/>
  <c r="AI263" s="1"/>
  <c r="AI264"/>
  <c r="AI266"/>
  <c r="AI268"/>
  <c r="AI270"/>
  <c r="J305"/>
  <c r="P305"/>
  <c r="AA305"/>
  <c r="AF281"/>
  <c r="AI281" s="1"/>
  <c r="AI282"/>
  <c r="AF284"/>
  <c r="AI284" s="1"/>
  <c r="AF285"/>
  <c r="AI285" s="1"/>
  <c r="X286"/>
  <c r="AI286" s="1"/>
  <c r="AF287"/>
  <c r="AF289"/>
  <c r="AI289" s="1"/>
  <c r="X290"/>
  <c r="AF291"/>
  <c r="AI291" s="1"/>
  <c r="AI292"/>
  <c r="AI293"/>
  <c r="AI295"/>
  <c r="AF296"/>
  <c r="AI296" s="1"/>
  <c r="X297"/>
  <c r="AF298"/>
  <c r="AI298" s="1"/>
  <c r="AF302"/>
  <c r="AI220"/>
  <c r="AI223"/>
  <c r="AI227"/>
  <c r="AI234"/>
  <c r="AI218"/>
  <c r="AI219"/>
  <c r="AI221"/>
  <c r="AI222"/>
  <c r="AI226"/>
  <c r="AI229"/>
  <c r="AI233"/>
  <c r="AI247"/>
  <c r="AI252"/>
  <c r="AI253"/>
  <c r="AI258"/>
  <c r="AI283"/>
  <c r="AI297"/>
  <c r="AI301"/>
  <c r="AI256"/>
  <c r="AI287"/>
  <c r="AI302"/>
  <c r="X251"/>
  <c r="P272"/>
  <c r="AB272"/>
  <c r="AH272"/>
  <c r="X215"/>
  <c r="AF215"/>
  <c r="X280"/>
  <c r="X305" s="1"/>
  <c r="AF280"/>
  <c r="AF239" l="1"/>
  <c r="AF272"/>
  <c r="AF305"/>
  <c r="AI215"/>
  <c r="AI239" s="1"/>
  <c r="X239"/>
  <c r="X272"/>
  <c r="AI251"/>
  <c r="AI280"/>
  <c r="AI305" s="1"/>
  <c r="AI272"/>
  <c r="D198" l="1"/>
  <c r="D199" s="1"/>
  <c r="D179"/>
  <c r="D180" s="1"/>
  <c r="D181" s="1"/>
  <c r="D182" s="1"/>
  <c r="D183" s="1"/>
  <c r="D184" s="1"/>
  <c r="D185" s="1"/>
  <c r="D186" s="1"/>
  <c r="D187" s="1"/>
  <c r="D188" s="1"/>
  <c r="D189" s="1"/>
  <c r="D190" s="1"/>
  <c r="D191" s="1"/>
  <c r="D192" s="1"/>
  <c r="D193" s="1"/>
  <c r="D194" s="1"/>
  <c r="D195" s="1"/>
  <c r="D196" s="1"/>
  <c r="D171"/>
  <c r="D172" s="1"/>
  <c r="D173" s="1"/>
  <c r="D174" s="1"/>
  <c r="D175" s="1"/>
  <c r="D176" s="1"/>
  <c r="D177" s="1"/>
  <c r="D178" s="1"/>
  <c r="D170"/>
  <c r="D169"/>
  <c r="D168"/>
  <c r="D167"/>
  <c r="D166"/>
  <c r="D165"/>
  <c r="D164"/>
  <c r="D163"/>
  <c r="D162"/>
  <c r="D161"/>
  <c r="D160"/>
  <c r="D159"/>
  <c r="D158"/>
  <c r="D157"/>
  <c r="D156"/>
  <c r="D155"/>
  <c r="D154"/>
  <c r="D153"/>
  <c r="D152"/>
  <c r="D151"/>
  <c r="D150"/>
  <c r="D149"/>
  <c r="D148"/>
  <c r="D147"/>
  <c r="D146"/>
  <c r="D145"/>
  <c r="D144"/>
  <c r="D143"/>
  <c r="D142"/>
  <c r="D141"/>
  <c r="D140"/>
  <c r="D139"/>
  <c r="D138"/>
  <c r="D137"/>
  <c r="D136"/>
  <c r="D135"/>
  <c r="D134"/>
  <c r="D133"/>
  <c r="D132"/>
  <c r="D131"/>
  <c r="D130"/>
  <c r="D129"/>
  <c r="D128"/>
  <c r="D127"/>
  <c r="D126"/>
  <c r="D125"/>
  <c r="D113"/>
  <c r="D114" s="1"/>
  <c r="D115" s="1"/>
  <c r="D116" s="1"/>
  <c r="D117" s="1"/>
  <c r="D118" s="1"/>
  <c r="D119" s="1"/>
  <c r="D120" s="1"/>
  <c r="D121" s="1"/>
  <c r="D122" s="1"/>
  <c r="D123" s="1"/>
  <c r="D124" s="1"/>
  <c r="D108"/>
  <c r="D109" s="1"/>
  <c r="D110" s="1"/>
  <c r="D111" s="1"/>
  <c r="D98"/>
  <c r="D99" s="1"/>
  <c r="D100" s="1"/>
  <c r="D101" s="1"/>
  <c r="D102" s="1"/>
  <c r="D103" s="1"/>
  <c r="D104" s="1"/>
  <c r="D105" s="1"/>
  <c r="D81"/>
  <c r="D82" s="1"/>
  <c r="D83" s="1"/>
  <c r="D84" s="1"/>
  <c r="D85" s="1"/>
  <c r="D86" s="1"/>
  <c r="D87" s="1"/>
  <c r="D88" s="1"/>
  <c r="D89" s="1"/>
  <c r="D90" s="1"/>
  <c r="D91" s="1"/>
  <c r="D92" s="1"/>
  <c r="D93" s="1"/>
  <c r="D94" s="1"/>
  <c r="D95" s="1"/>
  <c r="D96" s="1"/>
  <c r="D97" s="1"/>
  <c r="D73"/>
  <c r="D74" s="1"/>
  <c r="D75" s="1"/>
  <c r="D76" s="1"/>
  <c r="D77" s="1"/>
  <c r="D78" s="1"/>
  <c r="D56"/>
  <c r="D57" s="1"/>
  <c r="D58" s="1"/>
  <c r="D59" s="1"/>
  <c r="D60" s="1"/>
  <c r="D61" s="1"/>
  <c r="D62" s="1"/>
  <c r="D63" s="1"/>
  <c r="D64" s="1"/>
  <c r="D65" s="1"/>
  <c r="D66" s="1"/>
  <c r="D67" s="1"/>
  <c r="D68" s="1"/>
  <c r="D69" s="1"/>
  <c r="D70" s="1"/>
  <c r="D71" s="1"/>
  <c r="D55"/>
  <c r="D43"/>
  <c r="D44" s="1"/>
  <c r="D45" s="1"/>
  <c r="D46" s="1"/>
  <c r="D47" s="1"/>
  <c r="D48" s="1"/>
  <c r="D49" s="1"/>
  <c r="D50" s="1"/>
  <c r="D51" s="1"/>
  <c r="D52" s="1"/>
  <c r="D53" s="1"/>
  <c r="D37"/>
  <c r="D38" s="1"/>
  <c r="D39" s="1"/>
  <c r="D40" s="1"/>
  <c r="D41" s="1"/>
  <c r="D21" l="1"/>
  <c r="D22" s="1"/>
  <c r="D23" s="1"/>
  <c r="D24" s="1"/>
  <c r="D25" s="1"/>
  <c r="D26" s="1"/>
  <c r="D27" s="1"/>
  <c r="D28" s="1"/>
  <c r="D29" s="1"/>
  <c r="D30" s="1"/>
  <c r="D31" s="1"/>
  <c r="AH442"/>
  <c r="AH409"/>
  <c r="AH373"/>
  <c r="AH548"/>
  <c r="AH585"/>
  <c r="AH513"/>
  <c r="AH478"/>
</calcChain>
</file>

<file path=xl/sharedStrings.xml><?xml version="1.0" encoding="utf-8"?>
<sst xmlns="http://schemas.openxmlformats.org/spreadsheetml/2006/main" count="621" uniqueCount="205">
  <si>
    <t>1. Anteriores afiliaciones partidariasy cargos publicos ocupados.</t>
  </si>
  <si>
    <t>Alcalde Municipal</t>
  </si>
  <si>
    <t>Partido Gran alianza por la unidad nacional (GANA)</t>
  </si>
  <si>
    <t xml:space="preserve">2. Remuneracion mensual del Alcalde en concepto de salario y gastos de representacion </t>
  </si>
  <si>
    <t>#</t>
  </si>
  <si>
    <t xml:space="preserve">cargo presupuestario </t>
  </si>
  <si>
    <t xml:space="preserve">empleados </t>
  </si>
  <si>
    <t xml:space="preserve">remuneración </t>
  </si>
  <si>
    <t xml:space="preserve">dietas </t>
  </si>
  <si>
    <t xml:space="preserve">gastos de representación </t>
  </si>
  <si>
    <t xml:space="preserve">horas extra </t>
  </si>
  <si>
    <t>ALCALDE MPAL</t>
  </si>
  <si>
    <t>N/A</t>
  </si>
  <si>
    <t>1º Reg. Prop.</t>
  </si>
  <si>
    <t>2ª Reg  Prop.</t>
  </si>
  <si>
    <t>3ª Reg. Prop.</t>
  </si>
  <si>
    <t>4ª Reg. Prop.</t>
  </si>
  <si>
    <t>5ª Reg. Prop.</t>
  </si>
  <si>
    <t>6ª Reg. Prop.</t>
  </si>
  <si>
    <t>7ª Reg. Prop.</t>
  </si>
  <si>
    <t>8ª Reg. Prop.</t>
  </si>
  <si>
    <t>1º Reg. Sup</t>
  </si>
  <si>
    <t>2ª Reg. Sup.</t>
  </si>
  <si>
    <t>3ª Reg. Sup</t>
  </si>
  <si>
    <t>4ª Reg. Sup</t>
  </si>
  <si>
    <t>DIETAS DEL CONCEJO MUNICIPAL PLURAL</t>
  </si>
  <si>
    <t>SIDICA MPAL</t>
  </si>
  <si>
    <t>SECRETARIO MPAL</t>
  </si>
  <si>
    <t>JEFE DE LA UATM</t>
  </si>
  <si>
    <t>GERENTE GENERAL</t>
  </si>
  <si>
    <t>JEFA DE LA UACI</t>
  </si>
  <si>
    <t>JEFE DE LA UAM</t>
  </si>
  <si>
    <t>ELECTRICISTA MPAL</t>
  </si>
  <si>
    <t>JEFE DE AGUA POTABLE</t>
  </si>
  <si>
    <t>JEFE DEL REF</t>
  </si>
  <si>
    <t>JEFA DE PROM. SOCIAL</t>
  </si>
  <si>
    <t>AUX. DE LA UAM</t>
  </si>
  <si>
    <t>JEFE DE PROYEC. M</t>
  </si>
  <si>
    <t>JEFE DE SER. PUB. MPALES</t>
  </si>
  <si>
    <t>JEFE DE CEMENTERIO</t>
  </si>
  <si>
    <t>MAESTRO DE OBRA</t>
  </si>
  <si>
    <t>JEFE DE CATAS. Y CTRL TRIB; TEC. REC. DOC. UPGOT</t>
  </si>
  <si>
    <t>JEFE DE RRHH</t>
  </si>
  <si>
    <t>REMUNERACIONES MENSUALES PRESUPUESTARIO</t>
  </si>
  <si>
    <t>AUX. TREN DE ASEO</t>
  </si>
  <si>
    <t>BARRENDERO</t>
  </si>
  <si>
    <t>AUX. OPE. DE PRY. M</t>
  </si>
  <si>
    <t>COLECTOR DE MERCADO</t>
  </si>
  <si>
    <t>BARREDERO</t>
  </si>
  <si>
    <t>FONTANERO</t>
  </si>
  <si>
    <t>BARRENDERA DEL ALBERGUE</t>
  </si>
  <si>
    <t>FONTANETO</t>
  </si>
  <si>
    <t>AUX. ADMIN. DE SER. PUB. MPALES.</t>
  </si>
  <si>
    <t>AGENTE DEL CAM</t>
  </si>
  <si>
    <t>CONTADOR MPAL</t>
  </si>
  <si>
    <t>JEFA INTA. DE PRE. PUESTO</t>
  </si>
  <si>
    <t>JEFA DE LA UFI</t>
  </si>
  <si>
    <t>TESORERO MPAL</t>
  </si>
  <si>
    <t>JEFE DE CUENTAS CO.</t>
  </si>
  <si>
    <t>JEFE DE MERCA. Y MUELLE</t>
  </si>
  <si>
    <t>JEFE INTO DE COMU.</t>
  </si>
  <si>
    <t>Jefa UMNA</t>
  </si>
  <si>
    <t>JEFE DE ACC. A LA INF. PUB.</t>
  </si>
  <si>
    <t>JEFE DE DEPORTES</t>
  </si>
  <si>
    <t>OFICIAL DE GDYA</t>
  </si>
  <si>
    <t>AUX. DE UACI</t>
  </si>
  <si>
    <t>AUX. DE CUNTAS CO.</t>
  </si>
  <si>
    <t>SEGURIDAD DEL A. M.</t>
  </si>
  <si>
    <t>GESTORA AMBIENTAL</t>
  </si>
  <si>
    <t>SUP. DE BARREND.</t>
  </si>
  <si>
    <t>MOTORISTA</t>
  </si>
  <si>
    <t>AUX. DE CONTABILIDAD</t>
  </si>
  <si>
    <t>AUX. ADMIN. DE PROY. M</t>
  </si>
  <si>
    <t>MOTORISTA DEL ALCALDE</t>
  </si>
  <si>
    <t>SECRETARIA DEL MERCADO MAPL</t>
  </si>
  <si>
    <t>AUX. OPE. DE PPROY. M</t>
  </si>
  <si>
    <t>SUP. DE CAMIO. RECO</t>
  </si>
  <si>
    <t>Jefe de CAM</t>
  </si>
  <si>
    <t>SUB-JEFE  CAM</t>
  </si>
  <si>
    <t>MOTO. DEL TREN DE ASEO</t>
  </si>
  <si>
    <t>AUX. DEL TREN DE ASEO</t>
  </si>
  <si>
    <t>ENC. DE COLEC. CAJA Nº 1</t>
  </si>
  <si>
    <t>AUXI. DEL REF</t>
  </si>
  <si>
    <t>ORDENANZA DEL MERCADO</t>
  </si>
  <si>
    <t>AUX, DE AGUA POTABLE</t>
  </si>
  <si>
    <t>AUX. DE SECRETARIA</t>
  </si>
  <si>
    <t>AUX. DEL REF</t>
  </si>
  <si>
    <t>AUX. DE PROMO. SOC.</t>
  </si>
  <si>
    <t>ENG. DE MTT POLIDEPOR.</t>
  </si>
  <si>
    <t>COLECTORA DE MERCADO</t>
  </si>
  <si>
    <t>AUX. OPE. DE PROY.</t>
  </si>
  <si>
    <t>FOTANERO</t>
  </si>
  <si>
    <t>AUX. DE CATASTRO Y CON TRI.</t>
  </si>
  <si>
    <t>AUX. DE TESORERIA</t>
  </si>
  <si>
    <t>SEC. DE PROY. MPALES</t>
  </si>
  <si>
    <t>SECRETARIA DE LA UPGOT</t>
  </si>
  <si>
    <t>AUX. DE RRHH</t>
  </si>
  <si>
    <t>ORDE. DE MERC. MPAL</t>
  </si>
  <si>
    <t>MONITOR DEPORTIVO</t>
  </si>
  <si>
    <t>MENSAJERO</t>
  </si>
  <si>
    <t>SEC. DE GER. GNRAL</t>
  </si>
  <si>
    <t>KINESIOLOGO</t>
  </si>
  <si>
    <t>BODEGUERO</t>
  </si>
  <si>
    <t>ORDENANZA</t>
  </si>
  <si>
    <t>AUX. DE LA UMM</t>
  </si>
  <si>
    <t>AUX. DE CUENTAS CO.</t>
  </si>
  <si>
    <t>SECRE. DE SINDI. MPAL</t>
  </si>
  <si>
    <t>AUX. DE CATASTRO</t>
  </si>
  <si>
    <t>ENCARG. BOD. Y PROV.</t>
  </si>
  <si>
    <t>ENCARGADO DE ADESCO'S</t>
  </si>
  <si>
    <t>SECRETARIA DE DESP MPAL</t>
  </si>
  <si>
    <t>ORDENANZA DE MERCADO</t>
  </si>
  <si>
    <t>ENCAG. MTT MERC. MPAL.</t>
  </si>
  <si>
    <t>ENCAG. DE CEMENT. MPAL</t>
  </si>
  <si>
    <t>AUX. DE LECTRI. MPAL</t>
  </si>
  <si>
    <t>AUX. OPE. DE PROY. M.</t>
  </si>
  <si>
    <t>AUX. DE ELECTR. M.</t>
  </si>
  <si>
    <t>AUX. DE MERCADO</t>
  </si>
  <si>
    <t>AUX. DE TREN DE ASEO</t>
  </si>
  <si>
    <t>ORD. DE CONCHODO.</t>
  </si>
  <si>
    <t>AUX, DEL TREN DE ASO</t>
  </si>
  <si>
    <t>SECRETARIA DE DESPACHO</t>
  </si>
  <si>
    <t>SARGENTO DEL CAM</t>
  </si>
  <si>
    <t>MOTORISTA DEL TREN DE ASEO</t>
  </si>
  <si>
    <t>Listados de obras que es encuentran en ejecucion en el Municipio indicando la ubicación exacta, el costo total de la obra y la fuente de financiamiento.</t>
  </si>
  <si>
    <t>N°</t>
  </si>
  <si>
    <t>Nombre</t>
  </si>
  <si>
    <t>ubicación</t>
  </si>
  <si>
    <t>costo</t>
  </si>
  <si>
    <t>fuente de financiamiento</t>
  </si>
  <si>
    <t xml:space="preserve">Construccion de Concreto Hidraulico  </t>
  </si>
  <si>
    <t>de calle principal Barrio Guadalupe a canton El Llano, San Luis La Herradura, Depto la Paz</t>
  </si>
  <si>
    <t>Prestamos Internos</t>
  </si>
  <si>
    <t xml:space="preserve">Remodelacion General de Mercado Municipal </t>
  </si>
  <si>
    <t xml:space="preserve"> calle principal Barrio el Centro, San Luis La Herradura, Depto la Paz</t>
  </si>
  <si>
    <t>en calle final  canton El Llano, San Luis La Herradura, Depto la Paz</t>
  </si>
  <si>
    <t>Libre Disponibilidad</t>
  </si>
  <si>
    <t xml:space="preserve">Introduccion de tuberias para aguas llubias </t>
  </si>
  <si>
    <t xml:space="preserve">en final pasaje los Cruces Barrio el Calvario, San Luis La Herradura, Depto la Paz </t>
  </si>
  <si>
    <t>FODES 75%</t>
  </si>
  <si>
    <t xml:space="preserve">ALCALDIA MUNICIPAL DE SAN LUIS LA HERRADURA </t>
  </si>
  <si>
    <t>CUADRO ACUMULATIVO DE INGRESOS MES DE ENERO AÑO 2022</t>
  </si>
  <si>
    <t>INGRESOS MES DE ENERO  2022</t>
  </si>
  <si>
    <t>Comercio</t>
  </si>
  <si>
    <t>Financiero</t>
  </si>
  <si>
    <t>Vialidad</t>
  </si>
  <si>
    <t xml:space="preserve">Industria </t>
  </si>
  <si>
    <t>Servicios</t>
  </si>
  <si>
    <t xml:space="preserve">Vallas </t>
  </si>
  <si>
    <t>TOTAL D.M. POR IMPUESTOS</t>
  </si>
  <si>
    <t>Certificaciones</t>
  </si>
  <si>
    <t>Expedicion de documentos</t>
  </si>
  <si>
    <t>Alumbrado Publico</t>
  </si>
  <si>
    <t>Aseo Publico</t>
  </si>
  <si>
    <t>Barrido de Calles</t>
  </si>
  <si>
    <t>Cementerio publico</t>
  </si>
  <si>
    <t>Fiestas</t>
  </si>
  <si>
    <t>Mercado</t>
  </si>
  <si>
    <t>Pavimentacion</t>
  </si>
  <si>
    <t>Postes y antenas</t>
  </si>
  <si>
    <t>Rastro y tiangue</t>
  </si>
  <si>
    <t>Permisos y licencias</t>
  </si>
  <si>
    <t>Derechos</t>
  </si>
  <si>
    <t>TOTAL D.M. POR TASAS Y SERVICIOS</t>
  </si>
  <si>
    <t xml:space="preserve">AGUA POTABLE </t>
  </si>
  <si>
    <t>Servicios Diversos</t>
  </si>
  <si>
    <t>TOTAL D.M. POR VENTA DE SERVICIOS</t>
  </si>
  <si>
    <t>Intereses por mora</t>
  </si>
  <si>
    <t>Multa por registro civil</t>
  </si>
  <si>
    <t>Multa por mora de impuestos</t>
  </si>
  <si>
    <t>Ingresos Diversos</t>
  </si>
  <si>
    <t>TOTAL D.M. POR INGRESOS FINANCIEROS</t>
  </si>
  <si>
    <t>RECUPERACION DE MORA</t>
  </si>
  <si>
    <t>TOTAL D.M. POR OPERAC. DE EJ. ANTERIORES</t>
  </si>
  <si>
    <t xml:space="preserve">TOTAL INGRESOS DEL DIA </t>
  </si>
  <si>
    <t>FODES 25%</t>
  </si>
  <si>
    <t>CUADRO ACUMULATIVO DE INGRESOS MES DE FEBRERO AÑO 2022</t>
  </si>
  <si>
    <t>INGRESOS MES DE FEBRERO  2022</t>
  </si>
  <si>
    <t>CUADRO ACUMULATIVO DE INGRESOS MES DE MARZO AÑO 2022</t>
  </si>
  <si>
    <t>INGRESOS MES DE MARZO  2022</t>
  </si>
  <si>
    <t>Permisos y licencias oplaget</t>
  </si>
  <si>
    <t>CUADRO ACUMULATIVO DE INGRESOS MES DE MAYO 2021</t>
  </si>
  <si>
    <t>INGRESOS MES DE MAYO 2021</t>
  </si>
  <si>
    <t>Vallas</t>
  </si>
  <si>
    <t xml:space="preserve"> </t>
  </si>
  <si>
    <t xml:space="preserve">TOTAL </t>
  </si>
  <si>
    <t>CUADRO ACUMULATIVO DE INGRESOS MES DE JUNIO 2021</t>
  </si>
  <si>
    <t>INGRESOS MES DE JUNIO 2021</t>
  </si>
  <si>
    <t>CUADRO ACUMULATIVO DE INGRESOS MES DE JULIO 2021</t>
  </si>
  <si>
    <t>INGRESOS MES DE JULIO 2021</t>
  </si>
  <si>
    <t>CUADRO ACUMULATIVO DE INGRESOS MES DE AGOSTO 2021</t>
  </si>
  <si>
    <t>INGRESOS MES DE AGOSTO 2021</t>
  </si>
  <si>
    <t xml:space="preserve"> .</t>
  </si>
  <si>
    <t>TOTAL</t>
  </si>
  <si>
    <t>CUADRO ACUMULATIVO DE INGRESOS MES DE SEPTIEMBRE 2021</t>
  </si>
  <si>
    <t>INGRESOS MES DE SEPTIEMBRE 2021</t>
  </si>
  <si>
    <t>CUADRO ACUMULATIVO DE INGRESOS MES DE OCTUBRE  DE 2021</t>
  </si>
  <si>
    <t>INGRESOS MES DE OCTUBRE 2021</t>
  </si>
  <si>
    <t>CUADRO ACUMULATIVO DE INGRESOS DEL MES DE NOVIEMBRE   DE 2021</t>
  </si>
  <si>
    <t>INGRESOS MES DE NOVIEMBRE 2021</t>
  </si>
  <si>
    <t>ASUETO</t>
  </si>
  <si>
    <t>CUADRO ACUMULATIVO DE INGRESOS DEL MES DE DICIEMBRE  DE 2021</t>
  </si>
  <si>
    <t>INGRESOS MES DE DICIEMBRE 2021</t>
  </si>
  <si>
    <t>vallas</t>
  </si>
  <si>
    <t xml:space="preserve">INFRESOS </t>
  </si>
</sst>
</file>

<file path=xl/styles.xml><?xml version="1.0" encoding="utf-8"?>
<styleSheet xmlns="http://schemas.openxmlformats.org/spreadsheetml/2006/main">
  <numFmts count="4">
    <numFmt numFmtId="6" formatCode="&quot;$&quot;#,##0_);[Red]\(&quot;$&quot;#,##0\)"/>
    <numFmt numFmtId="44" formatCode="_(&quot;$&quot;* #,##0.00_);_(&quot;$&quot;* \(#,##0.00\);_(&quot;$&quot;* &quot;-&quot;??_);_(@_)"/>
    <numFmt numFmtId="164" formatCode="_-&quot;$&quot;* #,##0.00_-;\-&quot;$&quot;* #,##0.00_-;_-&quot;$&quot;* &quot;-&quot;??_-;_-@_-"/>
    <numFmt numFmtId="165" formatCode="_-[$$-440A]* #,##0.00_ ;_-[$$-440A]* \-#,##0.00\ ;_-[$$-440A]* &quot;-&quot;??_ ;_-@_ "/>
  </numFmts>
  <fonts count="24">
    <font>
      <sz val="11"/>
      <color theme="1"/>
      <name val="Calibri"/>
      <family val="2"/>
      <scheme val="minor"/>
    </font>
    <font>
      <sz val="11"/>
      <color rgb="FF000000"/>
      <name val="Calibri"/>
    </font>
    <font>
      <sz val="14"/>
      <color theme="1"/>
      <name val="Calibri"/>
      <family val="2"/>
      <scheme val="minor"/>
    </font>
    <font>
      <sz val="14"/>
      <name val="Cambria"/>
      <family val="1"/>
      <scheme val="maj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name val="Cambria"/>
      <family val="1"/>
      <scheme val="major"/>
    </font>
    <font>
      <sz val="10"/>
      <color theme="1"/>
      <name val="Times New Roman"/>
      <family val="1"/>
    </font>
    <font>
      <sz val="10"/>
      <name val="Times New Roman"/>
      <family val="1"/>
    </font>
    <font>
      <sz val="8"/>
      <color theme="1"/>
      <name val="Times New Roman"/>
      <family val="1"/>
    </font>
    <font>
      <sz val="8"/>
      <name val="Times New Roman"/>
      <family val="1"/>
    </font>
    <font>
      <b/>
      <sz val="18"/>
      <color theme="1"/>
      <name val="Cambria"/>
      <family val="1"/>
      <scheme val="major"/>
    </font>
    <font>
      <sz val="11"/>
      <color theme="1"/>
      <name val="Cambria"/>
      <family val="1"/>
      <scheme val="major"/>
    </font>
    <font>
      <b/>
      <sz val="11"/>
      <color theme="1"/>
      <name val="Arial Narrow"/>
      <family val="2"/>
    </font>
    <font>
      <b/>
      <sz val="11"/>
      <color theme="1" tint="4.9989318521683403E-2"/>
      <name val="Arial Narrow"/>
      <family val="2"/>
    </font>
    <font>
      <sz val="11"/>
      <color theme="1"/>
      <name val="Arial Narrow"/>
      <family val="2"/>
    </font>
    <font>
      <sz val="11"/>
      <name val="Arial Narrow"/>
      <family val="2"/>
    </font>
    <font>
      <b/>
      <sz val="11"/>
      <color theme="1"/>
      <name val="Arial Unicode MS"/>
      <family val="2"/>
    </font>
    <font>
      <sz val="11"/>
      <color theme="1"/>
      <name val="Arial Unicode MS"/>
      <family val="2"/>
    </font>
    <font>
      <b/>
      <sz val="10"/>
      <color theme="1"/>
      <name val="Arial Unicode MS"/>
      <family val="2"/>
    </font>
    <font>
      <b/>
      <sz val="10"/>
      <color theme="1" tint="4.9989318521683403E-2"/>
      <name val="Arial Unicode MS"/>
      <family val="2"/>
    </font>
    <font>
      <sz val="11"/>
      <color rgb="FFFF0000"/>
      <name val="Arial Unicode MS"/>
      <family val="2"/>
    </font>
    <font>
      <sz val="28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166">
    <xf numFmtId="0" fontId="0" fillId="0" borderId="0" xfId="0"/>
    <xf numFmtId="0" fontId="6" fillId="2" borderId="1" xfId="1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44" fontId="7" fillId="2" borderId="1" xfId="2" applyFont="1" applyFill="1" applyBorder="1" applyAlignment="1">
      <alignment horizontal="center" vertical="center"/>
    </xf>
    <xf numFmtId="6" fontId="1" fillId="2" borderId="1" xfId="1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164" fontId="9" fillId="0" borderId="1" xfId="2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164" fontId="9" fillId="0" borderId="10" xfId="2" applyNumberFormat="1" applyFont="1" applyFill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164" fontId="11" fillId="0" borderId="1" xfId="2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64" fontId="11" fillId="0" borderId="1" xfId="2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11" fillId="0" borderId="1" xfId="2" applyNumberFormat="1" applyFont="1" applyFill="1" applyBorder="1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164" fontId="10" fillId="0" borderId="1" xfId="2" applyNumberFormat="1" applyFont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0" fontId="11" fillId="2" borderId="1" xfId="0" applyFont="1" applyFill="1" applyBorder="1" applyAlignment="1">
      <alignment horizontal="center" vertical="center" wrapText="1"/>
    </xf>
    <xf numFmtId="164" fontId="11" fillId="2" borderId="1" xfId="2" applyNumberFormat="1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center" vertical="center" wrapText="1"/>
    </xf>
    <xf numFmtId="164" fontId="10" fillId="0" borderId="1" xfId="2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44" fontId="0" fillId="0" borderId="1" xfId="2" applyFon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0" fontId="13" fillId="0" borderId="1" xfId="0" applyFont="1" applyFill="1" applyBorder="1"/>
    <xf numFmtId="14" fontId="16" fillId="5" borderId="1" xfId="0" applyNumberFormat="1" applyFont="1" applyFill="1" applyBorder="1" applyAlignment="1">
      <alignment horizontal="center"/>
    </xf>
    <xf numFmtId="44" fontId="16" fillId="0" borderId="1" xfId="0" applyNumberFormat="1" applyFont="1" applyBorder="1"/>
    <xf numFmtId="44" fontId="17" fillId="0" borderId="1" xfId="0" applyNumberFormat="1" applyFont="1" applyFill="1" applyBorder="1"/>
    <xf numFmtId="44" fontId="14" fillId="5" borderId="1" xfId="0" applyNumberFormat="1" applyFont="1" applyFill="1" applyBorder="1"/>
    <xf numFmtId="44" fontId="16" fillId="0" borderId="1" xfId="0" applyNumberFormat="1" applyFont="1" applyFill="1" applyBorder="1"/>
    <xf numFmtId="14" fontId="16" fillId="0" borderId="1" xfId="0" applyNumberFormat="1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16" fillId="0" borderId="1" xfId="0" applyFont="1" applyBorder="1"/>
    <xf numFmtId="44" fontId="14" fillId="0" borderId="1" xfId="0" applyNumberFormat="1" applyFont="1" applyBorder="1"/>
    <xf numFmtId="44" fontId="16" fillId="5" borderId="1" xfId="0" applyNumberFormat="1" applyFont="1" applyFill="1" applyBorder="1"/>
    <xf numFmtId="0" fontId="5" fillId="0" borderId="0" xfId="0" applyFont="1" applyAlignment="1">
      <alignment horizontal="center"/>
    </xf>
    <xf numFmtId="4" fontId="0" fillId="0" borderId="0" xfId="0" applyNumberFormat="1"/>
    <xf numFmtId="4" fontId="18" fillId="0" borderId="0" xfId="0" applyNumberFormat="1" applyFont="1"/>
    <xf numFmtId="0" fontId="19" fillId="0" borderId="0" xfId="0" applyFont="1"/>
    <xf numFmtId="14" fontId="19" fillId="0" borderId="0" xfId="0" applyNumberFormat="1" applyFont="1" applyAlignment="1">
      <alignment horizontal="center"/>
    </xf>
    <xf numFmtId="14" fontId="5" fillId="0" borderId="0" xfId="0" applyNumberFormat="1" applyFont="1" applyAlignment="1">
      <alignment horizontal="center"/>
    </xf>
    <xf numFmtId="44" fontId="0" fillId="0" borderId="0" xfId="0" applyNumberFormat="1"/>
    <xf numFmtId="14" fontId="19" fillId="0" borderId="0" xfId="0" applyNumberFormat="1" applyFont="1" applyBorder="1" applyAlignment="1">
      <alignment horizontal="center"/>
    </xf>
    <xf numFmtId="44" fontId="19" fillId="0" borderId="0" xfId="0" applyNumberFormat="1" applyFont="1" applyBorder="1"/>
    <xf numFmtId="44" fontId="19" fillId="0" borderId="0" xfId="0" applyNumberFormat="1" applyFont="1"/>
    <xf numFmtId="44" fontId="18" fillId="0" borderId="0" xfId="0" applyNumberFormat="1" applyFont="1" applyBorder="1"/>
    <xf numFmtId="44" fontId="18" fillId="0" borderId="0" xfId="0" applyNumberFormat="1" applyFont="1"/>
    <xf numFmtId="44" fontId="0" fillId="0" borderId="0" xfId="0" applyNumberFormat="1" applyFont="1"/>
    <xf numFmtId="44" fontId="19" fillId="0" borderId="0" xfId="0" applyNumberFormat="1" applyFont="1" applyAlignment="1">
      <alignment horizontal="center"/>
    </xf>
    <xf numFmtId="44" fontId="18" fillId="6" borderId="0" xfId="0" applyNumberFormat="1" applyFont="1" applyFill="1"/>
    <xf numFmtId="0" fontId="19" fillId="0" borderId="0" xfId="0" applyFont="1" applyAlignment="1">
      <alignment horizontal="center"/>
    </xf>
    <xf numFmtId="44" fontId="18" fillId="0" borderId="0" xfId="2" applyFont="1"/>
    <xf numFmtId="44" fontId="18" fillId="6" borderId="0" xfId="2" applyFont="1" applyFill="1"/>
    <xf numFmtId="0" fontId="18" fillId="0" borderId="0" xfId="0" applyFont="1" applyFill="1"/>
    <xf numFmtId="0" fontId="21" fillId="0" borderId="0" xfId="0" applyFont="1" applyFill="1" applyBorder="1" applyAlignment="1" applyProtection="1">
      <alignment horizontal="center" vertical="center" wrapText="1"/>
      <protection locked="0"/>
    </xf>
    <xf numFmtId="0" fontId="20" fillId="0" borderId="0" xfId="0" applyFont="1" applyFill="1" applyBorder="1"/>
    <xf numFmtId="14" fontId="0" fillId="0" borderId="0" xfId="0" applyNumberFormat="1" applyFont="1" applyAlignment="1">
      <alignment horizontal="center"/>
    </xf>
    <xf numFmtId="4" fontId="0" fillId="0" borderId="0" xfId="0" applyNumberFormat="1" applyFont="1"/>
    <xf numFmtId="0" fontId="0" fillId="0" borderId="0" xfId="0" applyFont="1"/>
    <xf numFmtId="44" fontId="19" fillId="0" borderId="0" xfId="0" applyNumberFormat="1" applyFont="1" applyFill="1" applyBorder="1"/>
    <xf numFmtId="44" fontId="19" fillId="3" borderId="0" xfId="0" applyNumberFormat="1" applyFont="1" applyFill="1" applyBorder="1"/>
    <xf numFmtId="44" fontId="18" fillId="6" borderId="0" xfId="0" applyNumberFormat="1" applyFont="1" applyFill="1" applyBorder="1"/>
    <xf numFmtId="44" fontId="22" fillId="0" borderId="0" xfId="0" applyNumberFormat="1" applyFont="1"/>
    <xf numFmtId="14" fontId="19" fillId="3" borderId="0" xfId="0" applyNumberFormat="1" applyFont="1" applyFill="1" applyAlignment="1">
      <alignment horizontal="center"/>
    </xf>
    <xf numFmtId="44" fontId="18" fillId="3" borderId="0" xfId="0" applyNumberFormat="1" applyFont="1" applyFill="1"/>
    <xf numFmtId="4" fontId="18" fillId="3" borderId="0" xfId="0" applyNumberFormat="1" applyFont="1" applyFill="1"/>
    <xf numFmtId="0" fontId="0" fillId="3" borderId="0" xfId="0" applyFill="1"/>
    <xf numFmtId="4" fontId="0" fillId="3" borderId="0" xfId="0" applyNumberFormat="1" applyFill="1"/>
    <xf numFmtId="0" fontId="18" fillId="3" borderId="0" xfId="0" applyFont="1" applyFill="1"/>
    <xf numFmtId="165" fontId="18" fillId="3" borderId="0" xfId="0" applyNumberFormat="1" applyFont="1" applyFill="1"/>
    <xf numFmtId="0" fontId="5" fillId="3" borderId="0" xfId="0" applyFont="1" applyFill="1" applyAlignment="1">
      <alignment horizontal="center"/>
    </xf>
    <xf numFmtId="0" fontId="19" fillId="3" borderId="1" xfId="0" applyFont="1" applyFill="1" applyBorder="1" applyAlignment="1">
      <alignment horizontal="center"/>
    </xf>
    <xf numFmtId="4" fontId="19" fillId="3" borderId="1" xfId="0" applyNumberFormat="1" applyFont="1" applyFill="1" applyBorder="1"/>
    <xf numFmtId="4" fontId="12" fillId="3" borderId="1" xfId="0" applyNumberFormat="1" applyFont="1" applyFill="1" applyBorder="1" applyAlignment="1">
      <alignment vertical="center"/>
    </xf>
    <xf numFmtId="4" fontId="18" fillId="3" borderId="1" xfId="0" applyNumberFormat="1" applyFont="1" applyFill="1" applyBorder="1"/>
    <xf numFmtId="0" fontId="0" fillId="3" borderId="1" xfId="0" applyFill="1" applyBorder="1"/>
    <xf numFmtId="0" fontId="5" fillId="3" borderId="1" xfId="0" applyFont="1" applyFill="1" applyBorder="1" applyAlignment="1">
      <alignment horizontal="center"/>
    </xf>
    <xf numFmtId="4" fontId="0" fillId="3" borderId="1" xfId="0" applyNumberFormat="1" applyFill="1" applyBorder="1"/>
    <xf numFmtId="0" fontId="18" fillId="3" borderId="1" xfId="0" applyFont="1" applyFill="1" applyBorder="1"/>
    <xf numFmtId="165" fontId="18" fillId="3" borderId="1" xfId="0" applyNumberFormat="1" applyFont="1" applyFill="1" applyBorder="1"/>
    <xf numFmtId="0" fontId="19" fillId="3" borderId="0" xfId="0" applyFont="1" applyFill="1"/>
    <xf numFmtId="44" fontId="0" fillId="3" borderId="1" xfId="2" applyFont="1" applyFill="1" applyBorder="1"/>
    <xf numFmtId="0" fontId="19" fillId="3" borderId="1" xfId="0" applyFont="1" applyFill="1" applyBorder="1"/>
    <xf numFmtId="14" fontId="19" fillId="3" borderId="1" xfId="0" applyNumberFormat="1" applyFont="1" applyFill="1" applyBorder="1" applyAlignment="1">
      <alignment horizontal="center"/>
    </xf>
    <xf numFmtId="44" fontId="19" fillId="3" borderId="1" xfId="0" applyNumberFormat="1" applyFont="1" applyFill="1" applyBorder="1"/>
    <xf numFmtId="44" fontId="18" fillId="3" borderId="1" xfId="0" applyNumberFormat="1" applyFont="1" applyFill="1" applyBorder="1"/>
    <xf numFmtId="0" fontId="5" fillId="3" borderId="1" xfId="0" applyFont="1" applyFill="1" applyBorder="1" applyAlignment="1"/>
    <xf numFmtId="4" fontId="12" fillId="3" borderId="1" xfId="0" applyNumberFormat="1" applyFont="1" applyFill="1" applyBorder="1" applyAlignment="1">
      <alignment horizontal="center" vertical="center"/>
    </xf>
    <xf numFmtId="4" fontId="0" fillId="3" borderId="1" xfId="0" applyNumberFormat="1" applyFill="1" applyBorder="1" applyAlignment="1"/>
    <xf numFmtId="0" fontId="13" fillId="3" borderId="1" xfId="0" applyFont="1" applyFill="1" applyBorder="1"/>
    <xf numFmtId="0" fontId="0" fillId="3" borderId="11" xfId="0" applyFill="1" applyBorder="1" applyAlignment="1"/>
    <xf numFmtId="0" fontId="0" fillId="3" borderId="6" xfId="0" applyFill="1" applyBorder="1" applyAlignment="1"/>
    <xf numFmtId="0" fontId="14" fillId="3" borderId="1" xfId="0" applyFont="1" applyFill="1" applyBorder="1" applyAlignment="1">
      <alignment horizontal="center" vertical="center"/>
    </xf>
    <xf numFmtId="0" fontId="14" fillId="3" borderId="1" xfId="0" applyFont="1" applyFill="1" applyBorder="1"/>
    <xf numFmtId="0" fontId="15" fillId="3" borderId="1" xfId="0" applyFont="1" applyFill="1" applyBorder="1" applyAlignment="1" applyProtection="1">
      <alignment horizontal="center" vertical="center" wrapText="1"/>
      <protection locked="0"/>
    </xf>
    <xf numFmtId="0" fontId="18" fillId="3" borderId="1" xfId="0" applyFont="1" applyFill="1" applyBorder="1" applyAlignment="1">
      <alignment horizontal="center" vertical="center"/>
    </xf>
    <xf numFmtId="0" fontId="20" fillId="3" borderId="1" xfId="0" applyFont="1" applyFill="1" applyBorder="1" applyAlignment="1">
      <alignment horizontal="center" vertical="center" wrapText="1"/>
    </xf>
    <xf numFmtId="0" fontId="21" fillId="3" borderId="1" xfId="0" applyFont="1" applyFill="1" applyBorder="1" applyAlignment="1" applyProtection="1">
      <alignment horizontal="center" vertical="center" wrapText="1"/>
      <protection locked="0"/>
    </xf>
    <xf numFmtId="0" fontId="20" fillId="3" borderId="1" xfId="0" applyFont="1" applyFill="1" applyBorder="1"/>
    <xf numFmtId="0" fontId="20" fillId="3" borderId="1" xfId="0" applyFont="1" applyFill="1" applyBorder="1" applyAlignment="1">
      <alignment horizontal="center" vertical="center"/>
    </xf>
    <xf numFmtId="44" fontId="18" fillId="0" borderId="1" xfId="0" applyNumberFormat="1" applyFont="1" applyBorder="1"/>
    <xf numFmtId="44" fontId="19" fillId="0" borderId="1" xfId="0" applyNumberFormat="1" applyFont="1" applyBorder="1"/>
    <xf numFmtId="44" fontId="18" fillId="6" borderId="1" xfId="0" applyNumberFormat="1" applyFont="1" applyFill="1" applyBorder="1"/>
    <xf numFmtId="44" fontId="0" fillId="0" borderId="1" xfId="0" applyNumberFormat="1" applyBorder="1"/>
    <xf numFmtId="14" fontId="19" fillId="2" borderId="0" xfId="0" applyNumberFormat="1" applyFont="1" applyFill="1" applyAlignment="1">
      <alignment horizontal="center"/>
    </xf>
    <xf numFmtId="44" fontId="16" fillId="2" borderId="1" xfId="0" applyNumberFormat="1" applyFont="1" applyFill="1" applyBorder="1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19" fillId="0" borderId="0" xfId="0" applyFont="1" applyAlignment="1">
      <alignment horizontal="center"/>
    </xf>
    <xf numFmtId="0" fontId="19" fillId="0" borderId="2" xfId="0" applyFont="1" applyBorder="1" applyAlignment="1">
      <alignment horizontal="center"/>
    </xf>
    <xf numFmtId="44" fontId="18" fillId="6" borderId="0" xfId="0" applyNumberFormat="1" applyFont="1" applyFill="1" applyAlignment="1">
      <alignment horizontal="center" vertical="center"/>
    </xf>
    <xf numFmtId="44" fontId="18" fillId="6" borderId="2" xfId="0" applyNumberFormat="1" applyFont="1" applyFill="1" applyBorder="1" applyAlignment="1">
      <alignment horizontal="center" vertical="center"/>
    </xf>
    <xf numFmtId="44" fontId="18" fillId="6" borderId="0" xfId="2" applyFont="1" applyFill="1" applyAlignment="1">
      <alignment horizontal="center" vertical="center"/>
    </xf>
    <xf numFmtId="44" fontId="18" fillId="6" borderId="2" xfId="2" applyFont="1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23" fillId="3" borderId="5" xfId="0" applyFont="1" applyFill="1" applyBorder="1" applyAlignment="1">
      <alignment horizontal="center"/>
    </xf>
    <xf numFmtId="0" fontId="23" fillId="3" borderId="11" xfId="0" applyFont="1" applyFill="1" applyBorder="1" applyAlignment="1">
      <alignment horizontal="center"/>
    </xf>
    <xf numFmtId="44" fontId="12" fillId="3" borderId="1" xfId="0" applyNumberFormat="1" applyFont="1" applyFill="1" applyBorder="1" applyAlignment="1">
      <alignment horizontal="center"/>
    </xf>
    <xf numFmtId="14" fontId="19" fillId="0" borderId="0" xfId="0" applyNumberFormat="1" applyFont="1" applyAlignment="1">
      <alignment horizontal="center"/>
    </xf>
    <xf numFmtId="14" fontId="19" fillId="0" borderId="2" xfId="0" applyNumberFormat="1" applyFont="1" applyBorder="1" applyAlignment="1">
      <alignment horizontal="center"/>
    </xf>
    <xf numFmtId="44" fontId="18" fillId="0" borderId="3" xfId="0" applyNumberFormat="1" applyFont="1" applyBorder="1" applyAlignment="1">
      <alignment horizontal="center"/>
    </xf>
    <xf numFmtId="44" fontId="18" fillId="0" borderId="2" xfId="0" applyNumberFormat="1" applyFont="1" applyBorder="1" applyAlignment="1">
      <alignment horizontal="center"/>
    </xf>
    <xf numFmtId="44" fontId="18" fillId="0" borderId="0" xfId="0" applyNumberFormat="1" applyFont="1" applyAlignment="1">
      <alignment horizontal="center"/>
    </xf>
    <xf numFmtId="44" fontId="18" fillId="6" borderId="8" xfId="0" applyNumberFormat="1" applyFont="1" applyFill="1" applyBorder="1" applyAlignment="1">
      <alignment horizontal="center" vertical="center"/>
    </xf>
    <xf numFmtId="44" fontId="18" fillId="6" borderId="7" xfId="0" applyNumberFormat="1" applyFont="1" applyFill="1" applyBorder="1" applyAlignment="1">
      <alignment horizontal="center" vertical="center"/>
    </xf>
    <xf numFmtId="44" fontId="18" fillId="6" borderId="9" xfId="0" applyNumberFormat="1" applyFont="1" applyFill="1" applyBorder="1" applyAlignment="1">
      <alignment horizontal="center" vertical="center"/>
    </xf>
    <xf numFmtId="44" fontId="18" fillId="6" borderId="1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4" xfId="0" applyFont="1" applyBorder="1" applyAlignment="1">
      <alignment horizontal="center"/>
    </xf>
    <xf numFmtId="44" fontId="18" fillId="6" borderId="1" xfId="0" applyNumberFormat="1" applyFont="1" applyFill="1" applyBorder="1" applyAlignment="1">
      <alignment horizontal="center"/>
    </xf>
    <xf numFmtId="4" fontId="12" fillId="3" borderId="1" xfId="0" applyNumberFormat="1" applyFont="1" applyFill="1" applyBorder="1" applyAlignment="1">
      <alignment horizontal="center" vertical="center"/>
    </xf>
    <xf numFmtId="44" fontId="19" fillId="0" borderId="0" xfId="0" applyNumberFormat="1" applyFont="1" applyAlignment="1">
      <alignment horizontal="center"/>
    </xf>
    <xf numFmtId="0" fontId="12" fillId="3" borderId="1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 wrapText="1"/>
    </xf>
    <xf numFmtId="44" fontId="19" fillId="0" borderId="2" xfId="0" applyNumberFormat="1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0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6" fillId="2" borderId="1" xfId="1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</cellXfs>
  <cellStyles count="4">
    <cellStyle name="Moneda" xfId="2" builtinId="4"/>
    <cellStyle name="Moneda 2" xfId="3"/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I589"/>
  <sheetViews>
    <sheetView tabSelected="1" topLeftCell="A556" workbookViewId="0">
      <selection activeCell="C568" sqref="C568"/>
    </sheetView>
  </sheetViews>
  <sheetFormatPr baseColWidth="10" defaultRowHeight="15"/>
  <cols>
    <col min="2" max="2" width="13.28515625" customWidth="1"/>
    <col min="3" max="3" width="39.85546875" customWidth="1"/>
    <col min="4" max="4" width="1" hidden="1" customWidth="1"/>
    <col min="5" max="5" width="24.42578125" customWidth="1"/>
    <col min="6" max="6" width="14" customWidth="1"/>
    <col min="7" max="7" width="14.42578125" customWidth="1"/>
    <col min="8" max="8" width="36.5703125" customWidth="1"/>
    <col min="9" max="9" width="19.28515625" customWidth="1"/>
    <col min="10" max="10" width="17.5703125" customWidth="1"/>
    <col min="11" max="11" width="12.5703125" customWidth="1"/>
    <col min="12" max="12" width="15.140625" customWidth="1"/>
    <col min="13" max="13" width="16.7109375" customWidth="1"/>
    <col min="18" max="18" width="15.5703125" customWidth="1"/>
    <col min="19" max="19" width="15.140625" customWidth="1"/>
    <col min="20" max="20" width="14.5703125" customWidth="1"/>
    <col min="21" max="21" width="16.140625" customWidth="1"/>
    <col min="22" max="22" width="18.7109375" customWidth="1"/>
    <col min="24" max="24" width="13.5703125" customWidth="1"/>
    <col min="25" max="25" width="13.42578125" customWidth="1"/>
    <col min="30" max="30" width="17.42578125" customWidth="1"/>
    <col min="31" max="31" width="13.5703125" customWidth="1"/>
    <col min="32" max="32" width="14.85546875" customWidth="1"/>
    <col min="34" max="34" width="16.7109375" customWidth="1"/>
    <col min="35" max="35" width="12.5703125" customWidth="1"/>
  </cols>
  <sheetData>
    <row r="1" spans="1:8">
      <c r="A1" s="116"/>
      <c r="B1" s="116"/>
      <c r="C1" s="116"/>
      <c r="D1" s="116"/>
      <c r="E1" s="116"/>
      <c r="F1" s="116"/>
      <c r="G1" s="116"/>
      <c r="H1" s="116"/>
    </row>
    <row r="2" spans="1:8" ht="15" customHeight="1">
      <c r="A2" s="116"/>
      <c r="B2" s="116"/>
      <c r="C2" s="116"/>
      <c r="D2" s="116"/>
      <c r="E2" s="116"/>
      <c r="F2" s="116"/>
      <c r="G2" s="116"/>
      <c r="H2" s="116"/>
    </row>
    <row r="3" spans="1:8">
      <c r="A3" s="116"/>
      <c r="B3" s="116"/>
      <c r="C3" s="116"/>
      <c r="D3" s="116"/>
      <c r="E3" s="116"/>
      <c r="F3" s="116"/>
      <c r="G3" s="116"/>
      <c r="H3" s="116"/>
    </row>
    <row r="4" spans="1:8" ht="29.25" customHeight="1">
      <c r="A4" s="117"/>
      <c r="B4" s="117"/>
      <c r="C4" s="117"/>
      <c r="D4" s="117"/>
      <c r="E4" s="117"/>
      <c r="F4" s="117"/>
      <c r="G4" s="117"/>
      <c r="H4" s="117"/>
    </row>
    <row r="5" spans="1:8" ht="30" customHeight="1">
      <c r="A5" s="154">
        <v>1</v>
      </c>
      <c r="B5" s="157" t="s">
        <v>4</v>
      </c>
      <c r="C5" s="156" t="s">
        <v>0</v>
      </c>
      <c r="D5" s="156"/>
      <c r="E5" s="156"/>
      <c r="F5" s="156"/>
      <c r="G5" s="156"/>
      <c r="H5" s="156"/>
    </row>
    <row r="6" spans="1:8" ht="18.75" customHeight="1">
      <c r="A6" s="154"/>
      <c r="B6" s="157"/>
      <c r="C6" s="156"/>
      <c r="D6" s="156"/>
      <c r="E6" s="156"/>
      <c r="F6" s="156"/>
      <c r="G6" s="156"/>
      <c r="H6" s="156"/>
    </row>
    <row r="7" spans="1:8" ht="4.5" customHeight="1">
      <c r="A7" s="154"/>
      <c r="B7" s="157"/>
      <c r="C7" s="156"/>
      <c r="D7" s="156"/>
      <c r="E7" s="156"/>
      <c r="F7" s="156"/>
      <c r="G7" s="156"/>
      <c r="H7" s="156"/>
    </row>
    <row r="8" spans="1:8" ht="30" hidden="1" customHeight="1">
      <c r="A8" s="154"/>
      <c r="B8" s="12"/>
      <c r="C8" s="156"/>
      <c r="D8" s="156"/>
      <c r="E8" s="156"/>
      <c r="F8" s="156"/>
      <c r="G8" s="156"/>
      <c r="H8" s="156"/>
    </row>
    <row r="9" spans="1:8" ht="56.25" customHeight="1">
      <c r="A9" s="154"/>
      <c r="B9" s="21">
        <v>1</v>
      </c>
      <c r="C9" s="155" t="s">
        <v>2</v>
      </c>
      <c r="D9" s="155"/>
      <c r="E9" s="155"/>
      <c r="F9" s="165" t="s">
        <v>1</v>
      </c>
      <c r="G9" s="165"/>
      <c r="H9" s="165"/>
    </row>
    <row r="10" spans="1:8">
      <c r="A10" s="116"/>
      <c r="B10" s="116"/>
      <c r="C10" s="116"/>
      <c r="D10" s="116"/>
      <c r="E10" s="116"/>
      <c r="F10" s="116"/>
      <c r="G10" s="116"/>
      <c r="H10" s="116"/>
    </row>
    <row r="11" spans="1:8">
      <c r="A11" s="116"/>
      <c r="B11" s="116"/>
      <c r="C11" s="116"/>
      <c r="D11" s="116"/>
      <c r="E11" s="116"/>
      <c r="F11" s="116"/>
      <c r="G11" s="116"/>
      <c r="H11" s="116"/>
    </row>
    <row r="12" spans="1:8" ht="32.25" customHeight="1">
      <c r="A12" s="116"/>
      <c r="B12" s="116"/>
      <c r="C12" s="116"/>
      <c r="D12" s="116"/>
      <c r="E12" s="116"/>
      <c r="F12" s="116"/>
      <c r="G12" s="116"/>
      <c r="H12" s="116"/>
    </row>
    <row r="13" spans="1:8" ht="68.25" customHeight="1">
      <c r="A13" s="150">
        <v>2</v>
      </c>
      <c r="B13" s="1" t="s">
        <v>4</v>
      </c>
      <c r="C13" s="158" t="s">
        <v>3</v>
      </c>
      <c r="D13" s="159"/>
      <c r="E13" s="159"/>
      <c r="F13" s="159"/>
      <c r="G13" s="159"/>
      <c r="H13" s="160"/>
    </row>
    <row r="14" spans="1:8" ht="89.25" customHeight="1">
      <c r="A14" s="150"/>
      <c r="B14" s="1" t="s">
        <v>4</v>
      </c>
      <c r="C14" s="2" t="s">
        <v>5</v>
      </c>
      <c r="D14" s="2" t="s">
        <v>6</v>
      </c>
      <c r="E14" s="2" t="s">
        <v>7</v>
      </c>
      <c r="F14" s="2" t="s">
        <v>8</v>
      </c>
      <c r="G14" s="2" t="s">
        <v>9</v>
      </c>
      <c r="H14" s="2" t="s">
        <v>10</v>
      </c>
    </row>
    <row r="15" spans="1:8" ht="23.25" customHeight="1">
      <c r="A15" s="150"/>
      <c r="B15" s="2">
        <v>1</v>
      </c>
      <c r="C15" s="3" t="s">
        <v>11</v>
      </c>
      <c r="D15" s="4">
        <v>1</v>
      </c>
      <c r="E15" s="5">
        <v>3000</v>
      </c>
      <c r="F15" s="2" t="s">
        <v>12</v>
      </c>
      <c r="G15" s="6">
        <v>1500</v>
      </c>
      <c r="H15" s="2" t="s">
        <v>12</v>
      </c>
    </row>
    <row r="19" spans="1:5" ht="46.5" customHeight="1">
      <c r="A19" s="150">
        <v>3</v>
      </c>
      <c r="B19" s="1" t="s">
        <v>4</v>
      </c>
      <c r="C19" s="161" t="s">
        <v>25</v>
      </c>
      <c r="D19" s="162"/>
      <c r="E19" s="163"/>
    </row>
    <row r="20" spans="1:5">
      <c r="A20" s="150"/>
      <c r="B20" s="13">
        <v>1</v>
      </c>
      <c r="C20" s="7" t="s">
        <v>13</v>
      </c>
      <c r="D20" s="8">
        <v>4</v>
      </c>
      <c r="E20" s="9">
        <v>1000</v>
      </c>
    </row>
    <row r="21" spans="1:5">
      <c r="A21" s="150"/>
      <c r="B21" s="13">
        <v>2</v>
      </c>
      <c r="C21" s="7" t="s">
        <v>14</v>
      </c>
      <c r="D21" s="8">
        <f>D20</f>
        <v>4</v>
      </c>
      <c r="E21" s="9">
        <v>1000</v>
      </c>
    </row>
    <row r="22" spans="1:5">
      <c r="A22" s="150"/>
      <c r="B22" s="13">
        <v>3</v>
      </c>
      <c r="C22" s="7" t="s">
        <v>15</v>
      </c>
      <c r="D22" s="8">
        <f t="shared" ref="D22:D31" si="0">D21</f>
        <v>4</v>
      </c>
      <c r="E22" s="9">
        <v>1000</v>
      </c>
    </row>
    <row r="23" spans="1:5">
      <c r="A23" s="150"/>
      <c r="B23" s="13">
        <v>4</v>
      </c>
      <c r="C23" s="7" t="s">
        <v>16</v>
      </c>
      <c r="D23" s="8">
        <f t="shared" si="0"/>
        <v>4</v>
      </c>
      <c r="E23" s="9">
        <v>1000</v>
      </c>
    </row>
    <row r="24" spans="1:5">
      <c r="A24" s="150"/>
      <c r="B24" s="13">
        <v>5</v>
      </c>
      <c r="C24" s="10" t="s">
        <v>17</v>
      </c>
      <c r="D24" s="8">
        <f t="shared" si="0"/>
        <v>4</v>
      </c>
      <c r="E24" s="9">
        <v>1000</v>
      </c>
    </row>
    <row r="25" spans="1:5">
      <c r="A25" s="150"/>
      <c r="B25" s="13">
        <v>6</v>
      </c>
      <c r="C25" s="10" t="s">
        <v>18</v>
      </c>
      <c r="D25" s="8">
        <f t="shared" si="0"/>
        <v>4</v>
      </c>
      <c r="E25" s="9">
        <v>1000</v>
      </c>
    </row>
    <row r="26" spans="1:5">
      <c r="A26" s="150"/>
      <c r="B26" s="13">
        <v>7</v>
      </c>
      <c r="C26" s="7" t="s">
        <v>19</v>
      </c>
      <c r="D26" s="8">
        <f t="shared" si="0"/>
        <v>4</v>
      </c>
      <c r="E26" s="9">
        <v>1000</v>
      </c>
    </row>
    <row r="27" spans="1:5">
      <c r="A27" s="150"/>
      <c r="B27" s="13">
        <v>8</v>
      </c>
      <c r="C27" s="7" t="s">
        <v>20</v>
      </c>
      <c r="D27" s="8">
        <f t="shared" si="0"/>
        <v>4</v>
      </c>
      <c r="E27" s="9">
        <v>1000</v>
      </c>
    </row>
    <row r="28" spans="1:5">
      <c r="A28" s="150"/>
      <c r="B28" s="13">
        <v>9</v>
      </c>
      <c r="C28" s="7" t="s">
        <v>21</v>
      </c>
      <c r="D28" s="8">
        <f t="shared" si="0"/>
        <v>4</v>
      </c>
      <c r="E28" s="9">
        <v>1000</v>
      </c>
    </row>
    <row r="29" spans="1:5">
      <c r="A29" s="150"/>
      <c r="B29" s="13">
        <v>10</v>
      </c>
      <c r="C29" s="10" t="s">
        <v>22</v>
      </c>
      <c r="D29" s="8">
        <f>D28</f>
        <v>4</v>
      </c>
      <c r="E29" s="9">
        <v>1000</v>
      </c>
    </row>
    <row r="30" spans="1:5">
      <c r="A30" s="150"/>
      <c r="B30" s="13">
        <v>11</v>
      </c>
      <c r="C30" s="7" t="s">
        <v>23</v>
      </c>
      <c r="D30" s="8">
        <f t="shared" si="0"/>
        <v>4</v>
      </c>
      <c r="E30" s="9">
        <v>1000</v>
      </c>
    </row>
    <row r="31" spans="1:5" ht="15.75" thickBot="1">
      <c r="A31" s="150"/>
      <c r="B31" s="13">
        <v>12</v>
      </c>
      <c r="C31" s="7" t="s">
        <v>24</v>
      </c>
      <c r="D31" s="8">
        <f t="shared" si="0"/>
        <v>4</v>
      </c>
      <c r="E31" s="11">
        <v>1000</v>
      </c>
    </row>
    <row r="32" spans="1:5" ht="15.75" thickTop="1"/>
    <row r="35" spans="1:5" ht="33.75" customHeight="1">
      <c r="A35" s="151">
        <v>4</v>
      </c>
      <c r="B35" s="1" t="s">
        <v>4</v>
      </c>
      <c r="C35" s="164" t="s">
        <v>43</v>
      </c>
      <c r="D35" s="164"/>
      <c r="E35" s="164"/>
    </row>
    <row r="36" spans="1:5">
      <c r="A36" s="151"/>
      <c r="B36" s="13">
        <v>1</v>
      </c>
      <c r="C36" s="14" t="s">
        <v>11</v>
      </c>
      <c r="D36" s="15">
        <v>28</v>
      </c>
      <c r="E36" s="16">
        <v>3000</v>
      </c>
    </row>
    <row r="37" spans="1:5">
      <c r="A37" s="151"/>
      <c r="B37" s="13">
        <v>2</v>
      </c>
      <c r="C37" s="14" t="s">
        <v>26</v>
      </c>
      <c r="D37" s="15">
        <f>D36</f>
        <v>28</v>
      </c>
      <c r="E37" s="16">
        <v>1500</v>
      </c>
    </row>
    <row r="38" spans="1:5">
      <c r="A38" s="151"/>
      <c r="B38" s="13">
        <v>3</v>
      </c>
      <c r="C38" s="14" t="s">
        <v>27</v>
      </c>
      <c r="D38" s="15">
        <f t="shared" ref="D38:D53" si="1">D37</f>
        <v>28</v>
      </c>
      <c r="E38" s="16">
        <v>1000</v>
      </c>
    </row>
    <row r="39" spans="1:5">
      <c r="A39" s="151"/>
      <c r="B39" s="13">
        <v>4</v>
      </c>
      <c r="C39" s="14" t="s">
        <v>28</v>
      </c>
      <c r="D39" s="15">
        <f t="shared" si="1"/>
        <v>28</v>
      </c>
      <c r="E39" s="16">
        <v>1000</v>
      </c>
    </row>
    <row r="40" spans="1:5">
      <c r="A40" s="151"/>
      <c r="B40" s="13">
        <v>5</v>
      </c>
      <c r="C40" s="14" t="s">
        <v>29</v>
      </c>
      <c r="D40" s="15">
        <f t="shared" si="1"/>
        <v>28</v>
      </c>
      <c r="E40" s="16">
        <v>1000</v>
      </c>
    </row>
    <row r="41" spans="1:5">
      <c r="A41" s="151"/>
      <c r="B41" s="13">
        <v>6</v>
      </c>
      <c r="C41" s="14" t="s">
        <v>30</v>
      </c>
      <c r="D41" s="15">
        <f t="shared" si="1"/>
        <v>28</v>
      </c>
      <c r="E41" s="16">
        <v>800</v>
      </c>
    </row>
    <row r="42" spans="1:5">
      <c r="A42" s="151"/>
      <c r="B42" s="13">
        <v>7</v>
      </c>
      <c r="C42" s="14" t="s">
        <v>31</v>
      </c>
      <c r="D42" s="15">
        <v>31</v>
      </c>
      <c r="E42" s="16">
        <v>1000</v>
      </c>
    </row>
    <row r="43" spans="1:5">
      <c r="A43" s="151"/>
      <c r="B43" s="13">
        <v>8</v>
      </c>
      <c r="C43" s="14" t="s">
        <v>32</v>
      </c>
      <c r="D43" s="15">
        <f t="shared" si="1"/>
        <v>31</v>
      </c>
      <c r="E43" s="16">
        <v>1000</v>
      </c>
    </row>
    <row r="44" spans="1:5">
      <c r="A44" s="151"/>
      <c r="B44" s="13">
        <v>9</v>
      </c>
      <c r="C44" s="14" t="s">
        <v>33</v>
      </c>
      <c r="D44" s="15">
        <f t="shared" si="1"/>
        <v>31</v>
      </c>
      <c r="E44" s="16">
        <v>700</v>
      </c>
    </row>
    <row r="45" spans="1:5">
      <c r="A45" s="151"/>
      <c r="B45" s="13">
        <v>10</v>
      </c>
      <c r="C45" s="14" t="s">
        <v>34</v>
      </c>
      <c r="D45" s="15">
        <f>D44</f>
        <v>31</v>
      </c>
      <c r="E45" s="16">
        <v>750</v>
      </c>
    </row>
    <row r="46" spans="1:5">
      <c r="A46" s="151"/>
      <c r="B46" s="13">
        <v>11</v>
      </c>
      <c r="C46" s="14" t="s">
        <v>35</v>
      </c>
      <c r="D46" s="15">
        <f t="shared" si="1"/>
        <v>31</v>
      </c>
      <c r="E46" s="16">
        <v>700</v>
      </c>
    </row>
    <row r="47" spans="1:5">
      <c r="A47" s="151"/>
      <c r="B47" s="13">
        <v>12</v>
      </c>
      <c r="C47" s="14" t="s">
        <v>36</v>
      </c>
      <c r="D47" s="15">
        <f t="shared" si="1"/>
        <v>31</v>
      </c>
      <c r="E47" s="16">
        <v>700</v>
      </c>
    </row>
    <row r="48" spans="1:5">
      <c r="A48" s="151"/>
      <c r="B48" s="13">
        <v>13</v>
      </c>
      <c r="C48" s="14" t="s">
        <v>37</v>
      </c>
      <c r="D48" s="15">
        <f t="shared" si="1"/>
        <v>31</v>
      </c>
      <c r="E48" s="16">
        <v>1200</v>
      </c>
    </row>
    <row r="49" spans="1:5">
      <c r="A49" s="151"/>
      <c r="B49" s="13">
        <v>14</v>
      </c>
      <c r="C49" s="14" t="s">
        <v>38</v>
      </c>
      <c r="D49" s="15">
        <f t="shared" si="1"/>
        <v>31</v>
      </c>
      <c r="E49" s="16">
        <v>600</v>
      </c>
    </row>
    <row r="50" spans="1:5">
      <c r="A50" s="151"/>
      <c r="B50" s="13">
        <v>15</v>
      </c>
      <c r="C50" s="14" t="s">
        <v>39</v>
      </c>
      <c r="D50" s="15">
        <f t="shared" si="1"/>
        <v>31</v>
      </c>
      <c r="E50" s="16">
        <v>500</v>
      </c>
    </row>
    <row r="51" spans="1:5">
      <c r="A51" s="151"/>
      <c r="B51" s="13">
        <v>16</v>
      </c>
      <c r="C51" s="14" t="s">
        <v>40</v>
      </c>
      <c r="D51" s="15">
        <f t="shared" si="1"/>
        <v>31</v>
      </c>
      <c r="E51" s="16">
        <v>600</v>
      </c>
    </row>
    <row r="52" spans="1:5" ht="22.5">
      <c r="A52" s="151"/>
      <c r="B52" s="13">
        <v>17</v>
      </c>
      <c r="C52" s="14" t="s">
        <v>41</v>
      </c>
      <c r="D52" s="15">
        <f t="shared" si="1"/>
        <v>31</v>
      </c>
      <c r="E52" s="16">
        <v>1000</v>
      </c>
    </row>
    <row r="53" spans="1:5">
      <c r="A53" s="151"/>
      <c r="B53" s="13">
        <v>18</v>
      </c>
      <c r="C53" s="14" t="s">
        <v>42</v>
      </c>
      <c r="D53" s="15">
        <f t="shared" si="1"/>
        <v>31</v>
      </c>
      <c r="E53" s="16">
        <v>600</v>
      </c>
    </row>
    <row r="54" spans="1:5">
      <c r="A54" s="151"/>
      <c r="B54" s="13">
        <v>19</v>
      </c>
      <c r="C54" s="19" t="s">
        <v>54</v>
      </c>
      <c r="D54" s="17">
        <v>31</v>
      </c>
      <c r="E54" s="16">
        <v>800</v>
      </c>
    </row>
    <row r="55" spans="1:5">
      <c r="A55" s="151"/>
      <c r="B55" s="13">
        <v>20</v>
      </c>
      <c r="C55" s="19" t="s">
        <v>55</v>
      </c>
      <c r="D55" s="17">
        <f>D54</f>
        <v>31</v>
      </c>
      <c r="E55" s="16">
        <v>600</v>
      </c>
    </row>
    <row r="56" spans="1:5">
      <c r="A56" s="151"/>
      <c r="B56" s="13">
        <v>21</v>
      </c>
      <c r="C56" s="19" t="s">
        <v>56</v>
      </c>
      <c r="D56" s="17">
        <f t="shared" ref="D56:D71" si="2">D55</f>
        <v>31</v>
      </c>
      <c r="E56" s="16">
        <v>750</v>
      </c>
    </row>
    <row r="57" spans="1:5">
      <c r="A57" s="151"/>
      <c r="B57" s="13">
        <v>22</v>
      </c>
      <c r="C57" s="19" t="s">
        <v>57</v>
      </c>
      <c r="D57" s="17">
        <f t="shared" si="2"/>
        <v>31</v>
      </c>
      <c r="E57" s="16">
        <v>1000</v>
      </c>
    </row>
    <row r="58" spans="1:5">
      <c r="A58" s="151"/>
      <c r="B58" s="13">
        <v>23</v>
      </c>
      <c r="C58" s="19" t="s">
        <v>58</v>
      </c>
      <c r="D58" s="17">
        <f t="shared" si="2"/>
        <v>31</v>
      </c>
      <c r="E58" s="16">
        <v>600</v>
      </c>
    </row>
    <row r="59" spans="1:5">
      <c r="A59" s="151"/>
      <c r="B59" s="13">
        <v>24</v>
      </c>
      <c r="C59" s="19" t="s">
        <v>59</v>
      </c>
      <c r="D59" s="17">
        <f t="shared" si="2"/>
        <v>31</v>
      </c>
      <c r="E59" s="16">
        <v>700</v>
      </c>
    </row>
    <row r="60" spans="1:5">
      <c r="A60" s="151"/>
      <c r="B60" s="13">
        <v>25</v>
      </c>
      <c r="C60" s="19" t="s">
        <v>60</v>
      </c>
      <c r="D60" s="17">
        <f t="shared" si="2"/>
        <v>31</v>
      </c>
      <c r="E60" s="16">
        <v>450</v>
      </c>
    </row>
    <row r="61" spans="1:5">
      <c r="A61" s="151"/>
      <c r="B61" s="13">
        <v>26</v>
      </c>
      <c r="C61" s="19" t="s">
        <v>61</v>
      </c>
      <c r="D61" s="17">
        <f t="shared" si="2"/>
        <v>31</v>
      </c>
      <c r="E61" s="16">
        <v>450</v>
      </c>
    </row>
    <row r="62" spans="1:5">
      <c r="A62" s="151"/>
      <c r="B62" s="13">
        <v>27</v>
      </c>
      <c r="C62" s="19" t="s">
        <v>62</v>
      </c>
      <c r="D62" s="17">
        <f t="shared" si="2"/>
        <v>31</v>
      </c>
      <c r="E62" s="16">
        <v>500</v>
      </c>
    </row>
    <row r="63" spans="1:5">
      <c r="A63" s="151"/>
      <c r="B63" s="13">
        <v>28</v>
      </c>
      <c r="C63" s="19" t="s">
        <v>63</v>
      </c>
      <c r="D63" s="17">
        <f t="shared" si="2"/>
        <v>31</v>
      </c>
      <c r="E63" s="16">
        <v>450</v>
      </c>
    </row>
    <row r="64" spans="1:5">
      <c r="A64" s="151"/>
      <c r="B64" s="13">
        <v>29</v>
      </c>
      <c r="C64" s="19" t="s">
        <v>64</v>
      </c>
      <c r="D64" s="17">
        <f t="shared" si="2"/>
        <v>31</v>
      </c>
      <c r="E64" s="16">
        <v>500</v>
      </c>
    </row>
    <row r="65" spans="1:9">
      <c r="A65" s="151"/>
      <c r="B65" s="13">
        <v>30</v>
      </c>
      <c r="C65" s="19" t="s">
        <v>65</v>
      </c>
      <c r="D65" s="17">
        <f t="shared" si="2"/>
        <v>31</v>
      </c>
      <c r="E65" s="16">
        <v>500</v>
      </c>
    </row>
    <row r="66" spans="1:9">
      <c r="A66" s="151"/>
      <c r="B66" s="13">
        <v>31</v>
      </c>
      <c r="C66" s="19" t="s">
        <v>66</v>
      </c>
      <c r="D66" s="17">
        <f t="shared" si="2"/>
        <v>31</v>
      </c>
      <c r="E66" s="16">
        <v>500</v>
      </c>
    </row>
    <row r="67" spans="1:9">
      <c r="A67" s="151"/>
      <c r="B67" s="13">
        <v>32</v>
      </c>
      <c r="C67" s="19" t="s">
        <v>67</v>
      </c>
      <c r="D67" s="17">
        <f t="shared" si="2"/>
        <v>31</v>
      </c>
      <c r="E67" s="16">
        <v>500</v>
      </c>
    </row>
    <row r="68" spans="1:9">
      <c r="A68" s="151"/>
      <c r="B68" s="13">
        <v>33</v>
      </c>
      <c r="C68" s="19" t="s">
        <v>68</v>
      </c>
      <c r="D68" s="17">
        <f t="shared" si="2"/>
        <v>31</v>
      </c>
      <c r="E68" s="16">
        <v>500</v>
      </c>
    </row>
    <row r="69" spans="1:9">
      <c r="A69" s="151"/>
      <c r="B69" s="13">
        <v>34</v>
      </c>
      <c r="C69" s="19" t="s">
        <v>69</v>
      </c>
      <c r="D69" s="17">
        <f t="shared" si="2"/>
        <v>31</v>
      </c>
      <c r="E69" s="16">
        <v>500</v>
      </c>
    </row>
    <row r="70" spans="1:9">
      <c r="A70" s="151"/>
      <c r="B70" s="13">
        <v>35</v>
      </c>
      <c r="C70" s="19" t="s">
        <v>70</v>
      </c>
      <c r="D70" s="17">
        <f t="shared" si="2"/>
        <v>31</v>
      </c>
      <c r="E70" s="16">
        <v>500</v>
      </c>
    </row>
    <row r="71" spans="1:9">
      <c r="A71" s="151"/>
      <c r="B71" s="13">
        <v>36</v>
      </c>
      <c r="C71" s="19" t="s">
        <v>71</v>
      </c>
      <c r="D71" s="17">
        <f t="shared" si="2"/>
        <v>31</v>
      </c>
      <c r="E71" s="16">
        <v>600</v>
      </c>
    </row>
    <row r="72" spans="1:9">
      <c r="A72" s="151"/>
      <c r="B72" s="13">
        <v>37</v>
      </c>
      <c r="C72" s="19" t="s">
        <v>72</v>
      </c>
      <c r="D72" s="17">
        <v>31</v>
      </c>
      <c r="E72" s="16">
        <v>500</v>
      </c>
    </row>
    <row r="73" spans="1:9">
      <c r="A73" s="151"/>
      <c r="B73" s="13">
        <v>38</v>
      </c>
      <c r="C73" s="19" t="s">
        <v>73</v>
      </c>
      <c r="D73" s="17">
        <f t="shared" ref="D73:D78" si="3">D72</f>
        <v>31</v>
      </c>
      <c r="E73" s="16">
        <v>500</v>
      </c>
    </row>
    <row r="74" spans="1:9">
      <c r="A74" s="151"/>
      <c r="B74" s="13">
        <v>39</v>
      </c>
      <c r="C74" s="19" t="s">
        <v>74</v>
      </c>
      <c r="D74" s="17">
        <f t="shared" si="3"/>
        <v>31</v>
      </c>
      <c r="E74" s="16">
        <v>500</v>
      </c>
    </row>
    <row r="75" spans="1:9">
      <c r="A75" s="151"/>
      <c r="B75" s="13">
        <v>40</v>
      </c>
      <c r="C75" s="19" t="s">
        <v>75</v>
      </c>
      <c r="D75" s="17">
        <f t="shared" si="3"/>
        <v>31</v>
      </c>
      <c r="E75" s="16">
        <v>500</v>
      </c>
    </row>
    <row r="76" spans="1:9">
      <c r="A76" s="151"/>
      <c r="B76" s="13">
        <v>41</v>
      </c>
      <c r="C76" s="19" t="s">
        <v>76</v>
      </c>
      <c r="D76" s="17">
        <f t="shared" si="3"/>
        <v>31</v>
      </c>
      <c r="E76" s="16">
        <v>500</v>
      </c>
    </row>
    <row r="77" spans="1:9">
      <c r="A77" s="151"/>
      <c r="B77" s="13">
        <v>42</v>
      </c>
      <c r="C77" s="19" t="s">
        <v>77</v>
      </c>
      <c r="D77" s="17">
        <f t="shared" si="3"/>
        <v>31</v>
      </c>
      <c r="E77" s="20">
        <v>600</v>
      </c>
    </row>
    <row r="78" spans="1:9">
      <c r="A78" s="151"/>
      <c r="B78" s="13">
        <v>43</v>
      </c>
      <c r="C78" s="19" t="s">
        <v>78</v>
      </c>
      <c r="D78" s="17">
        <f t="shared" si="3"/>
        <v>31</v>
      </c>
      <c r="E78" s="20">
        <v>500</v>
      </c>
      <c r="H78" s="12"/>
      <c r="I78" s="12"/>
    </row>
    <row r="79" spans="1:9">
      <c r="A79" s="151"/>
      <c r="B79" s="12"/>
      <c r="C79" s="12"/>
      <c r="D79" s="12"/>
      <c r="E79" s="12"/>
    </row>
    <row r="80" spans="1:9">
      <c r="A80" s="151"/>
      <c r="B80" s="25">
        <v>1</v>
      </c>
      <c r="C80" s="19" t="s">
        <v>44</v>
      </c>
      <c r="D80" s="17">
        <v>31</v>
      </c>
      <c r="E80" s="16">
        <v>400</v>
      </c>
    </row>
    <row r="81" spans="1:5">
      <c r="A81" s="151"/>
      <c r="B81" s="25">
        <v>2</v>
      </c>
      <c r="C81" s="19" t="s">
        <v>45</v>
      </c>
      <c r="D81" s="17">
        <f t="shared" ref="D81:D97" si="4">D80</f>
        <v>31</v>
      </c>
      <c r="E81" s="16">
        <v>365</v>
      </c>
    </row>
    <row r="82" spans="1:5">
      <c r="A82" s="151"/>
      <c r="B82" s="25">
        <v>3</v>
      </c>
      <c r="C82" s="19" t="s">
        <v>45</v>
      </c>
      <c r="D82" s="17">
        <f t="shared" si="4"/>
        <v>31</v>
      </c>
      <c r="E82" s="16">
        <v>365</v>
      </c>
    </row>
    <row r="83" spans="1:5">
      <c r="A83" s="151"/>
      <c r="B83" s="25">
        <v>4</v>
      </c>
      <c r="C83" s="19" t="s">
        <v>46</v>
      </c>
      <c r="D83" s="17">
        <f t="shared" si="4"/>
        <v>31</v>
      </c>
      <c r="E83" s="16">
        <v>365</v>
      </c>
    </row>
    <row r="84" spans="1:5">
      <c r="A84" s="151"/>
      <c r="B84" s="25">
        <v>5</v>
      </c>
      <c r="C84" s="19" t="s">
        <v>44</v>
      </c>
      <c r="D84" s="17">
        <f t="shared" si="4"/>
        <v>31</v>
      </c>
      <c r="E84" s="16">
        <v>400</v>
      </c>
    </row>
    <row r="85" spans="1:5">
      <c r="A85" s="151"/>
      <c r="B85" s="25">
        <v>6</v>
      </c>
      <c r="C85" s="19" t="s">
        <v>47</v>
      </c>
      <c r="D85" s="17">
        <f t="shared" si="4"/>
        <v>31</v>
      </c>
      <c r="E85" s="16">
        <v>365</v>
      </c>
    </row>
    <row r="86" spans="1:5">
      <c r="A86" s="151"/>
      <c r="B86" s="25">
        <v>7</v>
      </c>
      <c r="C86" s="19" t="s">
        <v>48</v>
      </c>
      <c r="D86" s="17">
        <f t="shared" si="4"/>
        <v>31</v>
      </c>
      <c r="E86" s="16">
        <v>365</v>
      </c>
    </row>
    <row r="87" spans="1:5">
      <c r="A87" s="151"/>
      <c r="B87" s="25">
        <v>8</v>
      </c>
      <c r="C87" s="19" t="s">
        <v>46</v>
      </c>
      <c r="D87" s="17">
        <f t="shared" si="4"/>
        <v>31</v>
      </c>
      <c r="E87" s="16">
        <v>365</v>
      </c>
    </row>
    <row r="88" spans="1:5">
      <c r="A88" s="151"/>
      <c r="B88" s="25">
        <v>9</v>
      </c>
      <c r="C88" s="19" t="s">
        <v>44</v>
      </c>
      <c r="D88" s="17">
        <f t="shared" si="4"/>
        <v>31</v>
      </c>
      <c r="E88" s="16">
        <v>400</v>
      </c>
    </row>
    <row r="89" spans="1:5">
      <c r="A89" s="151"/>
      <c r="B89" s="25">
        <v>10</v>
      </c>
      <c r="C89" s="19" t="s">
        <v>44</v>
      </c>
      <c r="D89" s="17">
        <f t="shared" si="4"/>
        <v>31</v>
      </c>
      <c r="E89" s="16">
        <v>400</v>
      </c>
    </row>
    <row r="90" spans="1:5">
      <c r="A90" s="151"/>
      <c r="B90" s="25">
        <v>11</v>
      </c>
      <c r="C90" s="19" t="s">
        <v>49</v>
      </c>
      <c r="D90" s="17">
        <f t="shared" si="4"/>
        <v>31</v>
      </c>
      <c r="E90" s="16">
        <v>365</v>
      </c>
    </row>
    <row r="91" spans="1:5">
      <c r="A91" s="151"/>
      <c r="B91" s="25">
        <v>12</v>
      </c>
      <c r="C91" s="19" t="s">
        <v>49</v>
      </c>
      <c r="D91" s="17">
        <f t="shared" si="4"/>
        <v>31</v>
      </c>
      <c r="E91" s="16">
        <v>365</v>
      </c>
    </row>
    <row r="92" spans="1:5">
      <c r="A92" s="151"/>
      <c r="B92" s="25">
        <v>13</v>
      </c>
      <c r="C92" s="19" t="s">
        <v>49</v>
      </c>
      <c r="D92" s="17">
        <f t="shared" si="4"/>
        <v>31</v>
      </c>
      <c r="E92" s="16">
        <v>365</v>
      </c>
    </row>
    <row r="93" spans="1:5">
      <c r="A93" s="151"/>
      <c r="B93" s="25">
        <v>14</v>
      </c>
      <c r="C93" s="19" t="s">
        <v>49</v>
      </c>
      <c r="D93" s="17">
        <f t="shared" si="4"/>
        <v>31</v>
      </c>
      <c r="E93" s="16">
        <v>365</v>
      </c>
    </row>
    <row r="94" spans="1:5">
      <c r="A94" s="151"/>
      <c r="B94" s="25">
        <v>15</v>
      </c>
      <c r="C94" s="19" t="s">
        <v>44</v>
      </c>
      <c r="D94" s="17">
        <f t="shared" si="4"/>
        <v>31</v>
      </c>
      <c r="E94" s="16">
        <v>400</v>
      </c>
    </row>
    <row r="95" spans="1:5">
      <c r="A95" s="151"/>
      <c r="B95" s="25">
        <v>16</v>
      </c>
      <c r="C95" s="19" t="s">
        <v>50</v>
      </c>
      <c r="D95" s="17">
        <f t="shared" si="4"/>
        <v>31</v>
      </c>
      <c r="E95" s="16">
        <v>365</v>
      </c>
    </row>
    <row r="96" spans="1:5">
      <c r="A96" s="151"/>
      <c r="B96" s="25">
        <v>17</v>
      </c>
      <c r="C96" s="19" t="s">
        <v>44</v>
      </c>
      <c r="D96" s="17">
        <f t="shared" si="4"/>
        <v>31</v>
      </c>
      <c r="E96" s="16">
        <v>400</v>
      </c>
    </row>
    <row r="97" spans="1:5">
      <c r="A97" s="151"/>
      <c r="B97" s="25">
        <v>18</v>
      </c>
      <c r="C97" s="19" t="s">
        <v>44</v>
      </c>
      <c r="D97" s="17">
        <f t="shared" si="4"/>
        <v>31</v>
      </c>
      <c r="E97" s="16">
        <v>400</v>
      </c>
    </row>
    <row r="98" spans="1:5">
      <c r="A98" s="151"/>
      <c r="B98" s="25">
        <v>19</v>
      </c>
      <c r="C98" s="19" t="s">
        <v>45</v>
      </c>
      <c r="D98" s="17" t="e">
        <f>#REF!</f>
        <v>#REF!</v>
      </c>
      <c r="E98" s="16">
        <v>365</v>
      </c>
    </row>
    <row r="99" spans="1:5">
      <c r="A99" s="151"/>
      <c r="B99" s="25">
        <v>20</v>
      </c>
      <c r="C99" s="19" t="s">
        <v>79</v>
      </c>
      <c r="D99" s="17" t="e">
        <f t="shared" ref="D99:D105" si="5">D98</f>
        <v>#REF!</v>
      </c>
      <c r="E99" s="16">
        <v>400</v>
      </c>
    </row>
    <row r="100" spans="1:5">
      <c r="A100" s="151"/>
      <c r="B100" s="25">
        <v>21</v>
      </c>
      <c r="C100" s="19" t="s">
        <v>79</v>
      </c>
      <c r="D100" s="17" t="e">
        <f t="shared" si="5"/>
        <v>#REF!</v>
      </c>
      <c r="E100" s="16">
        <v>400</v>
      </c>
    </row>
    <row r="101" spans="1:5">
      <c r="A101" s="151"/>
      <c r="B101" s="25">
        <v>22</v>
      </c>
      <c r="C101" s="19" t="s">
        <v>80</v>
      </c>
      <c r="D101" s="17" t="e">
        <f t="shared" si="5"/>
        <v>#REF!</v>
      </c>
      <c r="E101" s="16">
        <v>400</v>
      </c>
    </row>
    <row r="102" spans="1:5">
      <c r="A102" s="151"/>
      <c r="B102" s="25">
        <v>23</v>
      </c>
      <c r="C102" s="19" t="s">
        <v>80</v>
      </c>
      <c r="D102" s="17" t="e">
        <f t="shared" si="5"/>
        <v>#REF!</v>
      </c>
      <c r="E102" s="16">
        <v>400</v>
      </c>
    </row>
    <row r="103" spans="1:5">
      <c r="A103" s="151"/>
      <c r="B103" s="25">
        <v>24</v>
      </c>
      <c r="C103" s="19" t="s">
        <v>79</v>
      </c>
      <c r="D103" s="17" t="e">
        <f t="shared" si="5"/>
        <v>#REF!</v>
      </c>
      <c r="E103" s="16">
        <v>400</v>
      </c>
    </row>
    <row r="104" spans="1:5">
      <c r="A104" s="151"/>
      <c r="B104" s="25">
        <v>25</v>
      </c>
      <c r="C104" s="19" t="s">
        <v>45</v>
      </c>
      <c r="D104" s="17" t="e">
        <f t="shared" si="5"/>
        <v>#REF!</v>
      </c>
      <c r="E104" s="16">
        <v>365</v>
      </c>
    </row>
    <row r="105" spans="1:5">
      <c r="A105" s="151"/>
      <c r="B105" s="25">
        <v>26</v>
      </c>
      <c r="C105" s="24" t="s">
        <v>49</v>
      </c>
      <c r="D105" s="17" t="e">
        <f t="shared" si="5"/>
        <v>#REF!</v>
      </c>
      <c r="E105" s="24">
        <v>365</v>
      </c>
    </row>
    <row r="106" spans="1:5">
      <c r="A106" s="151"/>
      <c r="B106" s="12"/>
      <c r="C106" s="12"/>
      <c r="D106" s="12"/>
      <c r="E106" s="12"/>
    </row>
    <row r="107" spans="1:5">
      <c r="A107" s="151"/>
      <c r="B107" s="25">
        <v>1</v>
      </c>
      <c r="C107" s="26" t="s">
        <v>81</v>
      </c>
      <c r="D107" s="17">
        <v>31</v>
      </c>
      <c r="E107" s="27">
        <v>365</v>
      </c>
    </row>
    <row r="108" spans="1:5">
      <c r="A108" s="151"/>
      <c r="B108" s="25">
        <v>2</v>
      </c>
      <c r="C108" s="19" t="s">
        <v>82</v>
      </c>
      <c r="D108" s="17">
        <f t="shared" ref="D108:D124" si="6">D107</f>
        <v>31</v>
      </c>
      <c r="E108" s="22">
        <v>365</v>
      </c>
    </row>
    <row r="109" spans="1:5">
      <c r="A109" s="151"/>
      <c r="B109" s="25">
        <v>3</v>
      </c>
      <c r="C109" s="19" t="s">
        <v>83</v>
      </c>
      <c r="D109" s="17">
        <f t="shared" si="6"/>
        <v>31</v>
      </c>
      <c r="E109" s="22">
        <v>365</v>
      </c>
    </row>
    <row r="110" spans="1:5">
      <c r="A110" s="151"/>
      <c r="B110" s="25">
        <v>4</v>
      </c>
      <c r="C110" s="19" t="s">
        <v>65</v>
      </c>
      <c r="D110" s="17">
        <f t="shared" si="6"/>
        <v>31</v>
      </c>
      <c r="E110" s="22">
        <v>400</v>
      </c>
    </row>
    <row r="111" spans="1:5">
      <c r="A111" s="151"/>
      <c r="B111" s="25">
        <v>5</v>
      </c>
      <c r="C111" s="19" t="s">
        <v>84</v>
      </c>
      <c r="D111" s="17">
        <f t="shared" si="6"/>
        <v>31</v>
      </c>
      <c r="E111" s="22">
        <v>365</v>
      </c>
    </row>
    <row r="112" spans="1:5">
      <c r="A112" s="151"/>
      <c r="B112" s="25">
        <v>6</v>
      </c>
      <c r="C112" s="19" t="s">
        <v>85</v>
      </c>
      <c r="D112" s="17">
        <v>31</v>
      </c>
      <c r="E112" s="22">
        <v>400</v>
      </c>
    </row>
    <row r="113" spans="1:5">
      <c r="A113" s="151"/>
      <c r="B113" s="25">
        <v>7</v>
      </c>
      <c r="C113" s="19" t="s">
        <v>86</v>
      </c>
      <c r="D113" s="17">
        <f t="shared" si="6"/>
        <v>31</v>
      </c>
      <c r="E113" s="22">
        <v>400</v>
      </c>
    </row>
    <row r="114" spans="1:5">
      <c r="A114" s="151"/>
      <c r="B114" s="25">
        <v>8</v>
      </c>
      <c r="C114" s="19" t="s">
        <v>87</v>
      </c>
      <c r="D114" s="17">
        <f t="shared" si="6"/>
        <v>31</v>
      </c>
      <c r="E114" s="22">
        <v>365</v>
      </c>
    </row>
    <row r="115" spans="1:5">
      <c r="A115" s="151"/>
      <c r="B115" s="25">
        <v>9</v>
      </c>
      <c r="C115" s="19" t="s">
        <v>87</v>
      </c>
      <c r="D115" s="17">
        <f t="shared" si="6"/>
        <v>31</v>
      </c>
      <c r="E115" s="22">
        <v>365</v>
      </c>
    </row>
    <row r="116" spans="1:5">
      <c r="A116" s="151"/>
      <c r="B116" s="25">
        <v>10</v>
      </c>
      <c r="C116" s="19" t="s">
        <v>88</v>
      </c>
      <c r="D116" s="17">
        <f t="shared" si="6"/>
        <v>31</v>
      </c>
      <c r="E116" s="22">
        <v>365</v>
      </c>
    </row>
    <row r="117" spans="1:5">
      <c r="A117" s="151"/>
      <c r="B117" s="25">
        <v>11</v>
      </c>
      <c r="C117" s="19" t="s">
        <v>89</v>
      </c>
      <c r="D117" s="17">
        <f t="shared" si="6"/>
        <v>31</v>
      </c>
      <c r="E117" s="22">
        <v>365</v>
      </c>
    </row>
    <row r="118" spans="1:5">
      <c r="A118" s="151"/>
      <c r="B118" s="25">
        <v>12</v>
      </c>
      <c r="C118" s="19" t="s">
        <v>90</v>
      </c>
      <c r="D118" s="17">
        <f t="shared" si="6"/>
        <v>31</v>
      </c>
      <c r="E118" s="22">
        <v>365</v>
      </c>
    </row>
    <row r="119" spans="1:5">
      <c r="A119" s="151"/>
      <c r="B119" s="25">
        <v>13</v>
      </c>
      <c r="C119" s="19" t="s">
        <v>91</v>
      </c>
      <c r="D119" s="17">
        <f t="shared" si="6"/>
        <v>31</v>
      </c>
      <c r="E119" s="22">
        <v>365</v>
      </c>
    </row>
    <row r="120" spans="1:5">
      <c r="A120" s="151"/>
      <c r="B120" s="25">
        <v>14</v>
      </c>
      <c r="C120" s="19" t="s">
        <v>70</v>
      </c>
      <c r="D120" s="17">
        <f t="shared" si="6"/>
        <v>31</v>
      </c>
      <c r="E120" s="22">
        <v>365</v>
      </c>
    </row>
    <row r="121" spans="1:5">
      <c r="A121" s="151"/>
      <c r="B121" s="25">
        <v>15</v>
      </c>
      <c r="C121" s="19" t="s">
        <v>92</v>
      </c>
      <c r="D121" s="17">
        <f t="shared" si="6"/>
        <v>31</v>
      </c>
      <c r="E121" s="22">
        <v>365</v>
      </c>
    </row>
    <row r="122" spans="1:5">
      <c r="A122" s="151"/>
      <c r="B122" s="25">
        <v>16</v>
      </c>
      <c r="C122" s="19" t="s">
        <v>93</v>
      </c>
      <c r="D122" s="17">
        <f t="shared" si="6"/>
        <v>31</v>
      </c>
      <c r="E122" s="22">
        <v>365</v>
      </c>
    </row>
    <row r="123" spans="1:5">
      <c r="A123" s="151"/>
      <c r="B123" s="25">
        <v>17</v>
      </c>
      <c r="C123" s="19" t="s">
        <v>70</v>
      </c>
      <c r="D123" s="17">
        <f t="shared" si="6"/>
        <v>31</v>
      </c>
      <c r="E123" s="22">
        <v>365</v>
      </c>
    </row>
    <row r="124" spans="1:5">
      <c r="A124" s="151"/>
      <c r="B124" s="25">
        <v>18</v>
      </c>
      <c r="C124" s="19" t="s">
        <v>94</v>
      </c>
      <c r="D124" s="17">
        <f t="shared" si="6"/>
        <v>31</v>
      </c>
      <c r="E124" s="22">
        <v>365</v>
      </c>
    </row>
    <row r="125" spans="1:5">
      <c r="A125" s="151"/>
      <c r="B125" s="25">
        <v>19</v>
      </c>
      <c r="C125" s="19" t="s">
        <v>90</v>
      </c>
      <c r="D125" s="17" t="e">
        <f>#REF!</f>
        <v>#REF!</v>
      </c>
      <c r="E125" s="22">
        <v>365</v>
      </c>
    </row>
    <row r="126" spans="1:5">
      <c r="A126" s="151"/>
      <c r="B126" s="25">
        <v>20</v>
      </c>
      <c r="C126" s="19" t="s">
        <v>95</v>
      </c>
      <c r="D126" s="17" t="e">
        <f t="shared" ref="D126" si="7">#REF!</f>
        <v>#REF!</v>
      </c>
      <c r="E126" s="22">
        <v>365</v>
      </c>
    </row>
    <row r="127" spans="1:5">
      <c r="A127" s="151"/>
      <c r="B127" s="25">
        <v>21</v>
      </c>
      <c r="C127" s="19" t="s">
        <v>45</v>
      </c>
      <c r="D127" s="17" t="e">
        <f t="shared" ref="D127" si="8">#REF!</f>
        <v>#REF!</v>
      </c>
      <c r="E127" s="16">
        <v>365</v>
      </c>
    </row>
    <row r="128" spans="1:5">
      <c r="A128" s="151"/>
      <c r="B128" s="25">
        <v>22</v>
      </c>
      <c r="C128" s="19" t="s">
        <v>96</v>
      </c>
      <c r="D128" s="17" t="e">
        <f t="shared" ref="D128" si="9">#REF!</f>
        <v>#REF!</v>
      </c>
      <c r="E128" s="16">
        <v>365</v>
      </c>
    </row>
    <row r="129" spans="1:5">
      <c r="A129" s="151"/>
      <c r="B129" s="25">
        <v>23</v>
      </c>
      <c r="C129" s="19" t="s">
        <v>97</v>
      </c>
      <c r="D129" s="17" t="e">
        <f t="shared" ref="D129" si="10">#REF!</f>
        <v>#REF!</v>
      </c>
      <c r="E129" s="16">
        <v>365</v>
      </c>
    </row>
    <row r="130" spans="1:5">
      <c r="A130" s="151"/>
      <c r="B130" s="25">
        <v>24</v>
      </c>
      <c r="C130" s="19" t="s">
        <v>98</v>
      </c>
      <c r="D130" s="17" t="e">
        <f t="shared" ref="D130" si="11">#REF!</f>
        <v>#REF!</v>
      </c>
      <c r="E130" s="16">
        <v>365</v>
      </c>
    </row>
    <row r="131" spans="1:5">
      <c r="A131" s="151"/>
      <c r="B131" s="25">
        <v>25</v>
      </c>
      <c r="C131" s="19" t="s">
        <v>99</v>
      </c>
      <c r="D131" s="17" t="e">
        <f t="shared" ref="D131" si="12">#REF!</f>
        <v>#REF!</v>
      </c>
      <c r="E131" s="16">
        <v>365</v>
      </c>
    </row>
    <row r="132" spans="1:5">
      <c r="A132" s="151"/>
      <c r="B132" s="25">
        <v>26</v>
      </c>
      <c r="C132" s="19" t="s">
        <v>100</v>
      </c>
      <c r="D132" s="17" t="e">
        <f t="shared" ref="D132" si="13">#REF!</f>
        <v>#REF!</v>
      </c>
      <c r="E132" s="16">
        <v>365</v>
      </c>
    </row>
    <row r="133" spans="1:5">
      <c r="A133" s="151"/>
      <c r="B133" s="25">
        <v>27</v>
      </c>
      <c r="C133" s="19" t="s">
        <v>93</v>
      </c>
      <c r="D133" s="17" t="e">
        <f t="shared" ref="D133" si="14">#REF!</f>
        <v>#REF!</v>
      </c>
      <c r="E133" s="16">
        <v>365</v>
      </c>
    </row>
    <row r="134" spans="1:5">
      <c r="A134" s="151"/>
      <c r="B134" s="25">
        <v>28</v>
      </c>
      <c r="C134" s="19" t="s">
        <v>101</v>
      </c>
      <c r="D134" s="17" t="e">
        <f t="shared" ref="D134" si="15">#REF!</f>
        <v>#REF!</v>
      </c>
      <c r="E134" s="16">
        <v>365</v>
      </c>
    </row>
    <row r="135" spans="1:5">
      <c r="A135" s="151"/>
      <c r="B135" s="25">
        <v>29</v>
      </c>
      <c r="C135" s="19" t="s">
        <v>102</v>
      </c>
      <c r="D135" s="17" t="e">
        <f t="shared" ref="D135" si="16">#REF!</f>
        <v>#REF!</v>
      </c>
      <c r="E135" s="16">
        <v>365</v>
      </c>
    </row>
    <row r="136" spans="1:5">
      <c r="A136" s="151"/>
      <c r="B136" s="25">
        <v>30</v>
      </c>
      <c r="C136" s="19" t="s">
        <v>47</v>
      </c>
      <c r="D136" s="17" t="e">
        <f t="shared" ref="D136" si="17">#REF!</f>
        <v>#REF!</v>
      </c>
      <c r="E136" s="16">
        <v>365</v>
      </c>
    </row>
    <row r="137" spans="1:5">
      <c r="A137" s="151"/>
      <c r="B137" s="25">
        <v>31</v>
      </c>
      <c r="C137" s="19" t="s">
        <v>103</v>
      </c>
      <c r="D137" s="17" t="e">
        <f t="shared" ref="D137" si="18">#REF!</f>
        <v>#REF!</v>
      </c>
      <c r="E137" s="16">
        <v>365</v>
      </c>
    </row>
    <row r="138" spans="1:5">
      <c r="A138" s="151"/>
      <c r="B138" s="25">
        <v>32</v>
      </c>
      <c r="C138" s="19" t="s">
        <v>104</v>
      </c>
      <c r="D138" s="17" t="e">
        <f t="shared" ref="D138" si="19">#REF!</f>
        <v>#REF!</v>
      </c>
      <c r="E138" s="16">
        <v>365</v>
      </c>
    </row>
    <row r="139" spans="1:5">
      <c r="A139" s="151"/>
      <c r="B139" s="25">
        <v>33</v>
      </c>
      <c r="C139" s="19" t="s">
        <v>70</v>
      </c>
      <c r="D139" s="17" t="e">
        <f t="shared" ref="D139" si="20">#REF!</f>
        <v>#REF!</v>
      </c>
      <c r="E139" s="16">
        <v>400</v>
      </c>
    </row>
    <row r="140" spans="1:5">
      <c r="A140" s="151"/>
      <c r="B140" s="25">
        <v>34</v>
      </c>
      <c r="C140" s="19" t="s">
        <v>105</v>
      </c>
      <c r="D140" s="17" t="e">
        <f t="shared" ref="D140" si="21">#REF!</f>
        <v>#REF!</v>
      </c>
      <c r="E140" s="16">
        <v>365</v>
      </c>
    </row>
    <row r="141" spans="1:5">
      <c r="A141" s="151"/>
      <c r="B141" s="25">
        <v>35</v>
      </c>
      <c r="C141" s="19" t="s">
        <v>106</v>
      </c>
      <c r="D141" s="17" t="e">
        <f t="shared" ref="D141" si="22">#REF!</f>
        <v>#REF!</v>
      </c>
      <c r="E141" s="16">
        <v>365</v>
      </c>
    </row>
    <row r="142" spans="1:5">
      <c r="A142" s="151"/>
      <c r="B142" s="25">
        <v>36</v>
      </c>
      <c r="C142" s="19" t="s">
        <v>70</v>
      </c>
      <c r="D142" s="17" t="e">
        <f t="shared" ref="D142" si="23">#REF!</f>
        <v>#REF!</v>
      </c>
      <c r="E142" s="16">
        <v>365</v>
      </c>
    </row>
    <row r="143" spans="1:5">
      <c r="A143" s="151"/>
      <c r="B143" s="25">
        <v>37</v>
      </c>
      <c r="C143" s="19" t="s">
        <v>103</v>
      </c>
      <c r="D143" s="17" t="e">
        <f>#REF!</f>
        <v>#REF!</v>
      </c>
      <c r="E143" s="16">
        <v>365</v>
      </c>
    </row>
    <row r="144" spans="1:5">
      <c r="A144" s="151"/>
      <c r="B144" s="25">
        <v>38</v>
      </c>
      <c r="C144" s="19" t="s">
        <v>107</v>
      </c>
      <c r="D144" s="17" t="e">
        <f t="shared" ref="D144" si="24">#REF!</f>
        <v>#REF!</v>
      </c>
      <c r="E144" s="16">
        <v>365</v>
      </c>
    </row>
    <row r="145" spans="1:5">
      <c r="A145" s="151"/>
      <c r="B145" s="25">
        <v>39</v>
      </c>
      <c r="C145" s="19" t="s">
        <v>93</v>
      </c>
      <c r="D145" s="17" t="e">
        <f t="shared" ref="D145" si="25">#REF!</f>
        <v>#REF!</v>
      </c>
      <c r="E145" s="16">
        <v>365</v>
      </c>
    </row>
    <row r="146" spans="1:5">
      <c r="A146" s="151"/>
      <c r="B146" s="25">
        <v>40</v>
      </c>
      <c r="C146" s="19" t="s">
        <v>108</v>
      </c>
      <c r="D146" s="17" t="e">
        <f t="shared" ref="D146" si="26">#REF!</f>
        <v>#REF!</v>
      </c>
      <c r="E146" s="16">
        <v>365</v>
      </c>
    </row>
    <row r="147" spans="1:5">
      <c r="A147" s="151"/>
      <c r="B147" s="25">
        <v>41</v>
      </c>
      <c r="C147" s="19" t="s">
        <v>70</v>
      </c>
      <c r="D147" s="17" t="e">
        <f t="shared" ref="D147" si="27">#REF!</f>
        <v>#REF!</v>
      </c>
      <c r="E147" s="16">
        <v>365</v>
      </c>
    </row>
    <row r="148" spans="1:5">
      <c r="A148" s="151"/>
      <c r="B148" s="25">
        <v>42</v>
      </c>
      <c r="C148" s="19" t="s">
        <v>49</v>
      </c>
      <c r="D148" s="17" t="e">
        <f t="shared" ref="D148" si="28">#REF!</f>
        <v>#REF!</v>
      </c>
      <c r="E148" s="16">
        <v>365</v>
      </c>
    </row>
    <row r="149" spans="1:5">
      <c r="A149" s="151"/>
      <c r="B149" s="25">
        <v>43</v>
      </c>
      <c r="C149" s="19" t="s">
        <v>98</v>
      </c>
      <c r="D149" s="17" t="e">
        <f t="shared" ref="D149" si="29">#REF!</f>
        <v>#REF!</v>
      </c>
      <c r="E149" s="16">
        <v>365</v>
      </c>
    </row>
    <row r="150" spans="1:5">
      <c r="A150" s="151"/>
      <c r="B150" s="25">
        <v>44</v>
      </c>
      <c r="C150" s="19" t="s">
        <v>109</v>
      </c>
      <c r="D150" s="17" t="e">
        <f t="shared" ref="D150" si="30">#REF!</f>
        <v>#REF!</v>
      </c>
      <c r="E150" s="16">
        <v>365</v>
      </c>
    </row>
    <row r="151" spans="1:5">
      <c r="A151" s="151"/>
      <c r="B151" s="25">
        <v>45</v>
      </c>
      <c r="C151" s="19" t="s">
        <v>45</v>
      </c>
      <c r="D151" s="17" t="e">
        <f t="shared" ref="D151" si="31">#REF!</f>
        <v>#REF!</v>
      </c>
      <c r="E151" s="16">
        <v>365</v>
      </c>
    </row>
    <row r="152" spans="1:5">
      <c r="A152" s="151"/>
      <c r="B152" s="25">
        <v>46</v>
      </c>
      <c r="C152" s="19" t="s">
        <v>45</v>
      </c>
      <c r="D152" s="17" t="e">
        <f t="shared" ref="D152" si="32">#REF!</f>
        <v>#REF!</v>
      </c>
      <c r="E152" s="16">
        <v>365</v>
      </c>
    </row>
    <row r="153" spans="1:5">
      <c r="A153" s="151"/>
      <c r="B153" s="25">
        <v>47</v>
      </c>
      <c r="C153" s="19" t="s">
        <v>110</v>
      </c>
      <c r="D153" s="17" t="e">
        <f t="shared" ref="D153" si="33">#REF!</f>
        <v>#REF!</v>
      </c>
      <c r="E153" s="16">
        <v>365</v>
      </c>
    </row>
    <row r="154" spans="1:5">
      <c r="A154" s="151"/>
      <c r="B154" s="25">
        <v>48</v>
      </c>
      <c r="C154" s="19" t="s">
        <v>111</v>
      </c>
      <c r="D154" s="17" t="e">
        <f t="shared" ref="D154" si="34">#REF!</f>
        <v>#REF!</v>
      </c>
      <c r="E154" s="16">
        <v>365</v>
      </c>
    </row>
    <row r="155" spans="1:5">
      <c r="A155" s="151"/>
      <c r="B155" s="25">
        <v>49</v>
      </c>
      <c r="C155" s="19" t="s">
        <v>112</v>
      </c>
      <c r="D155" s="17" t="e">
        <f t="shared" ref="D155" si="35">#REF!</f>
        <v>#REF!</v>
      </c>
      <c r="E155" s="16">
        <v>365</v>
      </c>
    </row>
    <row r="156" spans="1:5">
      <c r="A156" s="151"/>
      <c r="B156" s="25">
        <v>50</v>
      </c>
      <c r="C156" s="19" t="s">
        <v>47</v>
      </c>
      <c r="D156" s="17" t="e">
        <f t="shared" ref="D156" si="36">#REF!</f>
        <v>#REF!</v>
      </c>
      <c r="E156" s="16">
        <v>365</v>
      </c>
    </row>
    <row r="157" spans="1:5">
      <c r="A157" s="151"/>
      <c r="B157" s="25">
        <v>51</v>
      </c>
      <c r="C157" s="19" t="s">
        <v>45</v>
      </c>
      <c r="D157" s="17" t="e">
        <f t="shared" ref="D157" si="37">#REF!</f>
        <v>#REF!</v>
      </c>
      <c r="E157" s="16">
        <v>365</v>
      </c>
    </row>
    <row r="158" spans="1:5">
      <c r="A158" s="151"/>
      <c r="B158" s="25">
        <v>52</v>
      </c>
      <c r="C158" s="19" t="s">
        <v>113</v>
      </c>
      <c r="D158" s="17" t="e">
        <f t="shared" ref="D158" si="38">#REF!</f>
        <v>#REF!</v>
      </c>
      <c r="E158" s="16">
        <v>365</v>
      </c>
    </row>
    <row r="159" spans="1:5">
      <c r="A159" s="151"/>
      <c r="B159" s="25">
        <v>53</v>
      </c>
      <c r="C159" s="19" t="s">
        <v>104</v>
      </c>
      <c r="D159" s="17" t="e">
        <f t="shared" ref="D159" si="39">#REF!</f>
        <v>#REF!</v>
      </c>
      <c r="E159" s="16">
        <v>365</v>
      </c>
    </row>
    <row r="160" spans="1:5">
      <c r="A160" s="151"/>
      <c r="B160" s="25">
        <v>54</v>
      </c>
      <c r="C160" s="19" t="s">
        <v>114</v>
      </c>
      <c r="D160" s="17" t="e">
        <f t="shared" ref="D160" si="40">#REF!</f>
        <v>#REF!</v>
      </c>
      <c r="E160" s="16">
        <v>365</v>
      </c>
    </row>
    <row r="161" spans="1:5">
      <c r="A161" s="151"/>
      <c r="B161" s="25">
        <v>55</v>
      </c>
      <c r="C161" s="19" t="s">
        <v>49</v>
      </c>
      <c r="D161" s="17" t="e">
        <f>#REF!</f>
        <v>#REF!</v>
      </c>
      <c r="E161" s="16">
        <v>365</v>
      </c>
    </row>
    <row r="162" spans="1:5">
      <c r="A162" s="151"/>
      <c r="B162" s="25">
        <v>56</v>
      </c>
      <c r="C162" s="19" t="s">
        <v>45</v>
      </c>
      <c r="D162" s="17" t="e">
        <f t="shared" ref="D162" si="41">#REF!</f>
        <v>#REF!</v>
      </c>
      <c r="E162" s="16">
        <v>365</v>
      </c>
    </row>
    <row r="163" spans="1:5">
      <c r="A163" s="151"/>
      <c r="B163" s="25">
        <v>57</v>
      </c>
      <c r="C163" s="19" t="s">
        <v>115</v>
      </c>
      <c r="D163" s="17" t="e">
        <f t="shared" ref="D163" si="42">#REF!</f>
        <v>#REF!</v>
      </c>
      <c r="E163" s="16">
        <v>365</v>
      </c>
    </row>
    <row r="164" spans="1:5">
      <c r="A164" s="151"/>
      <c r="B164" s="25">
        <v>58</v>
      </c>
      <c r="C164" s="19" t="s">
        <v>103</v>
      </c>
      <c r="D164" s="17" t="e">
        <f t="shared" ref="D164" si="43">#REF!</f>
        <v>#REF!</v>
      </c>
      <c r="E164" s="16">
        <v>365</v>
      </c>
    </row>
    <row r="165" spans="1:5">
      <c r="A165" s="151"/>
      <c r="B165" s="25">
        <v>59</v>
      </c>
      <c r="C165" s="19" t="s">
        <v>116</v>
      </c>
      <c r="D165" s="17" t="e">
        <f t="shared" ref="D165" si="44">#REF!</f>
        <v>#REF!</v>
      </c>
      <c r="E165" s="16">
        <v>365</v>
      </c>
    </row>
    <row r="166" spans="1:5">
      <c r="A166" s="151"/>
      <c r="B166" s="25">
        <v>60</v>
      </c>
      <c r="C166" s="19" t="s">
        <v>117</v>
      </c>
      <c r="D166" s="17" t="e">
        <f t="shared" ref="D166" si="45">#REF!</f>
        <v>#REF!</v>
      </c>
      <c r="E166" s="16">
        <v>365</v>
      </c>
    </row>
    <row r="167" spans="1:5">
      <c r="A167" s="151"/>
      <c r="B167" s="25">
        <v>61</v>
      </c>
      <c r="C167" s="19" t="s">
        <v>118</v>
      </c>
      <c r="D167" s="17" t="e">
        <f t="shared" ref="D167" si="46">#REF!</f>
        <v>#REF!</v>
      </c>
      <c r="E167" s="16">
        <v>400</v>
      </c>
    </row>
    <row r="168" spans="1:5">
      <c r="A168" s="151"/>
      <c r="B168" s="25">
        <v>62</v>
      </c>
      <c r="C168" s="19" t="s">
        <v>119</v>
      </c>
      <c r="D168" s="17" t="e">
        <f t="shared" ref="D168" si="47">#REF!</f>
        <v>#REF!</v>
      </c>
      <c r="E168" s="16">
        <v>365</v>
      </c>
    </row>
    <row r="169" spans="1:5">
      <c r="A169" s="151"/>
      <c r="B169" s="25">
        <v>63</v>
      </c>
      <c r="C169" s="19" t="s">
        <v>120</v>
      </c>
      <c r="D169" s="17" t="e">
        <f t="shared" ref="D169" si="48">#REF!</f>
        <v>#REF!</v>
      </c>
      <c r="E169" s="16">
        <v>400</v>
      </c>
    </row>
    <row r="170" spans="1:5">
      <c r="A170" s="151"/>
      <c r="B170" s="25">
        <v>64</v>
      </c>
      <c r="C170" s="19" t="s">
        <v>86</v>
      </c>
      <c r="D170" s="17" t="e">
        <f t="shared" ref="D170" si="49">#REF!</f>
        <v>#REF!</v>
      </c>
      <c r="E170" s="16">
        <v>365</v>
      </c>
    </row>
    <row r="171" spans="1:5">
      <c r="A171" s="151"/>
      <c r="B171" s="25">
        <v>65</v>
      </c>
      <c r="C171" s="19" t="s">
        <v>121</v>
      </c>
      <c r="D171" s="17" t="e">
        <f t="shared" ref="D171" si="50">#REF!</f>
        <v>#REF!</v>
      </c>
      <c r="E171" s="16">
        <v>365</v>
      </c>
    </row>
    <row r="172" spans="1:5">
      <c r="A172" s="151"/>
      <c r="B172" s="25">
        <v>66</v>
      </c>
      <c r="C172" s="19" t="s">
        <v>53</v>
      </c>
      <c r="D172" s="17" t="e">
        <f t="shared" ref="D172:D178" si="51">D171</f>
        <v>#REF!</v>
      </c>
      <c r="E172" s="20">
        <v>400</v>
      </c>
    </row>
    <row r="173" spans="1:5">
      <c r="A173" s="151"/>
      <c r="B173" s="25">
        <v>67</v>
      </c>
      <c r="C173" s="19" t="s">
        <v>53</v>
      </c>
      <c r="D173" s="17" t="e">
        <f t="shared" si="51"/>
        <v>#REF!</v>
      </c>
      <c r="E173" s="20">
        <v>400</v>
      </c>
    </row>
    <row r="174" spans="1:5">
      <c r="A174" s="151"/>
      <c r="B174" s="25">
        <v>68</v>
      </c>
      <c r="C174" s="19" t="s">
        <v>53</v>
      </c>
      <c r="D174" s="17" t="e">
        <f t="shared" si="51"/>
        <v>#REF!</v>
      </c>
      <c r="E174" s="20">
        <v>400</v>
      </c>
    </row>
    <row r="175" spans="1:5">
      <c r="A175" s="151"/>
      <c r="B175" s="25">
        <v>69</v>
      </c>
      <c r="C175" s="19" t="s">
        <v>53</v>
      </c>
      <c r="D175" s="17" t="e">
        <f t="shared" si="51"/>
        <v>#REF!</v>
      </c>
      <c r="E175" s="20">
        <v>400</v>
      </c>
    </row>
    <row r="176" spans="1:5">
      <c r="A176" s="151"/>
      <c r="B176" s="25">
        <v>70</v>
      </c>
      <c r="C176" s="19" t="s">
        <v>53</v>
      </c>
      <c r="D176" s="17" t="e">
        <f t="shared" si="51"/>
        <v>#REF!</v>
      </c>
      <c r="E176" s="20">
        <v>400</v>
      </c>
    </row>
    <row r="177" spans="1:5">
      <c r="A177" s="151"/>
      <c r="B177" s="25">
        <v>71</v>
      </c>
      <c r="C177" s="19" t="s">
        <v>122</v>
      </c>
      <c r="D177" s="17" t="e">
        <f t="shared" si="51"/>
        <v>#REF!</v>
      </c>
      <c r="E177" s="20">
        <v>400</v>
      </c>
    </row>
    <row r="178" spans="1:5">
      <c r="A178" s="151"/>
      <c r="B178" s="25">
        <v>72</v>
      </c>
      <c r="C178" s="19" t="s">
        <v>53</v>
      </c>
      <c r="D178" s="17" t="e">
        <f t="shared" si="51"/>
        <v>#REF!</v>
      </c>
      <c r="E178" s="20">
        <v>400</v>
      </c>
    </row>
    <row r="179" spans="1:5">
      <c r="A179" s="151"/>
      <c r="B179" s="25">
        <v>73</v>
      </c>
      <c r="C179" s="19" t="s">
        <v>53</v>
      </c>
      <c r="D179" s="17" t="e">
        <f>#REF!</f>
        <v>#REF!</v>
      </c>
      <c r="E179" s="20">
        <v>400</v>
      </c>
    </row>
    <row r="180" spans="1:5">
      <c r="A180" s="151"/>
      <c r="B180" s="25">
        <v>74</v>
      </c>
      <c r="C180" s="19" t="s">
        <v>53</v>
      </c>
      <c r="D180" s="17" t="e">
        <f t="shared" ref="D180:D196" si="52">D179</f>
        <v>#REF!</v>
      </c>
      <c r="E180" s="20">
        <v>400</v>
      </c>
    </row>
    <row r="181" spans="1:5">
      <c r="A181" s="151"/>
      <c r="B181" s="25">
        <v>75</v>
      </c>
      <c r="C181" s="19" t="s">
        <v>53</v>
      </c>
      <c r="D181" s="17" t="e">
        <f t="shared" si="52"/>
        <v>#REF!</v>
      </c>
      <c r="E181" s="20">
        <v>400</v>
      </c>
    </row>
    <row r="182" spans="1:5">
      <c r="A182" s="151"/>
      <c r="B182" s="25">
        <v>76</v>
      </c>
      <c r="C182" s="19" t="s">
        <v>53</v>
      </c>
      <c r="D182" s="17" t="e">
        <f t="shared" si="52"/>
        <v>#REF!</v>
      </c>
      <c r="E182" s="20">
        <v>400</v>
      </c>
    </row>
    <row r="183" spans="1:5">
      <c r="A183" s="151"/>
      <c r="B183" s="25">
        <v>77</v>
      </c>
      <c r="C183" s="19" t="s">
        <v>53</v>
      </c>
      <c r="D183" s="17" t="e">
        <f t="shared" si="52"/>
        <v>#REF!</v>
      </c>
      <c r="E183" s="20">
        <v>400</v>
      </c>
    </row>
    <row r="184" spans="1:5">
      <c r="A184" s="151"/>
      <c r="B184" s="25">
        <v>78</v>
      </c>
      <c r="C184" s="19" t="s">
        <v>123</v>
      </c>
      <c r="D184" s="17" t="e">
        <f t="shared" si="52"/>
        <v>#REF!</v>
      </c>
      <c r="E184" s="20">
        <v>400</v>
      </c>
    </row>
    <row r="185" spans="1:5">
      <c r="A185" s="151"/>
      <c r="B185" s="25">
        <v>79</v>
      </c>
      <c r="C185" s="19" t="s">
        <v>80</v>
      </c>
      <c r="D185" s="17" t="e">
        <f t="shared" si="52"/>
        <v>#REF!</v>
      </c>
      <c r="E185" s="20">
        <v>400</v>
      </c>
    </row>
    <row r="186" spans="1:5">
      <c r="A186" s="151"/>
      <c r="B186" s="25">
        <v>80</v>
      </c>
      <c r="C186" s="19" t="s">
        <v>53</v>
      </c>
      <c r="D186" s="17" t="e">
        <f t="shared" si="52"/>
        <v>#REF!</v>
      </c>
      <c r="E186" s="20">
        <v>400</v>
      </c>
    </row>
    <row r="187" spans="1:5">
      <c r="A187" s="151"/>
      <c r="B187" s="25">
        <v>81</v>
      </c>
      <c r="C187" s="19" t="s">
        <v>80</v>
      </c>
      <c r="D187" s="17" t="e">
        <f t="shared" si="52"/>
        <v>#REF!</v>
      </c>
      <c r="E187" s="20">
        <v>400</v>
      </c>
    </row>
    <row r="188" spans="1:5">
      <c r="A188" s="151"/>
      <c r="B188" s="25">
        <v>82</v>
      </c>
      <c r="C188" s="19" t="s">
        <v>53</v>
      </c>
      <c r="D188" s="17" t="e">
        <f t="shared" si="52"/>
        <v>#REF!</v>
      </c>
      <c r="E188" s="20">
        <v>400</v>
      </c>
    </row>
    <row r="189" spans="1:5">
      <c r="A189" s="151"/>
      <c r="B189" s="25">
        <v>83</v>
      </c>
      <c r="C189" s="19" t="s">
        <v>80</v>
      </c>
      <c r="D189" s="17" t="e">
        <f t="shared" si="52"/>
        <v>#REF!</v>
      </c>
      <c r="E189" s="20">
        <v>400</v>
      </c>
    </row>
    <row r="190" spans="1:5">
      <c r="A190" s="151"/>
      <c r="B190" s="25">
        <v>84</v>
      </c>
      <c r="C190" s="19" t="s">
        <v>53</v>
      </c>
      <c r="D190" s="17" t="e">
        <f t="shared" si="52"/>
        <v>#REF!</v>
      </c>
      <c r="E190" s="20">
        <v>400</v>
      </c>
    </row>
    <row r="191" spans="1:5">
      <c r="A191" s="151"/>
      <c r="B191" s="25">
        <v>85</v>
      </c>
      <c r="C191" s="19" t="s">
        <v>53</v>
      </c>
      <c r="D191" s="17" t="e">
        <f t="shared" si="52"/>
        <v>#REF!</v>
      </c>
      <c r="E191" s="20">
        <v>400</v>
      </c>
    </row>
    <row r="192" spans="1:5">
      <c r="A192" s="151"/>
      <c r="B192" s="25">
        <v>86</v>
      </c>
      <c r="C192" s="19" t="s">
        <v>53</v>
      </c>
      <c r="D192" s="17" t="e">
        <f t="shared" si="52"/>
        <v>#REF!</v>
      </c>
      <c r="E192" s="20">
        <v>400</v>
      </c>
    </row>
    <row r="193" spans="1:35">
      <c r="A193" s="151"/>
      <c r="B193" s="25">
        <v>87</v>
      </c>
      <c r="C193" s="19" t="s">
        <v>80</v>
      </c>
      <c r="D193" s="17" t="e">
        <f t="shared" si="52"/>
        <v>#REF!</v>
      </c>
      <c r="E193" s="20">
        <v>400</v>
      </c>
    </row>
    <row r="194" spans="1:35">
      <c r="A194" s="151"/>
      <c r="B194" s="25">
        <v>88</v>
      </c>
      <c r="C194" s="28" t="s">
        <v>53</v>
      </c>
      <c r="D194" s="17" t="e">
        <f t="shared" si="52"/>
        <v>#REF!</v>
      </c>
      <c r="E194" s="20">
        <v>400</v>
      </c>
    </row>
    <row r="195" spans="1:35">
      <c r="A195" s="151"/>
      <c r="B195" s="25">
        <v>89</v>
      </c>
      <c r="C195" s="28" t="s">
        <v>45</v>
      </c>
      <c r="D195" s="17" t="e">
        <f t="shared" si="52"/>
        <v>#REF!</v>
      </c>
      <c r="E195" s="20">
        <v>365</v>
      </c>
    </row>
    <row r="196" spans="1:35">
      <c r="A196" s="151"/>
      <c r="B196" s="25">
        <v>90</v>
      </c>
      <c r="C196" s="28" t="s">
        <v>49</v>
      </c>
      <c r="D196" s="17" t="e">
        <f t="shared" si="52"/>
        <v>#REF!</v>
      </c>
      <c r="E196" s="29">
        <v>365</v>
      </c>
    </row>
    <row r="197" spans="1:35">
      <c r="A197" s="151"/>
      <c r="B197" s="25">
        <v>91</v>
      </c>
      <c r="C197" s="19" t="s">
        <v>51</v>
      </c>
      <c r="D197" s="17">
        <v>31</v>
      </c>
      <c r="E197" s="16">
        <v>365</v>
      </c>
    </row>
    <row r="198" spans="1:35">
      <c r="A198" s="151"/>
      <c r="B198" s="25">
        <v>92</v>
      </c>
      <c r="C198" s="18" t="s">
        <v>52</v>
      </c>
      <c r="D198" s="23">
        <f>D197</f>
        <v>31</v>
      </c>
      <c r="E198" s="24">
        <v>365</v>
      </c>
    </row>
    <row r="199" spans="1:35">
      <c r="A199" s="151"/>
      <c r="B199" s="25">
        <v>93</v>
      </c>
      <c r="C199" s="18" t="s">
        <v>53</v>
      </c>
      <c r="D199" s="23">
        <f>D198</f>
        <v>31</v>
      </c>
      <c r="E199" s="24">
        <v>400</v>
      </c>
    </row>
    <row r="201" spans="1:35" ht="52.5" customHeight="1">
      <c r="A201" s="150">
        <v>5</v>
      </c>
      <c r="B201" s="152" t="s">
        <v>124</v>
      </c>
      <c r="C201" s="152"/>
      <c r="D201" s="152"/>
      <c r="E201" s="152"/>
      <c r="F201" s="152"/>
      <c r="G201" s="152"/>
      <c r="H201" s="152"/>
      <c r="I201" s="152"/>
      <c r="J201" s="152"/>
      <c r="K201" s="152"/>
      <c r="L201" s="152"/>
    </row>
    <row r="202" spans="1:35" ht="15.75">
      <c r="A202" s="150"/>
      <c r="B202" s="21" t="s">
        <v>125</v>
      </c>
      <c r="C202" s="153" t="s">
        <v>126</v>
      </c>
      <c r="D202" s="153"/>
      <c r="E202" s="153"/>
      <c r="F202" s="153"/>
      <c r="G202" s="153"/>
      <c r="H202" s="30" t="s">
        <v>127</v>
      </c>
      <c r="I202" s="30" t="s">
        <v>128</v>
      </c>
      <c r="J202" s="153" t="s">
        <v>129</v>
      </c>
      <c r="K202" s="153"/>
      <c r="L202" s="153"/>
    </row>
    <row r="203" spans="1:35" ht="45">
      <c r="A203" s="150"/>
      <c r="B203" s="21">
        <v>1</v>
      </c>
      <c r="C203" s="149" t="s">
        <v>130</v>
      </c>
      <c r="D203" s="149"/>
      <c r="E203" s="149"/>
      <c r="F203" s="149"/>
      <c r="G203" s="149"/>
      <c r="H203" s="31" t="s">
        <v>131</v>
      </c>
      <c r="I203" s="32">
        <v>160400</v>
      </c>
      <c r="J203" s="149" t="s">
        <v>132</v>
      </c>
      <c r="K203" s="149"/>
      <c r="L203" s="149"/>
    </row>
    <row r="204" spans="1:35" ht="30">
      <c r="A204" s="150"/>
      <c r="B204" s="21">
        <v>2</v>
      </c>
      <c r="C204" s="149" t="s">
        <v>133</v>
      </c>
      <c r="D204" s="149"/>
      <c r="E204" s="149"/>
      <c r="F204" s="149"/>
      <c r="G204" s="149"/>
      <c r="H204" s="31" t="s">
        <v>134</v>
      </c>
      <c r="I204" s="32">
        <v>77948.899999999994</v>
      </c>
      <c r="J204" s="149" t="s">
        <v>132</v>
      </c>
      <c r="K204" s="149"/>
      <c r="L204" s="149"/>
    </row>
    <row r="205" spans="1:35" ht="30">
      <c r="A205" s="150"/>
      <c r="B205" s="21">
        <v>3</v>
      </c>
      <c r="C205" s="149" t="s">
        <v>130</v>
      </c>
      <c r="D205" s="149"/>
      <c r="E205" s="149"/>
      <c r="F205" s="149"/>
      <c r="G205" s="149"/>
      <c r="H205" s="31" t="s">
        <v>135</v>
      </c>
      <c r="I205" s="32">
        <v>68000</v>
      </c>
      <c r="J205" s="149" t="s">
        <v>136</v>
      </c>
      <c r="K205" s="149"/>
      <c r="L205" s="149"/>
    </row>
    <row r="206" spans="1:35" ht="45">
      <c r="A206" s="150"/>
      <c r="B206" s="21">
        <v>4</v>
      </c>
      <c r="C206" s="149" t="s">
        <v>137</v>
      </c>
      <c r="D206" s="149"/>
      <c r="E206" s="149"/>
      <c r="F206" s="149"/>
      <c r="G206" s="149"/>
      <c r="H206" s="31" t="s">
        <v>138</v>
      </c>
      <c r="I206" s="33">
        <v>45000</v>
      </c>
      <c r="J206" s="149" t="s">
        <v>139</v>
      </c>
      <c r="K206" s="149"/>
      <c r="L206" s="149"/>
    </row>
    <row r="207" spans="1:35" ht="51" customHeight="1">
      <c r="A207" s="116"/>
      <c r="B207" s="116"/>
      <c r="C207" s="116"/>
      <c r="D207" s="116"/>
      <c r="E207" s="116"/>
      <c r="F207" s="116"/>
      <c r="G207" s="116"/>
      <c r="H207" s="116"/>
      <c r="I207" s="116"/>
      <c r="J207" s="116"/>
      <c r="K207" s="116"/>
      <c r="L207" s="116"/>
      <c r="M207" s="116"/>
      <c r="N207" s="116"/>
      <c r="O207" s="116"/>
      <c r="P207" s="116"/>
      <c r="Q207" s="116"/>
      <c r="R207" s="116"/>
      <c r="S207" s="116"/>
      <c r="T207" s="116"/>
      <c r="U207" s="116"/>
      <c r="V207" s="116"/>
      <c r="W207" s="116"/>
      <c r="X207" s="116"/>
      <c r="Y207" s="116"/>
      <c r="Z207" s="116"/>
      <c r="AA207" s="116"/>
      <c r="AB207" s="116"/>
      <c r="AC207" s="116"/>
      <c r="AD207" s="116"/>
      <c r="AE207" s="116"/>
      <c r="AF207" s="116"/>
      <c r="AG207" s="116"/>
      <c r="AH207" s="116"/>
      <c r="AI207" s="116"/>
    </row>
    <row r="208" spans="1:35">
      <c r="A208" s="116"/>
      <c r="B208" s="116"/>
      <c r="C208" s="116"/>
      <c r="D208" s="116"/>
      <c r="E208" s="116"/>
      <c r="F208" s="116"/>
      <c r="G208" s="116"/>
      <c r="H208" s="116"/>
      <c r="I208" s="116"/>
      <c r="J208" s="116"/>
      <c r="K208" s="116"/>
      <c r="L208" s="116"/>
      <c r="M208" s="116"/>
      <c r="N208" s="116"/>
      <c r="O208" s="116"/>
      <c r="P208" s="116"/>
      <c r="Q208" s="116"/>
      <c r="R208" s="116"/>
      <c r="S208" s="116"/>
      <c r="T208" s="116"/>
      <c r="U208" s="116"/>
      <c r="V208" s="116"/>
      <c r="W208" s="116"/>
      <c r="X208" s="116"/>
      <c r="Y208" s="116"/>
      <c r="Z208" s="116"/>
      <c r="AA208" s="116"/>
      <c r="AB208" s="116"/>
      <c r="AC208" s="116"/>
      <c r="AD208" s="116"/>
      <c r="AE208" s="116"/>
      <c r="AF208" s="116"/>
      <c r="AG208" s="116"/>
      <c r="AH208" s="116"/>
      <c r="AI208" s="116"/>
    </row>
    <row r="209" spans="1:35" ht="30" customHeight="1">
      <c r="A209" s="124">
        <v>6</v>
      </c>
      <c r="B209" s="125" t="s">
        <v>204</v>
      </c>
      <c r="C209" s="126"/>
      <c r="D209" s="126"/>
      <c r="E209" s="126"/>
      <c r="F209" s="126"/>
      <c r="G209" s="126"/>
      <c r="H209" s="100"/>
      <c r="I209" s="100"/>
      <c r="J209" s="100"/>
      <c r="K209" s="100"/>
      <c r="L209" s="100"/>
      <c r="M209" s="100"/>
      <c r="N209" s="100"/>
      <c r="O209" s="100"/>
      <c r="P209" s="100"/>
      <c r="Q209" s="100"/>
      <c r="R209" s="100"/>
      <c r="S209" s="100"/>
      <c r="T209" s="100"/>
      <c r="U209" s="100"/>
      <c r="V209" s="100"/>
      <c r="W209" s="100"/>
      <c r="X209" s="100"/>
      <c r="Y209" s="100"/>
      <c r="Z209" s="100"/>
      <c r="AA209" s="100"/>
      <c r="AB209" s="100"/>
      <c r="AC209" s="100"/>
      <c r="AD209" s="100"/>
      <c r="AE209" s="100"/>
      <c r="AF209" s="100"/>
      <c r="AG209" s="100"/>
      <c r="AH209" s="100"/>
      <c r="AI209" s="101"/>
    </row>
    <row r="210" spans="1:35" ht="22.5">
      <c r="A210" s="124"/>
      <c r="B210" s="142" t="s">
        <v>140</v>
      </c>
      <c r="C210" s="142"/>
      <c r="D210" s="142"/>
      <c r="E210" s="142"/>
      <c r="F210" s="142"/>
      <c r="G210" s="142"/>
      <c r="H210" s="142"/>
      <c r="I210" s="142"/>
      <c r="J210" s="142"/>
      <c r="K210" s="142"/>
      <c r="L210" s="142"/>
      <c r="M210" s="142"/>
      <c r="N210" s="142"/>
      <c r="O210" s="142"/>
      <c r="P210" s="142"/>
      <c r="Q210" s="99"/>
      <c r="R210" s="99"/>
      <c r="S210" s="99"/>
      <c r="T210" s="99"/>
      <c r="U210" s="99"/>
      <c r="V210" s="99"/>
      <c r="W210" s="99"/>
      <c r="X210" s="99"/>
      <c r="Y210" s="99"/>
      <c r="Z210" s="99"/>
      <c r="AA210" s="99"/>
      <c r="AB210" s="99"/>
      <c r="AC210" s="99"/>
      <c r="AD210" s="99"/>
      <c r="AE210" s="99"/>
      <c r="AF210" s="99"/>
      <c r="AG210" s="99"/>
      <c r="AH210" s="99"/>
      <c r="AI210" s="99"/>
    </row>
    <row r="211" spans="1:35" ht="22.5">
      <c r="A211" s="124"/>
      <c r="B211" s="142" t="s">
        <v>141</v>
      </c>
      <c r="C211" s="142"/>
      <c r="D211" s="142"/>
      <c r="E211" s="142"/>
      <c r="F211" s="142"/>
      <c r="G211" s="142"/>
      <c r="H211" s="142"/>
      <c r="I211" s="142"/>
      <c r="J211" s="142"/>
      <c r="K211" s="142"/>
      <c r="L211" s="142"/>
      <c r="M211" s="142"/>
      <c r="N211" s="142"/>
      <c r="O211" s="142"/>
      <c r="P211" s="142"/>
      <c r="Q211" s="99"/>
      <c r="R211" s="99"/>
      <c r="S211" s="99"/>
      <c r="T211" s="99"/>
      <c r="U211" s="99"/>
      <c r="V211" s="99"/>
      <c r="W211" s="99"/>
      <c r="X211" s="99"/>
      <c r="Y211" s="99"/>
      <c r="Z211" s="99"/>
      <c r="AA211" s="99"/>
      <c r="AB211" s="99"/>
      <c r="AC211" s="99"/>
      <c r="AD211" s="99"/>
      <c r="AE211" s="99"/>
      <c r="AF211" s="99"/>
      <c r="AG211" s="99"/>
      <c r="AH211" s="99"/>
      <c r="AI211" s="99"/>
    </row>
    <row r="212" spans="1:35" ht="16.5">
      <c r="A212" s="124"/>
      <c r="B212" s="143" t="s">
        <v>142</v>
      </c>
      <c r="C212" s="102">
        <v>11801</v>
      </c>
      <c r="D212" s="102">
        <v>11803</v>
      </c>
      <c r="E212" s="102">
        <v>11818</v>
      </c>
      <c r="F212" s="102">
        <v>11802</v>
      </c>
      <c r="G212" s="102">
        <v>11804</v>
      </c>
      <c r="H212" s="102"/>
      <c r="I212" s="102">
        <v>21310001</v>
      </c>
      <c r="J212" s="102">
        <v>12105</v>
      </c>
      <c r="K212" s="102">
        <v>12106</v>
      </c>
      <c r="L212" s="102">
        <v>12108</v>
      </c>
      <c r="M212" s="102">
        <v>12109</v>
      </c>
      <c r="N212" s="102">
        <v>12199</v>
      </c>
      <c r="O212" s="102">
        <v>12111</v>
      </c>
      <c r="P212" s="102">
        <v>12114</v>
      </c>
      <c r="Q212" s="102">
        <v>12115</v>
      </c>
      <c r="R212" s="102">
        <v>12117</v>
      </c>
      <c r="S212" s="102">
        <v>12118</v>
      </c>
      <c r="T212" s="102">
        <v>12119</v>
      </c>
      <c r="U212" s="102">
        <v>12210</v>
      </c>
      <c r="V212" s="102"/>
      <c r="W212" s="102"/>
      <c r="X212" s="102">
        <v>21312001</v>
      </c>
      <c r="Y212" s="102">
        <v>14201</v>
      </c>
      <c r="Z212" s="102"/>
      <c r="AA212" s="102">
        <v>21314001</v>
      </c>
      <c r="AB212" s="102">
        <v>15302</v>
      </c>
      <c r="AC212" s="102">
        <v>15312</v>
      </c>
      <c r="AD212" s="102">
        <v>15314</v>
      </c>
      <c r="AE212" s="102"/>
      <c r="AF212" s="102">
        <v>21315001</v>
      </c>
      <c r="AG212" s="102">
        <v>32299</v>
      </c>
      <c r="AH212" s="103"/>
      <c r="AI212" s="103"/>
    </row>
    <row r="213" spans="1:35" ht="99" customHeight="1">
      <c r="A213" s="124"/>
      <c r="B213" s="143"/>
      <c r="C213" s="104" t="s">
        <v>143</v>
      </c>
      <c r="D213" s="104" t="s">
        <v>144</v>
      </c>
      <c r="E213" s="104" t="s">
        <v>145</v>
      </c>
      <c r="F213" s="104" t="s">
        <v>146</v>
      </c>
      <c r="G213" s="104" t="s">
        <v>147</v>
      </c>
      <c r="H213" s="104" t="s">
        <v>148</v>
      </c>
      <c r="I213" s="104" t="s">
        <v>149</v>
      </c>
      <c r="J213" s="104" t="s">
        <v>150</v>
      </c>
      <c r="K213" s="104" t="s">
        <v>151</v>
      </c>
      <c r="L213" s="104" t="s">
        <v>152</v>
      </c>
      <c r="M213" s="104" t="s">
        <v>153</v>
      </c>
      <c r="N213" s="104" t="s">
        <v>154</v>
      </c>
      <c r="O213" s="104" t="s">
        <v>155</v>
      </c>
      <c r="P213" s="104" t="s">
        <v>156</v>
      </c>
      <c r="Q213" s="104" t="s">
        <v>157</v>
      </c>
      <c r="R213" s="104" t="s">
        <v>158</v>
      </c>
      <c r="S213" s="104" t="s">
        <v>159</v>
      </c>
      <c r="T213" s="104" t="s">
        <v>160</v>
      </c>
      <c r="U213" s="104" t="s">
        <v>161</v>
      </c>
      <c r="V213" s="104"/>
      <c r="W213" s="104" t="s">
        <v>162</v>
      </c>
      <c r="X213" s="104" t="s">
        <v>163</v>
      </c>
      <c r="Y213" s="104" t="s">
        <v>164</v>
      </c>
      <c r="Z213" s="104" t="s">
        <v>165</v>
      </c>
      <c r="AA213" s="104" t="s">
        <v>166</v>
      </c>
      <c r="AB213" s="104" t="s">
        <v>167</v>
      </c>
      <c r="AC213" s="104" t="s">
        <v>168</v>
      </c>
      <c r="AD213" s="104" t="s">
        <v>169</v>
      </c>
      <c r="AE213" s="104" t="s">
        <v>170</v>
      </c>
      <c r="AF213" s="104" t="s">
        <v>171</v>
      </c>
      <c r="AG213" s="104" t="s">
        <v>172</v>
      </c>
      <c r="AH213" s="104" t="s">
        <v>173</v>
      </c>
      <c r="AI213" s="104" t="s">
        <v>174</v>
      </c>
    </row>
    <row r="214" spans="1:35">
      <c r="A214" s="124"/>
      <c r="B214" s="12"/>
      <c r="C214" s="12"/>
      <c r="D214" s="12"/>
      <c r="E214" s="12"/>
      <c r="F214" s="12"/>
      <c r="G214" s="12"/>
      <c r="H214" s="12"/>
      <c r="I214" s="12"/>
      <c r="J214" s="12"/>
      <c r="K214" s="12"/>
      <c r="L214" s="12"/>
      <c r="M214" s="12"/>
      <c r="N214" s="12"/>
      <c r="O214" s="12"/>
      <c r="P214" s="12"/>
      <c r="Q214" s="12"/>
      <c r="R214" s="12"/>
      <c r="S214" s="12"/>
      <c r="T214" s="12"/>
      <c r="U214" s="12"/>
      <c r="V214" s="12"/>
      <c r="W214" s="12"/>
      <c r="X214" s="12"/>
      <c r="Y214" s="12"/>
      <c r="Z214" s="12"/>
      <c r="AA214" s="12"/>
      <c r="AB214" s="12"/>
      <c r="AC214" s="12"/>
      <c r="AD214" s="12"/>
      <c r="AE214" s="12"/>
      <c r="AF214" s="12"/>
      <c r="AG214" s="12"/>
      <c r="AH214" s="12"/>
      <c r="AI214" s="12"/>
    </row>
    <row r="215" spans="1:35" ht="16.5">
      <c r="A215" s="124"/>
      <c r="B215" s="35">
        <v>44564</v>
      </c>
      <c r="C215" s="36">
        <v>1249.7</v>
      </c>
      <c r="D215" s="37">
        <v>0</v>
      </c>
      <c r="E215" s="37">
        <v>0</v>
      </c>
      <c r="F215" s="37">
        <v>0</v>
      </c>
      <c r="G215" s="37">
        <v>0</v>
      </c>
      <c r="H215" s="37">
        <v>0</v>
      </c>
      <c r="I215" s="38">
        <f>SUM(C215:H215)</f>
        <v>1249.7</v>
      </c>
      <c r="J215" s="36">
        <v>137.5</v>
      </c>
      <c r="K215" s="36">
        <v>0</v>
      </c>
      <c r="L215" s="36">
        <v>416.23</v>
      </c>
      <c r="M215" s="36">
        <v>1810.13</v>
      </c>
      <c r="N215" s="36">
        <v>21.9</v>
      </c>
      <c r="O215" s="36">
        <f>6+40</f>
        <v>46</v>
      </c>
      <c r="P215" s="36">
        <f>7.05+24.06+398.02</f>
        <v>429.13</v>
      </c>
      <c r="Q215" s="36">
        <v>0</v>
      </c>
      <c r="R215" s="36">
        <v>485.3</v>
      </c>
      <c r="S215" s="36">
        <v>0</v>
      </c>
      <c r="T215" s="36">
        <v>0</v>
      </c>
      <c r="U215" s="36">
        <f>2952.87+3</f>
        <v>2955.87</v>
      </c>
      <c r="V215" s="36"/>
      <c r="W215" s="36">
        <v>0</v>
      </c>
      <c r="X215" s="38">
        <f>SUM(J215:W215)</f>
        <v>6302.06</v>
      </c>
      <c r="Y215" s="36">
        <v>483.25</v>
      </c>
      <c r="Z215" s="36">
        <v>0</v>
      </c>
      <c r="AA215" s="38">
        <f>SUM(Y215:Z215)</f>
        <v>483.25</v>
      </c>
      <c r="AB215" s="36">
        <f>57.47+6.96</f>
        <v>64.429999999999993</v>
      </c>
      <c r="AC215" s="36">
        <v>3</v>
      </c>
      <c r="AD215" s="36">
        <f>43.79+23.63</f>
        <v>67.42</v>
      </c>
      <c r="AE215" s="36">
        <v>0</v>
      </c>
      <c r="AF215" s="38">
        <f>SUM(AB215:AE215)</f>
        <v>134.85</v>
      </c>
      <c r="AG215" s="36">
        <v>250.77</v>
      </c>
      <c r="AH215" s="38">
        <f>SUM(AG215)</f>
        <v>250.77</v>
      </c>
      <c r="AI215" s="38">
        <f>+AH215+AF215+AA215+I215+X215</f>
        <v>8420.630000000001</v>
      </c>
    </row>
    <row r="216" spans="1:35" ht="16.5">
      <c r="A216" s="124"/>
      <c r="B216" s="35">
        <v>44565</v>
      </c>
      <c r="C216" s="36">
        <v>6</v>
      </c>
      <c r="D216" s="37">
        <v>0</v>
      </c>
      <c r="E216" s="37">
        <v>0</v>
      </c>
      <c r="F216" s="37">
        <v>0</v>
      </c>
      <c r="G216" s="37">
        <v>0</v>
      </c>
      <c r="H216" s="37">
        <v>0</v>
      </c>
      <c r="I216" s="38">
        <f t="shared" ref="I216:I237" si="53">SUM(C216:H216)</f>
        <v>6</v>
      </c>
      <c r="J216" s="36">
        <v>83.5</v>
      </c>
      <c r="K216" s="36">
        <v>0</v>
      </c>
      <c r="L216" s="36">
        <v>275.76</v>
      </c>
      <c r="M216" s="36">
        <v>629.47</v>
      </c>
      <c r="N216" s="36">
        <v>2.88</v>
      </c>
      <c r="O216" s="36">
        <v>6</v>
      </c>
      <c r="P216" s="36">
        <f>4.63+18.5+188.35</f>
        <v>211.48</v>
      </c>
      <c r="Q216" s="36">
        <v>0</v>
      </c>
      <c r="R216" s="36">
        <v>42.68</v>
      </c>
      <c r="S216" s="36">
        <v>0</v>
      </c>
      <c r="T216" s="36">
        <v>2.5</v>
      </c>
      <c r="U216" s="36">
        <v>1113.1500000000001</v>
      </c>
      <c r="V216" s="36"/>
      <c r="W216" s="36">
        <v>0</v>
      </c>
      <c r="X216" s="38">
        <f t="shared" ref="X216:X237" si="54">SUM(J216:W216)</f>
        <v>2367.42</v>
      </c>
      <c r="Y216" s="36">
        <v>371.2</v>
      </c>
      <c r="Z216" s="36">
        <v>0</v>
      </c>
      <c r="AA216" s="38">
        <f t="shared" ref="AA216:AA237" si="55">SUM(Y216:Z216)</f>
        <v>371.2</v>
      </c>
      <c r="AB216" s="36">
        <f>254+5.3</f>
        <v>259.3</v>
      </c>
      <c r="AC216" s="36">
        <v>0</v>
      </c>
      <c r="AD216" s="36">
        <f>114.45+19</f>
        <v>133.44999999999999</v>
      </c>
      <c r="AE216" s="36">
        <v>0</v>
      </c>
      <c r="AF216" s="38">
        <f t="shared" ref="AF216:AF231" si="56">SUM(AB216:AE216)</f>
        <v>392.75</v>
      </c>
      <c r="AG216" s="36">
        <v>1694.91</v>
      </c>
      <c r="AH216" s="38">
        <f t="shared" ref="AH216:AH237" si="57">SUM(AG216)</f>
        <v>1694.91</v>
      </c>
      <c r="AI216" s="38">
        <f t="shared" ref="AI216:AI237" si="58">+AH216+AF216+AA216+I216+X216</f>
        <v>4832.28</v>
      </c>
    </row>
    <row r="217" spans="1:35" ht="16.5">
      <c r="A217" s="124"/>
      <c r="B217" s="35">
        <v>44566</v>
      </c>
      <c r="C217" s="36">
        <v>1019.8</v>
      </c>
      <c r="D217" s="37">
        <v>0</v>
      </c>
      <c r="E217" s="37">
        <v>0</v>
      </c>
      <c r="F217" s="37">
        <v>0</v>
      </c>
      <c r="G217" s="37">
        <v>0</v>
      </c>
      <c r="H217" s="37">
        <v>0</v>
      </c>
      <c r="I217" s="38">
        <f t="shared" si="53"/>
        <v>1019.8</v>
      </c>
      <c r="J217" s="36">
        <v>82</v>
      </c>
      <c r="K217" s="36">
        <v>0</v>
      </c>
      <c r="L217" s="36">
        <v>485.36</v>
      </c>
      <c r="M217" s="36">
        <v>2233.63</v>
      </c>
      <c r="N217" s="36">
        <v>3.77</v>
      </c>
      <c r="O217" s="36">
        <f>12+10</f>
        <v>22</v>
      </c>
      <c r="P217" s="36">
        <f>5.01+26.12+2841.72</f>
        <v>2872.85</v>
      </c>
      <c r="Q217" s="36">
        <v>1422.81</v>
      </c>
      <c r="R217" s="36">
        <v>90.91</v>
      </c>
      <c r="S217" s="36">
        <f>7260+39640</f>
        <v>46900</v>
      </c>
      <c r="T217" s="36">
        <v>0</v>
      </c>
      <c r="U217" s="36">
        <f>1096.15+6</f>
        <v>1102.1500000000001</v>
      </c>
      <c r="V217" s="36"/>
      <c r="W217" s="36">
        <v>0</v>
      </c>
      <c r="X217" s="38">
        <f t="shared" si="54"/>
        <v>55215.48</v>
      </c>
      <c r="Y217" s="36">
        <v>524.6</v>
      </c>
      <c r="Z217" s="36">
        <v>0</v>
      </c>
      <c r="AA217" s="38">
        <f t="shared" si="55"/>
        <v>524.6</v>
      </c>
      <c r="AB217" s="36">
        <f>996.64+3.84</f>
        <v>1000.48</v>
      </c>
      <c r="AC217" s="36">
        <v>3</v>
      </c>
      <c r="AD217" s="36">
        <f>465.16+22.13</f>
        <v>487.29</v>
      </c>
      <c r="AE217" s="36">
        <v>0</v>
      </c>
      <c r="AF217" s="38">
        <f t="shared" si="56"/>
        <v>1490.77</v>
      </c>
      <c r="AG217" s="36">
        <v>4896.6099999999997</v>
      </c>
      <c r="AH217" s="38">
        <f t="shared" si="57"/>
        <v>4896.6099999999997</v>
      </c>
      <c r="AI217" s="38">
        <f t="shared" si="58"/>
        <v>63147.26</v>
      </c>
    </row>
    <row r="218" spans="1:35" ht="16.5">
      <c r="A218" s="124"/>
      <c r="B218" s="35">
        <v>44567</v>
      </c>
      <c r="C218" s="36">
        <v>0</v>
      </c>
      <c r="D218" s="37">
        <v>0</v>
      </c>
      <c r="E218" s="37">
        <v>0</v>
      </c>
      <c r="F218" s="37">
        <v>0</v>
      </c>
      <c r="G218" s="37">
        <v>0</v>
      </c>
      <c r="H218" s="37">
        <v>0</v>
      </c>
      <c r="I218" s="38">
        <f>SUM(C218:H218)</f>
        <v>0</v>
      </c>
      <c r="J218" s="36">
        <v>96.5</v>
      </c>
      <c r="K218" s="36">
        <v>0</v>
      </c>
      <c r="L218" s="36">
        <v>147.88</v>
      </c>
      <c r="M218" s="36">
        <v>935.3</v>
      </c>
      <c r="N218" s="36">
        <v>0.2</v>
      </c>
      <c r="O218" s="36">
        <v>0</v>
      </c>
      <c r="P218" s="36">
        <f>5.49+7.11+164.45</f>
        <v>177.04999999999998</v>
      </c>
      <c r="Q218" s="36">
        <v>506.8</v>
      </c>
      <c r="R218" s="36">
        <v>49.28</v>
      </c>
      <c r="S218" s="36">
        <v>0</v>
      </c>
      <c r="T218" s="36">
        <v>12.5</v>
      </c>
      <c r="U218" s="36">
        <v>622.33000000000004</v>
      </c>
      <c r="V218" s="36"/>
      <c r="W218" s="36">
        <v>0</v>
      </c>
      <c r="X218" s="38">
        <f t="shared" si="54"/>
        <v>2547.8399999999997</v>
      </c>
      <c r="Y218" s="36">
        <v>142.9</v>
      </c>
      <c r="Z218" s="36">
        <v>0</v>
      </c>
      <c r="AA218" s="38">
        <f t="shared" si="55"/>
        <v>142.9</v>
      </c>
      <c r="AB218" s="36">
        <f>224.13+0.58</f>
        <v>224.71</v>
      </c>
      <c r="AC218" s="36">
        <v>3</v>
      </c>
      <c r="AD218" s="36">
        <f>91.76+5.72</f>
        <v>97.48</v>
      </c>
      <c r="AE218" s="36">
        <v>0</v>
      </c>
      <c r="AF218" s="38">
        <f t="shared" si="56"/>
        <v>325.19</v>
      </c>
      <c r="AG218" s="36">
        <v>1342.45</v>
      </c>
      <c r="AH218" s="38">
        <f t="shared" si="57"/>
        <v>1342.45</v>
      </c>
      <c r="AI218" s="38">
        <f t="shared" si="58"/>
        <v>4358.38</v>
      </c>
    </row>
    <row r="219" spans="1:35" ht="16.5">
      <c r="A219" s="124"/>
      <c r="B219" s="35">
        <v>44568</v>
      </c>
      <c r="C219" s="36">
        <v>64</v>
      </c>
      <c r="D219" s="37">
        <v>0</v>
      </c>
      <c r="E219" s="37">
        <v>0</v>
      </c>
      <c r="F219" s="37">
        <v>0</v>
      </c>
      <c r="G219" s="37">
        <v>0</v>
      </c>
      <c r="H219" s="37">
        <v>0</v>
      </c>
      <c r="I219" s="38">
        <f t="shared" si="53"/>
        <v>64</v>
      </c>
      <c r="J219" s="36">
        <v>109</v>
      </c>
      <c r="K219" s="36">
        <v>0</v>
      </c>
      <c r="L219" s="36">
        <v>308.67</v>
      </c>
      <c r="M219" s="36">
        <v>1801.1</v>
      </c>
      <c r="N219" s="36">
        <v>5.08</v>
      </c>
      <c r="O219" s="36">
        <v>12</v>
      </c>
      <c r="P219" s="36">
        <f>6.05+6.22+435.43</f>
        <v>447.7</v>
      </c>
      <c r="Q219" s="36">
        <v>450.42</v>
      </c>
      <c r="R219" s="36">
        <v>73.87</v>
      </c>
      <c r="S219" s="36">
        <v>0</v>
      </c>
      <c r="T219" s="36">
        <v>0</v>
      </c>
      <c r="U219" s="36">
        <v>3484.8</v>
      </c>
      <c r="V219" s="36"/>
      <c r="W219" s="36">
        <v>0</v>
      </c>
      <c r="X219" s="38">
        <f t="shared" si="54"/>
        <v>6692.6399999999994</v>
      </c>
      <c r="Y219" s="36">
        <v>125.05</v>
      </c>
      <c r="Z219" s="36">
        <v>0</v>
      </c>
      <c r="AA219" s="38">
        <f t="shared" si="55"/>
        <v>125.05</v>
      </c>
      <c r="AB219" s="36">
        <f>521.86+0.02</f>
        <v>521.88</v>
      </c>
      <c r="AC219" s="36">
        <v>5.71</v>
      </c>
      <c r="AD219" s="36">
        <v>268.73</v>
      </c>
      <c r="AE219" s="36">
        <v>0</v>
      </c>
      <c r="AF219" s="38">
        <f t="shared" si="56"/>
        <v>796.32</v>
      </c>
      <c r="AG219" s="36">
        <v>2931.6</v>
      </c>
      <c r="AH219" s="38">
        <f t="shared" si="57"/>
        <v>2931.6</v>
      </c>
      <c r="AI219" s="38">
        <f t="shared" si="58"/>
        <v>10609.61</v>
      </c>
    </row>
    <row r="220" spans="1:35" ht="16.5">
      <c r="A220" s="124"/>
      <c r="B220" s="35">
        <v>44571</v>
      </c>
      <c r="C220" s="36">
        <v>670.06</v>
      </c>
      <c r="D220" s="39">
        <v>0</v>
      </c>
      <c r="E220" s="39">
        <v>0</v>
      </c>
      <c r="F220" s="39">
        <v>0</v>
      </c>
      <c r="G220" s="39">
        <v>0</v>
      </c>
      <c r="H220" s="39">
        <v>0</v>
      </c>
      <c r="I220" s="38">
        <f t="shared" si="53"/>
        <v>670.06</v>
      </c>
      <c r="J220" s="36">
        <v>128.5</v>
      </c>
      <c r="K220" s="36">
        <v>0</v>
      </c>
      <c r="L220" s="36">
        <v>363.12</v>
      </c>
      <c r="M220" s="36">
        <v>2852.97</v>
      </c>
      <c r="N220" s="36">
        <v>15.5</v>
      </c>
      <c r="O220" s="36">
        <v>12</v>
      </c>
      <c r="P220" s="36">
        <f>7.49+12.49+551.95</f>
        <v>571.93000000000006</v>
      </c>
      <c r="Q220" s="36">
        <v>669.47</v>
      </c>
      <c r="R220" s="36">
        <v>104.91</v>
      </c>
      <c r="S220" s="36">
        <v>0</v>
      </c>
      <c r="T220" s="36">
        <v>2.5</v>
      </c>
      <c r="U220" s="36">
        <f>4889.95+6</f>
        <v>4895.95</v>
      </c>
      <c r="V220" s="36"/>
      <c r="W220" s="36">
        <v>0</v>
      </c>
      <c r="X220" s="38">
        <f t="shared" si="54"/>
        <v>9616.8499999999985</v>
      </c>
      <c r="Y220" s="36">
        <v>251.85</v>
      </c>
      <c r="Z220" s="36">
        <v>0</v>
      </c>
      <c r="AA220" s="38">
        <f t="shared" si="55"/>
        <v>251.85</v>
      </c>
      <c r="AB220" s="36">
        <f>208.96+1.63</f>
        <v>210.59</v>
      </c>
      <c r="AC220" s="36">
        <v>3</v>
      </c>
      <c r="AD220" s="36">
        <f>69.87+6.94</f>
        <v>76.81</v>
      </c>
      <c r="AE220" s="36">
        <v>0</v>
      </c>
      <c r="AF220" s="38">
        <f t="shared" si="56"/>
        <v>290.39999999999998</v>
      </c>
      <c r="AG220" s="36">
        <v>2155.25</v>
      </c>
      <c r="AH220" s="38">
        <f t="shared" si="57"/>
        <v>2155.25</v>
      </c>
      <c r="AI220" s="38">
        <f t="shared" si="58"/>
        <v>12984.409999999998</v>
      </c>
    </row>
    <row r="221" spans="1:35" ht="16.5">
      <c r="A221" s="124"/>
      <c r="B221" s="35">
        <v>44572</v>
      </c>
      <c r="C221" s="36">
        <v>763.9</v>
      </c>
      <c r="D221" s="39">
        <v>0</v>
      </c>
      <c r="E221" s="39">
        <v>0</v>
      </c>
      <c r="F221" s="39">
        <v>0</v>
      </c>
      <c r="G221" s="39">
        <v>9</v>
      </c>
      <c r="H221" s="39">
        <v>0</v>
      </c>
      <c r="I221" s="38">
        <f t="shared" si="53"/>
        <v>772.9</v>
      </c>
      <c r="J221" s="36">
        <f>118.5+6</f>
        <v>124.5</v>
      </c>
      <c r="K221" s="36">
        <v>0</v>
      </c>
      <c r="L221" s="36">
        <v>122.42</v>
      </c>
      <c r="M221" s="36">
        <v>167.58</v>
      </c>
      <c r="N221" s="36">
        <v>3.28</v>
      </c>
      <c r="O221" s="36">
        <f>6+10</f>
        <v>16</v>
      </c>
      <c r="P221" s="36">
        <f>7.1+4.38+156.48</f>
        <v>167.95999999999998</v>
      </c>
      <c r="Q221" s="36">
        <v>0</v>
      </c>
      <c r="R221" s="36">
        <v>29.17</v>
      </c>
      <c r="S221" s="36">
        <v>0</v>
      </c>
      <c r="T221" s="36">
        <v>5</v>
      </c>
      <c r="U221" s="36">
        <f>1371.35+12</f>
        <v>1383.35</v>
      </c>
      <c r="V221" s="36"/>
      <c r="W221" s="36">
        <v>0</v>
      </c>
      <c r="X221" s="38">
        <f t="shared" si="54"/>
        <v>2019.2599999999998</v>
      </c>
      <c r="Y221" s="36">
        <v>85.75</v>
      </c>
      <c r="Z221" s="36">
        <v>0</v>
      </c>
      <c r="AA221" s="38">
        <f t="shared" si="55"/>
        <v>85.75</v>
      </c>
      <c r="AB221" s="36">
        <f>155.91+0.12</f>
        <v>156.03</v>
      </c>
      <c r="AC221" s="36">
        <v>8.7100000000000009</v>
      </c>
      <c r="AD221" s="36">
        <f>111.41+2.86</f>
        <v>114.27</v>
      </c>
      <c r="AE221" s="36">
        <v>0</v>
      </c>
      <c r="AF221" s="38">
        <f t="shared" si="56"/>
        <v>279.01</v>
      </c>
      <c r="AG221" s="36">
        <v>557.16</v>
      </c>
      <c r="AH221" s="38">
        <f t="shared" si="57"/>
        <v>557.16</v>
      </c>
      <c r="AI221" s="38">
        <f t="shared" si="58"/>
        <v>3714.08</v>
      </c>
    </row>
    <row r="222" spans="1:35" ht="16.5">
      <c r="A222" s="124"/>
      <c r="B222" s="35">
        <v>44573</v>
      </c>
      <c r="C222" s="36">
        <v>6</v>
      </c>
      <c r="D222" s="39">
        <v>9.4499999999999993</v>
      </c>
      <c r="E222" s="39">
        <v>0</v>
      </c>
      <c r="F222" s="39">
        <v>0</v>
      </c>
      <c r="G222" s="39">
        <v>0</v>
      </c>
      <c r="H222" s="39">
        <v>0</v>
      </c>
      <c r="I222" s="38">
        <f t="shared" si="53"/>
        <v>15.45</v>
      </c>
      <c r="J222" s="36">
        <v>71.5</v>
      </c>
      <c r="K222" s="36">
        <v>2</v>
      </c>
      <c r="L222" s="36">
        <v>244.82</v>
      </c>
      <c r="M222" s="36">
        <v>896.67</v>
      </c>
      <c r="N222" s="36">
        <v>15.75</v>
      </c>
      <c r="O222" s="36">
        <v>20</v>
      </c>
      <c r="P222" s="36">
        <f>3.83+10.01+156.09</f>
        <v>169.93</v>
      </c>
      <c r="Q222" s="36">
        <v>865.33</v>
      </c>
      <c r="R222" s="36">
        <v>72.180000000000007</v>
      </c>
      <c r="S222" s="36">
        <v>0</v>
      </c>
      <c r="T222" s="36">
        <v>0</v>
      </c>
      <c r="U222" s="36">
        <v>907.75</v>
      </c>
      <c r="V222" s="36">
        <v>0</v>
      </c>
      <c r="W222" s="36">
        <v>0</v>
      </c>
      <c r="X222" s="38">
        <f t="shared" si="54"/>
        <v>3265.93</v>
      </c>
      <c r="Y222" s="36">
        <v>201.35</v>
      </c>
      <c r="Z222" s="36">
        <v>0</v>
      </c>
      <c r="AA222" s="38">
        <f t="shared" si="55"/>
        <v>201.35</v>
      </c>
      <c r="AB222" s="36">
        <f>152.38+0.02</f>
        <v>152.4</v>
      </c>
      <c r="AC222" s="36">
        <v>3</v>
      </c>
      <c r="AD222" s="36">
        <v>65.55</v>
      </c>
      <c r="AE222" s="36">
        <v>0</v>
      </c>
      <c r="AF222" s="38">
        <f t="shared" si="56"/>
        <v>220.95</v>
      </c>
      <c r="AG222" s="36">
        <v>809.38</v>
      </c>
      <c r="AH222" s="38">
        <f t="shared" si="57"/>
        <v>809.38</v>
      </c>
      <c r="AI222" s="38">
        <f t="shared" si="58"/>
        <v>4513.0599999999995</v>
      </c>
    </row>
    <row r="223" spans="1:35" ht="16.5">
      <c r="A223" s="124"/>
      <c r="B223" s="35">
        <v>44574</v>
      </c>
      <c r="C223" s="36">
        <v>1294.3399999999999</v>
      </c>
      <c r="D223" s="39">
        <v>0</v>
      </c>
      <c r="E223" s="39">
        <v>0</v>
      </c>
      <c r="F223" s="39">
        <v>0</v>
      </c>
      <c r="G223" s="39">
        <v>0</v>
      </c>
      <c r="H223" s="39">
        <v>0</v>
      </c>
      <c r="I223" s="38">
        <f t="shared" si="53"/>
        <v>1294.3399999999999</v>
      </c>
      <c r="J223" s="36">
        <v>86.5</v>
      </c>
      <c r="K223" s="36">
        <v>1</v>
      </c>
      <c r="L223" s="36">
        <v>223.23</v>
      </c>
      <c r="M223" s="36">
        <v>1210.21</v>
      </c>
      <c r="N223" s="36">
        <v>12.83</v>
      </c>
      <c r="O223" s="36">
        <v>0</v>
      </c>
      <c r="P223" s="36">
        <f>5.17+21.09+333.26</f>
        <v>359.52</v>
      </c>
      <c r="Q223" s="36">
        <v>216.62</v>
      </c>
      <c r="R223" s="36">
        <v>65.67</v>
      </c>
      <c r="S223" s="36">
        <v>0</v>
      </c>
      <c r="T223" s="36">
        <v>15</v>
      </c>
      <c r="U223" s="36">
        <f>1209+1000</f>
        <v>2209</v>
      </c>
      <c r="V223" s="36"/>
      <c r="W223" s="36">
        <v>0</v>
      </c>
      <c r="X223" s="38">
        <f t="shared" si="54"/>
        <v>4399.58</v>
      </c>
      <c r="Y223" s="36">
        <v>424.55</v>
      </c>
      <c r="Z223" s="36">
        <v>0</v>
      </c>
      <c r="AA223" s="38">
        <f t="shared" si="55"/>
        <v>424.55</v>
      </c>
      <c r="AB223" s="36">
        <f>288.24+0.14</f>
        <v>288.38</v>
      </c>
      <c r="AC223" s="36">
        <v>0</v>
      </c>
      <c r="AD223" s="36">
        <f>87.94+2.86</f>
        <v>90.8</v>
      </c>
      <c r="AE223" s="36">
        <v>0</v>
      </c>
      <c r="AF223" s="38">
        <f t="shared" si="56"/>
        <v>379.18</v>
      </c>
      <c r="AG223" s="36">
        <v>2750.62</v>
      </c>
      <c r="AH223" s="38">
        <f t="shared" si="57"/>
        <v>2750.62</v>
      </c>
      <c r="AI223" s="38">
        <f t="shared" si="58"/>
        <v>9248.27</v>
      </c>
    </row>
    <row r="224" spans="1:35" ht="16.5">
      <c r="A224" s="124"/>
      <c r="B224" s="35">
        <v>44575</v>
      </c>
      <c r="C224" s="36">
        <v>142.52000000000001</v>
      </c>
      <c r="D224" s="39">
        <v>0</v>
      </c>
      <c r="E224" s="39">
        <v>0</v>
      </c>
      <c r="F224" s="39">
        <v>0</v>
      </c>
      <c r="G224" s="39">
        <v>456.47</v>
      </c>
      <c r="H224" s="39">
        <v>0</v>
      </c>
      <c r="I224" s="38">
        <f t="shared" si="53"/>
        <v>598.99</v>
      </c>
      <c r="J224" s="36">
        <v>56.5</v>
      </c>
      <c r="K224" s="36">
        <v>0</v>
      </c>
      <c r="L224" s="36">
        <v>380.23</v>
      </c>
      <c r="M224" s="36">
        <v>1965.68</v>
      </c>
      <c r="N224" s="36">
        <v>19.36</v>
      </c>
      <c r="O224" s="36">
        <v>0</v>
      </c>
      <c r="P224" s="36">
        <f>2.83+25.64+477.12</f>
        <v>505.59000000000003</v>
      </c>
      <c r="Q224" s="36">
        <v>138.79</v>
      </c>
      <c r="R224" s="36">
        <v>69.010000000000005</v>
      </c>
      <c r="S224" s="36">
        <v>0</v>
      </c>
      <c r="T224" s="36">
        <v>0</v>
      </c>
      <c r="U224" s="36">
        <v>2659</v>
      </c>
      <c r="V224" s="36">
        <v>0</v>
      </c>
      <c r="W224" s="36">
        <v>0</v>
      </c>
      <c r="X224" s="38">
        <f t="shared" si="54"/>
        <v>5794.16</v>
      </c>
      <c r="Y224" s="36">
        <v>514.70000000000005</v>
      </c>
      <c r="Z224" s="36">
        <v>0</v>
      </c>
      <c r="AA224" s="38">
        <f t="shared" si="55"/>
        <v>514.70000000000005</v>
      </c>
      <c r="AB224" s="36">
        <f>479.81+1.24</f>
        <v>481.05</v>
      </c>
      <c r="AC224" s="36">
        <v>0</v>
      </c>
      <c r="AD224" s="36">
        <f>187.07+8.58</f>
        <v>195.65</v>
      </c>
      <c r="AE224" s="36">
        <v>0</v>
      </c>
      <c r="AF224" s="38">
        <f t="shared" si="56"/>
        <v>676.7</v>
      </c>
      <c r="AG224" s="36">
        <v>4065.07</v>
      </c>
      <c r="AH224" s="38">
        <f t="shared" si="57"/>
        <v>4065.07</v>
      </c>
      <c r="AI224" s="38">
        <f t="shared" si="58"/>
        <v>11649.619999999999</v>
      </c>
    </row>
    <row r="225" spans="1:35" ht="16.5">
      <c r="A225" s="124"/>
      <c r="B225" s="35">
        <v>44578</v>
      </c>
      <c r="C225" s="36">
        <v>73.5</v>
      </c>
      <c r="D225" s="39">
        <v>371.5</v>
      </c>
      <c r="E225" s="39">
        <v>0</v>
      </c>
      <c r="F225" s="39">
        <v>0</v>
      </c>
      <c r="G225" s="39">
        <v>0</v>
      </c>
      <c r="H225" s="39">
        <v>0</v>
      </c>
      <c r="I225" s="38">
        <f t="shared" si="53"/>
        <v>445</v>
      </c>
      <c r="J225" s="36">
        <v>104</v>
      </c>
      <c r="K225" s="36">
        <v>1</v>
      </c>
      <c r="L225" s="36">
        <v>324.47000000000003</v>
      </c>
      <c r="M225" s="36">
        <v>731.68</v>
      </c>
      <c r="N225" s="36">
        <v>7.02</v>
      </c>
      <c r="O225" s="36">
        <v>0</v>
      </c>
      <c r="P225" s="36">
        <f>5.7+66.73+226.76</f>
        <v>299.19</v>
      </c>
      <c r="Q225" s="36">
        <v>18</v>
      </c>
      <c r="R225" s="36">
        <v>62.86</v>
      </c>
      <c r="S225" s="36">
        <v>0</v>
      </c>
      <c r="T225" s="36">
        <v>2.5</v>
      </c>
      <c r="U225" s="36">
        <f>470.48+6</f>
        <v>476.48</v>
      </c>
      <c r="V225" s="36"/>
      <c r="W225" s="36">
        <v>0</v>
      </c>
      <c r="X225" s="38">
        <f t="shared" si="54"/>
        <v>2027.2</v>
      </c>
      <c r="Y225" s="36">
        <v>1338.65</v>
      </c>
      <c r="Z225" s="36">
        <v>0</v>
      </c>
      <c r="AA225" s="38">
        <f t="shared" si="55"/>
        <v>1338.65</v>
      </c>
      <c r="AB225" s="36">
        <f>73.64+3.5</f>
        <v>77.14</v>
      </c>
      <c r="AC225" s="36">
        <v>0</v>
      </c>
      <c r="AD225" s="36">
        <f>42.64+15.5</f>
        <v>58.14</v>
      </c>
      <c r="AE225" s="36">
        <v>0</v>
      </c>
      <c r="AF225" s="38">
        <f t="shared" si="56"/>
        <v>135.28</v>
      </c>
      <c r="AG225" s="36">
        <v>2596.59</v>
      </c>
      <c r="AH225" s="38">
        <f t="shared" si="57"/>
        <v>2596.59</v>
      </c>
      <c r="AI225" s="38">
        <f t="shared" si="58"/>
        <v>6542.72</v>
      </c>
    </row>
    <row r="226" spans="1:35" ht="16.5">
      <c r="A226" s="124"/>
      <c r="B226" s="35">
        <v>44579</v>
      </c>
      <c r="C226" s="36">
        <v>24</v>
      </c>
      <c r="D226" s="39">
        <v>0</v>
      </c>
      <c r="E226" s="39">
        <v>0</v>
      </c>
      <c r="F226" s="39">
        <v>0</v>
      </c>
      <c r="G226" s="39">
        <v>21.5</v>
      </c>
      <c r="H226" s="39">
        <v>0</v>
      </c>
      <c r="I226" s="38">
        <f t="shared" si="53"/>
        <v>45.5</v>
      </c>
      <c r="J226" s="36">
        <v>61</v>
      </c>
      <c r="K226" s="36">
        <v>1</v>
      </c>
      <c r="L226" s="36">
        <v>1455.12</v>
      </c>
      <c r="M226" s="36">
        <v>407.07</v>
      </c>
      <c r="N226" s="36">
        <v>15.33</v>
      </c>
      <c r="O226" s="36">
        <v>0</v>
      </c>
      <c r="P226" s="36">
        <f>3.36+23.71+591.74</f>
        <v>618.81000000000006</v>
      </c>
      <c r="Q226" s="36">
        <v>0</v>
      </c>
      <c r="R226" s="36">
        <v>13.72</v>
      </c>
      <c r="S226" s="36">
        <v>0</v>
      </c>
      <c r="T226" s="36">
        <v>5</v>
      </c>
      <c r="U226" s="36">
        <v>730.05</v>
      </c>
      <c r="V226" s="36"/>
      <c r="W226" s="36">
        <v>0</v>
      </c>
      <c r="X226" s="38">
        <f t="shared" si="54"/>
        <v>3307.0999999999995</v>
      </c>
      <c r="Y226" s="36">
        <v>477.9</v>
      </c>
      <c r="Z226" s="36">
        <v>0</v>
      </c>
      <c r="AA226" s="38">
        <f t="shared" si="55"/>
        <v>477.9</v>
      </c>
      <c r="AB226" s="36">
        <f>1034.81+0.06</f>
        <v>1034.8699999999999</v>
      </c>
      <c r="AC226" s="36">
        <v>5.71</v>
      </c>
      <c r="AD226" s="36">
        <v>932.22</v>
      </c>
      <c r="AE226" s="36">
        <v>0</v>
      </c>
      <c r="AF226" s="38">
        <f t="shared" si="56"/>
        <v>1972.8</v>
      </c>
      <c r="AG226" s="36">
        <v>9370.2800000000007</v>
      </c>
      <c r="AH226" s="38">
        <f t="shared" si="57"/>
        <v>9370.2800000000007</v>
      </c>
      <c r="AI226" s="38">
        <f t="shared" si="58"/>
        <v>15173.579999999998</v>
      </c>
    </row>
    <row r="227" spans="1:35" ht="16.5">
      <c r="A227" s="124"/>
      <c r="B227" s="35">
        <v>44580</v>
      </c>
      <c r="C227" s="36">
        <v>711.04</v>
      </c>
      <c r="D227" s="39">
        <v>0</v>
      </c>
      <c r="E227" s="39">
        <v>0</v>
      </c>
      <c r="F227" s="39">
        <v>0</v>
      </c>
      <c r="G227" s="39">
        <v>9</v>
      </c>
      <c r="H227" s="39">
        <v>0</v>
      </c>
      <c r="I227" s="38">
        <f t="shared" si="53"/>
        <v>720.04</v>
      </c>
      <c r="J227" s="36">
        <v>119</v>
      </c>
      <c r="K227" s="36">
        <v>0</v>
      </c>
      <c r="L227" s="36">
        <v>228.56</v>
      </c>
      <c r="M227" s="36">
        <v>927.32</v>
      </c>
      <c r="N227" s="36">
        <v>5.7</v>
      </c>
      <c r="O227" s="36">
        <v>20</v>
      </c>
      <c r="P227" s="36">
        <f>6.5+23.44+230.1</f>
        <v>260.04000000000002</v>
      </c>
      <c r="Q227" s="36">
        <v>883.73</v>
      </c>
      <c r="R227" s="36">
        <v>206.08</v>
      </c>
      <c r="S227" s="36">
        <v>0</v>
      </c>
      <c r="T227" s="36">
        <v>7.5</v>
      </c>
      <c r="U227" s="36">
        <f>1540.63+3</f>
        <v>1543.63</v>
      </c>
      <c r="V227" s="36">
        <v>0</v>
      </c>
      <c r="W227" s="36">
        <v>0</v>
      </c>
      <c r="X227" s="38">
        <f t="shared" si="54"/>
        <v>4201.5600000000004</v>
      </c>
      <c r="Y227" s="36">
        <v>471.75</v>
      </c>
      <c r="Z227" s="36">
        <v>0</v>
      </c>
      <c r="AA227" s="38">
        <f t="shared" si="55"/>
        <v>471.75</v>
      </c>
      <c r="AB227" s="36">
        <f>83.61+0.02</f>
        <v>83.63</v>
      </c>
      <c r="AC227" s="36">
        <v>0</v>
      </c>
      <c r="AD227" s="36">
        <v>85.8</v>
      </c>
      <c r="AE227" s="36">
        <v>0</v>
      </c>
      <c r="AF227" s="38">
        <f t="shared" si="56"/>
        <v>169.43</v>
      </c>
      <c r="AG227" s="36">
        <v>943.46</v>
      </c>
      <c r="AH227" s="38">
        <f t="shared" si="57"/>
        <v>943.46</v>
      </c>
      <c r="AI227" s="38">
        <f t="shared" si="58"/>
        <v>6506.2400000000007</v>
      </c>
    </row>
    <row r="228" spans="1:35" ht="16.5">
      <c r="A228" s="124"/>
      <c r="B228" s="35">
        <v>44581</v>
      </c>
      <c r="C228" s="36">
        <v>0</v>
      </c>
      <c r="D228" s="39">
        <v>0</v>
      </c>
      <c r="E228" s="39">
        <v>0</v>
      </c>
      <c r="F228" s="39">
        <v>0</v>
      </c>
      <c r="G228" s="39">
        <v>0</v>
      </c>
      <c r="H228" s="39">
        <v>0</v>
      </c>
      <c r="I228" s="38">
        <f t="shared" si="53"/>
        <v>0</v>
      </c>
      <c r="J228" s="36">
        <f>59.5+9</f>
        <v>68.5</v>
      </c>
      <c r="K228" s="36">
        <v>1</v>
      </c>
      <c r="L228" s="36">
        <v>285.18</v>
      </c>
      <c r="M228" s="36">
        <v>1134.49</v>
      </c>
      <c r="N228" s="36">
        <v>0.75</v>
      </c>
      <c r="O228" s="36">
        <v>0</v>
      </c>
      <c r="P228" s="36">
        <f>3.74+22.8+98.18</f>
        <v>124.72</v>
      </c>
      <c r="Q228" s="36">
        <f>187.26+27</f>
        <v>214.26</v>
      </c>
      <c r="R228" s="36">
        <v>122.68</v>
      </c>
      <c r="S228" s="36">
        <v>0</v>
      </c>
      <c r="T228" s="36">
        <v>5</v>
      </c>
      <c r="U228" s="36">
        <f>148+9</f>
        <v>157</v>
      </c>
      <c r="V228" s="36">
        <v>0</v>
      </c>
      <c r="W228" s="36">
        <v>0</v>
      </c>
      <c r="X228" s="38">
        <f t="shared" si="54"/>
        <v>2113.58</v>
      </c>
      <c r="Y228" s="36">
        <v>458.7</v>
      </c>
      <c r="Z228" s="36">
        <v>0</v>
      </c>
      <c r="AA228" s="38">
        <f t="shared" si="55"/>
        <v>458.7</v>
      </c>
      <c r="AB228" s="36">
        <f>14.73+0.54</f>
        <v>15.27</v>
      </c>
      <c r="AC228" s="36">
        <v>0</v>
      </c>
      <c r="AD228" s="36">
        <f>16.81+5.72</f>
        <v>22.529999999999998</v>
      </c>
      <c r="AE228" s="36">
        <v>0</v>
      </c>
      <c r="AF228" s="38">
        <f t="shared" si="56"/>
        <v>37.799999999999997</v>
      </c>
      <c r="AG228" s="36">
        <v>399.26</v>
      </c>
      <c r="AH228" s="38">
        <f t="shared" si="57"/>
        <v>399.26</v>
      </c>
      <c r="AI228" s="38">
        <f t="shared" si="58"/>
        <v>3009.34</v>
      </c>
    </row>
    <row r="229" spans="1:35" ht="16.5">
      <c r="A229" s="124"/>
      <c r="B229" s="35">
        <v>44582</v>
      </c>
      <c r="C229" s="36">
        <v>0</v>
      </c>
      <c r="D229" s="39">
        <v>0</v>
      </c>
      <c r="E229" s="39">
        <v>0</v>
      </c>
      <c r="F229" s="39">
        <v>0</v>
      </c>
      <c r="G229" s="39">
        <v>0</v>
      </c>
      <c r="H229" s="39">
        <v>0</v>
      </c>
      <c r="I229" s="38">
        <f t="shared" si="53"/>
        <v>0</v>
      </c>
      <c r="J229" s="36">
        <v>62</v>
      </c>
      <c r="K229" s="36">
        <v>0</v>
      </c>
      <c r="L229" s="36">
        <v>409.84</v>
      </c>
      <c r="M229" s="36">
        <v>3337.07</v>
      </c>
      <c r="N229" s="36">
        <v>13.91</v>
      </c>
      <c r="O229" s="36">
        <v>0</v>
      </c>
      <c r="P229" s="36">
        <f>3.11+8.77+243.65</f>
        <v>255.53</v>
      </c>
      <c r="Q229" s="36">
        <v>143.29</v>
      </c>
      <c r="R229" s="36">
        <v>105.66</v>
      </c>
      <c r="S229" s="36">
        <v>0</v>
      </c>
      <c r="T229" s="36">
        <v>0</v>
      </c>
      <c r="U229" s="36">
        <v>225</v>
      </c>
      <c r="V229" s="36">
        <v>0</v>
      </c>
      <c r="W229" s="36">
        <v>0</v>
      </c>
      <c r="X229" s="38">
        <f t="shared" si="54"/>
        <v>4552.3</v>
      </c>
      <c r="Y229" s="36">
        <v>176</v>
      </c>
      <c r="Z229" s="36">
        <v>0</v>
      </c>
      <c r="AA229" s="38">
        <f t="shared" si="55"/>
        <v>176</v>
      </c>
      <c r="AB229" s="36">
        <f>77.73+0.02</f>
        <v>77.75</v>
      </c>
      <c r="AC229" s="36">
        <v>5.71</v>
      </c>
      <c r="AD229" s="36">
        <v>63.52</v>
      </c>
      <c r="AE229" s="36">
        <v>0</v>
      </c>
      <c r="AF229" s="38">
        <f t="shared" si="56"/>
        <v>146.97999999999999</v>
      </c>
      <c r="AG229" s="36">
        <v>887.25</v>
      </c>
      <c r="AH229" s="38">
        <f t="shared" si="57"/>
        <v>887.25</v>
      </c>
      <c r="AI229" s="38">
        <f t="shared" si="58"/>
        <v>5762.5300000000007</v>
      </c>
    </row>
    <row r="230" spans="1:35" ht="16.5">
      <c r="A230" s="124"/>
      <c r="B230" s="35">
        <v>44585</v>
      </c>
      <c r="C230" s="36">
        <v>105.5</v>
      </c>
      <c r="D230" s="39">
        <v>0</v>
      </c>
      <c r="E230" s="39">
        <v>10.29</v>
      </c>
      <c r="F230" s="39">
        <v>0</v>
      </c>
      <c r="G230" s="39">
        <v>4.5</v>
      </c>
      <c r="H230" s="39">
        <v>0</v>
      </c>
      <c r="I230" s="38">
        <f t="shared" si="53"/>
        <v>120.28999999999999</v>
      </c>
      <c r="J230" s="36">
        <v>110</v>
      </c>
      <c r="K230" s="36">
        <v>1</v>
      </c>
      <c r="L230" s="36">
        <v>288.58</v>
      </c>
      <c r="M230" s="36">
        <v>2123.12</v>
      </c>
      <c r="N230" s="36">
        <v>9.56</v>
      </c>
      <c r="O230" s="36">
        <v>6</v>
      </c>
      <c r="P230" s="36">
        <f>5.85+30.24+167.06</f>
        <v>203.15</v>
      </c>
      <c r="Q230" s="36">
        <v>133.66</v>
      </c>
      <c r="R230" s="36">
        <v>112.15</v>
      </c>
      <c r="S230" s="36">
        <v>0</v>
      </c>
      <c r="T230" s="36">
        <v>0</v>
      </c>
      <c r="U230" s="36">
        <v>108</v>
      </c>
      <c r="V230" s="36">
        <v>0</v>
      </c>
      <c r="W230" s="36">
        <v>0</v>
      </c>
      <c r="X230" s="38">
        <f t="shared" si="54"/>
        <v>3095.22</v>
      </c>
      <c r="Y230" s="36">
        <v>607.20000000000005</v>
      </c>
      <c r="Z230" s="36">
        <v>0</v>
      </c>
      <c r="AA230" s="38">
        <f t="shared" si="55"/>
        <v>607.20000000000005</v>
      </c>
      <c r="AB230" s="36">
        <f>97.66+1.1</f>
        <v>98.759999999999991</v>
      </c>
      <c r="AC230" s="36">
        <v>5.71</v>
      </c>
      <c r="AD230" s="36">
        <f>44.92+14.3</f>
        <v>59.22</v>
      </c>
      <c r="AE230" s="36">
        <v>0</v>
      </c>
      <c r="AF230" s="38">
        <f t="shared" si="56"/>
        <v>163.69</v>
      </c>
      <c r="AG230" s="36">
        <v>656.85</v>
      </c>
      <c r="AH230" s="38">
        <f t="shared" si="57"/>
        <v>656.85</v>
      </c>
      <c r="AI230" s="38">
        <f t="shared" si="58"/>
        <v>4643.25</v>
      </c>
    </row>
    <row r="231" spans="1:35" ht="16.5">
      <c r="A231" s="124"/>
      <c r="B231" s="35">
        <v>44586</v>
      </c>
      <c r="C231" s="36">
        <v>133.5</v>
      </c>
      <c r="D231" s="39">
        <v>0</v>
      </c>
      <c r="E231" s="39">
        <v>0</v>
      </c>
      <c r="F231" s="39">
        <v>0</v>
      </c>
      <c r="G231" s="39">
        <v>0</v>
      </c>
      <c r="H231" s="39">
        <v>0</v>
      </c>
      <c r="I231" s="38">
        <f t="shared" si="53"/>
        <v>133.5</v>
      </c>
      <c r="J231" s="36">
        <v>64.5</v>
      </c>
      <c r="K231" s="36">
        <v>0</v>
      </c>
      <c r="L231" s="36">
        <v>304.58999999999997</v>
      </c>
      <c r="M231" s="36">
        <v>794.67</v>
      </c>
      <c r="N231" s="36">
        <v>17.489999999999998</v>
      </c>
      <c r="O231" s="36">
        <v>26</v>
      </c>
      <c r="P231" s="36">
        <f>3.53+16.97+325.14</f>
        <v>345.64</v>
      </c>
      <c r="Q231" s="36">
        <v>0</v>
      </c>
      <c r="R231" s="36">
        <v>73.33</v>
      </c>
      <c r="S231" s="36">
        <v>0</v>
      </c>
      <c r="T231" s="36">
        <v>0</v>
      </c>
      <c r="U231" s="36">
        <v>925.49</v>
      </c>
      <c r="V231" s="36">
        <v>0</v>
      </c>
      <c r="W231" s="36">
        <v>0</v>
      </c>
      <c r="X231" s="38">
        <f t="shared" si="54"/>
        <v>2551.71</v>
      </c>
      <c r="Y231" s="36">
        <v>340.85</v>
      </c>
      <c r="Z231" s="36">
        <v>0</v>
      </c>
      <c r="AA231" s="38">
        <f t="shared" si="55"/>
        <v>340.85</v>
      </c>
      <c r="AB231" s="36">
        <f>150.57+0.45</f>
        <v>151.01999999999998</v>
      </c>
      <c r="AC231" s="36">
        <v>0</v>
      </c>
      <c r="AD231" s="36">
        <f>64.61+11.44</f>
        <v>76.05</v>
      </c>
      <c r="AE231" s="36">
        <v>0</v>
      </c>
      <c r="AF231" s="38">
        <f t="shared" si="56"/>
        <v>227.07</v>
      </c>
      <c r="AG231" s="36">
        <v>4369.04</v>
      </c>
      <c r="AH231" s="38">
        <f t="shared" si="57"/>
        <v>4369.04</v>
      </c>
      <c r="AI231" s="38">
        <f t="shared" si="58"/>
        <v>7622.17</v>
      </c>
    </row>
    <row r="232" spans="1:35" ht="16.5">
      <c r="A232" s="124"/>
      <c r="B232" s="35">
        <v>44587</v>
      </c>
      <c r="C232" s="36">
        <v>50</v>
      </c>
      <c r="D232" s="39">
        <v>0</v>
      </c>
      <c r="E232" s="39">
        <v>0</v>
      </c>
      <c r="F232" s="39">
        <v>0</v>
      </c>
      <c r="G232" s="39">
        <v>0</v>
      </c>
      <c r="H232" s="39">
        <v>0</v>
      </c>
      <c r="I232" s="38">
        <f t="shared" si="53"/>
        <v>50</v>
      </c>
      <c r="J232" s="36">
        <v>90.5</v>
      </c>
      <c r="K232" s="36">
        <v>0</v>
      </c>
      <c r="L232" s="36">
        <v>201.01</v>
      </c>
      <c r="M232" s="36">
        <v>836.4</v>
      </c>
      <c r="N232" s="36">
        <v>1.32</v>
      </c>
      <c r="O232" s="36">
        <v>6</v>
      </c>
      <c r="P232" s="36">
        <f>4.85+14.59+117.12</f>
        <v>136.56</v>
      </c>
      <c r="Q232" s="36">
        <v>659.58</v>
      </c>
      <c r="R232" s="36">
        <v>52.22</v>
      </c>
      <c r="S232" s="36">
        <v>0</v>
      </c>
      <c r="T232" s="36">
        <v>0</v>
      </c>
      <c r="U232" s="36">
        <v>205</v>
      </c>
      <c r="V232" s="36">
        <v>0</v>
      </c>
      <c r="W232" s="36">
        <v>0</v>
      </c>
      <c r="X232" s="38">
        <f t="shared" si="54"/>
        <v>2188.59</v>
      </c>
      <c r="Y232" s="36">
        <v>293.3</v>
      </c>
      <c r="Z232" s="36">
        <v>0</v>
      </c>
      <c r="AA232" s="38">
        <f t="shared" si="55"/>
        <v>293.3</v>
      </c>
      <c r="AB232" s="36">
        <f>154.44+4.45</f>
        <v>158.88999999999999</v>
      </c>
      <c r="AC232" s="36">
        <v>5.71</v>
      </c>
      <c r="AD232" s="36">
        <f>70.25+15.11</f>
        <v>85.36</v>
      </c>
      <c r="AE232" s="36">
        <v>0</v>
      </c>
      <c r="AF232" s="38">
        <f>SUM(AB232:AE232)</f>
        <v>249.95999999999998</v>
      </c>
      <c r="AG232" s="36">
        <v>1181.45</v>
      </c>
      <c r="AH232" s="38">
        <f t="shared" si="57"/>
        <v>1181.45</v>
      </c>
      <c r="AI232" s="38">
        <f t="shared" si="58"/>
        <v>3963.3</v>
      </c>
    </row>
    <row r="233" spans="1:35" ht="16.5">
      <c r="A233" s="124"/>
      <c r="B233" s="35">
        <v>44588</v>
      </c>
      <c r="C233" s="36">
        <v>1902.7</v>
      </c>
      <c r="D233" s="39">
        <v>1308.75</v>
      </c>
      <c r="E233" s="39">
        <v>0</v>
      </c>
      <c r="F233" s="39">
        <v>0</v>
      </c>
      <c r="G233" s="39">
        <v>7.5</v>
      </c>
      <c r="H233" s="39">
        <v>0</v>
      </c>
      <c r="I233" s="38">
        <f t="shared" si="53"/>
        <v>3218.95</v>
      </c>
      <c r="J233" s="36">
        <v>33</v>
      </c>
      <c r="K233" s="36">
        <v>0</v>
      </c>
      <c r="L233" s="36">
        <v>1349.95</v>
      </c>
      <c r="M233" s="36">
        <v>7059.96</v>
      </c>
      <c r="N233" s="36">
        <v>12.29</v>
      </c>
      <c r="O233" s="36">
        <v>6</v>
      </c>
      <c r="P233" s="36">
        <f>2.35+20.29+632.86</f>
        <v>655.5</v>
      </c>
      <c r="Q233" s="36">
        <v>176.29</v>
      </c>
      <c r="R233" s="36">
        <v>301.88</v>
      </c>
      <c r="S233" s="36">
        <v>0</v>
      </c>
      <c r="T233" s="36">
        <v>7.5</v>
      </c>
      <c r="U233" s="36">
        <v>370.2</v>
      </c>
      <c r="V233" s="36">
        <v>0</v>
      </c>
      <c r="W233" s="36">
        <v>0</v>
      </c>
      <c r="X233" s="38">
        <f t="shared" si="54"/>
        <v>9972.5700000000015</v>
      </c>
      <c r="Y233" s="36">
        <v>408.55</v>
      </c>
      <c r="Z233" s="36">
        <v>0</v>
      </c>
      <c r="AA233" s="38">
        <f t="shared" si="55"/>
        <v>408.55</v>
      </c>
      <c r="AB233" s="36">
        <f>41.39+6.71</f>
        <v>48.1</v>
      </c>
      <c r="AC233" s="36">
        <v>3</v>
      </c>
      <c r="AD233" s="36">
        <f>19.49+12.26</f>
        <v>31.75</v>
      </c>
      <c r="AE233" s="36">
        <v>0</v>
      </c>
      <c r="AF233" s="38">
        <f t="shared" ref="AF233:AF237" si="59">SUM(AB233:AE233)</f>
        <v>82.85</v>
      </c>
      <c r="AG233" s="36">
        <v>1247.44</v>
      </c>
      <c r="AH233" s="38">
        <f t="shared" si="57"/>
        <v>1247.44</v>
      </c>
      <c r="AI233" s="38">
        <f t="shared" si="58"/>
        <v>14930.36</v>
      </c>
    </row>
    <row r="234" spans="1:35" ht="16.5">
      <c r="A234" s="124"/>
      <c r="B234" s="35">
        <v>44589</v>
      </c>
      <c r="C234" s="36">
        <v>68.599999999999994</v>
      </c>
      <c r="D234" s="39">
        <v>1.8</v>
      </c>
      <c r="E234" s="39">
        <v>0</v>
      </c>
      <c r="F234" s="39">
        <v>0</v>
      </c>
      <c r="G234" s="39">
        <v>0</v>
      </c>
      <c r="H234" s="39">
        <v>0</v>
      </c>
      <c r="I234" s="38">
        <f t="shared" si="53"/>
        <v>70.399999999999991</v>
      </c>
      <c r="J234" s="36">
        <f>69.5+6</f>
        <v>75.5</v>
      </c>
      <c r="K234" s="36">
        <v>1</v>
      </c>
      <c r="L234" s="36">
        <v>596.95000000000005</v>
      </c>
      <c r="M234" s="36">
        <v>3254.9</v>
      </c>
      <c r="N234" s="36">
        <v>16.579999999999998</v>
      </c>
      <c r="O234" s="36">
        <v>10</v>
      </c>
      <c r="P234" s="36">
        <f>4.24+15.71+247.3</f>
        <v>267.25</v>
      </c>
      <c r="Q234" s="36">
        <v>165.91</v>
      </c>
      <c r="R234" s="36">
        <v>104.78</v>
      </c>
      <c r="S234" s="36">
        <v>0</v>
      </c>
      <c r="T234" s="36">
        <v>5</v>
      </c>
      <c r="U234" s="36">
        <v>208</v>
      </c>
      <c r="V234" s="36">
        <v>0</v>
      </c>
      <c r="W234" s="36">
        <v>0</v>
      </c>
      <c r="X234" s="38">
        <f t="shared" si="54"/>
        <v>4705.87</v>
      </c>
      <c r="Y234" s="36">
        <v>314.64999999999998</v>
      </c>
      <c r="Z234" s="36">
        <v>0</v>
      </c>
      <c r="AA234" s="38">
        <f t="shared" si="55"/>
        <v>314.64999999999998</v>
      </c>
      <c r="AB234" s="36">
        <f>31.33+0.35</f>
        <v>31.68</v>
      </c>
      <c r="AC234" s="36">
        <v>0</v>
      </c>
      <c r="AD234" s="36">
        <f>18.98+5.72</f>
        <v>24.7</v>
      </c>
      <c r="AE234" s="36">
        <v>0</v>
      </c>
      <c r="AF234" s="38">
        <f t="shared" si="59"/>
        <v>56.379999999999995</v>
      </c>
      <c r="AG234" s="36">
        <v>884.32</v>
      </c>
      <c r="AH234" s="38">
        <f t="shared" si="57"/>
        <v>884.32</v>
      </c>
      <c r="AI234" s="38">
        <f t="shared" si="58"/>
        <v>6031.62</v>
      </c>
    </row>
    <row r="235" spans="1:35" ht="16.5">
      <c r="A235" s="124"/>
      <c r="B235" s="35">
        <v>44592</v>
      </c>
      <c r="C235" s="36">
        <v>21</v>
      </c>
      <c r="D235" s="39">
        <v>0</v>
      </c>
      <c r="E235" s="39">
        <v>3.43</v>
      </c>
      <c r="F235" s="39">
        <v>0</v>
      </c>
      <c r="G235" s="39">
        <v>0</v>
      </c>
      <c r="H235" s="39">
        <v>0</v>
      </c>
      <c r="I235" s="38">
        <f t="shared" si="53"/>
        <v>24.43</v>
      </c>
      <c r="J235" s="36">
        <v>82.5</v>
      </c>
      <c r="K235" s="36">
        <v>1</v>
      </c>
      <c r="L235" s="36">
        <v>627.49</v>
      </c>
      <c r="M235" s="36">
        <v>8292.3799999999992</v>
      </c>
      <c r="N235" s="36">
        <v>13.07</v>
      </c>
      <c r="O235" s="36">
        <v>6</v>
      </c>
      <c r="P235" s="36">
        <f>4.64+38.05+636.23</f>
        <v>678.92000000000007</v>
      </c>
      <c r="Q235" s="36">
        <v>191.51</v>
      </c>
      <c r="R235" s="36">
        <v>55.74</v>
      </c>
      <c r="S235" s="36">
        <v>0</v>
      </c>
      <c r="T235" s="36">
        <v>0</v>
      </c>
      <c r="U235" s="36">
        <v>3700.46</v>
      </c>
      <c r="V235" s="36">
        <v>0</v>
      </c>
      <c r="W235" s="36">
        <v>0</v>
      </c>
      <c r="X235" s="38">
        <f t="shared" si="54"/>
        <v>13649.07</v>
      </c>
      <c r="Y235" s="36">
        <v>763.55</v>
      </c>
      <c r="Z235" s="36">
        <v>0</v>
      </c>
      <c r="AA235" s="38">
        <f t="shared" si="55"/>
        <v>763.55</v>
      </c>
      <c r="AB235" s="36">
        <f>87.62+13.42</f>
        <v>101.04</v>
      </c>
      <c r="AC235" s="36">
        <v>0</v>
      </c>
      <c r="AD235" s="36">
        <f>47.43+16.38</f>
        <v>63.81</v>
      </c>
      <c r="AE235" s="36">
        <v>0</v>
      </c>
      <c r="AF235" s="38">
        <f t="shared" si="59"/>
        <v>164.85000000000002</v>
      </c>
      <c r="AG235" s="36">
        <v>1366.49</v>
      </c>
      <c r="AH235" s="38">
        <f t="shared" si="57"/>
        <v>1366.49</v>
      </c>
      <c r="AI235" s="38">
        <f t="shared" si="58"/>
        <v>15968.39</v>
      </c>
    </row>
    <row r="236" spans="1:35" ht="16.5">
      <c r="A236" s="124"/>
      <c r="B236" s="35"/>
      <c r="C236" s="36"/>
      <c r="D236" s="39"/>
      <c r="E236" s="39"/>
      <c r="F236" s="39"/>
      <c r="G236" s="39"/>
      <c r="H236" s="39"/>
      <c r="I236" s="38">
        <f t="shared" si="53"/>
        <v>0</v>
      </c>
      <c r="J236" s="36"/>
      <c r="K236" s="36"/>
      <c r="L236" s="36"/>
      <c r="M236" s="36"/>
      <c r="N236" s="36"/>
      <c r="O236" s="36"/>
      <c r="P236" s="36"/>
      <c r="Q236" s="36"/>
      <c r="R236" s="36"/>
      <c r="S236" s="36"/>
      <c r="T236" s="36"/>
      <c r="U236" s="36"/>
      <c r="V236" s="36"/>
      <c r="W236" s="36"/>
      <c r="X236" s="38">
        <f t="shared" si="54"/>
        <v>0</v>
      </c>
      <c r="Y236" s="36"/>
      <c r="Z236" s="36"/>
      <c r="AA236" s="38">
        <f t="shared" si="55"/>
        <v>0</v>
      </c>
      <c r="AB236" s="36"/>
      <c r="AC236" s="36"/>
      <c r="AD236" s="36"/>
      <c r="AE236" s="36"/>
      <c r="AF236" s="38">
        <f t="shared" si="59"/>
        <v>0</v>
      </c>
      <c r="AG236" s="36"/>
      <c r="AH236" s="38">
        <f t="shared" si="57"/>
        <v>0</v>
      </c>
      <c r="AI236" s="38">
        <f t="shared" si="58"/>
        <v>0</v>
      </c>
    </row>
    <row r="237" spans="1:35" ht="16.5">
      <c r="A237" s="124"/>
      <c r="B237" s="35"/>
      <c r="C237" s="36"/>
      <c r="D237" s="39"/>
      <c r="E237" s="39"/>
      <c r="F237" s="39"/>
      <c r="G237" s="39"/>
      <c r="H237" s="39"/>
      <c r="I237" s="38">
        <f t="shared" si="53"/>
        <v>0</v>
      </c>
      <c r="J237" s="36"/>
      <c r="K237" s="36"/>
      <c r="L237" s="36"/>
      <c r="M237" s="36"/>
      <c r="N237" s="36"/>
      <c r="O237" s="36"/>
      <c r="P237" s="36"/>
      <c r="Q237" s="36"/>
      <c r="R237" s="36"/>
      <c r="S237" s="36"/>
      <c r="T237" s="36"/>
      <c r="U237" s="36"/>
      <c r="V237" s="36"/>
      <c r="W237" s="36"/>
      <c r="X237" s="38">
        <f t="shared" si="54"/>
        <v>0</v>
      </c>
      <c r="Y237" s="36"/>
      <c r="Z237" s="36"/>
      <c r="AA237" s="38">
        <f t="shared" si="55"/>
        <v>0</v>
      </c>
      <c r="AB237" s="36"/>
      <c r="AC237" s="36"/>
      <c r="AD237" s="36"/>
      <c r="AE237" s="36"/>
      <c r="AF237" s="38">
        <f t="shared" si="59"/>
        <v>0</v>
      </c>
      <c r="AG237" s="36"/>
      <c r="AH237" s="38">
        <f t="shared" si="57"/>
        <v>0</v>
      </c>
      <c r="AI237" s="38">
        <f t="shared" si="58"/>
        <v>0</v>
      </c>
    </row>
    <row r="238" spans="1:35" ht="16.5">
      <c r="A238" s="124"/>
      <c r="B238" s="36"/>
      <c r="C238" s="36"/>
      <c r="D238" s="36"/>
      <c r="E238" s="36"/>
      <c r="F238" s="36"/>
      <c r="G238" s="36"/>
      <c r="H238" s="36"/>
      <c r="I238" s="36"/>
      <c r="J238" s="36"/>
      <c r="K238" s="36"/>
      <c r="L238" s="40"/>
      <c r="M238" s="40"/>
      <c r="N238" s="40"/>
      <c r="O238" s="40"/>
      <c r="P238" s="40"/>
      <c r="Q238" s="40"/>
      <c r="R238" s="40"/>
      <c r="S238" s="40"/>
      <c r="T238" s="40"/>
      <c r="U238" s="40"/>
      <c r="V238" s="40"/>
      <c r="W238" s="40"/>
      <c r="X238" s="40"/>
      <c r="Y238" s="40"/>
      <c r="Z238" s="40"/>
      <c r="AA238" s="40"/>
      <c r="AB238" s="40"/>
      <c r="AC238" s="40"/>
      <c r="AD238" s="40"/>
      <c r="AE238" s="40"/>
      <c r="AF238" s="40"/>
      <c r="AG238" s="40"/>
      <c r="AH238" s="40"/>
      <c r="AI238" s="40"/>
    </row>
    <row r="239" spans="1:35" ht="16.5">
      <c r="A239" s="124"/>
      <c r="B239" s="41"/>
      <c r="C239" s="36">
        <f>SUM(C215:C238)</f>
        <v>8306.1600000000017</v>
      </c>
      <c r="D239" s="36">
        <f t="shared" ref="D239:H239" si="60">SUM(D215:D238)</f>
        <v>1691.5</v>
      </c>
      <c r="E239" s="36">
        <f t="shared" si="60"/>
        <v>13.719999999999999</v>
      </c>
      <c r="F239" s="36">
        <f t="shared" si="60"/>
        <v>0</v>
      </c>
      <c r="G239" s="36">
        <f t="shared" si="60"/>
        <v>507.97</v>
      </c>
      <c r="H239" s="36">
        <f t="shared" si="60"/>
        <v>0</v>
      </c>
      <c r="I239" s="38">
        <f>SUM(I215:I238)</f>
        <v>10519.35</v>
      </c>
      <c r="J239" s="36">
        <f t="shared" ref="J239:AF239" si="61">SUM(J215:J238)</f>
        <v>1846.5</v>
      </c>
      <c r="K239" s="36">
        <f t="shared" si="61"/>
        <v>9</v>
      </c>
      <c r="L239" s="36">
        <f t="shared" si="61"/>
        <v>9039.4600000000009</v>
      </c>
      <c r="M239" s="36">
        <f t="shared" si="61"/>
        <v>43401.799999999996</v>
      </c>
      <c r="N239" s="36">
        <f t="shared" si="61"/>
        <v>213.57</v>
      </c>
      <c r="O239" s="36">
        <f t="shared" si="61"/>
        <v>214</v>
      </c>
      <c r="P239" s="36">
        <f t="shared" si="61"/>
        <v>9758.4500000000025</v>
      </c>
      <c r="Q239" s="36">
        <f t="shared" si="61"/>
        <v>6856.4699999999993</v>
      </c>
      <c r="R239" s="36">
        <f t="shared" si="61"/>
        <v>2294.08</v>
      </c>
      <c r="S239" s="36">
        <f t="shared" si="61"/>
        <v>46900</v>
      </c>
      <c r="T239" s="36">
        <f t="shared" si="61"/>
        <v>70</v>
      </c>
      <c r="U239" s="36">
        <f t="shared" si="61"/>
        <v>29982.66</v>
      </c>
      <c r="V239" s="36"/>
      <c r="W239" s="36">
        <f t="shared" si="61"/>
        <v>0</v>
      </c>
      <c r="X239" s="38">
        <f t="shared" si="61"/>
        <v>150585.99000000002</v>
      </c>
      <c r="Y239" s="36">
        <f t="shared" si="61"/>
        <v>8776.2999999999993</v>
      </c>
      <c r="Z239" s="36">
        <f t="shared" si="61"/>
        <v>0</v>
      </c>
      <c r="AA239" s="38">
        <f t="shared" si="61"/>
        <v>8776.2999999999993</v>
      </c>
      <c r="AB239" s="36">
        <f t="shared" si="61"/>
        <v>5237.4000000000015</v>
      </c>
      <c r="AC239" s="36">
        <f t="shared" si="61"/>
        <v>55.260000000000005</v>
      </c>
      <c r="AD239" s="36">
        <f t="shared" si="61"/>
        <v>3100.5500000000006</v>
      </c>
      <c r="AE239" s="36">
        <f t="shared" si="61"/>
        <v>0</v>
      </c>
      <c r="AF239" s="38">
        <f t="shared" si="61"/>
        <v>8393.2099999999991</v>
      </c>
      <c r="AG239" s="36">
        <f>SUM(AG215:AG238)</f>
        <v>45356.25</v>
      </c>
      <c r="AH239" s="38">
        <f>SUM(AH215:AH238)</f>
        <v>45356.25</v>
      </c>
      <c r="AI239" s="38">
        <f>SUM(AI215:AI238)</f>
        <v>223631.09999999998</v>
      </c>
    </row>
    <row r="240" spans="1:35" ht="16.5">
      <c r="A240" s="124"/>
      <c r="B240" s="42"/>
      <c r="C240" s="36"/>
      <c r="D240" s="36"/>
      <c r="E240" s="36"/>
      <c r="F240" s="36"/>
      <c r="G240" s="36"/>
      <c r="H240" s="36"/>
      <c r="I240" s="43"/>
      <c r="J240" s="36"/>
      <c r="K240" s="36"/>
      <c r="L240" s="36"/>
      <c r="M240" s="36"/>
      <c r="N240" s="36"/>
      <c r="O240" s="36"/>
      <c r="P240" s="36"/>
      <c r="Q240" s="36"/>
      <c r="R240" s="36"/>
      <c r="S240" s="36"/>
      <c r="T240" s="36"/>
      <c r="U240" s="36"/>
      <c r="V240" s="36"/>
      <c r="W240" s="36"/>
      <c r="X240" s="43"/>
      <c r="Y240" s="36"/>
      <c r="Z240" s="36"/>
      <c r="AA240" s="43"/>
      <c r="AB240" s="36"/>
      <c r="AC240" s="36"/>
      <c r="AD240" s="36"/>
      <c r="AE240" s="36"/>
      <c r="AF240" s="43"/>
      <c r="AG240" s="36"/>
      <c r="AH240" s="43" t="s">
        <v>175</v>
      </c>
      <c r="AI240" s="38">
        <v>0</v>
      </c>
    </row>
    <row r="241" spans="1:35" ht="16.5">
      <c r="A241" s="124"/>
      <c r="B241" s="42"/>
      <c r="C241" s="36"/>
      <c r="D241" s="36"/>
      <c r="E241" s="36"/>
      <c r="F241" s="36"/>
      <c r="G241" s="36"/>
      <c r="H241" s="36"/>
      <c r="I241" s="43"/>
      <c r="J241" s="36"/>
      <c r="K241" s="36"/>
      <c r="L241" s="36"/>
      <c r="M241" s="36"/>
      <c r="N241" s="36"/>
      <c r="O241" s="36"/>
      <c r="P241" s="36"/>
      <c r="Q241" s="36"/>
      <c r="R241" s="36"/>
      <c r="S241" s="36"/>
      <c r="T241" s="36"/>
      <c r="U241" s="36"/>
      <c r="V241" s="36"/>
      <c r="W241" s="36"/>
      <c r="X241" s="43"/>
      <c r="Y241" s="36"/>
      <c r="Z241" s="36"/>
      <c r="AA241" s="43"/>
      <c r="AB241" s="36"/>
      <c r="AC241" s="36"/>
      <c r="AD241" s="36"/>
      <c r="AE241" s="36"/>
      <c r="AF241" s="43"/>
      <c r="AG241" s="36"/>
      <c r="AH241" s="43" t="s">
        <v>139</v>
      </c>
      <c r="AI241" s="38">
        <v>0</v>
      </c>
    </row>
    <row r="242" spans="1:35" ht="22.5">
      <c r="A242" s="124"/>
      <c r="B242" s="142" t="s">
        <v>140</v>
      </c>
      <c r="C242" s="142"/>
      <c r="D242" s="142"/>
      <c r="E242" s="142"/>
      <c r="F242" s="142"/>
      <c r="G242" s="142"/>
      <c r="H242" s="142"/>
      <c r="I242" s="142"/>
      <c r="J242" s="142"/>
      <c r="K242" s="142"/>
      <c r="L242" s="142"/>
      <c r="M242" s="142"/>
      <c r="N242" s="142"/>
      <c r="O242" s="142"/>
      <c r="P242" s="142"/>
      <c r="Q242" s="34"/>
      <c r="R242" s="34"/>
      <c r="S242" s="34"/>
      <c r="T242" s="34"/>
      <c r="U242" s="34"/>
      <c r="V242" s="34"/>
      <c r="W242" s="34"/>
      <c r="X242" s="34"/>
      <c r="Y242" s="34"/>
      <c r="Z242" s="34"/>
      <c r="AA242" s="34"/>
      <c r="AB242" s="34"/>
      <c r="AC242" s="34"/>
      <c r="AD242" s="34"/>
      <c r="AE242" s="34"/>
      <c r="AF242" s="34"/>
      <c r="AG242" s="34"/>
      <c r="AH242" s="34"/>
      <c r="AI242" s="34"/>
    </row>
    <row r="243" spans="1:35" ht="22.5">
      <c r="A243" s="124"/>
      <c r="B243" s="142" t="s">
        <v>176</v>
      </c>
      <c r="C243" s="142"/>
      <c r="D243" s="142"/>
      <c r="E243" s="142"/>
      <c r="F243" s="142"/>
      <c r="G243" s="142"/>
      <c r="H243" s="142"/>
      <c r="I243" s="142"/>
      <c r="J243" s="142"/>
      <c r="K243" s="142"/>
      <c r="L243" s="142"/>
      <c r="M243" s="142"/>
      <c r="N243" s="142"/>
      <c r="O243" s="142"/>
      <c r="P243" s="142"/>
      <c r="Q243" s="99"/>
      <c r="R243" s="99"/>
      <c r="S243" s="99"/>
      <c r="T243" s="99"/>
      <c r="U243" s="99"/>
      <c r="V243" s="99"/>
      <c r="W243" s="99"/>
      <c r="X243" s="99"/>
      <c r="Y243" s="99"/>
      <c r="Z243" s="99"/>
      <c r="AA243" s="99"/>
      <c r="AB243" s="99"/>
      <c r="AC243" s="99"/>
      <c r="AD243" s="99"/>
      <c r="AE243" s="99"/>
      <c r="AF243" s="99"/>
      <c r="AG243" s="99"/>
      <c r="AH243" s="99"/>
      <c r="AI243" s="99"/>
    </row>
    <row r="244" spans="1:35" ht="16.5">
      <c r="A244" s="124"/>
      <c r="B244" s="143" t="s">
        <v>177</v>
      </c>
      <c r="C244" s="102">
        <v>11801</v>
      </c>
      <c r="D244" s="102">
        <v>11803</v>
      </c>
      <c r="E244" s="102">
        <v>11818</v>
      </c>
      <c r="F244" s="102">
        <v>11802</v>
      </c>
      <c r="G244" s="102">
        <v>11804</v>
      </c>
      <c r="H244" s="102"/>
      <c r="I244" s="102">
        <v>21310001</v>
      </c>
      <c r="J244" s="102">
        <v>12105</v>
      </c>
      <c r="K244" s="102">
        <v>12106</v>
      </c>
      <c r="L244" s="102">
        <v>12108</v>
      </c>
      <c r="M244" s="102">
        <v>12109</v>
      </c>
      <c r="N244" s="102">
        <v>12199</v>
      </c>
      <c r="O244" s="102">
        <v>12111</v>
      </c>
      <c r="P244" s="102">
        <v>12114</v>
      </c>
      <c r="Q244" s="102">
        <v>12115</v>
      </c>
      <c r="R244" s="102">
        <v>12117</v>
      </c>
      <c r="S244" s="102">
        <v>12118</v>
      </c>
      <c r="T244" s="102">
        <v>12119</v>
      </c>
      <c r="U244" s="102">
        <v>12210</v>
      </c>
      <c r="V244" s="102"/>
      <c r="W244" s="102"/>
      <c r="X244" s="102">
        <v>21312001</v>
      </c>
      <c r="Y244" s="102">
        <v>14201</v>
      </c>
      <c r="Z244" s="102"/>
      <c r="AA244" s="102">
        <v>21314001</v>
      </c>
      <c r="AB244" s="102">
        <v>15302</v>
      </c>
      <c r="AC244" s="102">
        <v>15312</v>
      </c>
      <c r="AD244" s="102">
        <v>15314</v>
      </c>
      <c r="AE244" s="102"/>
      <c r="AF244" s="102">
        <v>21315001</v>
      </c>
      <c r="AG244" s="102">
        <v>32299</v>
      </c>
      <c r="AH244" s="103"/>
      <c r="AI244" s="103"/>
    </row>
    <row r="245" spans="1:35" ht="93.75" customHeight="1">
      <c r="A245" s="124"/>
      <c r="B245" s="143"/>
      <c r="C245" s="104" t="s">
        <v>143</v>
      </c>
      <c r="D245" s="104" t="s">
        <v>144</v>
      </c>
      <c r="E245" s="104" t="s">
        <v>145</v>
      </c>
      <c r="F245" s="104" t="s">
        <v>146</v>
      </c>
      <c r="G245" s="104" t="s">
        <v>147</v>
      </c>
      <c r="H245" s="104" t="s">
        <v>148</v>
      </c>
      <c r="I245" s="104" t="s">
        <v>149</v>
      </c>
      <c r="J245" s="104" t="s">
        <v>150</v>
      </c>
      <c r="K245" s="104" t="s">
        <v>151</v>
      </c>
      <c r="L245" s="104" t="s">
        <v>152</v>
      </c>
      <c r="M245" s="104" t="s">
        <v>153</v>
      </c>
      <c r="N245" s="104" t="s">
        <v>154</v>
      </c>
      <c r="O245" s="104" t="s">
        <v>155</v>
      </c>
      <c r="P245" s="104" t="s">
        <v>156</v>
      </c>
      <c r="Q245" s="104" t="s">
        <v>157</v>
      </c>
      <c r="R245" s="104" t="s">
        <v>158</v>
      </c>
      <c r="S245" s="104" t="s">
        <v>159</v>
      </c>
      <c r="T245" s="104" t="s">
        <v>160</v>
      </c>
      <c r="U245" s="104" t="s">
        <v>161</v>
      </c>
      <c r="V245" s="104"/>
      <c r="W245" s="104" t="s">
        <v>162</v>
      </c>
      <c r="X245" s="104" t="s">
        <v>163</v>
      </c>
      <c r="Y245" s="104" t="s">
        <v>164</v>
      </c>
      <c r="Z245" s="104" t="s">
        <v>165</v>
      </c>
      <c r="AA245" s="104" t="s">
        <v>166</v>
      </c>
      <c r="AB245" s="104" t="s">
        <v>167</v>
      </c>
      <c r="AC245" s="104" t="s">
        <v>168</v>
      </c>
      <c r="AD245" s="104" t="s">
        <v>169</v>
      </c>
      <c r="AE245" s="104" t="s">
        <v>170</v>
      </c>
      <c r="AF245" s="104" t="s">
        <v>171</v>
      </c>
      <c r="AG245" s="104" t="s">
        <v>172</v>
      </c>
      <c r="AH245" s="104" t="s">
        <v>173</v>
      </c>
      <c r="AI245" s="104" t="s">
        <v>174</v>
      </c>
    </row>
    <row r="246" spans="1:35">
      <c r="A246" s="124"/>
      <c r="B246" s="12"/>
      <c r="C246" s="12"/>
      <c r="D246" s="12"/>
      <c r="E246" s="12"/>
      <c r="F246" s="12"/>
      <c r="G246" s="12"/>
      <c r="H246" s="12"/>
      <c r="I246" s="12"/>
      <c r="J246" s="12"/>
      <c r="K246" s="12"/>
      <c r="L246" s="12"/>
      <c r="M246" s="12"/>
      <c r="N246" s="12"/>
      <c r="O246" s="12"/>
      <c r="P246" s="12"/>
      <c r="Q246" s="12"/>
      <c r="R246" s="12"/>
      <c r="S246" s="12"/>
      <c r="T246" s="12"/>
      <c r="U246" s="12"/>
      <c r="V246" s="12"/>
      <c r="W246" s="12"/>
      <c r="X246" s="12"/>
      <c r="Y246" s="12"/>
      <c r="Z246" s="12"/>
      <c r="AA246" s="12"/>
      <c r="AB246" s="12"/>
      <c r="AC246" s="12"/>
      <c r="AD246" s="12"/>
      <c r="AE246" s="12"/>
      <c r="AF246" s="12"/>
      <c r="AG246" s="12"/>
      <c r="AH246" s="12"/>
      <c r="AI246" s="12"/>
    </row>
    <row r="247" spans="1:35" ht="16.5">
      <c r="A247" s="124"/>
      <c r="B247" s="35">
        <v>44593</v>
      </c>
      <c r="C247" s="36">
        <v>199</v>
      </c>
      <c r="D247" s="37">
        <v>0</v>
      </c>
      <c r="E247" s="37">
        <v>0</v>
      </c>
      <c r="F247" s="37">
        <v>0</v>
      </c>
      <c r="G247" s="37">
        <v>0</v>
      </c>
      <c r="H247" s="37">
        <v>0</v>
      </c>
      <c r="I247" s="38">
        <f>SUM(C247:H247)</f>
        <v>199</v>
      </c>
      <c r="J247" s="36">
        <v>67</v>
      </c>
      <c r="K247" s="36">
        <v>0</v>
      </c>
      <c r="L247" s="36">
        <v>199.9</v>
      </c>
      <c r="M247" s="36">
        <v>1457.51</v>
      </c>
      <c r="N247" s="36">
        <v>2.27</v>
      </c>
      <c r="O247" s="36">
        <v>6</v>
      </c>
      <c r="P247" s="36">
        <f>17.93+21.84+131.55</f>
        <v>171.32</v>
      </c>
      <c r="Q247" s="36">
        <v>39</v>
      </c>
      <c r="R247" s="36">
        <v>88.77</v>
      </c>
      <c r="S247" s="36">
        <v>0</v>
      </c>
      <c r="T247" s="36">
        <v>2.5</v>
      </c>
      <c r="U247" s="36">
        <v>381.72</v>
      </c>
      <c r="V247" s="36">
        <v>282.81</v>
      </c>
      <c r="W247" s="36">
        <v>0</v>
      </c>
      <c r="X247" s="38">
        <f>SUM(J247:W247)</f>
        <v>2698.7999999999997</v>
      </c>
      <c r="Y247" s="36">
        <v>438.8</v>
      </c>
      <c r="Z247" s="36">
        <v>0</v>
      </c>
      <c r="AA247" s="38">
        <f>SUM(Y247:Z247)</f>
        <v>438.8</v>
      </c>
      <c r="AB247" s="36">
        <f>40.16+12.17</f>
        <v>52.33</v>
      </c>
      <c r="AC247" s="36">
        <v>0</v>
      </c>
      <c r="AD247" s="36">
        <f>20.72+19.1</f>
        <v>39.82</v>
      </c>
      <c r="AE247" s="36">
        <v>0</v>
      </c>
      <c r="AF247" s="38">
        <f>SUM(AB247:AE247)</f>
        <v>92.15</v>
      </c>
      <c r="AG247" s="36">
        <v>350.55</v>
      </c>
      <c r="AH247" s="38">
        <f>SUM(AG247)</f>
        <v>350.55</v>
      </c>
      <c r="AI247" s="38">
        <f>+AH247+AF247+AA247+I247+X247</f>
        <v>3779.2999999999997</v>
      </c>
    </row>
    <row r="248" spans="1:35" ht="16.5">
      <c r="A248" s="124"/>
      <c r="B248" s="35">
        <v>44594</v>
      </c>
      <c r="C248" s="36">
        <v>220.2</v>
      </c>
      <c r="D248" s="37">
        <v>0</v>
      </c>
      <c r="E248" s="37">
        <v>0</v>
      </c>
      <c r="F248" s="37">
        <v>0</v>
      </c>
      <c r="G248" s="37">
        <v>0</v>
      </c>
      <c r="H248" s="37">
        <v>0</v>
      </c>
      <c r="I248" s="38">
        <f t="shared" ref="I248:I270" si="62">SUM(C248:H248)</f>
        <v>220.2</v>
      </c>
      <c r="J248" s="36">
        <v>52</v>
      </c>
      <c r="K248" s="36">
        <v>0</v>
      </c>
      <c r="L248" s="36">
        <v>81.89</v>
      </c>
      <c r="M248" s="36">
        <v>1624.58</v>
      </c>
      <c r="N248" s="36">
        <v>4.8899999999999997</v>
      </c>
      <c r="O248" s="36">
        <v>6</v>
      </c>
      <c r="P248" s="36">
        <f>2.9+7.08+151.49</f>
        <v>161.47</v>
      </c>
      <c r="Q248" s="36">
        <v>0</v>
      </c>
      <c r="R248" s="36">
        <v>46.28</v>
      </c>
      <c r="S248" s="36">
        <v>0</v>
      </c>
      <c r="T248" s="36">
        <v>0</v>
      </c>
      <c r="U248" s="36">
        <v>86.65</v>
      </c>
      <c r="V248" s="36">
        <v>0</v>
      </c>
      <c r="W248" s="36">
        <v>0</v>
      </c>
      <c r="X248" s="38">
        <f t="shared" ref="X248:X270" si="63">SUM(J248:W248)</f>
        <v>2063.7599999999998</v>
      </c>
      <c r="Y248" s="36">
        <v>142.75</v>
      </c>
      <c r="Z248" s="36">
        <v>0</v>
      </c>
      <c r="AA248" s="38">
        <f t="shared" ref="AA248:AA270" si="64">SUM(Y248:Z248)</f>
        <v>142.75</v>
      </c>
      <c r="AB248" s="36">
        <f>191.96+0.48</f>
        <v>192.44</v>
      </c>
      <c r="AC248" s="36">
        <v>0</v>
      </c>
      <c r="AD248" s="36">
        <f>88.87+5.72</f>
        <v>94.59</v>
      </c>
      <c r="AE248" s="36">
        <v>0</v>
      </c>
      <c r="AF248" s="38">
        <f t="shared" ref="AF248:AF270" si="65">SUM(AB248:AE248)</f>
        <v>287.02999999999997</v>
      </c>
      <c r="AG248" s="36">
        <v>982.9</v>
      </c>
      <c r="AH248" s="38">
        <f t="shared" ref="AH248:AH270" si="66">SUM(AG248)</f>
        <v>982.9</v>
      </c>
      <c r="AI248" s="38">
        <f t="shared" ref="AI248:AI270" si="67">+AH248+AF248+AA248+I248+X248</f>
        <v>3696.6399999999994</v>
      </c>
    </row>
    <row r="249" spans="1:35" ht="16.5">
      <c r="A249" s="124"/>
      <c r="B249" s="35">
        <v>44595</v>
      </c>
      <c r="C249" s="36">
        <v>213.6</v>
      </c>
      <c r="D249" s="37">
        <v>0</v>
      </c>
      <c r="E249" s="37">
        <v>0</v>
      </c>
      <c r="F249" s="37">
        <v>0</v>
      </c>
      <c r="G249" s="37">
        <v>0</v>
      </c>
      <c r="H249" s="37">
        <v>0</v>
      </c>
      <c r="I249" s="38">
        <f t="shared" si="62"/>
        <v>213.6</v>
      </c>
      <c r="J249" s="36">
        <v>85.5</v>
      </c>
      <c r="K249" s="36">
        <v>0</v>
      </c>
      <c r="L249" s="36">
        <v>124.98</v>
      </c>
      <c r="M249" s="36">
        <v>359.89</v>
      </c>
      <c r="N249" s="36">
        <v>13.24</v>
      </c>
      <c r="O249" s="36">
        <v>0</v>
      </c>
      <c r="P249" s="36">
        <f>19.12+3.64+81.06</f>
        <v>103.82000000000001</v>
      </c>
      <c r="Q249" s="36">
        <v>251.13</v>
      </c>
      <c r="R249" s="36">
        <v>36.83</v>
      </c>
      <c r="S249" s="36">
        <v>0</v>
      </c>
      <c r="T249" s="36">
        <v>7.5</v>
      </c>
      <c r="U249" s="36">
        <v>173</v>
      </c>
      <c r="V249" s="36">
        <v>996.42</v>
      </c>
      <c r="W249" s="36">
        <v>0</v>
      </c>
      <c r="X249" s="38">
        <f t="shared" si="63"/>
        <v>2152.31</v>
      </c>
      <c r="Y249" s="36">
        <v>72.95</v>
      </c>
      <c r="Z249" s="36">
        <v>0</v>
      </c>
      <c r="AA249" s="38">
        <f t="shared" si="64"/>
        <v>72.95</v>
      </c>
      <c r="AB249" s="36">
        <f>156.07+0.59</f>
        <v>156.66</v>
      </c>
      <c r="AC249" s="36">
        <v>0</v>
      </c>
      <c r="AD249" s="36">
        <f>69.24+8.58</f>
        <v>77.819999999999993</v>
      </c>
      <c r="AE249" s="36">
        <v>0</v>
      </c>
      <c r="AF249" s="38">
        <f t="shared" si="65"/>
        <v>234.48</v>
      </c>
      <c r="AG249" s="36">
        <v>716.48</v>
      </c>
      <c r="AH249" s="38">
        <f t="shared" si="66"/>
        <v>716.48</v>
      </c>
      <c r="AI249" s="38">
        <f t="shared" si="67"/>
        <v>3389.8199999999997</v>
      </c>
    </row>
    <row r="250" spans="1:35" ht="16.5">
      <c r="A250" s="124"/>
      <c r="B250" s="35">
        <v>44596</v>
      </c>
      <c r="C250" s="36">
        <v>386.64</v>
      </c>
      <c r="D250" s="37">
        <v>0</v>
      </c>
      <c r="E250" s="37">
        <v>0</v>
      </c>
      <c r="F250" s="37">
        <v>0</v>
      </c>
      <c r="G250" s="37">
        <v>0</v>
      </c>
      <c r="H250" s="37">
        <v>0</v>
      </c>
      <c r="I250" s="38">
        <f t="shared" si="62"/>
        <v>386.64</v>
      </c>
      <c r="J250" s="36">
        <v>43</v>
      </c>
      <c r="K250" s="36">
        <v>0</v>
      </c>
      <c r="L250" s="36">
        <v>351.87</v>
      </c>
      <c r="M250" s="36">
        <v>835.54</v>
      </c>
      <c r="N250" s="36">
        <v>4.7699999999999996</v>
      </c>
      <c r="O250" s="36">
        <v>0</v>
      </c>
      <c r="P250" s="36">
        <f>9.59+7.91+315.61</f>
        <v>333.11</v>
      </c>
      <c r="Q250" s="36">
        <v>0</v>
      </c>
      <c r="R250" s="36">
        <v>134.46</v>
      </c>
      <c r="S250" s="36">
        <v>0</v>
      </c>
      <c r="T250" s="36">
        <v>0</v>
      </c>
      <c r="U250" s="36">
        <v>3354.76</v>
      </c>
      <c r="V250" s="36">
        <v>151.83000000000001</v>
      </c>
      <c r="W250" s="36">
        <v>0</v>
      </c>
      <c r="X250" s="38">
        <f t="shared" si="63"/>
        <v>5209.34</v>
      </c>
      <c r="Y250" s="36">
        <v>158.03</v>
      </c>
      <c r="Z250" s="36">
        <v>0</v>
      </c>
      <c r="AA250" s="38">
        <f t="shared" si="64"/>
        <v>158.03</v>
      </c>
      <c r="AB250" s="36">
        <f>211.32+11.69</f>
        <v>223.01</v>
      </c>
      <c r="AC250" s="36">
        <v>0</v>
      </c>
      <c r="AD250" s="36">
        <f>125.81+14.15</f>
        <v>139.96</v>
      </c>
      <c r="AE250" s="36">
        <v>0</v>
      </c>
      <c r="AF250" s="38">
        <f t="shared" si="65"/>
        <v>362.97</v>
      </c>
      <c r="AG250" s="36">
        <v>1344.61</v>
      </c>
      <c r="AH250" s="38">
        <f t="shared" si="66"/>
        <v>1344.61</v>
      </c>
      <c r="AI250" s="38">
        <f t="shared" si="67"/>
        <v>7461.59</v>
      </c>
    </row>
    <row r="251" spans="1:35" ht="16.5">
      <c r="A251" s="124"/>
      <c r="B251" s="35">
        <v>44599</v>
      </c>
      <c r="C251" s="36">
        <v>102</v>
      </c>
      <c r="D251" s="37">
        <v>0</v>
      </c>
      <c r="E251" s="37">
        <v>10.29</v>
      </c>
      <c r="F251" s="37">
        <v>106.56</v>
      </c>
      <c r="G251" s="37">
        <v>0</v>
      </c>
      <c r="H251" s="37">
        <v>0</v>
      </c>
      <c r="I251" s="38">
        <f t="shared" si="62"/>
        <v>218.85</v>
      </c>
      <c r="J251" s="36">
        <f>79.5+3</f>
        <v>82.5</v>
      </c>
      <c r="K251" s="36">
        <v>0</v>
      </c>
      <c r="L251" s="36">
        <v>184.09</v>
      </c>
      <c r="M251" s="36">
        <v>993.57</v>
      </c>
      <c r="N251" s="36">
        <v>1.07</v>
      </c>
      <c r="O251" s="36">
        <v>92</v>
      </c>
      <c r="P251" s="36">
        <f>4.58+7.65+181.24</f>
        <v>193.47</v>
      </c>
      <c r="Q251" s="36">
        <v>340.76</v>
      </c>
      <c r="R251" s="36">
        <v>59.61</v>
      </c>
      <c r="S251" s="36">
        <v>0</v>
      </c>
      <c r="T251" s="36">
        <v>0</v>
      </c>
      <c r="U251" s="36">
        <v>203.94</v>
      </c>
      <c r="V251" s="36">
        <v>0</v>
      </c>
      <c r="W251" s="36">
        <v>0</v>
      </c>
      <c r="X251" s="38">
        <f t="shared" si="63"/>
        <v>2151.0099999999998</v>
      </c>
      <c r="Y251" s="36">
        <v>153.9</v>
      </c>
      <c r="Z251" s="36">
        <v>0</v>
      </c>
      <c r="AA251" s="38">
        <f t="shared" si="64"/>
        <v>153.9</v>
      </c>
      <c r="AB251" s="36">
        <f>362.56+1.36</f>
        <v>363.92</v>
      </c>
      <c r="AC251" s="36">
        <v>0</v>
      </c>
      <c r="AD251" s="36">
        <f>183.39+8.58</f>
        <v>191.97</v>
      </c>
      <c r="AE251" s="36">
        <v>0</v>
      </c>
      <c r="AF251" s="38">
        <f t="shared" si="65"/>
        <v>555.89</v>
      </c>
      <c r="AG251" s="36">
        <v>1886.79</v>
      </c>
      <c r="AH251" s="38">
        <f t="shared" si="66"/>
        <v>1886.79</v>
      </c>
      <c r="AI251" s="38">
        <f t="shared" si="67"/>
        <v>4966.4399999999996</v>
      </c>
    </row>
    <row r="252" spans="1:35" ht="16.5">
      <c r="A252" s="124"/>
      <c r="B252" s="35">
        <v>44600</v>
      </c>
      <c r="C252" s="37">
        <v>46</v>
      </c>
      <c r="D252" s="37">
        <v>0</v>
      </c>
      <c r="E252" s="37">
        <v>0</v>
      </c>
      <c r="F252" s="37">
        <v>0</v>
      </c>
      <c r="G252" s="37">
        <v>0</v>
      </c>
      <c r="H252" s="37">
        <v>0</v>
      </c>
      <c r="I252" s="38">
        <f t="shared" si="62"/>
        <v>46</v>
      </c>
      <c r="J252" s="36">
        <v>34.5</v>
      </c>
      <c r="K252" s="36">
        <v>0</v>
      </c>
      <c r="L252" s="36">
        <v>330.13</v>
      </c>
      <c r="M252" s="36">
        <v>426.73</v>
      </c>
      <c r="N252" s="36">
        <v>19.489999999999998</v>
      </c>
      <c r="O252" s="36">
        <v>6</v>
      </c>
      <c r="P252" s="36">
        <f>2.16+2.77+52.51</f>
        <v>57.44</v>
      </c>
      <c r="Q252" s="36">
        <v>0</v>
      </c>
      <c r="R252" s="36">
        <v>58.72</v>
      </c>
      <c r="S252" s="36">
        <v>0</v>
      </c>
      <c r="T252" s="36">
        <v>2.5</v>
      </c>
      <c r="U252" s="36">
        <v>114</v>
      </c>
      <c r="V252" s="36">
        <v>0</v>
      </c>
      <c r="W252" s="36"/>
      <c r="X252" s="38">
        <f t="shared" si="63"/>
        <v>1049.51</v>
      </c>
      <c r="Y252" s="36">
        <v>55.7</v>
      </c>
      <c r="Z252" s="36">
        <v>0</v>
      </c>
      <c r="AA252" s="38">
        <f t="shared" si="64"/>
        <v>55.7</v>
      </c>
      <c r="AB252" s="36">
        <f>9.36+0.02</f>
        <v>9.379999999999999</v>
      </c>
      <c r="AC252" s="36">
        <v>0</v>
      </c>
      <c r="AD252" s="36">
        <v>8.92</v>
      </c>
      <c r="AE252" s="36">
        <v>0</v>
      </c>
      <c r="AF252" s="38">
        <f t="shared" si="65"/>
        <v>18.299999999999997</v>
      </c>
      <c r="AG252" s="36">
        <v>68.489999999999995</v>
      </c>
      <c r="AH252" s="38">
        <f t="shared" si="66"/>
        <v>68.489999999999995</v>
      </c>
      <c r="AI252" s="38">
        <f t="shared" si="67"/>
        <v>1238</v>
      </c>
    </row>
    <row r="253" spans="1:35" ht="16.5">
      <c r="A253" s="124"/>
      <c r="B253" s="35">
        <v>44601</v>
      </c>
      <c r="C253" s="36">
        <v>295</v>
      </c>
      <c r="D253" s="39">
        <v>0</v>
      </c>
      <c r="E253" s="39">
        <v>0</v>
      </c>
      <c r="F253" s="39">
        <v>25</v>
      </c>
      <c r="G253" s="39">
        <v>72.5</v>
      </c>
      <c r="H253" s="39">
        <v>0</v>
      </c>
      <c r="I253" s="38">
        <f t="shared" si="62"/>
        <v>392.5</v>
      </c>
      <c r="J253" s="36">
        <v>48</v>
      </c>
      <c r="K253" s="36">
        <v>0</v>
      </c>
      <c r="L253" s="36">
        <v>108.43</v>
      </c>
      <c r="M253" s="36">
        <v>637.14</v>
      </c>
      <c r="N253" s="36">
        <v>3.89</v>
      </c>
      <c r="O253" s="36">
        <v>6</v>
      </c>
      <c r="P253" s="36">
        <f>22.96+1.22+76.95</f>
        <v>101.13</v>
      </c>
      <c r="Q253" s="36">
        <v>721.16</v>
      </c>
      <c r="R253" s="36">
        <v>16.72</v>
      </c>
      <c r="S253" s="36">
        <v>0</v>
      </c>
      <c r="T253" s="36">
        <v>2.5</v>
      </c>
      <c r="U253" s="36">
        <v>97</v>
      </c>
      <c r="V253" s="36">
        <v>402.43</v>
      </c>
      <c r="W253" s="36">
        <v>0</v>
      </c>
      <c r="X253" s="38">
        <f t="shared" si="63"/>
        <v>2144.4</v>
      </c>
      <c r="Y253" s="36">
        <v>24.5</v>
      </c>
      <c r="Z253" s="36">
        <v>0</v>
      </c>
      <c r="AA253" s="38">
        <f t="shared" si="64"/>
        <v>24.5</v>
      </c>
      <c r="AB253" s="36">
        <f>10.78+0.03</f>
        <v>10.809999999999999</v>
      </c>
      <c r="AC253" s="36">
        <v>5.71</v>
      </c>
      <c r="AD253" s="36">
        <v>5.74</v>
      </c>
      <c r="AE253" s="36">
        <v>0</v>
      </c>
      <c r="AF253" s="38">
        <f t="shared" si="65"/>
        <v>22.259999999999998</v>
      </c>
      <c r="AG253" s="36">
        <v>119.62</v>
      </c>
      <c r="AH253" s="38">
        <f t="shared" si="66"/>
        <v>119.62</v>
      </c>
      <c r="AI253" s="38">
        <f t="shared" si="67"/>
        <v>2703.28</v>
      </c>
    </row>
    <row r="254" spans="1:35" ht="16.5">
      <c r="A254" s="124"/>
      <c r="B254" s="35">
        <v>44602</v>
      </c>
      <c r="C254" s="36">
        <v>88</v>
      </c>
      <c r="D254" s="39">
        <v>0</v>
      </c>
      <c r="E254" s="39">
        <v>0</v>
      </c>
      <c r="F254" s="39">
        <v>0</v>
      </c>
      <c r="G254" s="39">
        <v>0</v>
      </c>
      <c r="H254" s="39">
        <v>0</v>
      </c>
      <c r="I254" s="38">
        <f t="shared" si="62"/>
        <v>88</v>
      </c>
      <c r="J254" s="36">
        <v>51.5</v>
      </c>
      <c r="K254" s="36">
        <v>0</v>
      </c>
      <c r="L254" s="36">
        <v>448.79</v>
      </c>
      <c r="M254" s="36">
        <v>2661.89</v>
      </c>
      <c r="N254" s="36">
        <v>0.47</v>
      </c>
      <c r="O254" s="36">
        <v>6</v>
      </c>
      <c r="P254" s="36">
        <f>70.38+9+243.89</f>
        <v>323.27</v>
      </c>
      <c r="Q254" s="36">
        <v>224.45</v>
      </c>
      <c r="R254" s="36">
        <v>125.58</v>
      </c>
      <c r="S254" s="36">
        <v>0</v>
      </c>
      <c r="T254" s="36">
        <v>5.5</v>
      </c>
      <c r="U254" s="36">
        <v>1239.8699999999999</v>
      </c>
      <c r="V254" s="36">
        <v>1344.3</v>
      </c>
      <c r="W254" s="36">
        <v>0</v>
      </c>
      <c r="X254" s="38">
        <f t="shared" si="63"/>
        <v>6431.62</v>
      </c>
      <c r="Y254" s="36">
        <v>181.65</v>
      </c>
      <c r="Z254" s="36">
        <v>0</v>
      </c>
      <c r="AA254" s="38">
        <f t="shared" si="64"/>
        <v>181.65</v>
      </c>
      <c r="AB254" s="36">
        <f>28.02+0.28</f>
        <v>28.3</v>
      </c>
      <c r="AC254" s="36">
        <v>0</v>
      </c>
      <c r="AD254" s="36">
        <f>16.76+5.72</f>
        <v>22.48</v>
      </c>
      <c r="AE254" s="36">
        <v>0</v>
      </c>
      <c r="AF254" s="38">
        <f t="shared" si="65"/>
        <v>50.78</v>
      </c>
      <c r="AG254" s="36">
        <v>548.76</v>
      </c>
      <c r="AH254" s="38">
        <f t="shared" si="66"/>
        <v>548.76</v>
      </c>
      <c r="AI254" s="38">
        <f t="shared" si="67"/>
        <v>7300.8099999999995</v>
      </c>
    </row>
    <row r="255" spans="1:35" ht="16.5">
      <c r="A255" s="124"/>
      <c r="B255" s="35">
        <v>44603</v>
      </c>
      <c r="C255" s="36">
        <v>208.18</v>
      </c>
      <c r="D255" s="39">
        <v>0</v>
      </c>
      <c r="E255" s="39">
        <v>0</v>
      </c>
      <c r="F255" s="39">
        <v>0</v>
      </c>
      <c r="G255" s="39">
        <v>0</v>
      </c>
      <c r="H255" s="39">
        <v>0</v>
      </c>
      <c r="I255" s="38">
        <f t="shared" si="62"/>
        <v>208.18</v>
      </c>
      <c r="J255" s="36">
        <v>61.5</v>
      </c>
      <c r="K255" s="36">
        <v>1</v>
      </c>
      <c r="L255" s="36">
        <v>285.63</v>
      </c>
      <c r="M255" s="36">
        <v>625.67999999999995</v>
      </c>
      <c r="N255" s="36">
        <v>2.83</v>
      </c>
      <c r="O255" s="36">
        <v>0</v>
      </c>
      <c r="P255" s="36">
        <f>16.83+15.72+71.57</f>
        <v>104.11999999999999</v>
      </c>
      <c r="Q255" s="36">
        <v>143.6</v>
      </c>
      <c r="R255" s="36">
        <v>60.17</v>
      </c>
      <c r="S255" s="36">
        <v>0</v>
      </c>
      <c r="T255" s="36">
        <v>0</v>
      </c>
      <c r="U255" s="36">
        <v>66</v>
      </c>
      <c r="V255" s="36">
        <v>274</v>
      </c>
      <c r="W255" s="36">
        <v>0</v>
      </c>
      <c r="X255" s="38">
        <f t="shared" si="63"/>
        <v>1624.53</v>
      </c>
      <c r="Y255" s="36">
        <v>316.10000000000002</v>
      </c>
      <c r="Z255" s="36">
        <v>0</v>
      </c>
      <c r="AA255" s="38">
        <f t="shared" si="64"/>
        <v>316.10000000000002</v>
      </c>
      <c r="AB255" s="36">
        <v>1.25</v>
      </c>
      <c r="AC255" s="36">
        <v>0</v>
      </c>
      <c r="AD255" s="36">
        <v>2.86</v>
      </c>
      <c r="AE255" s="36">
        <v>0</v>
      </c>
      <c r="AF255" s="38">
        <f t="shared" si="65"/>
        <v>4.1099999999999994</v>
      </c>
      <c r="AG255" s="36">
        <v>295.54000000000002</v>
      </c>
      <c r="AH255" s="38">
        <f t="shared" si="66"/>
        <v>295.54000000000002</v>
      </c>
      <c r="AI255" s="38">
        <f t="shared" si="67"/>
        <v>2448.46</v>
      </c>
    </row>
    <row r="256" spans="1:35" ht="16.5">
      <c r="A256" s="124"/>
      <c r="B256" s="35">
        <v>44606</v>
      </c>
      <c r="C256" s="36">
        <v>461.06</v>
      </c>
      <c r="D256" s="37">
        <v>0</v>
      </c>
      <c r="E256" s="37">
        <v>0</v>
      </c>
      <c r="F256" s="37">
        <v>0</v>
      </c>
      <c r="G256" s="37">
        <v>56.82</v>
      </c>
      <c r="H256" s="37">
        <v>0</v>
      </c>
      <c r="I256" s="38">
        <f t="shared" si="62"/>
        <v>517.88</v>
      </c>
      <c r="J256" s="36">
        <v>65</v>
      </c>
      <c r="K256" s="36">
        <v>0</v>
      </c>
      <c r="L256" s="36">
        <v>317.39</v>
      </c>
      <c r="M256" s="36">
        <v>1416.89</v>
      </c>
      <c r="N256" s="36">
        <v>3.91</v>
      </c>
      <c r="O256" s="36">
        <v>0</v>
      </c>
      <c r="P256" s="36">
        <f>9.63+42.02+130.71</f>
        <v>182.36</v>
      </c>
      <c r="Q256" s="36">
        <v>142.65</v>
      </c>
      <c r="R256" s="36">
        <v>68.180000000000007</v>
      </c>
      <c r="S256" s="36">
        <v>0</v>
      </c>
      <c r="T256" s="36">
        <v>10</v>
      </c>
      <c r="U256" s="36">
        <v>100</v>
      </c>
      <c r="V256" s="36">
        <v>1936.72</v>
      </c>
      <c r="W256" s="36">
        <v>0</v>
      </c>
      <c r="X256" s="38">
        <f t="shared" si="63"/>
        <v>4243.1000000000004</v>
      </c>
      <c r="Y256" s="36">
        <v>843.7</v>
      </c>
      <c r="Z256" s="36">
        <v>0</v>
      </c>
      <c r="AA256" s="38">
        <f t="shared" si="64"/>
        <v>843.7</v>
      </c>
      <c r="AB256" s="36">
        <f>37.25+0.66</f>
        <v>37.909999999999997</v>
      </c>
      <c r="AC256" s="36">
        <v>0</v>
      </c>
      <c r="AD256" s="36">
        <f>19.23+11.44</f>
        <v>30.67</v>
      </c>
      <c r="AE256" s="36">
        <v>0</v>
      </c>
      <c r="AF256" s="38">
        <f t="shared" si="65"/>
        <v>68.58</v>
      </c>
      <c r="AG256" s="36">
        <v>292.54000000000002</v>
      </c>
      <c r="AH256" s="38">
        <f t="shared" si="66"/>
        <v>292.54000000000002</v>
      </c>
      <c r="AI256" s="38">
        <f t="shared" si="67"/>
        <v>5965.8000000000011</v>
      </c>
    </row>
    <row r="257" spans="1:35" ht="16.5">
      <c r="A257" s="124"/>
      <c r="B257" s="35">
        <v>44607</v>
      </c>
      <c r="C257" s="36">
        <v>24</v>
      </c>
      <c r="D257" s="39">
        <v>0</v>
      </c>
      <c r="E257" s="39">
        <v>0</v>
      </c>
      <c r="F257" s="39">
        <v>0</v>
      </c>
      <c r="G257" s="39">
        <v>0</v>
      </c>
      <c r="H257" s="39">
        <v>0</v>
      </c>
      <c r="I257" s="38">
        <f t="shared" si="62"/>
        <v>24</v>
      </c>
      <c r="J257" s="36">
        <v>37</v>
      </c>
      <c r="K257" s="36">
        <v>0</v>
      </c>
      <c r="L257" s="36">
        <v>58.5</v>
      </c>
      <c r="M257" s="36">
        <v>396.69</v>
      </c>
      <c r="N257" s="36">
        <v>6.06</v>
      </c>
      <c r="O257" s="36">
        <v>0</v>
      </c>
      <c r="P257" s="36">
        <f>8.82+27.85+68.3</f>
        <v>104.97</v>
      </c>
      <c r="Q257" s="36">
        <v>0</v>
      </c>
      <c r="R257" s="36">
        <v>26.83</v>
      </c>
      <c r="S257" s="36">
        <v>0</v>
      </c>
      <c r="T257" s="36">
        <v>5</v>
      </c>
      <c r="U257" s="36">
        <v>97</v>
      </c>
      <c r="V257" s="36">
        <v>134.22</v>
      </c>
      <c r="W257" s="36">
        <v>0</v>
      </c>
      <c r="X257" s="38">
        <f t="shared" si="63"/>
        <v>866.2700000000001</v>
      </c>
      <c r="Y257" s="36">
        <v>560.35</v>
      </c>
      <c r="Z257" s="36">
        <v>0</v>
      </c>
      <c r="AA257" s="38">
        <f t="shared" si="64"/>
        <v>560.35</v>
      </c>
      <c r="AB257" s="36">
        <f>164.17+11.39</f>
        <v>175.56</v>
      </c>
      <c r="AC257" s="36">
        <v>0</v>
      </c>
      <c r="AD257" s="36">
        <f>76.88+8.87</f>
        <v>85.75</v>
      </c>
      <c r="AE257" s="36">
        <v>0</v>
      </c>
      <c r="AF257" s="38">
        <f t="shared" si="65"/>
        <v>261.31</v>
      </c>
      <c r="AG257" s="36">
        <v>840.98</v>
      </c>
      <c r="AH257" s="38">
        <f t="shared" si="66"/>
        <v>840.98</v>
      </c>
      <c r="AI257" s="38">
        <f t="shared" si="67"/>
        <v>2552.91</v>
      </c>
    </row>
    <row r="258" spans="1:35" ht="16.5">
      <c r="A258" s="124"/>
      <c r="B258" s="35">
        <v>44608</v>
      </c>
      <c r="C258" s="36">
        <v>10</v>
      </c>
      <c r="D258" s="39">
        <v>0</v>
      </c>
      <c r="E258" s="39">
        <v>0</v>
      </c>
      <c r="F258" s="39">
        <v>0</v>
      </c>
      <c r="G258" s="39">
        <v>0</v>
      </c>
      <c r="H258" s="39">
        <v>0</v>
      </c>
      <c r="I258" s="38">
        <f t="shared" si="62"/>
        <v>10</v>
      </c>
      <c r="J258" s="36">
        <v>39</v>
      </c>
      <c r="K258" s="36">
        <v>0</v>
      </c>
      <c r="L258" s="36">
        <v>331.32</v>
      </c>
      <c r="M258" s="36">
        <v>3681.98</v>
      </c>
      <c r="N258" s="36">
        <v>6.72</v>
      </c>
      <c r="O258" s="36">
        <v>12</v>
      </c>
      <c r="P258" s="36">
        <f>43.02+18.36+217.62</f>
        <v>279</v>
      </c>
      <c r="Q258" s="36">
        <v>619.97</v>
      </c>
      <c r="R258" s="36">
        <v>71.17</v>
      </c>
      <c r="S258" s="36">
        <v>0</v>
      </c>
      <c r="T258" s="36">
        <v>5</v>
      </c>
      <c r="U258" s="36">
        <v>255</v>
      </c>
      <c r="V258" s="36">
        <v>804.09</v>
      </c>
      <c r="W258" s="36">
        <v>0</v>
      </c>
      <c r="X258" s="38">
        <f t="shared" si="63"/>
        <v>6105.2500000000009</v>
      </c>
      <c r="Y258" s="36">
        <v>369.1</v>
      </c>
      <c r="Z258" s="36">
        <v>0</v>
      </c>
      <c r="AA258" s="38">
        <f t="shared" si="64"/>
        <v>369.1</v>
      </c>
      <c r="AB258" s="36">
        <f>2+1.42</f>
        <v>3.42</v>
      </c>
      <c r="AC258" s="36">
        <v>0</v>
      </c>
      <c r="AD258" s="36">
        <f>2.86+5.72</f>
        <v>8.58</v>
      </c>
      <c r="AE258" s="36">
        <v>0</v>
      </c>
      <c r="AF258" s="38">
        <f t="shared" si="65"/>
        <v>12</v>
      </c>
      <c r="AG258" s="36">
        <v>24.82</v>
      </c>
      <c r="AH258" s="38">
        <f t="shared" si="66"/>
        <v>24.82</v>
      </c>
      <c r="AI258" s="38">
        <f t="shared" si="67"/>
        <v>6521.170000000001</v>
      </c>
    </row>
    <row r="259" spans="1:35" ht="16.5">
      <c r="A259" s="124"/>
      <c r="B259" s="35">
        <v>44609</v>
      </c>
      <c r="C259" s="36">
        <v>270</v>
      </c>
      <c r="D259" s="39">
        <v>0</v>
      </c>
      <c r="E259" s="39">
        <v>3.43</v>
      </c>
      <c r="F259" s="39">
        <v>0</v>
      </c>
      <c r="G259" s="39">
        <v>0</v>
      </c>
      <c r="H259" s="39">
        <v>0</v>
      </c>
      <c r="I259" s="38">
        <f t="shared" si="62"/>
        <v>273.43</v>
      </c>
      <c r="J259" s="36">
        <f>44+3</f>
        <v>47</v>
      </c>
      <c r="K259" s="36">
        <v>0</v>
      </c>
      <c r="L259" s="36">
        <v>354.93</v>
      </c>
      <c r="M259" s="36">
        <v>805.63</v>
      </c>
      <c r="N259" s="36">
        <v>8.58</v>
      </c>
      <c r="O259" s="36">
        <v>0</v>
      </c>
      <c r="P259" s="36">
        <f>895.1+110.48+20.41</f>
        <v>1025.99</v>
      </c>
      <c r="Q259" s="36">
        <v>329.66</v>
      </c>
      <c r="R259" s="36">
        <v>47.57</v>
      </c>
      <c r="S259" s="36">
        <v>0</v>
      </c>
      <c r="T259" s="36">
        <v>0</v>
      </c>
      <c r="U259" s="36">
        <v>97</v>
      </c>
      <c r="V259" s="36">
        <v>17866.830000000002</v>
      </c>
      <c r="W259" s="36">
        <v>0</v>
      </c>
      <c r="X259" s="38">
        <f t="shared" si="63"/>
        <v>20583.190000000002</v>
      </c>
      <c r="Y259" s="36">
        <v>410</v>
      </c>
      <c r="Z259" s="36">
        <v>0</v>
      </c>
      <c r="AA259" s="38">
        <f t="shared" si="64"/>
        <v>410</v>
      </c>
      <c r="AB259" s="36">
        <f>136.76+5.76</f>
        <v>142.51999999999998</v>
      </c>
      <c r="AC259" s="36">
        <v>0</v>
      </c>
      <c r="AD259" s="36">
        <f>61.29+13.94</f>
        <v>75.23</v>
      </c>
      <c r="AE259" s="36">
        <v>0</v>
      </c>
      <c r="AF259" s="38">
        <f t="shared" si="65"/>
        <v>217.75</v>
      </c>
      <c r="AG259" s="36">
        <v>635.62</v>
      </c>
      <c r="AH259" s="38">
        <f t="shared" si="66"/>
        <v>635.62</v>
      </c>
      <c r="AI259" s="38">
        <f t="shared" si="67"/>
        <v>22119.99</v>
      </c>
    </row>
    <row r="260" spans="1:35" ht="16.5">
      <c r="A260" s="124"/>
      <c r="B260" s="35">
        <v>44610</v>
      </c>
      <c r="C260" s="36">
        <v>70</v>
      </c>
      <c r="D260" s="39">
        <v>0</v>
      </c>
      <c r="E260" s="39">
        <v>0</v>
      </c>
      <c r="F260" s="39">
        <v>0</v>
      </c>
      <c r="G260" s="39">
        <v>0</v>
      </c>
      <c r="H260" s="39">
        <v>0</v>
      </c>
      <c r="I260" s="38">
        <f t="shared" si="62"/>
        <v>70</v>
      </c>
      <c r="J260" s="36">
        <v>51.5</v>
      </c>
      <c r="K260" s="36">
        <v>0</v>
      </c>
      <c r="L260" s="36">
        <v>339.31</v>
      </c>
      <c r="M260" s="36">
        <v>239.9</v>
      </c>
      <c r="N260" s="36">
        <v>22.38</v>
      </c>
      <c r="O260" s="36">
        <v>0</v>
      </c>
      <c r="P260" s="36">
        <f>2.59+13.65+120.45</f>
        <v>136.69</v>
      </c>
      <c r="Q260" s="36">
        <v>159.01</v>
      </c>
      <c r="R260" s="36">
        <v>93.85</v>
      </c>
      <c r="S260" s="36">
        <v>0</v>
      </c>
      <c r="T260" s="36">
        <v>0</v>
      </c>
      <c r="U260" s="36">
        <v>166</v>
      </c>
      <c r="V260" s="36">
        <v>0</v>
      </c>
      <c r="W260" s="36">
        <v>0</v>
      </c>
      <c r="X260" s="38">
        <f t="shared" si="63"/>
        <v>1208.6399999999999</v>
      </c>
      <c r="Y260" s="36">
        <v>274.8</v>
      </c>
      <c r="Z260" s="36">
        <v>0</v>
      </c>
      <c r="AA260" s="38">
        <f t="shared" si="64"/>
        <v>274.8</v>
      </c>
      <c r="AB260" s="36">
        <f>325.34+0.1</f>
        <v>325.44</v>
      </c>
      <c r="AC260" s="36">
        <v>0</v>
      </c>
      <c r="AD260" s="36">
        <v>154.55000000000001</v>
      </c>
      <c r="AE260" s="36">
        <v>0</v>
      </c>
      <c r="AF260" s="38">
        <f t="shared" si="65"/>
        <v>479.99</v>
      </c>
      <c r="AG260" s="36">
        <v>1493.11</v>
      </c>
      <c r="AH260" s="38">
        <f t="shared" si="66"/>
        <v>1493.11</v>
      </c>
      <c r="AI260" s="38">
        <f t="shared" si="67"/>
        <v>3526.54</v>
      </c>
    </row>
    <row r="261" spans="1:35" ht="16.5">
      <c r="A261" s="124"/>
      <c r="B261" s="35">
        <v>44613</v>
      </c>
      <c r="C261" s="36">
        <v>6</v>
      </c>
      <c r="D261" s="39">
        <v>0</v>
      </c>
      <c r="E261" s="39">
        <v>27.44</v>
      </c>
      <c r="F261" s="39">
        <v>6</v>
      </c>
      <c r="G261" s="39">
        <v>252</v>
      </c>
      <c r="H261" s="39">
        <v>0</v>
      </c>
      <c r="I261" s="38">
        <f t="shared" si="62"/>
        <v>291.44</v>
      </c>
      <c r="J261" s="36">
        <f>81.5+3</f>
        <v>84.5</v>
      </c>
      <c r="K261" s="36">
        <v>1</v>
      </c>
      <c r="L261" s="36">
        <v>287.77999999999997</v>
      </c>
      <c r="M261" s="36">
        <v>13014.79</v>
      </c>
      <c r="N261" s="36">
        <v>0.51</v>
      </c>
      <c r="O261" s="36">
        <v>12</v>
      </c>
      <c r="P261" s="36">
        <f>4.73+24.66+1263.71</f>
        <v>1293.1000000000001</v>
      </c>
      <c r="Q261" s="36">
        <v>135.81</v>
      </c>
      <c r="R261" s="36">
        <v>77.45</v>
      </c>
      <c r="S261" s="36">
        <v>765</v>
      </c>
      <c r="T261" s="36">
        <v>0</v>
      </c>
      <c r="U261" s="36">
        <v>265</v>
      </c>
      <c r="V261" s="36">
        <v>123</v>
      </c>
      <c r="W261" s="36">
        <v>0</v>
      </c>
      <c r="X261" s="38">
        <f t="shared" si="63"/>
        <v>16059.940000000002</v>
      </c>
      <c r="Y261" s="36">
        <v>495.2</v>
      </c>
      <c r="Z261" s="36">
        <v>0</v>
      </c>
      <c r="AA261" s="38">
        <f t="shared" si="64"/>
        <v>495.2</v>
      </c>
      <c r="AB261" s="36">
        <f>2175.58+0.27</f>
        <v>2175.85</v>
      </c>
      <c r="AC261" s="36">
        <v>0</v>
      </c>
      <c r="AD261" s="36">
        <f>971.95+5.72</f>
        <v>977.67000000000007</v>
      </c>
      <c r="AE261" s="36">
        <v>0</v>
      </c>
      <c r="AF261" s="38">
        <f t="shared" si="65"/>
        <v>3153.52</v>
      </c>
      <c r="AG261" s="36">
        <v>10666.56</v>
      </c>
      <c r="AH261" s="38">
        <f t="shared" si="66"/>
        <v>10666.56</v>
      </c>
      <c r="AI261" s="38">
        <f t="shared" si="67"/>
        <v>30666.660000000003</v>
      </c>
    </row>
    <row r="262" spans="1:35" ht="16.5">
      <c r="A262" s="124"/>
      <c r="B262" s="35">
        <v>44614</v>
      </c>
      <c r="C262" s="36">
        <v>0</v>
      </c>
      <c r="D262" s="39">
        <v>0</v>
      </c>
      <c r="E262" s="39">
        <v>3.43</v>
      </c>
      <c r="F262" s="39">
        <v>0</v>
      </c>
      <c r="G262" s="39">
        <v>0</v>
      </c>
      <c r="H262" s="39">
        <v>0</v>
      </c>
      <c r="I262" s="38">
        <f t="shared" si="62"/>
        <v>3.43</v>
      </c>
      <c r="J262" s="36">
        <v>57</v>
      </c>
      <c r="K262" s="36">
        <v>0</v>
      </c>
      <c r="L262" s="36">
        <v>133.88999999999999</v>
      </c>
      <c r="M262" s="36">
        <v>86.23</v>
      </c>
      <c r="N262" s="36">
        <v>70.650000000000006</v>
      </c>
      <c r="O262" s="36">
        <v>0</v>
      </c>
      <c r="P262" s="36">
        <f>3.13+13.97+26.34</f>
        <v>43.44</v>
      </c>
      <c r="Q262" s="36">
        <v>0</v>
      </c>
      <c r="R262" s="36">
        <v>157.61000000000001</v>
      </c>
      <c r="S262" s="36">
        <v>0</v>
      </c>
      <c r="T262" s="36">
        <v>2.5</v>
      </c>
      <c r="U262" s="36">
        <v>236</v>
      </c>
      <c r="V262" s="36">
        <v>2430.8200000000002</v>
      </c>
      <c r="W262" s="36">
        <v>0</v>
      </c>
      <c r="X262" s="38">
        <f t="shared" si="63"/>
        <v>3218.1400000000003</v>
      </c>
      <c r="Y262" s="36">
        <v>280.7</v>
      </c>
      <c r="Z262" s="36">
        <v>0</v>
      </c>
      <c r="AA262" s="38">
        <f t="shared" si="64"/>
        <v>280.7</v>
      </c>
      <c r="AB262" s="36">
        <v>2</v>
      </c>
      <c r="AC262" s="36">
        <v>0</v>
      </c>
      <c r="AD262" s="36">
        <v>2.86</v>
      </c>
      <c r="AE262" s="36">
        <v>0</v>
      </c>
      <c r="AF262" s="38">
        <f t="shared" si="65"/>
        <v>4.8599999999999994</v>
      </c>
      <c r="AG262" s="36">
        <v>16.53</v>
      </c>
      <c r="AH262" s="38">
        <f t="shared" si="66"/>
        <v>16.53</v>
      </c>
      <c r="AI262" s="38">
        <f t="shared" si="67"/>
        <v>3523.6600000000003</v>
      </c>
    </row>
    <row r="263" spans="1:35" ht="16.5">
      <c r="A263" s="124"/>
      <c r="B263" s="35">
        <v>44615</v>
      </c>
      <c r="C263" s="36">
        <v>76</v>
      </c>
      <c r="D263" s="39">
        <v>0</v>
      </c>
      <c r="E263" s="39">
        <v>0</v>
      </c>
      <c r="F263" s="39">
        <v>0</v>
      </c>
      <c r="G263" s="39">
        <v>0</v>
      </c>
      <c r="H263" s="39">
        <v>0</v>
      </c>
      <c r="I263" s="38">
        <f t="shared" si="62"/>
        <v>76</v>
      </c>
      <c r="J263" s="36">
        <f>27.5+6</f>
        <v>33.5</v>
      </c>
      <c r="K263" s="36">
        <v>1</v>
      </c>
      <c r="L263" s="36">
        <v>172.31</v>
      </c>
      <c r="M263" s="36">
        <v>674.05</v>
      </c>
      <c r="N263" s="36">
        <v>6.86</v>
      </c>
      <c r="O263" s="36">
        <v>0</v>
      </c>
      <c r="P263" s="36">
        <f>11.53+12.25+71.53</f>
        <v>95.31</v>
      </c>
      <c r="Q263" s="36">
        <v>645.64</v>
      </c>
      <c r="R263" s="36">
        <v>43.3</v>
      </c>
      <c r="S263" s="36">
        <v>0</v>
      </c>
      <c r="T263" s="36">
        <v>0</v>
      </c>
      <c r="U263" s="36">
        <v>77</v>
      </c>
      <c r="V263" s="36">
        <v>202</v>
      </c>
      <c r="W263" s="36">
        <v>0</v>
      </c>
      <c r="X263" s="38">
        <f t="shared" si="63"/>
        <v>1950.97</v>
      </c>
      <c r="Y263" s="36">
        <v>246.75</v>
      </c>
      <c r="Z263" s="36">
        <v>0</v>
      </c>
      <c r="AA263" s="38">
        <f t="shared" si="64"/>
        <v>246.75</v>
      </c>
      <c r="AB263" s="36">
        <f>39.23+0.06</f>
        <v>39.29</v>
      </c>
      <c r="AC263" s="36">
        <v>0</v>
      </c>
      <c r="AD263" s="36">
        <f>33.13+2.86</f>
        <v>35.99</v>
      </c>
      <c r="AE263" s="36">
        <v>0</v>
      </c>
      <c r="AF263" s="38">
        <f t="shared" si="65"/>
        <v>75.28</v>
      </c>
      <c r="AG263" s="36">
        <v>425.1</v>
      </c>
      <c r="AH263" s="38">
        <f t="shared" si="66"/>
        <v>425.1</v>
      </c>
      <c r="AI263" s="38">
        <f t="shared" si="67"/>
        <v>2774.1</v>
      </c>
    </row>
    <row r="264" spans="1:35" ht="16.5">
      <c r="A264" s="124"/>
      <c r="B264" s="35">
        <v>44616</v>
      </c>
      <c r="C264" s="36"/>
      <c r="D264" s="39"/>
      <c r="E264" s="39"/>
      <c r="F264" s="39"/>
      <c r="G264" s="39"/>
      <c r="H264" s="39"/>
      <c r="I264" s="38">
        <f t="shared" si="62"/>
        <v>0</v>
      </c>
      <c r="J264" s="36"/>
      <c r="K264" s="36"/>
      <c r="L264" s="36"/>
      <c r="M264" s="36"/>
      <c r="N264" s="36"/>
      <c r="O264" s="36"/>
      <c r="P264" s="36"/>
      <c r="Q264" s="36"/>
      <c r="R264" s="36"/>
      <c r="S264" s="36"/>
      <c r="T264" s="36"/>
      <c r="U264" s="36"/>
      <c r="V264" s="36"/>
      <c r="W264" s="36"/>
      <c r="X264" s="38">
        <f t="shared" si="63"/>
        <v>0</v>
      </c>
      <c r="Y264" s="36"/>
      <c r="Z264" s="36"/>
      <c r="AA264" s="38">
        <f t="shared" si="64"/>
        <v>0</v>
      </c>
      <c r="AB264" s="36"/>
      <c r="AC264" s="36"/>
      <c r="AD264" s="36"/>
      <c r="AE264" s="36"/>
      <c r="AF264" s="38">
        <f t="shared" si="65"/>
        <v>0</v>
      </c>
      <c r="AG264" s="36"/>
      <c r="AH264" s="38">
        <f t="shared" si="66"/>
        <v>0</v>
      </c>
      <c r="AI264" s="38">
        <f t="shared" si="67"/>
        <v>0</v>
      </c>
    </row>
    <row r="265" spans="1:35" ht="16.5">
      <c r="A265" s="124"/>
      <c r="B265" s="35">
        <v>44617</v>
      </c>
      <c r="C265" s="36"/>
      <c r="D265" s="39"/>
      <c r="E265" s="39"/>
      <c r="F265" s="39"/>
      <c r="G265" s="39"/>
      <c r="H265" s="39"/>
      <c r="I265" s="38">
        <f t="shared" si="62"/>
        <v>0</v>
      </c>
      <c r="J265" s="36"/>
      <c r="K265" s="36"/>
      <c r="L265" s="36"/>
      <c r="M265" s="36"/>
      <c r="N265" s="36"/>
      <c r="O265" s="36"/>
      <c r="P265" s="36"/>
      <c r="Q265" s="36"/>
      <c r="R265" s="36"/>
      <c r="S265" s="36"/>
      <c r="T265" s="36"/>
      <c r="U265" s="36"/>
      <c r="V265" s="36"/>
      <c r="W265" s="36"/>
      <c r="X265" s="38">
        <f t="shared" si="63"/>
        <v>0</v>
      </c>
      <c r="Y265" s="36"/>
      <c r="Z265" s="36"/>
      <c r="AA265" s="38">
        <f t="shared" si="64"/>
        <v>0</v>
      </c>
      <c r="AB265" s="36"/>
      <c r="AC265" s="36"/>
      <c r="AD265" s="36"/>
      <c r="AE265" s="36"/>
      <c r="AF265" s="38">
        <f t="shared" si="65"/>
        <v>0</v>
      </c>
      <c r="AG265" s="36"/>
      <c r="AH265" s="38">
        <f t="shared" si="66"/>
        <v>0</v>
      </c>
      <c r="AI265" s="38">
        <f t="shared" si="67"/>
        <v>0</v>
      </c>
    </row>
    <row r="266" spans="1:35" ht="16.5">
      <c r="A266" s="124"/>
      <c r="B266" s="35"/>
      <c r="C266" s="36"/>
      <c r="D266" s="39"/>
      <c r="E266" s="39"/>
      <c r="F266" s="39"/>
      <c r="G266" s="39"/>
      <c r="H266" s="39"/>
      <c r="I266" s="38">
        <f t="shared" si="62"/>
        <v>0</v>
      </c>
      <c r="J266" s="36"/>
      <c r="K266" s="36"/>
      <c r="L266" s="36"/>
      <c r="M266" s="36"/>
      <c r="N266" s="36"/>
      <c r="O266" s="36"/>
      <c r="P266" s="36"/>
      <c r="Q266" s="36"/>
      <c r="R266" s="36"/>
      <c r="S266" s="36"/>
      <c r="T266" s="36"/>
      <c r="U266" s="36"/>
      <c r="V266" s="36"/>
      <c r="W266" s="36"/>
      <c r="X266" s="38">
        <f t="shared" si="63"/>
        <v>0</v>
      </c>
      <c r="Y266" s="36"/>
      <c r="Z266" s="36"/>
      <c r="AA266" s="38">
        <f t="shared" si="64"/>
        <v>0</v>
      </c>
      <c r="AB266" s="36"/>
      <c r="AC266" s="36"/>
      <c r="AD266" s="36"/>
      <c r="AE266" s="36"/>
      <c r="AF266" s="38">
        <f t="shared" si="65"/>
        <v>0</v>
      </c>
      <c r="AG266" s="36"/>
      <c r="AH266" s="38">
        <f t="shared" si="66"/>
        <v>0</v>
      </c>
      <c r="AI266" s="38">
        <f t="shared" si="67"/>
        <v>0</v>
      </c>
    </row>
    <row r="267" spans="1:35" ht="16.5">
      <c r="A267" s="124"/>
      <c r="B267" s="35"/>
      <c r="C267" s="36"/>
      <c r="D267" s="39"/>
      <c r="E267" s="39"/>
      <c r="F267" s="39"/>
      <c r="G267" s="39"/>
      <c r="H267" s="39"/>
      <c r="I267" s="38">
        <f t="shared" si="62"/>
        <v>0</v>
      </c>
      <c r="J267" s="36"/>
      <c r="K267" s="36"/>
      <c r="L267" s="36"/>
      <c r="M267" s="36"/>
      <c r="N267" s="36"/>
      <c r="O267" s="36"/>
      <c r="P267" s="36"/>
      <c r="Q267" s="36"/>
      <c r="R267" s="36"/>
      <c r="S267" s="36"/>
      <c r="T267" s="36"/>
      <c r="U267" s="36"/>
      <c r="V267" s="36"/>
      <c r="W267" s="36"/>
      <c r="X267" s="38">
        <f t="shared" si="63"/>
        <v>0</v>
      </c>
      <c r="Y267" s="36"/>
      <c r="Z267" s="36"/>
      <c r="AA267" s="38">
        <f t="shared" si="64"/>
        <v>0</v>
      </c>
      <c r="AB267" s="36"/>
      <c r="AC267" s="36"/>
      <c r="AD267" s="36"/>
      <c r="AE267" s="36"/>
      <c r="AF267" s="38">
        <f t="shared" si="65"/>
        <v>0</v>
      </c>
      <c r="AG267" s="36"/>
      <c r="AH267" s="38">
        <f t="shared" si="66"/>
        <v>0</v>
      </c>
      <c r="AI267" s="38">
        <f t="shared" si="67"/>
        <v>0</v>
      </c>
    </row>
    <row r="268" spans="1:35" ht="16.5">
      <c r="A268" s="124"/>
      <c r="B268" s="35"/>
      <c r="C268" s="36"/>
      <c r="D268" s="39"/>
      <c r="E268" s="39"/>
      <c r="F268" s="39"/>
      <c r="G268" s="39"/>
      <c r="H268" s="39"/>
      <c r="I268" s="38">
        <f t="shared" si="62"/>
        <v>0</v>
      </c>
      <c r="J268" s="36"/>
      <c r="K268" s="36"/>
      <c r="L268" s="36"/>
      <c r="M268" s="36"/>
      <c r="N268" s="36"/>
      <c r="O268" s="36"/>
      <c r="P268" s="36"/>
      <c r="Q268" s="36"/>
      <c r="R268" s="36"/>
      <c r="S268" s="36"/>
      <c r="T268" s="36"/>
      <c r="U268" s="36"/>
      <c r="V268" s="36"/>
      <c r="W268" s="36"/>
      <c r="X268" s="38">
        <f t="shared" si="63"/>
        <v>0</v>
      </c>
      <c r="Y268" s="36"/>
      <c r="Z268" s="36"/>
      <c r="AA268" s="38">
        <f t="shared" si="64"/>
        <v>0</v>
      </c>
      <c r="AB268" s="36"/>
      <c r="AC268" s="36"/>
      <c r="AD268" s="36"/>
      <c r="AE268" s="36"/>
      <c r="AF268" s="38">
        <f t="shared" si="65"/>
        <v>0</v>
      </c>
      <c r="AG268" s="36"/>
      <c r="AH268" s="38">
        <f t="shared" si="66"/>
        <v>0</v>
      </c>
      <c r="AI268" s="38">
        <f t="shared" si="67"/>
        <v>0</v>
      </c>
    </row>
    <row r="269" spans="1:35" ht="16.5">
      <c r="A269" s="124"/>
      <c r="B269" s="35"/>
      <c r="C269" s="36"/>
      <c r="D269" s="39"/>
      <c r="E269" s="39"/>
      <c r="F269" s="39"/>
      <c r="G269" s="39"/>
      <c r="H269" s="39"/>
      <c r="I269" s="38">
        <f t="shared" si="62"/>
        <v>0</v>
      </c>
      <c r="J269" s="36"/>
      <c r="K269" s="36"/>
      <c r="L269" s="36"/>
      <c r="M269" s="36"/>
      <c r="N269" s="36"/>
      <c r="O269" s="36"/>
      <c r="P269" s="36"/>
      <c r="Q269" s="36"/>
      <c r="R269" s="36"/>
      <c r="S269" s="36"/>
      <c r="T269" s="36"/>
      <c r="U269" s="36"/>
      <c r="V269" s="36"/>
      <c r="W269" s="36"/>
      <c r="X269" s="38">
        <f t="shared" si="63"/>
        <v>0</v>
      </c>
      <c r="Y269" s="36"/>
      <c r="Z269" s="36"/>
      <c r="AA269" s="38">
        <f t="shared" si="64"/>
        <v>0</v>
      </c>
      <c r="AB269" s="36"/>
      <c r="AC269" s="36"/>
      <c r="AD269" s="36"/>
      <c r="AE269" s="36"/>
      <c r="AF269" s="38">
        <f t="shared" si="65"/>
        <v>0</v>
      </c>
      <c r="AG269" s="36"/>
      <c r="AH269" s="38">
        <f t="shared" si="66"/>
        <v>0</v>
      </c>
      <c r="AI269" s="38">
        <f t="shared" si="67"/>
        <v>0</v>
      </c>
    </row>
    <row r="270" spans="1:35" ht="16.5">
      <c r="A270" s="124"/>
      <c r="B270" s="35"/>
      <c r="C270" s="36"/>
      <c r="D270" s="39"/>
      <c r="E270" s="39"/>
      <c r="F270" s="39"/>
      <c r="G270" s="39"/>
      <c r="H270" s="39"/>
      <c r="I270" s="38">
        <f t="shared" si="62"/>
        <v>0</v>
      </c>
      <c r="J270" s="36"/>
      <c r="K270" s="36"/>
      <c r="L270" s="36"/>
      <c r="M270" s="36"/>
      <c r="N270" s="36"/>
      <c r="O270" s="36"/>
      <c r="P270" s="36"/>
      <c r="Q270" s="36"/>
      <c r="R270" s="36"/>
      <c r="S270" s="36"/>
      <c r="T270" s="36"/>
      <c r="U270" s="36"/>
      <c r="V270" s="36"/>
      <c r="W270" s="36"/>
      <c r="X270" s="38">
        <f t="shared" si="63"/>
        <v>0</v>
      </c>
      <c r="Y270" s="36"/>
      <c r="Z270" s="36"/>
      <c r="AA270" s="38">
        <f t="shared" si="64"/>
        <v>0</v>
      </c>
      <c r="AB270" s="36"/>
      <c r="AC270" s="36"/>
      <c r="AD270" s="36"/>
      <c r="AE270" s="36"/>
      <c r="AF270" s="38">
        <f t="shared" si="65"/>
        <v>0</v>
      </c>
      <c r="AG270" s="36"/>
      <c r="AH270" s="38">
        <f t="shared" si="66"/>
        <v>0</v>
      </c>
      <c r="AI270" s="38">
        <f t="shared" si="67"/>
        <v>0</v>
      </c>
    </row>
    <row r="271" spans="1:35" ht="16.5">
      <c r="A271" s="124"/>
      <c r="B271" s="40"/>
      <c r="C271" s="40"/>
      <c r="D271" s="40"/>
      <c r="E271" s="40"/>
      <c r="F271" s="40"/>
      <c r="G271" s="40"/>
      <c r="H271" s="40"/>
      <c r="I271" s="40"/>
      <c r="J271" s="40"/>
      <c r="K271" s="40"/>
      <c r="L271" s="40"/>
      <c r="M271" s="40"/>
      <c r="N271" s="40"/>
      <c r="O271" s="40"/>
      <c r="P271" s="40"/>
      <c r="Q271" s="40"/>
      <c r="R271" s="40"/>
      <c r="S271" s="40"/>
      <c r="T271" s="40"/>
      <c r="U271" s="40"/>
      <c r="V271" s="40"/>
      <c r="W271" s="40"/>
      <c r="X271" s="40"/>
      <c r="Y271" s="40"/>
      <c r="Z271" s="40"/>
      <c r="AA271" s="40"/>
      <c r="AB271" s="40"/>
      <c r="AC271" s="40"/>
      <c r="AD271" s="40"/>
      <c r="AE271" s="40"/>
      <c r="AF271" s="40"/>
      <c r="AG271" s="40"/>
      <c r="AH271" s="40"/>
      <c r="AI271" s="40"/>
    </row>
    <row r="272" spans="1:35" ht="16.5">
      <c r="A272" s="124"/>
      <c r="B272" s="41"/>
      <c r="C272" s="36">
        <f>SUM(C247:C271)</f>
        <v>2675.6800000000003</v>
      </c>
      <c r="D272" s="36">
        <f t="shared" ref="D272:AF272" si="68">SUM(D247:D271)</f>
        <v>0</v>
      </c>
      <c r="E272" s="36">
        <f t="shared" si="68"/>
        <v>44.589999999999996</v>
      </c>
      <c r="F272" s="36">
        <f t="shared" si="68"/>
        <v>137.56</v>
      </c>
      <c r="G272" s="36">
        <f t="shared" si="68"/>
        <v>381.32</v>
      </c>
      <c r="H272" s="36">
        <f t="shared" si="68"/>
        <v>0</v>
      </c>
      <c r="I272" s="44">
        <f t="shared" si="68"/>
        <v>3239.1499999999996</v>
      </c>
      <c r="J272" s="36">
        <f t="shared" si="68"/>
        <v>940</v>
      </c>
      <c r="K272" s="36">
        <f t="shared" si="68"/>
        <v>3</v>
      </c>
      <c r="L272" s="36">
        <f t="shared" si="68"/>
        <v>4111.1399999999994</v>
      </c>
      <c r="M272" s="36">
        <f t="shared" si="68"/>
        <v>29938.69</v>
      </c>
      <c r="N272" s="36">
        <f t="shared" si="68"/>
        <v>178.59000000000003</v>
      </c>
      <c r="O272" s="36">
        <f t="shared" si="68"/>
        <v>146</v>
      </c>
      <c r="P272" s="36">
        <f t="shared" si="68"/>
        <v>4710.01</v>
      </c>
      <c r="Q272" s="36">
        <f t="shared" si="68"/>
        <v>3752.84</v>
      </c>
      <c r="R272" s="36">
        <f t="shared" si="68"/>
        <v>1213.1000000000001</v>
      </c>
      <c r="S272" s="36">
        <f t="shared" si="68"/>
        <v>765</v>
      </c>
      <c r="T272" s="36">
        <f t="shared" si="68"/>
        <v>43</v>
      </c>
      <c r="U272" s="36">
        <f t="shared" si="68"/>
        <v>7009.94</v>
      </c>
      <c r="V272" s="36">
        <f t="shared" si="68"/>
        <v>26949.47</v>
      </c>
      <c r="W272" s="36">
        <f t="shared" si="68"/>
        <v>0</v>
      </c>
      <c r="X272" s="44">
        <f t="shared" si="68"/>
        <v>79760.780000000013</v>
      </c>
      <c r="Y272" s="36">
        <f t="shared" si="68"/>
        <v>5024.9799999999996</v>
      </c>
      <c r="Z272" s="36">
        <f t="shared" si="68"/>
        <v>0</v>
      </c>
      <c r="AA272" s="44">
        <f t="shared" si="68"/>
        <v>5024.9799999999996</v>
      </c>
      <c r="AB272" s="36">
        <f t="shared" si="68"/>
        <v>3940.09</v>
      </c>
      <c r="AC272" s="36">
        <f t="shared" si="68"/>
        <v>5.71</v>
      </c>
      <c r="AD272" s="36">
        <f t="shared" si="68"/>
        <v>1955.46</v>
      </c>
      <c r="AE272" s="36">
        <f t="shared" si="68"/>
        <v>0</v>
      </c>
      <c r="AF272" s="44">
        <f t="shared" si="68"/>
        <v>5901.2599999999984</v>
      </c>
      <c r="AG272" s="36">
        <f>SUM(AG247:AG271)</f>
        <v>20708.999999999996</v>
      </c>
      <c r="AH272" s="38">
        <f>SUM(AH247:AH271)</f>
        <v>20708.999999999996</v>
      </c>
      <c r="AI272" s="38">
        <f>SUM(AI247:AI271)</f>
        <v>114635.17000000001</v>
      </c>
    </row>
    <row r="273" spans="1:35">
      <c r="A273" s="124"/>
      <c r="B273" s="12"/>
      <c r="C273" s="12"/>
      <c r="D273" s="12"/>
      <c r="E273" s="12"/>
      <c r="F273" s="12"/>
      <c r="G273" s="12"/>
      <c r="H273" s="12"/>
      <c r="I273" s="12"/>
      <c r="J273" s="12"/>
      <c r="K273" s="12"/>
      <c r="L273" s="12"/>
      <c r="M273" s="12"/>
      <c r="N273" s="12"/>
      <c r="O273" s="12"/>
      <c r="P273" s="12"/>
      <c r="Q273" s="12"/>
      <c r="R273" s="12"/>
      <c r="S273" s="12"/>
      <c r="T273" s="12"/>
      <c r="U273" s="12"/>
      <c r="V273" s="12"/>
      <c r="W273" s="12"/>
      <c r="X273" s="12"/>
      <c r="Y273" s="12"/>
      <c r="Z273" s="12"/>
      <c r="AA273" s="12"/>
      <c r="AB273" s="12"/>
      <c r="AC273" s="12"/>
      <c r="AD273" s="12"/>
      <c r="AE273" s="12"/>
      <c r="AF273" s="12"/>
      <c r="AG273" s="12"/>
      <c r="AH273" s="12"/>
      <c r="AI273" s="12"/>
    </row>
    <row r="274" spans="1:35" ht="39" customHeight="1">
      <c r="A274" s="124"/>
      <c r="B274" s="146"/>
      <c r="C274" s="147"/>
      <c r="D274" s="147"/>
      <c r="E274" s="147"/>
      <c r="F274" s="147"/>
      <c r="G274" s="147"/>
      <c r="H274" s="147"/>
      <c r="I274" s="147"/>
      <c r="J274" s="147"/>
      <c r="K274" s="147"/>
      <c r="L274" s="147"/>
      <c r="M274" s="147"/>
      <c r="N274" s="147"/>
      <c r="O274" s="147"/>
      <c r="P274" s="147"/>
      <c r="Q274" s="147"/>
      <c r="R274" s="147"/>
      <c r="S274" s="147"/>
      <c r="T274" s="147"/>
      <c r="U274" s="147"/>
      <c r="V274" s="147"/>
      <c r="W274" s="147"/>
      <c r="X274" s="147"/>
      <c r="Y274" s="147"/>
      <c r="Z274" s="147"/>
      <c r="AA274" s="147"/>
      <c r="AB274" s="147"/>
      <c r="AC274" s="147"/>
      <c r="AD274" s="147"/>
      <c r="AE274" s="147"/>
      <c r="AF274" s="147"/>
      <c r="AG274" s="147"/>
      <c r="AH274" s="147"/>
      <c r="AI274" s="148"/>
    </row>
    <row r="275" spans="1:35" ht="22.5">
      <c r="A275" s="124"/>
      <c r="B275" s="142" t="s">
        <v>140</v>
      </c>
      <c r="C275" s="142"/>
      <c r="D275" s="142"/>
      <c r="E275" s="142"/>
      <c r="F275" s="142"/>
      <c r="G275" s="142"/>
      <c r="H275" s="142"/>
      <c r="I275" s="142"/>
      <c r="J275" s="142"/>
      <c r="K275" s="142"/>
      <c r="L275" s="142"/>
      <c r="M275" s="142"/>
      <c r="N275" s="142"/>
      <c r="O275" s="142"/>
      <c r="P275" s="142"/>
      <c r="Q275" s="99"/>
      <c r="R275" s="99"/>
      <c r="S275" s="99"/>
      <c r="T275" s="99"/>
      <c r="U275" s="99"/>
      <c r="V275" s="99"/>
      <c r="W275" s="99"/>
      <c r="X275" s="99"/>
      <c r="Y275" s="99"/>
      <c r="Z275" s="99"/>
      <c r="AA275" s="99"/>
      <c r="AB275" s="99"/>
      <c r="AC275" s="99"/>
      <c r="AD275" s="99"/>
      <c r="AE275" s="99"/>
      <c r="AF275" s="99"/>
      <c r="AG275" s="99"/>
      <c r="AH275" s="99"/>
      <c r="AI275" s="99"/>
    </row>
    <row r="276" spans="1:35" ht="22.5">
      <c r="A276" s="124"/>
      <c r="B276" s="142" t="s">
        <v>178</v>
      </c>
      <c r="C276" s="142"/>
      <c r="D276" s="142"/>
      <c r="E276" s="142"/>
      <c r="F276" s="142"/>
      <c r="G276" s="142"/>
      <c r="H276" s="142"/>
      <c r="I276" s="142"/>
      <c r="J276" s="142"/>
      <c r="K276" s="142"/>
      <c r="L276" s="142"/>
      <c r="M276" s="142"/>
      <c r="N276" s="142"/>
      <c r="O276" s="142"/>
      <c r="P276" s="142"/>
      <c r="Q276" s="99"/>
      <c r="R276" s="99"/>
      <c r="S276" s="99"/>
      <c r="T276" s="99"/>
      <c r="U276" s="99"/>
      <c r="V276" s="99"/>
      <c r="W276" s="99"/>
      <c r="X276" s="99"/>
      <c r="Y276" s="99"/>
      <c r="Z276" s="99"/>
      <c r="AA276" s="99"/>
      <c r="AB276" s="99"/>
      <c r="AC276" s="99"/>
      <c r="AD276" s="99"/>
      <c r="AE276" s="99"/>
      <c r="AF276" s="99"/>
      <c r="AG276" s="99"/>
      <c r="AH276" s="99"/>
      <c r="AI276" s="99"/>
    </row>
    <row r="277" spans="1:35" ht="16.5">
      <c r="A277" s="124"/>
      <c r="B277" s="143" t="s">
        <v>179</v>
      </c>
      <c r="C277" s="102">
        <v>11801</v>
      </c>
      <c r="D277" s="102">
        <v>11803</v>
      </c>
      <c r="E277" s="102">
        <v>11818</v>
      </c>
      <c r="F277" s="102">
        <v>11802</v>
      </c>
      <c r="G277" s="102">
        <v>11804</v>
      </c>
      <c r="H277" s="102"/>
      <c r="I277" s="102">
        <v>21310001</v>
      </c>
      <c r="J277" s="102">
        <v>12105</v>
      </c>
      <c r="K277" s="102">
        <v>12106</v>
      </c>
      <c r="L277" s="102">
        <v>12108</v>
      </c>
      <c r="M277" s="102">
        <v>12109</v>
      </c>
      <c r="N277" s="102">
        <v>12199</v>
      </c>
      <c r="O277" s="102">
        <v>12111</v>
      </c>
      <c r="P277" s="102">
        <v>12114</v>
      </c>
      <c r="Q277" s="102">
        <v>12115</v>
      </c>
      <c r="R277" s="102">
        <v>12117</v>
      </c>
      <c r="S277" s="102">
        <v>12118</v>
      </c>
      <c r="T277" s="102">
        <v>12119</v>
      </c>
      <c r="U277" s="102">
        <v>12210</v>
      </c>
      <c r="V277" s="102">
        <v>12211</v>
      </c>
      <c r="W277" s="102"/>
      <c r="X277" s="102">
        <v>21312001</v>
      </c>
      <c r="Y277" s="102">
        <v>14201</v>
      </c>
      <c r="Z277" s="102"/>
      <c r="AA277" s="102">
        <v>21314001</v>
      </c>
      <c r="AB277" s="102">
        <v>15302</v>
      </c>
      <c r="AC277" s="102">
        <v>15312</v>
      </c>
      <c r="AD277" s="102">
        <v>15314</v>
      </c>
      <c r="AE277" s="102"/>
      <c r="AF277" s="102">
        <v>21315001</v>
      </c>
      <c r="AG277" s="102">
        <v>32299</v>
      </c>
      <c r="AH277" s="103"/>
      <c r="AI277" s="103"/>
    </row>
    <row r="278" spans="1:35" ht="72.75" customHeight="1">
      <c r="A278" s="124"/>
      <c r="B278" s="143"/>
      <c r="C278" s="104" t="s">
        <v>143</v>
      </c>
      <c r="D278" s="104" t="s">
        <v>144</v>
      </c>
      <c r="E278" s="104" t="s">
        <v>145</v>
      </c>
      <c r="F278" s="104" t="s">
        <v>146</v>
      </c>
      <c r="G278" s="104" t="s">
        <v>147</v>
      </c>
      <c r="H278" s="104" t="s">
        <v>148</v>
      </c>
      <c r="I278" s="104" t="s">
        <v>149</v>
      </c>
      <c r="J278" s="104" t="s">
        <v>150</v>
      </c>
      <c r="K278" s="104" t="s">
        <v>151</v>
      </c>
      <c r="L278" s="104" t="s">
        <v>152</v>
      </c>
      <c r="M278" s="104" t="s">
        <v>153</v>
      </c>
      <c r="N278" s="104" t="s">
        <v>154</v>
      </c>
      <c r="O278" s="104" t="s">
        <v>155</v>
      </c>
      <c r="P278" s="104" t="s">
        <v>156</v>
      </c>
      <c r="Q278" s="104" t="s">
        <v>157</v>
      </c>
      <c r="R278" s="104" t="s">
        <v>158</v>
      </c>
      <c r="S278" s="104" t="s">
        <v>159</v>
      </c>
      <c r="T278" s="104" t="s">
        <v>160</v>
      </c>
      <c r="U278" s="104" t="s">
        <v>161</v>
      </c>
      <c r="V278" s="104" t="s">
        <v>180</v>
      </c>
      <c r="W278" s="104" t="s">
        <v>162</v>
      </c>
      <c r="X278" s="104" t="s">
        <v>163</v>
      </c>
      <c r="Y278" s="104" t="s">
        <v>164</v>
      </c>
      <c r="Z278" s="104" t="s">
        <v>165</v>
      </c>
      <c r="AA278" s="104" t="s">
        <v>166</v>
      </c>
      <c r="AB278" s="104" t="s">
        <v>167</v>
      </c>
      <c r="AC278" s="104" t="s">
        <v>168</v>
      </c>
      <c r="AD278" s="104" t="s">
        <v>169</v>
      </c>
      <c r="AE278" s="104" t="s">
        <v>170</v>
      </c>
      <c r="AF278" s="104" t="s">
        <v>171</v>
      </c>
      <c r="AG278" s="104" t="s">
        <v>172</v>
      </c>
      <c r="AH278" s="104" t="s">
        <v>173</v>
      </c>
      <c r="AI278" s="104" t="s">
        <v>174</v>
      </c>
    </row>
    <row r="279" spans="1:35">
      <c r="A279" s="124"/>
      <c r="B279" s="12"/>
      <c r="C279" s="12"/>
      <c r="D279" s="12"/>
      <c r="E279" s="12"/>
      <c r="F279" s="12"/>
      <c r="G279" s="12"/>
      <c r="H279" s="12"/>
      <c r="I279" s="12"/>
      <c r="J279" s="12"/>
      <c r="K279" s="12"/>
      <c r="L279" s="12"/>
      <c r="M279" s="12"/>
      <c r="N279" s="12"/>
      <c r="O279" s="12"/>
      <c r="P279" s="12"/>
      <c r="Q279" s="12"/>
      <c r="R279" s="12"/>
      <c r="S279" s="12"/>
      <c r="T279" s="12"/>
      <c r="U279" s="12"/>
      <c r="V279" s="12"/>
      <c r="W279" s="12"/>
      <c r="X279" s="12"/>
      <c r="Y279" s="12"/>
      <c r="Z279" s="12"/>
      <c r="AA279" s="12"/>
      <c r="AB279" s="12"/>
      <c r="AC279" s="12"/>
      <c r="AD279" s="12"/>
      <c r="AE279" s="12"/>
      <c r="AF279" s="12"/>
      <c r="AG279" s="12"/>
      <c r="AH279" s="12"/>
      <c r="AI279" s="12"/>
    </row>
    <row r="280" spans="1:35" ht="16.5">
      <c r="A280" s="124"/>
      <c r="B280" s="35">
        <v>44621</v>
      </c>
      <c r="C280" s="36">
        <v>637.54</v>
      </c>
      <c r="D280" s="37">
        <v>0</v>
      </c>
      <c r="E280" s="37">
        <v>0</v>
      </c>
      <c r="F280" s="37">
        <v>0</v>
      </c>
      <c r="G280" s="37">
        <v>18.37</v>
      </c>
      <c r="H280" s="37">
        <v>85.47</v>
      </c>
      <c r="I280" s="38">
        <f>SUM(C280:H280)</f>
        <v>741.38</v>
      </c>
      <c r="J280" s="36">
        <f>93+9</f>
        <v>102</v>
      </c>
      <c r="K280" s="36">
        <v>0</v>
      </c>
      <c r="L280" s="36">
        <v>708.05</v>
      </c>
      <c r="M280" s="36">
        <v>2279.66</v>
      </c>
      <c r="N280" s="36">
        <v>7.07</v>
      </c>
      <c r="O280" s="36">
        <f>24+100</f>
        <v>124</v>
      </c>
      <c r="P280" s="36">
        <f>59.12+28.03+351.68</f>
        <v>438.83000000000004</v>
      </c>
      <c r="Q280" s="36">
        <v>294.55</v>
      </c>
      <c r="R280" s="36">
        <v>282.97000000000003</v>
      </c>
      <c r="S280" s="36">
        <v>0</v>
      </c>
      <c r="T280" s="36">
        <v>10</v>
      </c>
      <c r="U280" s="36">
        <f>1054.31+228</f>
        <v>1282.31</v>
      </c>
      <c r="V280" s="36"/>
      <c r="W280" s="36">
        <v>0</v>
      </c>
      <c r="X280" s="38">
        <f>SUM(J280:W280)</f>
        <v>5529.4400000000005</v>
      </c>
      <c r="Y280" s="36">
        <v>562.25</v>
      </c>
      <c r="Z280" s="36">
        <v>0</v>
      </c>
      <c r="AA280" s="38">
        <f>SUM(Y280:Z280)</f>
        <v>562.25</v>
      </c>
      <c r="AB280" s="36">
        <f>788.78+2.31</f>
        <v>791.08999999999992</v>
      </c>
      <c r="AC280" s="36">
        <f>401.36+14.3</f>
        <v>415.66</v>
      </c>
      <c r="AD280" s="36">
        <v>0</v>
      </c>
      <c r="AE280" s="36">
        <v>0</v>
      </c>
      <c r="AF280" s="38">
        <f>SUM(AB280:AE280)</f>
        <v>1206.75</v>
      </c>
      <c r="AG280" s="36">
        <v>2675.35</v>
      </c>
      <c r="AH280" s="38">
        <f>SUM(AG280)</f>
        <v>2675.35</v>
      </c>
      <c r="AI280" s="38">
        <f>+AH280+AF280+AA280+I280+X280</f>
        <v>10715.170000000002</v>
      </c>
    </row>
    <row r="281" spans="1:35" ht="16.5">
      <c r="A281" s="124"/>
      <c r="B281" s="35">
        <v>44622</v>
      </c>
      <c r="C281" s="36">
        <v>358.39</v>
      </c>
      <c r="D281" s="37">
        <v>0</v>
      </c>
      <c r="E281" s="37">
        <v>3.43</v>
      </c>
      <c r="F281" s="37">
        <v>0</v>
      </c>
      <c r="G281" s="37">
        <v>132</v>
      </c>
      <c r="H281" s="37">
        <v>0</v>
      </c>
      <c r="I281" s="38">
        <f t="shared" ref="I281:I303" si="69">SUM(C281:H281)</f>
        <v>493.82</v>
      </c>
      <c r="J281" s="36">
        <v>68.5</v>
      </c>
      <c r="K281" s="36">
        <v>3</v>
      </c>
      <c r="L281" s="36">
        <v>589.95000000000005</v>
      </c>
      <c r="M281" s="36">
        <v>4012.09</v>
      </c>
      <c r="N281" s="36">
        <v>18.079999999999998</v>
      </c>
      <c r="O281" s="36">
        <v>0</v>
      </c>
      <c r="P281" s="36">
        <f>4.02+25.54+299.29</f>
        <v>328.85</v>
      </c>
      <c r="Q281" s="36">
        <v>0</v>
      </c>
      <c r="R281" s="36">
        <v>259.79000000000002</v>
      </c>
      <c r="S281" s="36">
        <v>0</v>
      </c>
      <c r="T281" s="36">
        <v>2.5</v>
      </c>
      <c r="U281" s="36">
        <v>90</v>
      </c>
      <c r="V281" s="36">
        <v>9</v>
      </c>
      <c r="W281" s="36">
        <v>0</v>
      </c>
      <c r="X281" s="38">
        <f t="shared" ref="X281:X303" si="70">SUM(J281:W281)</f>
        <v>5381.76</v>
      </c>
      <c r="Y281" s="36">
        <v>512.1</v>
      </c>
      <c r="Z281" s="36">
        <v>0</v>
      </c>
      <c r="AA281" s="38">
        <f t="shared" ref="AA281:AA303" si="71">SUM(Y281:Z281)</f>
        <v>512.1</v>
      </c>
      <c r="AB281" s="36">
        <f>116.5+1.31</f>
        <v>117.81</v>
      </c>
      <c r="AC281" s="36">
        <v>5.71</v>
      </c>
      <c r="AD281" s="36">
        <f>54.32+20.02</f>
        <v>74.34</v>
      </c>
      <c r="AE281" s="36">
        <v>0</v>
      </c>
      <c r="AF281" s="38">
        <f t="shared" ref="AF281:AF303" si="72">SUM(AB281:AE281)</f>
        <v>197.86</v>
      </c>
      <c r="AG281" s="36">
        <v>679.4</v>
      </c>
      <c r="AH281" s="38">
        <f t="shared" ref="AH281:AH303" si="73">SUM(AG281)</f>
        <v>679.4</v>
      </c>
      <c r="AI281" s="38">
        <f t="shared" ref="AI281:AI303" si="74">+AH281+AF281+AA281+I281+X281</f>
        <v>7264.9400000000005</v>
      </c>
    </row>
    <row r="282" spans="1:35" ht="16.5">
      <c r="A282" s="124"/>
      <c r="B282" s="35">
        <v>44623</v>
      </c>
      <c r="C282" s="36">
        <v>0</v>
      </c>
      <c r="D282" s="37">
        <v>0</v>
      </c>
      <c r="E282" s="37">
        <v>0</v>
      </c>
      <c r="F282" s="37">
        <v>0</v>
      </c>
      <c r="G282" s="37">
        <v>0</v>
      </c>
      <c r="H282" s="37">
        <v>0</v>
      </c>
      <c r="I282" s="38">
        <f t="shared" si="69"/>
        <v>0</v>
      </c>
      <c r="J282" s="36">
        <v>4</v>
      </c>
      <c r="K282" s="36">
        <v>0</v>
      </c>
      <c r="L282" s="36">
        <v>0</v>
      </c>
      <c r="M282" s="36">
        <v>0</v>
      </c>
      <c r="N282" s="36">
        <v>0</v>
      </c>
      <c r="O282" s="36">
        <v>0</v>
      </c>
      <c r="P282" s="36">
        <v>0.59</v>
      </c>
      <c r="Q282" s="36">
        <v>483.55</v>
      </c>
      <c r="R282" s="36">
        <v>0</v>
      </c>
      <c r="S282" s="36">
        <v>0</v>
      </c>
      <c r="T282" s="36">
        <v>7.5</v>
      </c>
      <c r="U282" s="36">
        <v>0</v>
      </c>
      <c r="V282" s="36"/>
      <c r="W282" s="36">
        <v>0</v>
      </c>
      <c r="X282" s="38">
        <f t="shared" si="70"/>
        <v>495.64</v>
      </c>
      <c r="Y282" s="36">
        <v>0</v>
      </c>
      <c r="Z282" s="36">
        <v>0</v>
      </c>
      <c r="AA282" s="38">
        <f t="shared" si="71"/>
        <v>0</v>
      </c>
      <c r="AB282" s="36">
        <v>0</v>
      </c>
      <c r="AC282" s="36">
        <v>0</v>
      </c>
      <c r="AD282" s="36">
        <v>0</v>
      </c>
      <c r="AE282" s="36">
        <v>0</v>
      </c>
      <c r="AF282" s="38">
        <f t="shared" si="72"/>
        <v>0</v>
      </c>
      <c r="AG282" s="36">
        <v>0</v>
      </c>
      <c r="AH282" s="38">
        <f t="shared" si="73"/>
        <v>0</v>
      </c>
      <c r="AI282" s="38">
        <f t="shared" si="74"/>
        <v>495.64</v>
      </c>
    </row>
    <row r="283" spans="1:35" ht="16.5">
      <c r="A283" s="124"/>
      <c r="B283" s="35">
        <v>44624</v>
      </c>
      <c r="C283" s="36">
        <v>44.59</v>
      </c>
      <c r="D283" s="37">
        <v>0</v>
      </c>
      <c r="E283" s="37">
        <v>0</v>
      </c>
      <c r="F283" s="37">
        <v>0</v>
      </c>
      <c r="G283" s="37">
        <v>0</v>
      </c>
      <c r="H283" s="37">
        <v>0</v>
      </c>
      <c r="I283" s="38">
        <f t="shared" si="69"/>
        <v>44.59</v>
      </c>
      <c r="J283" s="36">
        <v>76</v>
      </c>
      <c r="K283" s="36">
        <v>1</v>
      </c>
      <c r="L283" s="36">
        <v>581.53</v>
      </c>
      <c r="M283" s="36">
        <v>2637.15</v>
      </c>
      <c r="N283" s="36">
        <v>22.7</v>
      </c>
      <c r="O283" s="36">
        <v>0</v>
      </c>
      <c r="P283" s="36">
        <f>3.86+17.01+337.44</f>
        <v>358.31</v>
      </c>
      <c r="Q283" s="36">
        <v>695.23</v>
      </c>
      <c r="R283" s="36">
        <v>142.44</v>
      </c>
      <c r="S283" s="36">
        <v>0</v>
      </c>
      <c r="T283" s="36">
        <v>0</v>
      </c>
      <c r="U283" s="36">
        <v>115</v>
      </c>
      <c r="V283" s="36"/>
      <c r="W283" s="36">
        <v>0</v>
      </c>
      <c r="X283" s="38">
        <f t="shared" si="70"/>
        <v>4629.3599999999997</v>
      </c>
      <c r="Y283" s="36">
        <v>340.25</v>
      </c>
      <c r="Z283" s="36">
        <v>0</v>
      </c>
      <c r="AA283" s="38">
        <f t="shared" si="71"/>
        <v>340.25</v>
      </c>
      <c r="AB283" s="36">
        <f>780.78+0.84</f>
        <v>781.62</v>
      </c>
      <c r="AC283" s="36">
        <v>0</v>
      </c>
      <c r="AD283" s="36">
        <f>358.4+11.44</f>
        <v>369.84</v>
      </c>
      <c r="AE283" s="36">
        <v>0</v>
      </c>
      <c r="AF283" s="38">
        <f t="shared" si="72"/>
        <v>1151.46</v>
      </c>
      <c r="AG283" s="36">
        <v>3263.18</v>
      </c>
      <c r="AH283" s="38">
        <f t="shared" si="73"/>
        <v>3263.18</v>
      </c>
      <c r="AI283" s="38">
        <f t="shared" si="74"/>
        <v>9428.84</v>
      </c>
    </row>
    <row r="284" spans="1:35" ht="16.5">
      <c r="A284" s="124"/>
      <c r="B284" s="35">
        <v>44627</v>
      </c>
      <c r="C284" s="36">
        <v>122.2</v>
      </c>
      <c r="D284" s="37">
        <v>0</v>
      </c>
      <c r="E284" s="37">
        <v>0</v>
      </c>
      <c r="F284" s="37">
        <v>0</v>
      </c>
      <c r="G284" s="37">
        <v>0</v>
      </c>
      <c r="H284" s="37">
        <v>0</v>
      </c>
      <c r="I284" s="38">
        <f t="shared" si="69"/>
        <v>122.2</v>
      </c>
      <c r="J284" s="36">
        <v>86</v>
      </c>
      <c r="K284" s="36">
        <v>0</v>
      </c>
      <c r="L284" s="36">
        <v>219.64</v>
      </c>
      <c r="M284" s="36">
        <v>1344.91</v>
      </c>
      <c r="N284" s="36">
        <v>22.89</v>
      </c>
      <c r="O284" s="36">
        <v>0</v>
      </c>
      <c r="P284" s="36">
        <f>9.85+14.72+120.72</f>
        <v>145.29</v>
      </c>
      <c r="Q284" s="36">
        <f>559.69+18</f>
        <v>577.69000000000005</v>
      </c>
      <c r="R284" s="36">
        <v>104.19</v>
      </c>
      <c r="S284" s="36">
        <v>0</v>
      </c>
      <c r="T284" s="36">
        <v>0</v>
      </c>
      <c r="U284" s="36">
        <v>36</v>
      </c>
      <c r="V284" s="36">
        <v>110.85</v>
      </c>
      <c r="W284" s="36">
        <v>0</v>
      </c>
      <c r="X284" s="38">
        <f t="shared" si="70"/>
        <v>2647.46</v>
      </c>
      <c r="Y284" s="36">
        <v>295.25</v>
      </c>
      <c r="Z284" s="36">
        <v>0</v>
      </c>
      <c r="AA284" s="38">
        <f t="shared" si="71"/>
        <v>295.25</v>
      </c>
      <c r="AB284" s="36">
        <f>8.8+1.18</f>
        <v>9.98</v>
      </c>
      <c r="AC284" s="36">
        <v>5.71</v>
      </c>
      <c r="AD284" s="36">
        <f>9.6+5.04</f>
        <v>14.64</v>
      </c>
      <c r="AE284" s="36">
        <v>0</v>
      </c>
      <c r="AF284" s="38">
        <f t="shared" si="72"/>
        <v>30.330000000000002</v>
      </c>
      <c r="AG284" s="36">
        <v>122.83</v>
      </c>
      <c r="AH284" s="38">
        <f t="shared" si="73"/>
        <v>122.83</v>
      </c>
      <c r="AI284" s="38">
        <f t="shared" si="74"/>
        <v>3218.07</v>
      </c>
    </row>
    <row r="285" spans="1:35" ht="16.5">
      <c r="A285" s="124"/>
      <c r="B285" s="35">
        <v>44628</v>
      </c>
      <c r="C285" s="37">
        <v>1480.78</v>
      </c>
      <c r="D285" s="37">
        <v>0</v>
      </c>
      <c r="E285" s="37">
        <v>10.29</v>
      </c>
      <c r="F285" s="37">
        <v>0</v>
      </c>
      <c r="G285" s="37">
        <v>0</v>
      </c>
      <c r="H285" s="37">
        <v>0</v>
      </c>
      <c r="I285" s="38">
        <f t="shared" si="69"/>
        <v>1491.07</v>
      </c>
      <c r="J285" s="36">
        <f>58+3</f>
        <v>61</v>
      </c>
      <c r="K285" s="36">
        <v>0</v>
      </c>
      <c r="L285" s="36">
        <v>693.53</v>
      </c>
      <c r="M285" s="36">
        <v>5833.43</v>
      </c>
      <c r="N285" s="36">
        <v>29.78</v>
      </c>
      <c r="O285" s="36">
        <v>6</v>
      </c>
      <c r="P285" s="36">
        <f>4.57+8.3+988.99</f>
        <v>1001.86</v>
      </c>
      <c r="Q285" s="36">
        <v>477.56</v>
      </c>
      <c r="R285" s="36">
        <v>200.34</v>
      </c>
      <c r="S285" s="36">
        <v>8126.91</v>
      </c>
      <c r="T285" s="36">
        <v>0</v>
      </c>
      <c r="U285" s="36">
        <f>627.97+27</f>
        <v>654.97</v>
      </c>
      <c r="V285" s="36"/>
      <c r="W285" s="36">
        <v>0</v>
      </c>
      <c r="X285" s="38">
        <f t="shared" si="70"/>
        <v>17085.38</v>
      </c>
      <c r="Y285" s="36">
        <v>166.35</v>
      </c>
      <c r="Z285" s="36">
        <v>0</v>
      </c>
      <c r="AA285" s="38">
        <f t="shared" si="71"/>
        <v>166.35</v>
      </c>
      <c r="AB285" s="36">
        <f>531.19+3.99</f>
        <v>535.18000000000006</v>
      </c>
      <c r="AC285" s="36">
        <v>0</v>
      </c>
      <c r="AD285" s="36">
        <f>280.29+2.86</f>
        <v>283.15000000000003</v>
      </c>
      <c r="AE285" s="36">
        <v>0</v>
      </c>
      <c r="AF285" s="38">
        <f t="shared" si="72"/>
        <v>818.33000000000015</v>
      </c>
      <c r="AG285" s="36">
        <v>3396.38</v>
      </c>
      <c r="AH285" s="38">
        <f t="shared" si="73"/>
        <v>3396.38</v>
      </c>
      <c r="AI285" s="38">
        <f t="shared" si="74"/>
        <v>22957.510000000002</v>
      </c>
    </row>
    <row r="286" spans="1:35" ht="16.5">
      <c r="A286" s="124"/>
      <c r="B286" s="35">
        <v>44629</v>
      </c>
      <c r="C286" s="36">
        <v>18</v>
      </c>
      <c r="D286" s="39">
        <v>0</v>
      </c>
      <c r="E286" s="39">
        <v>10.29</v>
      </c>
      <c r="F286" s="39">
        <v>0</v>
      </c>
      <c r="G286" s="39">
        <v>0</v>
      </c>
      <c r="H286" s="39">
        <v>0</v>
      </c>
      <c r="I286" s="38">
        <f t="shared" si="69"/>
        <v>28.29</v>
      </c>
      <c r="J286" s="36">
        <f>37+3</f>
        <v>40</v>
      </c>
      <c r="K286" s="36">
        <v>0</v>
      </c>
      <c r="L286" s="36">
        <v>295.2</v>
      </c>
      <c r="M286" s="36">
        <v>1621.16</v>
      </c>
      <c r="N286" s="36">
        <v>12.75</v>
      </c>
      <c r="O286" s="36">
        <v>0</v>
      </c>
      <c r="P286" s="36">
        <f>632.96+5.74+324.2</f>
        <v>962.90000000000009</v>
      </c>
      <c r="Q286" s="36">
        <v>124.34</v>
      </c>
      <c r="R286" s="36">
        <v>59.14</v>
      </c>
      <c r="S286" s="36">
        <v>0</v>
      </c>
      <c r="T286" s="36">
        <v>5</v>
      </c>
      <c r="U286" s="36">
        <v>90</v>
      </c>
      <c r="V286" s="36">
        <v>13241.83</v>
      </c>
      <c r="W286" s="36">
        <v>0</v>
      </c>
      <c r="X286" s="38">
        <f t="shared" si="70"/>
        <v>16452.32</v>
      </c>
      <c r="Y286" s="36">
        <v>115.35</v>
      </c>
      <c r="Z286" s="36">
        <v>0</v>
      </c>
      <c r="AA286" s="38">
        <f t="shared" si="71"/>
        <v>115.35</v>
      </c>
      <c r="AB286" s="36">
        <v>482.98</v>
      </c>
      <c r="AC286" s="36">
        <v>0</v>
      </c>
      <c r="AD286" s="36">
        <v>216.38</v>
      </c>
      <c r="AE286" s="36">
        <v>0</v>
      </c>
      <c r="AF286" s="38">
        <f t="shared" si="72"/>
        <v>699.36</v>
      </c>
      <c r="AG286" s="36">
        <v>2208.09</v>
      </c>
      <c r="AH286" s="38">
        <f t="shared" si="73"/>
        <v>2208.09</v>
      </c>
      <c r="AI286" s="38">
        <f t="shared" si="74"/>
        <v>19503.41</v>
      </c>
    </row>
    <row r="287" spans="1:35" ht="16.5">
      <c r="A287" s="124"/>
      <c r="B287" s="35">
        <v>44630</v>
      </c>
      <c r="C287" s="115">
        <v>220.2</v>
      </c>
      <c r="D287" s="39">
        <v>3928.1</v>
      </c>
      <c r="E287" s="39">
        <v>17.149999999999999</v>
      </c>
      <c r="F287" s="39">
        <v>0</v>
      </c>
      <c r="G287" s="39">
        <v>0</v>
      </c>
      <c r="H287" s="39">
        <v>0</v>
      </c>
      <c r="I287" s="38">
        <f t="shared" si="69"/>
        <v>4165.45</v>
      </c>
      <c r="J287" s="36">
        <v>56</v>
      </c>
      <c r="K287" s="36">
        <v>1</v>
      </c>
      <c r="L287" s="36">
        <v>240.19</v>
      </c>
      <c r="M287" s="36">
        <v>2213.2800000000002</v>
      </c>
      <c r="N287" s="36">
        <v>1.03</v>
      </c>
      <c r="O287" s="36">
        <v>0</v>
      </c>
      <c r="P287" s="36">
        <f>179.62+9.89+354.82</f>
        <v>544.32999999999993</v>
      </c>
      <c r="Q287" s="36">
        <v>179.08</v>
      </c>
      <c r="R287" s="36">
        <v>89.97</v>
      </c>
      <c r="S287" s="36">
        <v>0</v>
      </c>
      <c r="T287" s="36">
        <v>0</v>
      </c>
      <c r="U287" s="36">
        <v>219</v>
      </c>
      <c r="V287" s="36">
        <v>3535.28</v>
      </c>
      <c r="W287" s="36">
        <v>0</v>
      </c>
      <c r="X287" s="38">
        <f t="shared" si="70"/>
        <v>7079.16</v>
      </c>
      <c r="Y287" s="36">
        <v>198.2</v>
      </c>
      <c r="Z287" s="36">
        <v>0</v>
      </c>
      <c r="AA287" s="38">
        <f t="shared" si="71"/>
        <v>198.2</v>
      </c>
      <c r="AB287" s="36">
        <f>74.05+1.08</f>
        <v>75.13</v>
      </c>
      <c r="AC287" s="36">
        <v>0</v>
      </c>
      <c r="AD287" s="36">
        <f>29.94+4.92</f>
        <v>34.86</v>
      </c>
      <c r="AE287" s="36">
        <v>0</v>
      </c>
      <c r="AF287" s="38">
        <f t="shared" si="72"/>
        <v>109.99</v>
      </c>
      <c r="AG287" s="36">
        <v>749.77</v>
      </c>
      <c r="AH287" s="38">
        <f t="shared" si="73"/>
        <v>749.77</v>
      </c>
      <c r="AI287" s="38">
        <f t="shared" si="74"/>
        <v>12302.57</v>
      </c>
    </row>
    <row r="288" spans="1:35" ht="16.5">
      <c r="A288" s="124"/>
      <c r="B288" s="35">
        <v>44631</v>
      </c>
      <c r="C288" s="36">
        <v>351.6</v>
      </c>
      <c r="D288" s="39">
        <v>0</v>
      </c>
      <c r="E288" s="39">
        <v>6.86</v>
      </c>
      <c r="F288" s="39">
        <v>0</v>
      </c>
      <c r="G288" s="39">
        <v>163.68</v>
      </c>
      <c r="H288" s="39">
        <v>0</v>
      </c>
      <c r="I288" s="38">
        <f t="shared" si="69"/>
        <v>522.1400000000001</v>
      </c>
      <c r="J288" s="36">
        <v>33</v>
      </c>
      <c r="K288" s="36">
        <v>1</v>
      </c>
      <c r="L288" s="36">
        <v>86.44</v>
      </c>
      <c r="M288" s="36">
        <v>874.55</v>
      </c>
      <c r="N288" s="36">
        <v>0.76</v>
      </c>
      <c r="O288" s="36">
        <v>6</v>
      </c>
      <c r="P288" s="36">
        <f>13.74+35.9+191.81</f>
        <v>241.45</v>
      </c>
      <c r="Q288" s="36">
        <v>135.13999999999999</v>
      </c>
      <c r="R288" s="36">
        <v>221.31</v>
      </c>
      <c r="S288" s="36">
        <v>0</v>
      </c>
      <c r="T288" s="36">
        <v>0</v>
      </c>
      <c r="U288" s="36">
        <v>79</v>
      </c>
      <c r="V288" s="36">
        <v>234.78</v>
      </c>
      <c r="W288" s="36">
        <v>0</v>
      </c>
      <c r="X288" s="38">
        <f t="shared" si="70"/>
        <v>1913.43</v>
      </c>
      <c r="Y288" s="36">
        <v>720.75</v>
      </c>
      <c r="Z288" s="36">
        <v>0</v>
      </c>
      <c r="AA288" s="38">
        <f t="shared" si="71"/>
        <v>720.75</v>
      </c>
      <c r="AB288" s="36">
        <f>484.88+6.75</f>
        <v>491.63</v>
      </c>
      <c r="AC288" s="36">
        <v>0</v>
      </c>
      <c r="AD288" s="36">
        <f>197.42+26.4</f>
        <v>223.82</v>
      </c>
      <c r="AE288" s="36">
        <v>0</v>
      </c>
      <c r="AF288" s="38">
        <f t="shared" si="72"/>
        <v>715.45</v>
      </c>
      <c r="AG288" s="36">
        <v>2054.75</v>
      </c>
      <c r="AH288" s="38">
        <f t="shared" si="73"/>
        <v>2054.75</v>
      </c>
      <c r="AI288" s="38">
        <f t="shared" si="74"/>
        <v>5926.52</v>
      </c>
    </row>
    <row r="289" spans="1:35" ht="16.5">
      <c r="A289" s="124"/>
      <c r="B289" s="35">
        <v>44634</v>
      </c>
      <c r="C289" s="36">
        <v>710.6</v>
      </c>
      <c r="D289" s="39">
        <v>0</v>
      </c>
      <c r="E289" s="39">
        <v>0</v>
      </c>
      <c r="F289" s="39">
        <v>0</v>
      </c>
      <c r="G289" s="39">
        <v>7</v>
      </c>
      <c r="H289" s="39">
        <v>0</v>
      </c>
      <c r="I289" s="38">
        <f t="shared" si="69"/>
        <v>717.6</v>
      </c>
      <c r="J289" s="36">
        <v>100.5</v>
      </c>
      <c r="K289" s="36">
        <v>1</v>
      </c>
      <c r="L289" s="36">
        <v>528.54</v>
      </c>
      <c r="M289" s="36">
        <v>2248.3000000000002</v>
      </c>
      <c r="N289" s="36">
        <v>12.57</v>
      </c>
      <c r="O289" s="36">
        <v>6</v>
      </c>
      <c r="P289" s="36">
        <f>5.68+55.99+2532.36</f>
        <v>2594.0300000000002</v>
      </c>
      <c r="Q289" s="36">
        <v>122.89</v>
      </c>
      <c r="R289" s="36">
        <v>92.64</v>
      </c>
      <c r="S289" s="36">
        <f>39440+7260</f>
        <v>46700</v>
      </c>
      <c r="T289" s="36">
        <v>2.5</v>
      </c>
      <c r="U289" s="36">
        <v>163</v>
      </c>
      <c r="V289" s="36">
        <v>3</v>
      </c>
      <c r="W289" s="36">
        <v>0</v>
      </c>
      <c r="X289" s="38">
        <f t="shared" si="70"/>
        <v>52574.97</v>
      </c>
      <c r="Y289" s="36">
        <v>1127.0999999999999</v>
      </c>
      <c r="Z289" s="36">
        <v>0</v>
      </c>
      <c r="AA289" s="38">
        <f t="shared" si="71"/>
        <v>1127.0999999999999</v>
      </c>
      <c r="AB289" s="36">
        <f>117.05+10.93</f>
        <v>127.97999999999999</v>
      </c>
      <c r="AC289" s="36">
        <v>6</v>
      </c>
      <c r="AD289" s="36">
        <f>40.07+43.73</f>
        <v>83.8</v>
      </c>
      <c r="AE289" s="36">
        <v>0</v>
      </c>
      <c r="AF289" s="38">
        <f t="shared" si="72"/>
        <v>217.77999999999997</v>
      </c>
      <c r="AG289" s="36">
        <v>343.35</v>
      </c>
      <c r="AH289" s="38">
        <f t="shared" si="73"/>
        <v>343.35</v>
      </c>
      <c r="AI289" s="38">
        <f t="shared" si="74"/>
        <v>54980.800000000003</v>
      </c>
    </row>
    <row r="290" spans="1:35" ht="16.5">
      <c r="A290" s="124"/>
      <c r="B290" s="35">
        <v>44635</v>
      </c>
      <c r="C290" s="36">
        <v>992.6</v>
      </c>
      <c r="D290" s="39">
        <v>0</v>
      </c>
      <c r="E290" s="39">
        <v>10.29</v>
      </c>
      <c r="F290" s="39">
        <v>0</v>
      </c>
      <c r="G290" s="39">
        <v>0</v>
      </c>
      <c r="H290" s="39">
        <v>0</v>
      </c>
      <c r="I290" s="38">
        <f t="shared" si="69"/>
        <v>1002.89</v>
      </c>
      <c r="J290" s="36">
        <f>6+78.5</f>
        <v>84.5</v>
      </c>
      <c r="K290" s="36">
        <v>0</v>
      </c>
      <c r="L290" s="36">
        <v>506.76</v>
      </c>
      <c r="M290" s="36">
        <v>1629.85</v>
      </c>
      <c r="N290" s="36">
        <v>2.04</v>
      </c>
      <c r="O290" s="36">
        <v>20</v>
      </c>
      <c r="P290" s="36">
        <f>426.45+46.12+257.86</f>
        <v>730.43000000000006</v>
      </c>
      <c r="Q290" s="36">
        <v>547.84</v>
      </c>
      <c r="R290" s="36">
        <v>151.99</v>
      </c>
      <c r="S290" s="36">
        <v>0</v>
      </c>
      <c r="T290" s="36">
        <v>2.5</v>
      </c>
      <c r="U290" s="36">
        <v>162</v>
      </c>
      <c r="V290" s="36">
        <v>8450.66</v>
      </c>
      <c r="W290" s="36">
        <v>0</v>
      </c>
      <c r="X290" s="38">
        <f t="shared" si="70"/>
        <v>12288.57</v>
      </c>
      <c r="Y290" s="36">
        <v>926.45</v>
      </c>
      <c r="Z290" s="36">
        <v>0</v>
      </c>
      <c r="AA290" s="38">
        <f t="shared" si="71"/>
        <v>926.45</v>
      </c>
      <c r="AB290" s="36">
        <f>573.1+12.44</f>
        <v>585.54000000000008</v>
      </c>
      <c r="AC290" s="36">
        <v>0</v>
      </c>
      <c r="AD290" s="36">
        <f>264.87+19.22</f>
        <v>284.09000000000003</v>
      </c>
      <c r="AE290" s="36">
        <v>0</v>
      </c>
      <c r="AF290" s="38">
        <f t="shared" si="72"/>
        <v>869.63000000000011</v>
      </c>
      <c r="AG290" s="36">
        <v>1605.49</v>
      </c>
      <c r="AH290" s="38">
        <f t="shared" si="73"/>
        <v>1605.49</v>
      </c>
      <c r="AI290" s="38">
        <f t="shared" si="74"/>
        <v>16693.03</v>
      </c>
    </row>
    <row r="291" spans="1:35" ht="16.5">
      <c r="A291" s="124"/>
      <c r="B291" s="35">
        <v>44636</v>
      </c>
      <c r="C291" s="36">
        <v>314</v>
      </c>
      <c r="D291" s="36">
        <v>0</v>
      </c>
      <c r="E291" s="36">
        <v>3.43</v>
      </c>
      <c r="F291" s="36">
        <v>0</v>
      </c>
      <c r="G291" s="36">
        <v>13.5</v>
      </c>
      <c r="H291" s="36">
        <v>0</v>
      </c>
      <c r="I291" s="38">
        <f t="shared" si="69"/>
        <v>330.93</v>
      </c>
      <c r="J291" s="36">
        <f>33.5+3</f>
        <v>36.5</v>
      </c>
      <c r="K291" s="36">
        <v>0</v>
      </c>
      <c r="L291" s="36">
        <v>340.51</v>
      </c>
      <c r="M291" s="36">
        <v>517.09</v>
      </c>
      <c r="N291" s="36">
        <v>3.94</v>
      </c>
      <c r="O291" s="36">
        <v>6</v>
      </c>
      <c r="P291" s="36">
        <f>27.24+43.07+77.72</f>
        <v>148.03</v>
      </c>
      <c r="Q291" s="36">
        <v>108</v>
      </c>
      <c r="R291" s="36">
        <v>180.32</v>
      </c>
      <c r="S291" s="36">
        <v>12</v>
      </c>
      <c r="T291" s="36">
        <v>5</v>
      </c>
      <c r="U291" s="36">
        <v>63</v>
      </c>
      <c r="V291" s="36">
        <v>5091.1099999999997</v>
      </c>
      <c r="W291" s="36">
        <v>0</v>
      </c>
      <c r="X291" s="38">
        <f t="shared" si="70"/>
        <v>6511.5</v>
      </c>
      <c r="Y291" s="36">
        <v>863.55</v>
      </c>
      <c r="Z291" s="36">
        <v>0</v>
      </c>
      <c r="AA291" s="38">
        <f t="shared" si="71"/>
        <v>863.55</v>
      </c>
      <c r="AB291" s="36">
        <f>2.21+7.64</f>
        <v>9.85</v>
      </c>
      <c r="AC291" s="36">
        <v>0</v>
      </c>
      <c r="AD291" s="36">
        <f>5.72+13.98</f>
        <v>19.7</v>
      </c>
      <c r="AE291" s="36">
        <v>0</v>
      </c>
      <c r="AF291" s="38">
        <f t="shared" si="72"/>
        <v>29.549999999999997</v>
      </c>
      <c r="AG291" s="36">
        <v>58.58</v>
      </c>
      <c r="AH291" s="38">
        <f t="shared" si="73"/>
        <v>58.58</v>
      </c>
      <c r="AI291" s="38">
        <f t="shared" si="74"/>
        <v>7794.11</v>
      </c>
    </row>
    <row r="292" spans="1:35" ht="16.5">
      <c r="A292" s="124"/>
      <c r="B292" s="35">
        <v>44637</v>
      </c>
      <c r="C292" s="36"/>
      <c r="D292" s="36"/>
      <c r="E292" s="36"/>
      <c r="F292" s="36"/>
      <c r="G292" s="36"/>
      <c r="H292" s="36"/>
      <c r="I292" s="38">
        <f t="shared" si="69"/>
        <v>0</v>
      </c>
      <c r="J292" s="36"/>
      <c r="K292" s="36"/>
      <c r="L292" s="36"/>
      <c r="M292" s="36"/>
      <c r="N292" s="36"/>
      <c r="O292" s="36"/>
      <c r="P292" s="36"/>
      <c r="Q292" s="36"/>
      <c r="R292" s="36"/>
      <c r="S292" s="36"/>
      <c r="T292" s="36"/>
      <c r="U292" s="36"/>
      <c r="V292" s="36"/>
      <c r="W292" s="36"/>
      <c r="X292" s="38">
        <f t="shared" si="70"/>
        <v>0</v>
      </c>
      <c r="Y292" s="36"/>
      <c r="Z292" s="36"/>
      <c r="AA292" s="38">
        <f t="shared" si="71"/>
        <v>0</v>
      </c>
      <c r="AB292" s="36"/>
      <c r="AC292" s="36"/>
      <c r="AD292" s="36"/>
      <c r="AE292" s="36"/>
      <c r="AF292" s="38">
        <f t="shared" si="72"/>
        <v>0</v>
      </c>
      <c r="AG292" s="36"/>
      <c r="AH292" s="38">
        <f t="shared" si="73"/>
        <v>0</v>
      </c>
      <c r="AI292" s="38">
        <f t="shared" si="74"/>
        <v>0</v>
      </c>
    </row>
    <row r="293" spans="1:35" ht="16.5">
      <c r="A293" s="124"/>
      <c r="B293" s="35">
        <v>44638</v>
      </c>
      <c r="C293" s="36">
        <v>82</v>
      </c>
      <c r="D293" s="36">
        <v>0</v>
      </c>
      <c r="E293" s="36">
        <v>37.729999999999997</v>
      </c>
      <c r="F293" s="36">
        <v>0</v>
      </c>
      <c r="G293" s="36">
        <v>0</v>
      </c>
      <c r="H293" s="36">
        <v>0</v>
      </c>
      <c r="I293" s="38">
        <f t="shared" si="69"/>
        <v>119.72999999999999</v>
      </c>
      <c r="J293" s="36">
        <v>72.5</v>
      </c>
      <c r="K293" s="36">
        <v>0</v>
      </c>
      <c r="L293" s="36">
        <v>212.78</v>
      </c>
      <c r="M293" s="36">
        <v>1637.49</v>
      </c>
      <c r="N293" s="36">
        <v>13.4</v>
      </c>
      <c r="O293" s="36">
        <v>0</v>
      </c>
      <c r="P293" s="36">
        <f>14.13+35.12+141.04</f>
        <v>190.29</v>
      </c>
      <c r="Q293" s="36">
        <v>307.14999999999998</v>
      </c>
      <c r="R293" s="36">
        <v>31.94</v>
      </c>
      <c r="S293" s="36">
        <v>0</v>
      </c>
      <c r="T293" s="36">
        <v>7.5</v>
      </c>
      <c r="U293" s="36">
        <v>312</v>
      </c>
      <c r="V293" s="36">
        <v>204.95</v>
      </c>
      <c r="W293" s="36">
        <v>0</v>
      </c>
      <c r="X293" s="38">
        <f t="shared" si="70"/>
        <v>2990</v>
      </c>
      <c r="Y293" s="36">
        <v>704.75</v>
      </c>
      <c r="Z293" s="36">
        <v>0</v>
      </c>
      <c r="AA293" s="38">
        <f t="shared" si="71"/>
        <v>704.75</v>
      </c>
      <c r="AB293" s="36">
        <v>126.83</v>
      </c>
      <c r="AC293" s="36">
        <v>5.71</v>
      </c>
      <c r="AD293" s="36">
        <v>77.3</v>
      </c>
      <c r="AE293" s="36">
        <v>0</v>
      </c>
      <c r="AF293" s="38">
        <f t="shared" si="72"/>
        <v>209.83999999999997</v>
      </c>
      <c r="AG293" s="36">
        <v>593.25</v>
      </c>
      <c r="AH293" s="38">
        <f t="shared" si="73"/>
        <v>593.25</v>
      </c>
      <c r="AI293" s="38">
        <f t="shared" si="74"/>
        <v>4617.57</v>
      </c>
    </row>
    <row r="294" spans="1:35" ht="16.5">
      <c r="A294" s="124"/>
      <c r="B294" s="35">
        <v>44641</v>
      </c>
      <c r="C294" s="36">
        <v>3733.9</v>
      </c>
      <c r="D294" s="36">
        <v>0</v>
      </c>
      <c r="E294" s="36">
        <v>0</v>
      </c>
      <c r="F294" s="36">
        <v>0</v>
      </c>
      <c r="G294" s="36">
        <v>69</v>
      </c>
      <c r="H294" s="36">
        <v>0</v>
      </c>
      <c r="I294" s="38">
        <f t="shared" si="69"/>
        <v>3802.9</v>
      </c>
      <c r="J294" s="36">
        <v>57</v>
      </c>
      <c r="K294" s="36">
        <v>1</v>
      </c>
      <c r="L294" s="36">
        <v>602.78</v>
      </c>
      <c r="M294" s="36">
        <v>3860.15</v>
      </c>
      <c r="N294" s="36">
        <v>11.72</v>
      </c>
      <c r="O294" s="36">
        <v>16</v>
      </c>
      <c r="P294" s="36">
        <f>24.71+29.93+455.8</f>
        <v>510.44</v>
      </c>
      <c r="Q294" s="36">
        <v>0</v>
      </c>
      <c r="R294" s="36">
        <v>252.83</v>
      </c>
      <c r="S294" s="36">
        <v>0</v>
      </c>
      <c r="T294" s="36">
        <v>5</v>
      </c>
      <c r="U294" s="36">
        <v>9</v>
      </c>
      <c r="V294" s="36">
        <v>425</v>
      </c>
      <c r="W294" s="36">
        <v>0</v>
      </c>
      <c r="X294" s="38">
        <f t="shared" si="70"/>
        <v>5750.92</v>
      </c>
      <c r="Y294" s="36">
        <v>601.45000000000005</v>
      </c>
      <c r="Z294" s="36">
        <v>0</v>
      </c>
      <c r="AA294" s="38">
        <f t="shared" si="71"/>
        <v>601.45000000000005</v>
      </c>
      <c r="AB294" s="36">
        <v>179.9</v>
      </c>
      <c r="AC294" s="36">
        <v>0</v>
      </c>
      <c r="AD294" s="36">
        <v>109.06</v>
      </c>
      <c r="AE294" s="36">
        <v>0</v>
      </c>
      <c r="AF294" s="38">
        <f t="shared" si="72"/>
        <v>288.96000000000004</v>
      </c>
      <c r="AG294" s="36">
        <v>538.11</v>
      </c>
      <c r="AH294" s="38">
        <f t="shared" si="73"/>
        <v>538.11</v>
      </c>
      <c r="AI294" s="38">
        <f t="shared" si="74"/>
        <v>10982.34</v>
      </c>
    </row>
    <row r="295" spans="1:35" ht="16.5">
      <c r="A295" s="124"/>
      <c r="B295" s="35">
        <v>44642</v>
      </c>
      <c r="C295" s="36"/>
      <c r="D295" s="36"/>
      <c r="E295" s="36"/>
      <c r="F295" s="36"/>
      <c r="G295" s="36"/>
      <c r="H295" s="36"/>
      <c r="I295" s="38">
        <f t="shared" si="69"/>
        <v>0</v>
      </c>
      <c r="J295" s="36"/>
      <c r="K295" s="36"/>
      <c r="L295" s="36"/>
      <c r="M295" s="36"/>
      <c r="N295" s="36"/>
      <c r="O295" s="36"/>
      <c r="P295" s="36"/>
      <c r="Q295" s="36"/>
      <c r="R295" s="36"/>
      <c r="S295" s="36"/>
      <c r="T295" s="36"/>
      <c r="U295" s="36"/>
      <c r="V295" s="36"/>
      <c r="W295" s="36"/>
      <c r="X295" s="38">
        <f t="shared" si="70"/>
        <v>0</v>
      </c>
      <c r="Y295" s="36"/>
      <c r="Z295" s="36"/>
      <c r="AA295" s="38">
        <f t="shared" si="71"/>
        <v>0</v>
      </c>
      <c r="AB295" s="36"/>
      <c r="AC295" s="36"/>
      <c r="AD295" s="36"/>
      <c r="AE295" s="36"/>
      <c r="AF295" s="38">
        <f t="shared" si="72"/>
        <v>0</v>
      </c>
      <c r="AG295" s="36"/>
      <c r="AH295" s="38">
        <f t="shared" si="73"/>
        <v>0</v>
      </c>
      <c r="AI295" s="38">
        <f t="shared" si="74"/>
        <v>0</v>
      </c>
    </row>
    <row r="296" spans="1:35" ht="16.5">
      <c r="A296" s="124"/>
      <c r="B296" s="35">
        <v>44643</v>
      </c>
      <c r="C296" s="36">
        <v>154.5</v>
      </c>
      <c r="D296" s="36">
        <v>0</v>
      </c>
      <c r="E296" s="36">
        <v>6.86</v>
      </c>
      <c r="F296" s="36">
        <v>0</v>
      </c>
      <c r="G296" s="36">
        <v>36</v>
      </c>
      <c r="H296" s="36">
        <v>0</v>
      </c>
      <c r="I296" s="38">
        <f t="shared" si="69"/>
        <v>197.36</v>
      </c>
      <c r="J296" s="36">
        <f>34+6</f>
        <v>40</v>
      </c>
      <c r="K296" s="36">
        <v>0</v>
      </c>
      <c r="L296" s="36">
        <v>188.45</v>
      </c>
      <c r="M296" s="36">
        <v>3029.63</v>
      </c>
      <c r="N296" s="36">
        <v>1.41</v>
      </c>
      <c r="O296" s="36">
        <v>6</v>
      </c>
      <c r="P296" s="36">
        <f>358.79+18+328.72</f>
        <v>705.51</v>
      </c>
      <c r="Q296" s="36">
        <v>845.02</v>
      </c>
      <c r="R296" s="36">
        <v>46.08</v>
      </c>
      <c r="S296" s="36">
        <v>0</v>
      </c>
      <c r="T296" s="36">
        <v>0</v>
      </c>
      <c r="U296" s="36">
        <v>1355.26</v>
      </c>
      <c r="V296" s="36">
        <v>7138.82</v>
      </c>
      <c r="W296" s="36">
        <v>0</v>
      </c>
      <c r="X296" s="38">
        <f t="shared" si="70"/>
        <v>13356.18</v>
      </c>
      <c r="Y296" s="36">
        <v>361.45</v>
      </c>
      <c r="Z296" s="36">
        <v>0</v>
      </c>
      <c r="AA296" s="38">
        <f t="shared" si="71"/>
        <v>361.45</v>
      </c>
      <c r="AB296" s="36">
        <f>320.59+0.64</f>
        <v>321.22999999999996</v>
      </c>
      <c r="AC296" s="36">
        <v>0</v>
      </c>
      <c r="AD296" s="36">
        <f>150.03+8.58</f>
        <v>158.61000000000001</v>
      </c>
      <c r="AE296" s="36">
        <v>0</v>
      </c>
      <c r="AF296" s="38">
        <f t="shared" si="72"/>
        <v>479.84</v>
      </c>
      <c r="AG296" s="36">
        <v>1410.77</v>
      </c>
      <c r="AH296" s="38">
        <f t="shared" si="73"/>
        <v>1410.77</v>
      </c>
      <c r="AI296" s="38">
        <f t="shared" si="74"/>
        <v>15805.6</v>
      </c>
    </row>
    <row r="297" spans="1:35" ht="16.5">
      <c r="A297" s="124"/>
      <c r="B297" s="35">
        <v>44644</v>
      </c>
      <c r="C297" s="36">
        <v>389.04</v>
      </c>
      <c r="D297" s="36">
        <v>0</v>
      </c>
      <c r="E297" s="36">
        <v>10.29</v>
      </c>
      <c r="F297" s="36">
        <v>0</v>
      </c>
      <c r="G297" s="36">
        <v>0</v>
      </c>
      <c r="H297" s="36">
        <v>0</v>
      </c>
      <c r="I297" s="38">
        <f t="shared" si="69"/>
        <v>399.33000000000004</v>
      </c>
      <c r="J297" s="36">
        <f>31+3</f>
        <v>34</v>
      </c>
      <c r="K297" s="36">
        <v>0</v>
      </c>
      <c r="L297" s="36">
        <v>2777.84</v>
      </c>
      <c r="M297" s="36">
        <v>7833.38</v>
      </c>
      <c r="N297" s="36">
        <v>52.92</v>
      </c>
      <c r="O297" s="36">
        <v>0</v>
      </c>
      <c r="P297" s="36">
        <f>1.7+12.15+578.74</f>
        <v>592.59</v>
      </c>
      <c r="Q297" s="36">
        <v>188.54</v>
      </c>
      <c r="R297" s="36">
        <v>685.59</v>
      </c>
      <c r="S297" s="36">
        <v>0</v>
      </c>
      <c r="T297" s="36">
        <v>0</v>
      </c>
      <c r="U297" s="36">
        <v>310</v>
      </c>
      <c r="V297" s="36">
        <v>8.7100000000000009</v>
      </c>
      <c r="W297" s="36">
        <v>0</v>
      </c>
      <c r="X297" s="38">
        <f t="shared" si="70"/>
        <v>12483.570000000002</v>
      </c>
      <c r="Y297" s="36">
        <v>244.3</v>
      </c>
      <c r="Z297" s="36">
        <v>0</v>
      </c>
      <c r="AA297" s="38">
        <f t="shared" si="71"/>
        <v>244.3</v>
      </c>
      <c r="AB297" s="36">
        <v>7.8</v>
      </c>
      <c r="AC297" s="36">
        <v>0</v>
      </c>
      <c r="AD297" s="36">
        <v>8.4499999999999993</v>
      </c>
      <c r="AE297" s="36">
        <v>0</v>
      </c>
      <c r="AF297" s="38">
        <f t="shared" si="72"/>
        <v>16.25</v>
      </c>
      <c r="AG297" s="36">
        <v>183.76</v>
      </c>
      <c r="AH297" s="38">
        <f t="shared" si="73"/>
        <v>183.76</v>
      </c>
      <c r="AI297" s="38">
        <f t="shared" si="74"/>
        <v>13327.210000000001</v>
      </c>
    </row>
    <row r="298" spans="1:35" ht="16.5">
      <c r="A298" s="124"/>
      <c r="B298" s="35">
        <v>44645</v>
      </c>
      <c r="C298" s="36">
        <v>1.5</v>
      </c>
      <c r="D298" s="36">
        <v>0</v>
      </c>
      <c r="E298" s="36">
        <v>6.86</v>
      </c>
      <c r="F298" s="36">
        <v>0</v>
      </c>
      <c r="G298" s="36">
        <v>3</v>
      </c>
      <c r="H298" s="36">
        <v>0</v>
      </c>
      <c r="I298" s="38">
        <f t="shared" si="69"/>
        <v>11.36</v>
      </c>
      <c r="J298" s="36">
        <v>53</v>
      </c>
      <c r="K298" s="36">
        <v>1</v>
      </c>
      <c r="L298" s="36">
        <v>2888.1</v>
      </c>
      <c r="M298" s="36">
        <v>8808.33</v>
      </c>
      <c r="N298" s="36">
        <v>22.85</v>
      </c>
      <c r="O298" s="36">
        <v>0</v>
      </c>
      <c r="P298" s="36">
        <f>2.83+21.19+681.44</f>
        <v>705.46</v>
      </c>
      <c r="Q298" s="36">
        <v>130.78</v>
      </c>
      <c r="R298" s="36">
        <v>765.99</v>
      </c>
      <c r="S298" s="36">
        <v>0</v>
      </c>
      <c r="T298" s="36">
        <v>2.5</v>
      </c>
      <c r="U298" s="36">
        <v>901</v>
      </c>
      <c r="V298" s="36">
        <v>3</v>
      </c>
      <c r="W298" s="36">
        <v>0</v>
      </c>
      <c r="X298" s="38">
        <f t="shared" si="70"/>
        <v>14282.010000000002</v>
      </c>
      <c r="Y298" s="36">
        <v>425.75</v>
      </c>
      <c r="Z298" s="36">
        <v>0</v>
      </c>
      <c r="AA298" s="38">
        <f t="shared" si="71"/>
        <v>425.75</v>
      </c>
      <c r="AB298" s="36">
        <f>56.11+1.72</f>
        <v>57.83</v>
      </c>
      <c r="AC298" s="36">
        <v>0</v>
      </c>
      <c r="AD298" s="36">
        <f>27.34+3.44</f>
        <v>30.78</v>
      </c>
      <c r="AE298" s="36">
        <v>0</v>
      </c>
      <c r="AF298" s="38">
        <f t="shared" si="72"/>
        <v>88.61</v>
      </c>
      <c r="AG298" s="36">
        <v>254.34</v>
      </c>
      <c r="AH298" s="38">
        <f t="shared" si="73"/>
        <v>254.34</v>
      </c>
      <c r="AI298" s="38">
        <f t="shared" si="74"/>
        <v>15062.070000000002</v>
      </c>
    </row>
    <row r="299" spans="1:35" ht="16.5">
      <c r="A299" s="124"/>
      <c r="B299" s="35">
        <v>44648</v>
      </c>
      <c r="C299" s="36">
        <v>80.239999999999995</v>
      </c>
      <c r="D299" s="39">
        <v>0</v>
      </c>
      <c r="E299" s="39">
        <v>0</v>
      </c>
      <c r="F299" s="39">
        <v>0</v>
      </c>
      <c r="G299" s="39">
        <v>0</v>
      </c>
      <c r="H299" s="39">
        <v>0</v>
      </c>
      <c r="I299" s="38">
        <f t="shared" si="69"/>
        <v>80.239999999999995</v>
      </c>
      <c r="J299" s="36">
        <v>75</v>
      </c>
      <c r="K299" s="36">
        <v>0</v>
      </c>
      <c r="L299" s="36">
        <v>458.96</v>
      </c>
      <c r="M299" s="36">
        <v>4968.45</v>
      </c>
      <c r="N299" s="36">
        <v>10.56</v>
      </c>
      <c r="O299" s="36">
        <v>10</v>
      </c>
      <c r="P299" s="36">
        <f>4.55+21.39+295.96</f>
        <v>321.89999999999998</v>
      </c>
      <c r="Q299" s="36">
        <v>133.80000000000001</v>
      </c>
      <c r="R299" s="36">
        <v>55.49</v>
      </c>
      <c r="S299" s="36">
        <v>0</v>
      </c>
      <c r="T299" s="36">
        <v>15</v>
      </c>
      <c r="U299" s="36">
        <v>92</v>
      </c>
      <c r="V299" s="36">
        <v>0</v>
      </c>
      <c r="W299" s="36">
        <v>0</v>
      </c>
      <c r="X299" s="38">
        <f t="shared" si="70"/>
        <v>6141.16</v>
      </c>
      <c r="Y299" s="36">
        <v>427.5</v>
      </c>
      <c r="Z299" s="36">
        <v>0</v>
      </c>
      <c r="AA299" s="38">
        <f t="shared" si="71"/>
        <v>427.5</v>
      </c>
      <c r="AB299" s="36">
        <f>79.41+3.71</f>
        <v>83.11999999999999</v>
      </c>
      <c r="AC299" s="36">
        <v>6</v>
      </c>
      <c r="AD299" s="36">
        <f>35.67+5.72</f>
        <v>41.39</v>
      </c>
      <c r="AE299" s="36">
        <v>0</v>
      </c>
      <c r="AF299" s="38">
        <f t="shared" si="72"/>
        <v>130.51</v>
      </c>
      <c r="AG299" s="36">
        <v>390.19</v>
      </c>
      <c r="AH299" s="38">
        <f t="shared" si="73"/>
        <v>390.19</v>
      </c>
      <c r="AI299" s="38">
        <f t="shared" si="74"/>
        <v>7169.6</v>
      </c>
    </row>
    <row r="300" spans="1:35" ht="16.5">
      <c r="A300" s="124"/>
      <c r="B300" s="35">
        <v>44649</v>
      </c>
      <c r="C300" s="36">
        <v>648.19000000000005</v>
      </c>
      <c r="D300" s="39">
        <v>0</v>
      </c>
      <c r="E300" s="39">
        <v>13.72</v>
      </c>
      <c r="F300" s="39">
        <v>0</v>
      </c>
      <c r="G300" s="39">
        <v>0</v>
      </c>
      <c r="H300" s="39">
        <v>0</v>
      </c>
      <c r="I300" s="38">
        <f t="shared" si="69"/>
        <v>661.91000000000008</v>
      </c>
      <c r="J300" s="36">
        <v>28</v>
      </c>
      <c r="K300" s="36">
        <v>1</v>
      </c>
      <c r="L300" s="36">
        <v>39.01</v>
      </c>
      <c r="M300" s="36">
        <v>660.07</v>
      </c>
      <c r="N300" s="36">
        <v>1.01</v>
      </c>
      <c r="O300" s="36">
        <v>0</v>
      </c>
      <c r="P300" s="36">
        <f>52.06+24.85+106.07</f>
        <v>182.98</v>
      </c>
      <c r="Q300" s="36">
        <v>0</v>
      </c>
      <c r="R300" s="36">
        <v>9.81</v>
      </c>
      <c r="S300" s="36">
        <v>0</v>
      </c>
      <c r="T300" s="36">
        <v>0</v>
      </c>
      <c r="U300" s="36">
        <v>476</v>
      </c>
      <c r="V300" s="36">
        <v>1015.04</v>
      </c>
      <c r="W300" s="36">
        <v>0</v>
      </c>
      <c r="X300" s="38">
        <f t="shared" si="70"/>
        <v>2412.92</v>
      </c>
      <c r="Y300" s="36">
        <v>498.5</v>
      </c>
      <c r="Z300" s="36">
        <v>0</v>
      </c>
      <c r="AA300" s="38">
        <f t="shared" si="71"/>
        <v>498.5</v>
      </c>
      <c r="AB300" s="36">
        <f>28.54+1.21</f>
        <v>29.75</v>
      </c>
      <c r="AC300" s="36">
        <v>0</v>
      </c>
      <c r="AD300" s="36">
        <f>27.23+11.44</f>
        <v>38.67</v>
      </c>
      <c r="AE300" s="36">
        <v>0</v>
      </c>
      <c r="AF300" s="38">
        <f t="shared" si="72"/>
        <v>68.42</v>
      </c>
      <c r="AG300" s="36">
        <v>112.62</v>
      </c>
      <c r="AH300" s="38">
        <f t="shared" si="73"/>
        <v>112.62</v>
      </c>
      <c r="AI300" s="38">
        <f t="shared" si="74"/>
        <v>3754.37</v>
      </c>
    </row>
    <row r="301" spans="1:35" ht="16.5">
      <c r="A301" s="124"/>
      <c r="B301" s="35">
        <v>44650</v>
      </c>
      <c r="C301" s="36">
        <v>1587.8</v>
      </c>
      <c r="D301" s="39">
        <v>0</v>
      </c>
      <c r="E301" s="39">
        <v>0</v>
      </c>
      <c r="F301" s="39">
        <v>0</v>
      </c>
      <c r="G301" s="39">
        <v>0</v>
      </c>
      <c r="H301" s="39">
        <v>0</v>
      </c>
      <c r="I301" s="38">
        <f t="shared" si="69"/>
        <v>1587.8</v>
      </c>
      <c r="J301" s="36">
        <v>31</v>
      </c>
      <c r="K301" s="36">
        <v>3</v>
      </c>
      <c r="L301" s="36">
        <v>254.11</v>
      </c>
      <c r="M301" s="36">
        <v>1523.15</v>
      </c>
      <c r="N301" s="36">
        <v>2.95</v>
      </c>
      <c r="O301" s="36">
        <v>50</v>
      </c>
      <c r="P301" s="36">
        <f>23.31+9.81+1123.35</f>
        <v>1156.4699999999998</v>
      </c>
      <c r="Q301" s="36">
        <f>498.19+6</f>
        <v>504.19</v>
      </c>
      <c r="R301" s="36">
        <v>75.290000000000006</v>
      </c>
      <c r="S301" s="36">
        <v>0</v>
      </c>
      <c r="T301" s="36">
        <v>5.5</v>
      </c>
      <c r="U301" s="36">
        <v>4557.2</v>
      </c>
      <c r="V301" s="36">
        <v>426.4</v>
      </c>
      <c r="W301" s="36">
        <v>0</v>
      </c>
      <c r="X301" s="38">
        <f t="shared" si="70"/>
        <v>8589.26</v>
      </c>
      <c r="Y301" s="36">
        <v>196.7</v>
      </c>
      <c r="Z301" s="36">
        <v>0</v>
      </c>
      <c r="AA301" s="38">
        <f t="shared" si="71"/>
        <v>196.7</v>
      </c>
      <c r="AB301" s="36">
        <f>64.78+0.02</f>
        <v>64.8</v>
      </c>
      <c r="AC301" s="36">
        <v>0</v>
      </c>
      <c r="AD301" s="36">
        <v>39.270000000000003</v>
      </c>
      <c r="AE301" s="36">
        <v>0</v>
      </c>
      <c r="AF301" s="38">
        <f t="shared" si="72"/>
        <v>104.07</v>
      </c>
      <c r="AG301" s="36">
        <v>9719.11</v>
      </c>
      <c r="AH301" s="38">
        <f t="shared" si="73"/>
        <v>9719.11</v>
      </c>
      <c r="AI301" s="38">
        <f t="shared" si="74"/>
        <v>20196.940000000002</v>
      </c>
    </row>
    <row r="302" spans="1:35" ht="16.5">
      <c r="A302" s="124"/>
      <c r="B302" s="35">
        <v>44651</v>
      </c>
      <c r="C302" s="36">
        <v>2415.33</v>
      </c>
      <c r="D302" s="39">
        <v>1020</v>
      </c>
      <c r="E302" s="39">
        <v>0</v>
      </c>
      <c r="F302" s="39">
        <v>0</v>
      </c>
      <c r="G302" s="39">
        <v>0</v>
      </c>
      <c r="H302" s="39">
        <v>0</v>
      </c>
      <c r="I302" s="38">
        <f t="shared" si="69"/>
        <v>3435.33</v>
      </c>
      <c r="J302" s="36">
        <v>63.5</v>
      </c>
      <c r="K302" s="36">
        <v>3</v>
      </c>
      <c r="L302" s="36">
        <v>160.09</v>
      </c>
      <c r="M302" s="36">
        <v>3229.87</v>
      </c>
      <c r="N302" s="36">
        <v>3.19</v>
      </c>
      <c r="O302" s="36">
        <v>0</v>
      </c>
      <c r="P302" s="36">
        <f>14.36+17.52+373.01</f>
        <v>404.89</v>
      </c>
      <c r="Q302" s="36">
        <v>282.92</v>
      </c>
      <c r="R302" s="36">
        <v>79.75</v>
      </c>
      <c r="S302" s="36">
        <v>0</v>
      </c>
      <c r="T302" s="36">
        <v>2.5</v>
      </c>
      <c r="U302" s="36">
        <v>218</v>
      </c>
      <c r="V302" s="36">
        <v>0</v>
      </c>
      <c r="W302" s="36">
        <v>0</v>
      </c>
      <c r="X302" s="38">
        <f t="shared" si="70"/>
        <v>4447.71</v>
      </c>
      <c r="Y302" s="36">
        <v>351.9</v>
      </c>
      <c r="Z302" s="36">
        <v>0</v>
      </c>
      <c r="AA302" s="38">
        <f t="shared" si="71"/>
        <v>351.9</v>
      </c>
      <c r="AB302" s="36">
        <f>48.64+2.33</f>
        <v>50.97</v>
      </c>
      <c r="AC302" s="36">
        <v>0</v>
      </c>
      <c r="AD302" s="36">
        <f>18.38+14.38</f>
        <v>32.76</v>
      </c>
      <c r="AE302" s="36">
        <v>0</v>
      </c>
      <c r="AF302" s="38">
        <f t="shared" si="72"/>
        <v>83.72999999999999</v>
      </c>
      <c r="AG302" s="36">
        <v>561.41</v>
      </c>
      <c r="AH302" s="38">
        <f t="shared" si="73"/>
        <v>561.41</v>
      </c>
      <c r="AI302" s="38">
        <f t="shared" si="74"/>
        <v>8880.08</v>
      </c>
    </row>
    <row r="303" spans="1:35" ht="16.5">
      <c r="A303" s="124"/>
      <c r="B303" s="35"/>
      <c r="C303" s="36"/>
      <c r="D303" s="39"/>
      <c r="E303" s="39"/>
      <c r="F303" s="39"/>
      <c r="G303" s="39"/>
      <c r="H303" s="39"/>
      <c r="I303" s="38">
        <f t="shared" si="69"/>
        <v>0</v>
      </c>
      <c r="J303" s="36"/>
      <c r="K303" s="36"/>
      <c r="L303" s="36"/>
      <c r="M303" s="36"/>
      <c r="N303" s="36"/>
      <c r="O303" s="36"/>
      <c r="P303" s="36"/>
      <c r="Q303" s="36"/>
      <c r="R303" s="36"/>
      <c r="S303" s="36"/>
      <c r="T303" s="36"/>
      <c r="U303" s="36"/>
      <c r="V303" s="36"/>
      <c r="W303" s="36"/>
      <c r="X303" s="38">
        <f t="shared" si="70"/>
        <v>0</v>
      </c>
      <c r="Y303" s="36"/>
      <c r="Z303" s="36"/>
      <c r="AA303" s="38">
        <f t="shared" si="71"/>
        <v>0</v>
      </c>
      <c r="AB303" s="36"/>
      <c r="AC303" s="36"/>
      <c r="AD303" s="36"/>
      <c r="AE303" s="36"/>
      <c r="AF303" s="38">
        <f t="shared" si="72"/>
        <v>0</v>
      </c>
      <c r="AG303" s="36"/>
      <c r="AH303" s="38">
        <f t="shared" si="73"/>
        <v>0</v>
      </c>
      <c r="AI303" s="38">
        <f t="shared" si="74"/>
        <v>0</v>
      </c>
    </row>
    <row r="304" spans="1:35" ht="16.5">
      <c r="A304" s="124"/>
      <c r="B304" s="40"/>
      <c r="C304" s="36"/>
      <c r="D304" s="39"/>
      <c r="E304" s="39"/>
      <c r="F304" s="39"/>
      <c r="G304" s="39"/>
      <c r="H304" s="39"/>
      <c r="I304" s="40"/>
      <c r="J304" s="40"/>
      <c r="K304" s="40"/>
      <c r="L304" s="40"/>
      <c r="M304" s="40"/>
      <c r="N304" s="40"/>
      <c r="O304" s="40"/>
      <c r="P304" s="40"/>
      <c r="Q304" s="40"/>
      <c r="R304" s="40"/>
      <c r="S304" s="40"/>
      <c r="T304" s="40"/>
      <c r="U304" s="40"/>
      <c r="V304" s="40"/>
      <c r="W304" s="40"/>
      <c r="X304" s="40"/>
      <c r="Y304" s="40"/>
      <c r="Z304" s="40"/>
      <c r="AA304" s="40"/>
      <c r="AB304" s="40"/>
      <c r="AC304" s="40"/>
      <c r="AD304" s="40"/>
      <c r="AE304" s="40"/>
      <c r="AF304" s="40"/>
      <c r="AG304" s="40"/>
      <c r="AH304" s="40"/>
      <c r="AI304" s="40"/>
    </row>
    <row r="305" spans="1:35" ht="16.5">
      <c r="A305" s="124"/>
      <c r="B305" s="41"/>
      <c r="C305" s="36">
        <f t="shared" ref="C305:AF305" si="75">SUM(C280:C304)</f>
        <v>14343</v>
      </c>
      <c r="D305" s="36">
        <f t="shared" si="75"/>
        <v>4948.1000000000004</v>
      </c>
      <c r="E305" s="36">
        <f t="shared" si="75"/>
        <v>137.20000000000002</v>
      </c>
      <c r="F305" s="36">
        <f t="shared" si="75"/>
        <v>0</v>
      </c>
      <c r="G305" s="36">
        <f t="shared" si="75"/>
        <v>442.55</v>
      </c>
      <c r="H305" s="36">
        <f t="shared" si="75"/>
        <v>85.47</v>
      </c>
      <c r="I305" s="44">
        <f t="shared" si="75"/>
        <v>19956.32</v>
      </c>
      <c r="J305" s="36">
        <f t="shared" si="75"/>
        <v>1202</v>
      </c>
      <c r="K305" s="36">
        <f t="shared" si="75"/>
        <v>16</v>
      </c>
      <c r="L305" s="36">
        <f t="shared" si="75"/>
        <v>12372.46</v>
      </c>
      <c r="M305" s="36">
        <f t="shared" si="75"/>
        <v>60761.99</v>
      </c>
      <c r="N305" s="36">
        <f t="shared" si="75"/>
        <v>253.61999999999998</v>
      </c>
      <c r="O305" s="36">
        <f t="shared" si="75"/>
        <v>250</v>
      </c>
      <c r="P305" s="36">
        <f t="shared" si="75"/>
        <v>12265.43</v>
      </c>
      <c r="Q305" s="36">
        <f t="shared" si="75"/>
        <v>6138.2699999999995</v>
      </c>
      <c r="R305" s="36">
        <f t="shared" si="75"/>
        <v>3787.8700000000003</v>
      </c>
      <c r="S305" s="36">
        <f t="shared" si="75"/>
        <v>54838.91</v>
      </c>
      <c r="T305" s="36">
        <f t="shared" si="75"/>
        <v>73</v>
      </c>
      <c r="U305" s="36">
        <f t="shared" si="75"/>
        <v>11184.74</v>
      </c>
      <c r="V305" s="36">
        <f t="shared" si="75"/>
        <v>39898.43</v>
      </c>
      <c r="W305" s="36">
        <f t="shared" si="75"/>
        <v>0</v>
      </c>
      <c r="X305" s="44">
        <f t="shared" si="75"/>
        <v>203042.72000000006</v>
      </c>
      <c r="Y305" s="36">
        <f t="shared" si="75"/>
        <v>9639.9</v>
      </c>
      <c r="Z305" s="36">
        <f t="shared" si="75"/>
        <v>0</v>
      </c>
      <c r="AA305" s="44">
        <f t="shared" si="75"/>
        <v>9639.9</v>
      </c>
      <c r="AB305" s="36">
        <f t="shared" si="75"/>
        <v>4931.0200000000004</v>
      </c>
      <c r="AC305" s="36">
        <f t="shared" si="75"/>
        <v>444.78999999999996</v>
      </c>
      <c r="AD305" s="36">
        <f t="shared" si="75"/>
        <v>2140.9100000000003</v>
      </c>
      <c r="AE305" s="36">
        <f t="shared" si="75"/>
        <v>0</v>
      </c>
      <c r="AF305" s="44">
        <f t="shared" si="75"/>
        <v>7516.7199999999993</v>
      </c>
      <c r="AG305" s="36">
        <f>SUM(AG280:AG304)</f>
        <v>30920.73</v>
      </c>
      <c r="AH305" s="38">
        <f>SUM(AH280:AH304)</f>
        <v>30920.73</v>
      </c>
      <c r="AI305" s="38">
        <f>SUM(AI280:AI304)</f>
        <v>271076.39</v>
      </c>
    </row>
    <row r="306" spans="1:35">
      <c r="A306" s="124"/>
      <c r="B306" s="145"/>
      <c r="C306" s="145"/>
      <c r="D306" s="145"/>
      <c r="E306" s="145"/>
      <c r="F306" s="145"/>
      <c r="G306" s="145"/>
      <c r="H306" s="145"/>
      <c r="I306" s="145"/>
      <c r="J306" s="145"/>
      <c r="K306" s="145"/>
      <c r="L306" s="145"/>
      <c r="M306" s="145"/>
      <c r="N306" s="145"/>
      <c r="O306" s="145"/>
      <c r="P306" s="145"/>
      <c r="Q306" s="145"/>
      <c r="R306" s="145"/>
      <c r="S306" s="145"/>
      <c r="T306" s="145"/>
      <c r="U306" s="145"/>
      <c r="V306" s="145"/>
      <c r="W306" s="145"/>
      <c r="X306" s="145"/>
      <c r="Y306" s="145"/>
      <c r="Z306" s="145"/>
      <c r="AA306" s="145"/>
      <c r="AB306" s="145"/>
      <c r="AC306" s="145"/>
      <c r="AD306" s="145"/>
      <c r="AE306" s="145"/>
      <c r="AF306" s="145"/>
      <c r="AG306" s="145"/>
      <c r="AH306" s="145"/>
      <c r="AI306" s="145"/>
    </row>
    <row r="307" spans="1:35">
      <c r="A307" s="124"/>
      <c r="B307" s="116"/>
      <c r="C307" s="116"/>
      <c r="D307" s="116"/>
      <c r="E307" s="116"/>
      <c r="F307" s="116"/>
      <c r="G307" s="116"/>
      <c r="H307" s="116"/>
      <c r="I307" s="116"/>
      <c r="J307" s="116"/>
      <c r="K307" s="116"/>
      <c r="L307" s="116"/>
      <c r="M307" s="116"/>
      <c r="N307" s="116"/>
      <c r="O307" s="116"/>
      <c r="P307" s="116"/>
      <c r="Q307" s="116"/>
      <c r="R307" s="116"/>
      <c r="S307" s="116"/>
      <c r="T307" s="116"/>
      <c r="U307" s="116"/>
      <c r="V307" s="116"/>
      <c r="W307" s="116"/>
      <c r="X307" s="116"/>
      <c r="Y307" s="116"/>
      <c r="Z307" s="116"/>
      <c r="AA307" s="116"/>
      <c r="AB307" s="116"/>
      <c r="AC307" s="116"/>
      <c r="AD307" s="116"/>
      <c r="AE307" s="116"/>
      <c r="AF307" s="116"/>
      <c r="AG307" s="116"/>
      <c r="AH307" s="116"/>
      <c r="AI307" s="116"/>
    </row>
    <row r="308" spans="1:35" ht="27" customHeight="1">
      <c r="A308" s="124"/>
      <c r="B308" s="117"/>
      <c r="C308" s="117"/>
      <c r="D308" s="117"/>
      <c r="E308" s="117"/>
      <c r="F308" s="117"/>
      <c r="G308" s="117"/>
      <c r="H308" s="117"/>
      <c r="I308" s="117"/>
      <c r="J308" s="117"/>
      <c r="K308" s="117"/>
      <c r="L308" s="117"/>
      <c r="M308" s="117"/>
      <c r="N308" s="117"/>
      <c r="O308" s="117"/>
      <c r="P308" s="117"/>
      <c r="Q308" s="117"/>
      <c r="R308" s="117"/>
      <c r="S308" s="117"/>
      <c r="T308" s="117"/>
      <c r="U308" s="117"/>
      <c r="V308" s="117"/>
      <c r="W308" s="117"/>
      <c r="X308" s="117"/>
      <c r="Y308" s="117"/>
      <c r="Z308" s="117"/>
      <c r="AA308" s="117"/>
      <c r="AB308" s="117"/>
      <c r="AC308" s="117"/>
      <c r="AD308" s="117"/>
      <c r="AE308" s="117"/>
      <c r="AF308" s="117"/>
      <c r="AG308" s="117"/>
      <c r="AH308" s="117"/>
      <c r="AI308" s="117"/>
    </row>
    <row r="309" spans="1:35" ht="22.5">
      <c r="A309" s="124"/>
      <c r="B309" s="86"/>
      <c r="C309" s="87"/>
      <c r="D309" s="87"/>
      <c r="E309" s="140" t="s">
        <v>140</v>
      </c>
      <c r="F309" s="140"/>
      <c r="G309" s="140"/>
      <c r="H309" s="140"/>
      <c r="I309" s="140"/>
      <c r="J309" s="140"/>
      <c r="K309" s="140"/>
      <c r="L309" s="83"/>
      <c r="M309" s="83"/>
      <c r="N309" s="87"/>
      <c r="O309" s="87"/>
      <c r="P309" s="87"/>
      <c r="Q309" s="87"/>
      <c r="R309" s="87"/>
      <c r="S309" s="87"/>
      <c r="T309" s="87"/>
      <c r="U309" s="87"/>
      <c r="V309" s="84"/>
      <c r="W309" s="87"/>
      <c r="X309" s="87"/>
      <c r="Y309" s="84"/>
      <c r="Z309" s="87"/>
      <c r="AA309" s="87"/>
      <c r="AB309" s="87"/>
      <c r="AC309" s="87"/>
      <c r="AD309" s="84"/>
      <c r="AE309" s="87"/>
      <c r="AF309" s="85"/>
      <c r="AG309" s="85"/>
      <c r="AH309" s="85"/>
      <c r="AI309" s="85"/>
    </row>
    <row r="310" spans="1:35" ht="22.5">
      <c r="A310" s="124"/>
      <c r="B310" s="86"/>
      <c r="C310" s="87"/>
      <c r="D310" s="87"/>
      <c r="E310" s="140" t="s">
        <v>181</v>
      </c>
      <c r="F310" s="140"/>
      <c r="G310" s="140"/>
      <c r="H310" s="140"/>
      <c r="I310" s="140"/>
      <c r="J310" s="140"/>
      <c r="K310" s="140"/>
      <c r="L310" s="83"/>
      <c r="M310" s="83"/>
      <c r="N310" s="87"/>
      <c r="O310" s="87"/>
      <c r="P310" s="87"/>
      <c r="Q310" s="87"/>
      <c r="R310" s="87"/>
      <c r="S310" s="87"/>
      <c r="T310" s="87"/>
      <c r="U310" s="87"/>
      <c r="V310" s="84"/>
      <c r="W310" s="87"/>
      <c r="X310" s="87"/>
      <c r="Y310" s="84"/>
      <c r="Z310" s="87"/>
      <c r="AA310" s="87"/>
      <c r="AB310" s="87"/>
      <c r="AC310" s="87"/>
      <c r="AD310" s="84"/>
      <c r="AE310" s="87"/>
      <c r="AF310" s="92"/>
      <c r="AG310" s="85"/>
      <c r="AH310" s="89"/>
      <c r="AI310" s="85"/>
    </row>
    <row r="311" spans="1:35" ht="16.5">
      <c r="A311" s="124"/>
      <c r="B311" s="86"/>
      <c r="C311" s="87"/>
      <c r="D311" s="87"/>
      <c r="E311" s="87"/>
      <c r="F311" s="87"/>
      <c r="G311" s="87"/>
      <c r="H311" s="84"/>
      <c r="I311" s="87"/>
      <c r="J311" s="87"/>
      <c r="K311" s="87"/>
      <c r="L311" s="87"/>
      <c r="M311" s="87"/>
      <c r="N311" s="87"/>
      <c r="O311" s="87"/>
      <c r="P311" s="87"/>
      <c r="Q311" s="87"/>
      <c r="R311" s="87"/>
      <c r="S311" s="87"/>
      <c r="T311" s="87"/>
      <c r="U311" s="87"/>
      <c r="V311" s="84"/>
      <c r="W311" s="87"/>
      <c r="X311" s="87"/>
      <c r="Y311" s="84"/>
      <c r="Z311" s="85"/>
      <c r="AA311" s="87"/>
      <c r="AB311" s="87"/>
      <c r="AC311" s="87"/>
      <c r="AD311" s="84"/>
      <c r="AE311" s="87"/>
      <c r="AF311" s="84"/>
      <c r="AG311" s="85"/>
      <c r="AH311" s="84"/>
      <c r="AI311" s="85"/>
    </row>
    <row r="312" spans="1:35" ht="16.5">
      <c r="A312" s="124"/>
      <c r="B312" s="93"/>
      <c r="C312" s="105">
        <v>11801</v>
      </c>
      <c r="D312" s="105">
        <v>11803</v>
      </c>
      <c r="E312" s="105">
        <v>11818</v>
      </c>
      <c r="F312" s="105">
        <v>11802</v>
      </c>
      <c r="G312" s="105">
        <v>11804</v>
      </c>
      <c r="H312" s="105">
        <v>11817</v>
      </c>
      <c r="I312" s="105">
        <v>21310001</v>
      </c>
      <c r="J312" s="105">
        <v>12105</v>
      </c>
      <c r="K312" s="105">
        <v>12106</v>
      </c>
      <c r="L312" s="105">
        <v>12108</v>
      </c>
      <c r="M312" s="105">
        <v>12109</v>
      </c>
      <c r="N312" s="105">
        <v>12199</v>
      </c>
      <c r="O312" s="105">
        <v>12111</v>
      </c>
      <c r="P312" s="105">
        <v>12114</v>
      </c>
      <c r="Q312" s="105">
        <v>12115</v>
      </c>
      <c r="R312" s="105">
        <v>12117</v>
      </c>
      <c r="S312" s="105">
        <v>12118</v>
      </c>
      <c r="T312" s="105">
        <v>12119</v>
      </c>
      <c r="U312" s="105">
        <v>12210</v>
      </c>
      <c r="V312" s="105">
        <v>21312001</v>
      </c>
      <c r="W312" s="105">
        <v>14201</v>
      </c>
      <c r="X312" s="105"/>
      <c r="Y312" s="105">
        <v>21314001</v>
      </c>
      <c r="Z312" s="105">
        <v>15302</v>
      </c>
      <c r="AA312" s="105">
        <v>15312</v>
      </c>
      <c r="AB312" s="105">
        <v>15314</v>
      </c>
      <c r="AC312" s="105"/>
      <c r="AD312" s="105">
        <v>21315001</v>
      </c>
      <c r="AE312" s="105">
        <v>32299</v>
      </c>
      <c r="AF312" s="88"/>
      <c r="AG312" s="88"/>
      <c r="AH312" s="88"/>
      <c r="AI312" s="85"/>
    </row>
    <row r="313" spans="1:35" ht="66.75" customHeight="1">
      <c r="A313" s="124"/>
      <c r="B313" s="106" t="s">
        <v>182</v>
      </c>
      <c r="C313" s="107" t="s">
        <v>143</v>
      </c>
      <c r="D313" s="107" t="s">
        <v>144</v>
      </c>
      <c r="E313" s="107" t="s">
        <v>145</v>
      </c>
      <c r="F313" s="107" t="s">
        <v>146</v>
      </c>
      <c r="G313" s="107" t="s">
        <v>147</v>
      </c>
      <c r="H313" s="107" t="s">
        <v>183</v>
      </c>
      <c r="I313" s="107" t="s">
        <v>149</v>
      </c>
      <c r="J313" s="107" t="s">
        <v>150</v>
      </c>
      <c r="K313" s="107" t="s">
        <v>151</v>
      </c>
      <c r="L313" s="107" t="s">
        <v>152</v>
      </c>
      <c r="M313" s="107" t="s">
        <v>153</v>
      </c>
      <c r="N313" s="107" t="s">
        <v>154</v>
      </c>
      <c r="O313" s="107" t="s">
        <v>155</v>
      </c>
      <c r="P313" s="107" t="s">
        <v>156</v>
      </c>
      <c r="Q313" s="107" t="s">
        <v>157</v>
      </c>
      <c r="R313" s="107" t="s">
        <v>158</v>
      </c>
      <c r="S313" s="107" t="s">
        <v>159</v>
      </c>
      <c r="T313" s="107" t="s">
        <v>160</v>
      </c>
      <c r="U313" s="107" t="s">
        <v>161</v>
      </c>
      <c r="V313" s="107" t="s">
        <v>163</v>
      </c>
      <c r="W313" s="107" t="s">
        <v>164</v>
      </c>
      <c r="X313" s="107" t="s">
        <v>165</v>
      </c>
      <c r="Y313" s="107" t="s">
        <v>166</v>
      </c>
      <c r="Z313" s="107" t="s">
        <v>167</v>
      </c>
      <c r="AA313" s="107" t="s">
        <v>168</v>
      </c>
      <c r="AB313" s="107" t="s">
        <v>169</v>
      </c>
      <c r="AC313" s="107" t="s">
        <v>170</v>
      </c>
      <c r="AD313" s="107" t="s">
        <v>171</v>
      </c>
      <c r="AE313" s="107" t="s">
        <v>172</v>
      </c>
      <c r="AF313" s="107" t="s">
        <v>173</v>
      </c>
      <c r="AG313" s="108"/>
      <c r="AH313" s="107" t="s">
        <v>174</v>
      </c>
      <c r="AI313" s="85"/>
    </row>
    <row r="314" spans="1:35" ht="16.5">
      <c r="A314" s="124"/>
      <c r="B314" s="50"/>
      <c r="C314" s="51"/>
      <c r="D314" s="46"/>
      <c r="E314" s="51"/>
      <c r="F314" s="46"/>
      <c r="G314" s="51"/>
      <c r="H314" s="47"/>
      <c r="I314" s="46"/>
      <c r="J314" s="46"/>
      <c r="K314" s="46"/>
      <c r="L314" s="46"/>
      <c r="M314" s="46"/>
      <c r="N314" s="46"/>
      <c r="O314" s="46"/>
      <c r="P314" s="46"/>
      <c r="Q314" s="46"/>
      <c r="R314" s="46"/>
      <c r="S314" s="46"/>
      <c r="T314" s="46"/>
      <c r="U314" s="46"/>
      <c r="V314" s="47"/>
      <c r="W314" s="46"/>
      <c r="X314" s="46"/>
      <c r="Y314" s="47"/>
      <c r="Z314" s="46"/>
      <c r="AA314" s="46"/>
      <c r="AB314" s="46"/>
      <c r="AC314" s="46"/>
      <c r="AD314" s="47"/>
      <c r="AE314" s="46"/>
      <c r="AF314" s="47"/>
      <c r="AH314" s="47"/>
    </row>
    <row r="315" spans="1:35" ht="16.5">
      <c r="A315" s="124"/>
      <c r="B315" s="52">
        <v>44320</v>
      </c>
      <c r="C315" s="53">
        <v>3195.16</v>
      </c>
      <c r="D315" s="53"/>
      <c r="E315" s="53">
        <v>3.43</v>
      </c>
      <c r="F315" s="53"/>
      <c r="G315" s="53">
        <v>30</v>
      </c>
      <c r="H315" s="54"/>
      <c r="I315" s="55">
        <f>H315+G315++F315+E315+D315+C315</f>
        <v>3228.5899999999997</v>
      </c>
      <c r="J315" s="53">
        <v>29.5</v>
      </c>
      <c r="K315" s="53">
        <v>2</v>
      </c>
      <c r="L315" s="53">
        <v>345.06</v>
      </c>
      <c r="M315" s="53">
        <v>1525.66</v>
      </c>
      <c r="N315" s="53">
        <v>3.08</v>
      </c>
      <c r="O315" s="53"/>
      <c r="P315" s="53">
        <v>316.75</v>
      </c>
      <c r="Q315" s="53">
        <v>979.1</v>
      </c>
      <c r="R315" s="53">
        <v>94.54</v>
      </c>
      <c r="S315" s="53"/>
      <c r="T315" s="53"/>
      <c r="U315" s="53">
        <v>101</v>
      </c>
      <c r="V315" s="56">
        <f>SUM(J315:U315)</f>
        <v>3396.69</v>
      </c>
      <c r="W315" s="53">
        <v>297.75</v>
      </c>
      <c r="X315" s="53"/>
      <c r="Y315" s="56">
        <f t="shared" ref="Y315:Y335" si="76">SUM(W315:X315)</f>
        <v>297.75</v>
      </c>
      <c r="Z315" s="53">
        <v>209.19</v>
      </c>
      <c r="AA315" s="53"/>
      <c r="AB315" s="53">
        <v>70.19</v>
      </c>
      <c r="AC315" s="53"/>
      <c r="AD315" s="56">
        <f t="shared" ref="AD315:AD335" si="77">SUM(Z315:AC315)</f>
        <v>279.38</v>
      </c>
      <c r="AE315" s="53">
        <v>712.39</v>
      </c>
      <c r="AF315" s="56">
        <f t="shared" ref="AF315:AF335" si="78">SUM(AE315)</f>
        <v>712.39</v>
      </c>
      <c r="AG315" s="54"/>
      <c r="AH315" s="56">
        <f>AF315+AD315+Y315+V315+I315</f>
        <v>7914.7999999999993</v>
      </c>
    </row>
    <row r="316" spans="1:35" ht="16.5">
      <c r="A316" s="124"/>
      <c r="B316" s="52">
        <v>44321</v>
      </c>
      <c r="C316" s="53">
        <v>38.4</v>
      </c>
      <c r="D316" s="53"/>
      <c r="E316" s="53">
        <v>3.43</v>
      </c>
      <c r="F316" s="53"/>
      <c r="G316" s="53"/>
      <c r="H316" s="54">
        <v>1350</v>
      </c>
      <c r="I316" s="55">
        <f t="shared" ref="I316:I336" si="79">H316+G316++F316+E316+D316+C316</f>
        <v>1391.8300000000002</v>
      </c>
      <c r="J316" s="53">
        <v>42.5</v>
      </c>
      <c r="K316" s="53"/>
      <c r="L316" s="53">
        <v>249.56</v>
      </c>
      <c r="M316" s="53">
        <v>948.63</v>
      </c>
      <c r="N316" s="53">
        <v>1.68</v>
      </c>
      <c r="O316" s="53"/>
      <c r="P316" s="53">
        <v>217.38</v>
      </c>
      <c r="Q316" s="53">
        <v>417.96</v>
      </c>
      <c r="R316" s="53">
        <v>142.43</v>
      </c>
      <c r="S316" s="53"/>
      <c r="T316" s="53">
        <v>5</v>
      </c>
      <c r="U316" s="53">
        <v>186.96</v>
      </c>
      <c r="V316" s="56">
        <f t="shared" ref="V316:V335" si="80">SUM(J316:U316)</f>
        <v>2212.1</v>
      </c>
      <c r="W316" s="53">
        <v>359.75</v>
      </c>
      <c r="X316" s="53"/>
      <c r="Y316" s="56">
        <f t="shared" si="76"/>
        <v>359.75</v>
      </c>
      <c r="Z316" s="53">
        <v>336.06</v>
      </c>
      <c r="AA316" s="53"/>
      <c r="AB316" s="53">
        <v>139.99</v>
      </c>
      <c r="AC316" s="53"/>
      <c r="AD316" s="56">
        <f t="shared" si="77"/>
        <v>476.05</v>
      </c>
      <c r="AE316" s="53">
        <v>1023.57</v>
      </c>
      <c r="AF316" s="56">
        <f t="shared" si="78"/>
        <v>1023.57</v>
      </c>
      <c r="AG316" s="54"/>
      <c r="AH316" s="56">
        <f>AF316+AD316+Y316+V316+I316</f>
        <v>5463.3</v>
      </c>
    </row>
    <row r="317" spans="1:35" ht="16.5">
      <c r="A317" s="124"/>
      <c r="B317" s="52">
        <v>44322</v>
      </c>
      <c r="C317" s="53">
        <v>710.56</v>
      </c>
      <c r="D317" s="53"/>
      <c r="E317" s="53"/>
      <c r="F317" s="53"/>
      <c r="G317" s="53"/>
      <c r="H317" s="54"/>
      <c r="I317" s="55">
        <f t="shared" si="79"/>
        <v>710.56</v>
      </c>
      <c r="J317" s="53">
        <v>62.5</v>
      </c>
      <c r="K317" s="53">
        <v>1</v>
      </c>
      <c r="L317" s="53">
        <v>173.7</v>
      </c>
      <c r="M317" s="53">
        <v>573.17999999999995</v>
      </c>
      <c r="N317" s="53">
        <v>10.039999999999999</v>
      </c>
      <c r="O317" s="53"/>
      <c r="P317" s="53">
        <v>732.01</v>
      </c>
      <c r="Q317" s="53"/>
      <c r="R317" s="53">
        <v>92.14</v>
      </c>
      <c r="S317" s="53"/>
      <c r="T317" s="53"/>
      <c r="U317" s="53">
        <v>10424.98</v>
      </c>
      <c r="V317" s="56">
        <f t="shared" si="80"/>
        <v>12069.55</v>
      </c>
      <c r="W317" s="53">
        <v>138.30000000000001</v>
      </c>
      <c r="X317" s="53"/>
      <c r="Y317" s="56">
        <f t="shared" si="76"/>
        <v>138.30000000000001</v>
      </c>
      <c r="Z317" s="53">
        <v>796.55</v>
      </c>
      <c r="AA317" s="53">
        <v>3</v>
      </c>
      <c r="AB317" s="53">
        <v>260.58999999999997</v>
      </c>
      <c r="AC317" s="53"/>
      <c r="AD317" s="56">
        <f t="shared" si="77"/>
        <v>1060.1399999999999</v>
      </c>
      <c r="AE317" s="53">
        <v>2463.16</v>
      </c>
      <c r="AF317" s="56">
        <f t="shared" si="78"/>
        <v>2463.16</v>
      </c>
      <c r="AG317" s="54"/>
      <c r="AH317" s="56">
        <f t="shared" ref="AH317:AH335" si="81">AF317+AD317+Y317+V317+I317</f>
        <v>16441.71</v>
      </c>
    </row>
    <row r="318" spans="1:35" ht="16.5">
      <c r="A318" s="124"/>
      <c r="B318" s="52">
        <v>44323</v>
      </c>
      <c r="C318" s="53">
        <v>1678.83</v>
      </c>
      <c r="D318" s="53">
        <v>83.34</v>
      </c>
      <c r="E318" s="53"/>
      <c r="F318" s="53">
        <v>35</v>
      </c>
      <c r="G318" s="53">
        <v>7.5</v>
      </c>
      <c r="H318" s="54"/>
      <c r="I318" s="55">
        <f t="shared" si="79"/>
        <v>1804.6699999999998</v>
      </c>
      <c r="J318" s="53">
        <v>46.5</v>
      </c>
      <c r="K318" s="53"/>
      <c r="L318" s="53">
        <v>278.2</v>
      </c>
      <c r="M318" s="53">
        <v>3501.17</v>
      </c>
      <c r="N318" s="53">
        <v>7.78</v>
      </c>
      <c r="O318" s="53">
        <v>16</v>
      </c>
      <c r="P318" s="53">
        <v>337.53</v>
      </c>
      <c r="Q318" s="53">
        <v>505.44</v>
      </c>
      <c r="R318" s="53">
        <v>90.53</v>
      </c>
      <c r="S318" s="53"/>
      <c r="T318" s="53"/>
      <c r="U318" s="53">
        <v>99</v>
      </c>
      <c r="V318" s="56">
        <f t="shared" si="80"/>
        <v>4882.1499999999996</v>
      </c>
      <c r="W318" s="53">
        <v>133.69999999999999</v>
      </c>
      <c r="X318" s="53"/>
      <c r="Y318" s="56">
        <f t="shared" si="76"/>
        <v>133.69999999999999</v>
      </c>
      <c r="Z318" s="53">
        <v>1065.0999999999999</v>
      </c>
      <c r="AA318" s="53">
        <v>3</v>
      </c>
      <c r="AB318" s="53">
        <v>348.13</v>
      </c>
      <c r="AC318" s="53"/>
      <c r="AD318" s="56">
        <f t="shared" si="77"/>
        <v>1416.23</v>
      </c>
      <c r="AE318" s="53">
        <v>756.27</v>
      </c>
      <c r="AF318" s="56">
        <f t="shared" si="78"/>
        <v>756.27</v>
      </c>
      <c r="AG318" s="54"/>
      <c r="AH318" s="56">
        <f t="shared" si="81"/>
        <v>8993.0199999999986</v>
      </c>
    </row>
    <row r="319" spans="1:35" ht="16.5">
      <c r="A319" s="124"/>
      <c r="B319" s="52">
        <v>44327</v>
      </c>
      <c r="C319" s="53">
        <v>528.70000000000005</v>
      </c>
      <c r="D319" s="53"/>
      <c r="E319" s="53">
        <v>6.86</v>
      </c>
      <c r="F319" s="53"/>
      <c r="G319" s="53"/>
      <c r="H319" s="54"/>
      <c r="I319" s="55">
        <f t="shared" si="79"/>
        <v>535.56000000000006</v>
      </c>
      <c r="J319" s="53">
        <v>39</v>
      </c>
      <c r="K319" s="53"/>
      <c r="L319" s="53">
        <v>409.94</v>
      </c>
      <c r="M319" s="53">
        <v>35.57</v>
      </c>
      <c r="N319" s="53">
        <v>5.07</v>
      </c>
      <c r="O319" s="53">
        <v>12</v>
      </c>
      <c r="P319" s="53">
        <v>174.61</v>
      </c>
      <c r="Q319" s="53"/>
      <c r="R319" s="53">
        <v>127.8</v>
      </c>
      <c r="S319" s="53"/>
      <c r="T319" s="53"/>
      <c r="U319" s="53">
        <v>2051.9499999999998</v>
      </c>
      <c r="V319" s="56">
        <f t="shared" si="80"/>
        <v>2855.9399999999996</v>
      </c>
      <c r="W319" s="53">
        <v>60.65</v>
      </c>
      <c r="X319" s="53"/>
      <c r="Y319" s="56">
        <f t="shared" si="76"/>
        <v>60.65</v>
      </c>
      <c r="Z319" s="53">
        <v>31.63</v>
      </c>
      <c r="AA319" s="53"/>
      <c r="AB319" s="53">
        <v>38.07</v>
      </c>
      <c r="AC319" s="53"/>
      <c r="AD319" s="56">
        <f t="shared" si="77"/>
        <v>69.7</v>
      </c>
      <c r="AE319" s="53">
        <v>194.94</v>
      </c>
      <c r="AF319" s="56">
        <f t="shared" si="78"/>
        <v>194.94</v>
      </c>
      <c r="AG319" s="54"/>
      <c r="AH319" s="56">
        <f t="shared" si="81"/>
        <v>3716.7899999999995</v>
      </c>
    </row>
    <row r="320" spans="1:35" ht="16.5">
      <c r="A320" s="124"/>
      <c r="B320" s="52">
        <v>44328</v>
      </c>
      <c r="C320" s="53">
        <v>77.569999999999993</v>
      </c>
      <c r="D320" s="53">
        <v>47.25</v>
      </c>
      <c r="E320" s="53">
        <v>3.43</v>
      </c>
      <c r="F320" s="53"/>
      <c r="G320" s="53">
        <v>180</v>
      </c>
      <c r="H320" s="54"/>
      <c r="I320" s="55">
        <f t="shared" si="79"/>
        <v>308.25</v>
      </c>
      <c r="J320" s="53">
        <v>34.5</v>
      </c>
      <c r="K320" s="53">
        <v>1</v>
      </c>
      <c r="L320" s="53">
        <v>131.18</v>
      </c>
      <c r="M320" s="53">
        <v>447.48</v>
      </c>
      <c r="N320" s="53">
        <v>2.8</v>
      </c>
      <c r="O320" s="53">
        <v>26</v>
      </c>
      <c r="P320" s="53">
        <v>258.64999999999998</v>
      </c>
      <c r="Q320" s="53">
        <v>732.06</v>
      </c>
      <c r="R320" s="53">
        <v>77.19</v>
      </c>
      <c r="S320" s="53"/>
      <c r="T320" s="53">
        <v>8</v>
      </c>
      <c r="U320" s="53">
        <v>6</v>
      </c>
      <c r="V320" s="56">
        <f t="shared" si="80"/>
        <v>1724.8600000000001</v>
      </c>
      <c r="W320" s="53">
        <v>224.05</v>
      </c>
      <c r="X320" s="53"/>
      <c r="Y320" s="56">
        <f t="shared" si="76"/>
        <v>224.05</v>
      </c>
      <c r="Z320" s="53">
        <v>70.28</v>
      </c>
      <c r="AA320" s="53"/>
      <c r="AB320" s="53">
        <v>32.700000000000003</v>
      </c>
      <c r="AC320" s="53"/>
      <c r="AD320" s="56">
        <f t="shared" si="77"/>
        <v>102.98</v>
      </c>
      <c r="AE320" s="53">
        <v>3908.85</v>
      </c>
      <c r="AF320" s="56">
        <f t="shared" si="78"/>
        <v>3908.85</v>
      </c>
      <c r="AG320" s="54"/>
      <c r="AH320" s="56">
        <f t="shared" si="81"/>
        <v>6268.99</v>
      </c>
    </row>
    <row r="321" spans="1:34" ht="16.5">
      <c r="A321" s="124"/>
      <c r="B321" s="52">
        <v>44329</v>
      </c>
      <c r="C321" s="53">
        <v>257.8</v>
      </c>
      <c r="D321" s="53"/>
      <c r="E321" s="53">
        <v>3.43</v>
      </c>
      <c r="F321" s="53"/>
      <c r="G321" s="53"/>
      <c r="H321" s="54"/>
      <c r="I321" s="55">
        <f t="shared" si="79"/>
        <v>261.23</v>
      </c>
      <c r="J321" s="53">
        <v>80.5</v>
      </c>
      <c r="K321" s="53">
        <v>1</v>
      </c>
      <c r="L321" s="53">
        <v>267.19</v>
      </c>
      <c r="M321" s="53">
        <v>856.22</v>
      </c>
      <c r="N321" s="53">
        <v>1.99</v>
      </c>
      <c r="O321" s="53"/>
      <c r="P321" s="53">
        <v>379.57</v>
      </c>
      <c r="Q321" s="53">
        <v>207.9</v>
      </c>
      <c r="R321" s="53">
        <v>114.92</v>
      </c>
      <c r="S321" s="53"/>
      <c r="T321" s="53">
        <v>2.5</v>
      </c>
      <c r="U321" s="53">
        <v>1024.21</v>
      </c>
      <c r="V321" s="56">
        <f t="shared" si="80"/>
        <v>2936</v>
      </c>
      <c r="W321" s="53">
        <v>368.6</v>
      </c>
      <c r="X321" s="53"/>
      <c r="Y321" s="56">
        <f t="shared" si="76"/>
        <v>368.6</v>
      </c>
      <c r="Z321" s="53">
        <v>1473.01</v>
      </c>
      <c r="AA321" s="53"/>
      <c r="AB321" s="53">
        <v>485.58</v>
      </c>
      <c r="AC321" s="53"/>
      <c r="AD321" s="56">
        <f t="shared" si="77"/>
        <v>1958.59</v>
      </c>
      <c r="AE321" s="53">
        <v>4597.4399999999996</v>
      </c>
      <c r="AF321" s="56">
        <f t="shared" si="78"/>
        <v>4597.4399999999996</v>
      </c>
      <c r="AG321" s="54"/>
      <c r="AH321" s="56">
        <f t="shared" si="81"/>
        <v>10121.86</v>
      </c>
    </row>
    <row r="322" spans="1:34" ht="16.5">
      <c r="A322" s="124"/>
      <c r="B322" s="52">
        <v>44330</v>
      </c>
      <c r="C322" s="53">
        <v>1864.8</v>
      </c>
      <c r="D322" s="53">
        <v>1700</v>
      </c>
      <c r="E322" s="53">
        <v>3.43</v>
      </c>
      <c r="F322" s="53"/>
      <c r="G322" s="53"/>
      <c r="H322" s="54"/>
      <c r="I322" s="55">
        <f t="shared" si="79"/>
        <v>3568.23</v>
      </c>
      <c r="J322" s="53">
        <v>47.5</v>
      </c>
      <c r="K322" s="53"/>
      <c r="L322" s="53">
        <v>252.31</v>
      </c>
      <c r="M322" s="53">
        <v>2000.74</v>
      </c>
      <c r="N322" s="53">
        <v>15.3</v>
      </c>
      <c r="O322" s="53">
        <v>6</v>
      </c>
      <c r="P322" s="53">
        <v>1002.07</v>
      </c>
      <c r="Q322" s="53"/>
      <c r="R322" s="53">
        <v>145.21</v>
      </c>
      <c r="S322" s="53">
        <v>8064</v>
      </c>
      <c r="T322" s="53"/>
      <c r="U322" s="53">
        <v>313.64999999999998</v>
      </c>
      <c r="V322" s="56">
        <f t="shared" si="80"/>
        <v>11846.78</v>
      </c>
      <c r="W322" s="53">
        <v>400.25</v>
      </c>
      <c r="X322" s="53"/>
      <c r="Y322" s="56">
        <f t="shared" si="76"/>
        <v>400.25</v>
      </c>
      <c r="Z322" s="53">
        <v>661.96</v>
      </c>
      <c r="AA322" s="53">
        <v>574.57000000000005</v>
      </c>
      <c r="AB322" s="53"/>
      <c r="AC322" s="53"/>
      <c r="AD322" s="56">
        <f t="shared" si="77"/>
        <v>1236.5300000000002</v>
      </c>
      <c r="AE322" s="53">
        <v>5231.67</v>
      </c>
      <c r="AF322" s="56">
        <f t="shared" si="78"/>
        <v>5231.67</v>
      </c>
      <c r="AG322" s="54"/>
      <c r="AH322" s="56">
        <f t="shared" si="81"/>
        <v>22283.460000000003</v>
      </c>
    </row>
    <row r="323" spans="1:34" ht="16.5">
      <c r="A323" s="124"/>
      <c r="B323" s="52">
        <v>44333</v>
      </c>
      <c r="C323" s="53"/>
      <c r="D323" s="53"/>
      <c r="E323" s="53"/>
      <c r="F323" s="53"/>
      <c r="G323" s="53"/>
      <c r="H323" s="54"/>
      <c r="I323" s="55">
        <f t="shared" si="79"/>
        <v>0</v>
      </c>
      <c r="J323" s="53">
        <v>64</v>
      </c>
      <c r="K323" s="53"/>
      <c r="L323" s="53">
        <v>103.33</v>
      </c>
      <c r="M323" s="53">
        <v>89.52</v>
      </c>
      <c r="N323" s="53">
        <v>4.25</v>
      </c>
      <c r="O323" s="53">
        <v>26</v>
      </c>
      <c r="P323" s="53">
        <v>123.16</v>
      </c>
      <c r="Q323" s="53"/>
      <c r="R323" s="53">
        <v>32.14</v>
      </c>
      <c r="S323" s="53">
        <v>765</v>
      </c>
      <c r="T323" s="53">
        <v>12.5</v>
      </c>
      <c r="U323" s="53">
        <v>260.64999999999998</v>
      </c>
      <c r="V323" s="56">
        <f t="shared" si="80"/>
        <v>1480.5500000000002</v>
      </c>
      <c r="W323" s="53">
        <v>974.65</v>
      </c>
      <c r="X323" s="53"/>
      <c r="Y323" s="56">
        <f t="shared" si="76"/>
        <v>974.65</v>
      </c>
      <c r="Z323" s="53">
        <v>49.05</v>
      </c>
      <c r="AA323" s="53"/>
      <c r="AB323" s="53">
        <v>51.4</v>
      </c>
      <c r="AC323" s="53"/>
      <c r="AD323" s="56">
        <f t="shared" si="77"/>
        <v>100.44999999999999</v>
      </c>
      <c r="AE323" s="53">
        <v>136.54</v>
      </c>
      <c r="AF323" s="56">
        <f t="shared" si="78"/>
        <v>136.54</v>
      </c>
      <c r="AG323" s="54"/>
      <c r="AH323" s="56">
        <f t="shared" si="81"/>
        <v>2692.19</v>
      </c>
    </row>
    <row r="324" spans="1:34" ht="16.5">
      <c r="A324" s="124"/>
      <c r="B324" s="52">
        <v>44334</v>
      </c>
      <c r="C324" s="53">
        <v>48</v>
      </c>
      <c r="D324" s="53"/>
      <c r="E324" s="53"/>
      <c r="F324" s="53"/>
      <c r="G324" s="53"/>
      <c r="H324" s="54"/>
      <c r="I324" s="55">
        <f t="shared" si="79"/>
        <v>48</v>
      </c>
      <c r="J324" s="53">
        <v>43.5</v>
      </c>
      <c r="K324" s="53">
        <v>1</v>
      </c>
      <c r="L324" s="53">
        <v>105.74</v>
      </c>
      <c r="M324" s="53">
        <v>485.08</v>
      </c>
      <c r="N324" s="53">
        <v>4.8</v>
      </c>
      <c r="O324" s="53">
        <v>16</v>
      </c>
      <c r="P324" s="53">
        <v>140.53</v>
      </c>
      <c r="Q324" s="53">
        <v>779.25</v>
      </c>
      <c r="R324" s="53">
        <v>43.69</v>
      </c>
      <c r="S324" s="53"/>
      <c r="T324" s="53">
        <v>5</v>
      </c>
      <c r="U324" s="53">
        <v>164</v>
      </c>
      <c r="V324" s="56">
        <f t="shared" si="80"/>
        <v>1788.59</v>
      </c>
      <c r="W324" s="53">
        <v>449.15</v>
      </c>
      <c r="X324" s="53"/>
      <c r="Y324" s="56">
        <f t="shared" si="76"/>
        <v>449.15</v>
      </c>
      <c r="Z324" s="53">
        <v>440.75</v>
      </c>
      <c r="AA324" s="53"/>
      <c r="AB324" s="53">
        <v>170.52</v>
      </c>
      <c r="AC324" s="53"/>
      <c r="AD324" s="56">
        <f t="shared" si="77"/>
        <v>611.27</v>
      </c>
      <c r="AE324" s="53">
        <v>1447.9</v>
      </c>
      <c r="AF324" s="56">
        <f t="shared" si="78"/>
        <v>1447.9</v>
      </c>
      <c r="AG324" s="54"/>
      <c r="AH324" s="56">
        <f t="shared" si="81"/>
        <v>4344.91</v>
      </c>
    </row>
    <row r="325" spans="1:34" ht="16.5">
      <c r="A325" s="124"/>
      <c r="B325" s="52">
        <v>44335</v>
      </c>
      <c r="C325" s="53">
        <v>9</v>
      </c>
      <c r="D325" s="53"/>
      <c r="E325" s="53">
        <v>332.71</v>
      </c>
      <c r="F325" s="53"/>
      <c r="G325" s="53">
        <v>7.5</v>
      </c>
      <c r="H325" s="54">
        <v>28.5</v>
      </c>
      <c r="I325" s="55">
        <f t="shared" si="79"/>
        <v>377.71</v>
      </c>
      <c r="J325" s="53">
        <v>45.5</v>
      </c>
      <c r="K325" s="53"/>
      <c r="L325" s="53">
        <v>850.69</v>
      </c>
      <c r="M325" s="53">
        <v>5843.51</v>
      </c>
      <c r="N325" s="53">
        <v>24.98</v>
      </c>
      <c r="O325" s="53">
        <v>6</v>
      </c>
      <c r="P325" s="53">
        <v>413.58</v>
      </c>
      <c r="Q325" s="53"/>
      <c r="R325" s="53">
        <v>441.17</v>
      </c>
      <c r="S325" s="53"/>
      <c r="T325" s="53"/>
      <c r="U325" s="53">
        <v>620.15</v>
      </c>
      <c r="V325" s="56">
        <f t="shared" si="80"/>
        <v>8245.58</v>
      </c>
      <c r="W325" s="53">
        <v>431.75</v>
      </c>
      <c r="X325" s="53"/>
      <c r="Y325" s="56">
        <f t="shared" si="76"/>
        <v>431.75</v>
      </c>
      <c r="Z325" s="53">
        <v>5.26</v>
      </c>
      <c r="AA325" s="53"/>
      <c r="AB325" s="53">
        <v>14.3</v>
      </c>
      <c r="AC325" s="53"/>
      <c r="AD325" s="56">
        <f t="shared" si="77"/>
        <v>19.560000000000002</v>
      </c>
      <c r="AE325" s="53">
        <v>4.5</v>
      </c>
      <c r="AF325" s="56">
        <f t="shared" si="78"/>
        <v>4.5</v>
      </c>
      <c r="AG325" s="54"/>
      <c r="AH325" s="56">
        <f t="shared" si="81"/>
        <v>9079.0999999999985</v>
      </c>
    </row>
    <row r="326" spans="1:34" ht="16.5">
      <c r="A326" s="124"/>
      <c r="B326" s="52">
        <v>44336</v>
      </c>
      <c r="C326" s="53">
        <v>54</v>
      </c>
      <c r="D326" s="53"/>
      <c r="E326" s="53"/>
      <c r="F326" s="53"/>
      <c r="G326" s="53"/>
      <c r="H326" s="54"/>
      <c r="I326" s="55">
        <f t="shared" si="79"/>
        <v>54</v>
      </c>
      <c r="J326" s="53">
        <v>49.5</v>
      </c>
      <c r="K326" s="53">
        <v>1</v>
      </c>
      <c r="L326" s="53">
        <v>62.88</v>
      </c>
      <c r="M326" s="53">
        <v>219.58</v>
      </c>
      <c r="N326" s="53">
        <v>2.54</v>
      </c>
      <c r="O326" s="53">
        <v>6</v>
      </c>
      <c r="P326" s="53">
        <v>218.62</v>
      </c>
      <c r="Q326" s="53">
        <v>443.2</v>
      </c>
      <c r="R326" s="53">
        <v>19.3</v>
      </c>
      <c r="S326" s="53"/>
      <c r="T326" s="53"/>
      <c r="U326" s="53">
        <v>3477.65</v>
      </c>
      <c r="V326" s="56">
        <f t="shared" si="80"/>
        <v>4500.2700000000004</v>
      </c>
      <c r="W326" s="53">
        <v>315.60000000000002</v>
      </c>
      <c r="X326" s="53"/>
      <c r="Y326" s="56">
        <f t="shared" si="76"/>
        <v>315.60000000000002</v>
      </c>
      <c r="Z326" s="53">
        <v>57.5</v>
      </c>
      <c r="AA326" s="53"/>
      <c r="AB326" s="53">
        <v>29.8</v>
      </c>
      <c r="AC326" s="53"/>
      <c r="AD326" s="56">
        <f t="shared" si="77"/>
        <v>87.3</v>
      </c>
      <c r="AE326" s="53">
        <v>168.78</v>
      </c>
      <c r="AF326" s="56">
        <f t="shared" si="78"/>
        <v>168.78</v>
      </c>
      <c r="AG326" s="54"/>
      <c r="AH326" s="56">
        <f t="shared" si="81"/>
        <v>5125.9500000000007</v>
      </c>
    </row>
    <row r="327" spans="1:34" ht="16.5">
      <c r="A327" s="124"/>
      <c r="B327" s="52">
        <v>44337</v>
      </c>
      <c r="C327" s="53">
        <v>56.5</v>
      </c>
      <c r="D327" s="53"/>
      <c r="E327" s="53"/>
      <c r="F327" s="53"/>
      <c r="G327" s="53"/>
      <c r="H327" s="54"/>
      <c r="I327" s="55">
        <f t="shared" si="79"/>
        <v>56.5</v>
      </c>
      <c r="J327" s="53">
        <v>42</v>
      </c>
      <c r="K327" s="53">
        <v>1</v>
      </c>
      <c r="L327" s="53">
        <v>131.85</v>
      </c>
      <c r="M327" s="53">
        <v>96.46</v>
      </c>
      <c r="N327" s="53">
        <v>6.29</v>
      </c>
      <c r="O327" s="53">
        <v>16</v>
      </c>
      <c r="P327" s="53">
        <v>52.64</v>
      </c>
      <c r="Q327" s="53"/>
      <c r="R327" s="53">
        <v>49.1</v>
      </c>
      <c r="S327" s="53"/>
      <c r="T327" s="53">
        <v>2.5</v>
      </c>
      <c r="U327" s="53">
        <v>215.02</v>
      </c>
      <c r="V327" s="56">
        <f t="shared" si="80"/>
        <v>612.86</v>
      </c>
      <c r="W327" s="53">
        <v>305.05</v>
      </c>
      <c r="X327" s="53"/>
      <c r="Y327" s="56">
        <f t="shared" si="76"/>
        <v>305.05</v>
      </c>
      <c r="Z327" s="53">
        <v>60.66</v>
      </c>
      <c r="AA327" s="53"/>
      <c r="AB327" s="53">
        <v>29.87</v>
      </c>
      <c r="AC327" s="53"/>
      <c r="AD327" s="56">
        <f t="shared" si="77"/>
        <v>90.53</v>
      </c>
      <c r="AE327" s="53">
        <v>131.66999999999999</v>
      </c>
      <c r="AF327" s="56">
        <f t="shared" si="78"/>
        <v>131.66999999999999</v>
      </c>
      <c r="AG327" s="54"/>
      <c r="AH327" s="56">
        <f t="shared" si="81"/>
        <v>1196.6100000000001</v>
      </c>
    </row>
    <row r="328" spans="1:34" ht="16.5">
      <c r="A328" s="124"/>
      <c r="B328" s="52">
        <v>44340</v>
      </c>
      <c r="C328" s="53">
        <v>513.94000000000005</v>
      </c>
      <c r="D328" s="53"/>
      <c r="E328" s="53">
        <v>3.43</v>
      </c>
      <c r="F328" s="53"/>
      <c r="G328" s="53">
        <v>7</v>
      </c>
      <c r="H328" s="54"/>
      <c r="I328" s="55">
        <f t="shared" si="79"/>
        <v>524.37</v>
      </c>
      <c r="J328" s="53">
        <v>70</v>
      </c>
      <c r="K328" s="53"/>
      <c r="L328" s="53">
        <v>151.06</v>
      </c>
      <c r="M328" s="53">
        <v>357.89</v>
      </c>
      <c r="N328" s="53">
        <v>14.92</v>
      </c>
      <c r="O328" s="53">
        <v>6</v>
      </c>
      <c r="P328" s="53">
        <v>102.22</v>
      </c>
      <c r="Q328" s="53"/>
      <c r="R328" s="53">
        <v>169.71</v>
      </c>
      <c r="S328" s="53"/>
      <c r="T328" s="53">
        <v>7.5</v>
      </c>
      <c r="U328" s="53">
        <v>83</v>
      </c>
      <c r="V328" s="56">
        <f t="shared" si="80"/>
        <v>962.30000000000007</v>
      </c>
      <c r="W328" s="53">
        <v>361.4</v>
      </c>
      <c r="X328" s="53"/>
      <c r="Y328" s="56">
        <f t="shared" si="76"/>
        <v>361.4</v>
      </c>
      <c r="Z328" s="53">
        <v>67.069999999999993</v>
      </c>
      <c r="AA328" s="53"/>
      <c r="AB328" s="53">
        <v>18.8</v>
      </c>
      <c r="AC328" s="53"/>
      <c r="AD328" s="56">
        <f t="shared" si="77"/>
        <v>85.86999999999999</v>
      </c>
      <c r="AE328" s="53">
        <v>301.44</v>
      </c>
      <c r="AF328" s="56">
        <f t="shared" si="78"/>
        <v>301.44</v>
      </c>
      <c r="AG328" s="54"/>
      <c r="AH328" s="56">
        <f t="shared" si="81"/>
        <v>2235.38</v>
      </c>
    </row>
    <row r="329" spans="1:34" ht="16.5">
      <c r="A329" s="124"/>
      <c r="B329" s="52">
        <v>44341</v>
      </c>
      <c r="C329" s="53">
        <v>336.34</v>
      </c>
      <c r="D329" s="53"/>
      <c r="E329" s="53">
        <v>3.43</v>
      </c>
      <c r="F329" s="53"/>
      <c r="G329" s="53"/>
      <c r="H329" s="54"/>
      <c r="I329" s="55">
        <f t="shared" si="79"/>
        <v>339.77</v>
      </c>
      <c r="J329" s="53">
        <v>59.5</v>
      </c>
      <c r="K329" s="53"/>
      <c r="L329" s="53">
        <v>182.42</v>
      </c>
      <c r="M329" s="53">
        <v>2315.94</v>
      </c>
      <c r="N329" s="53">
        <v>4.51</v>
      </c>
      <c r="O329" s="53"/>
      <c r="P329" s="53">
        <v>302.47000000000003</v>
      </c>
      <c r="Q329" s="53">
        <v>809.1</v>
      </c>
      <c r="R329" s="53">
        <v>114.04</v>
      </c>
      <c r="S329" s="53"/>
      <c r="T329" s="53"/>
      <c r="U329" s="53">
        <v>1584.2</v>
      </c>
      <c r="V329" s="56">
        <f t="shared" si="80"/>
        <v>5372.18</v>
      </c>
      <c r="W329" s="53">
        <v>325</v>
      </c>
      <c r="X329" s="53"/>
      <c r="Y329" s="56">
        <f t="shared" si="76"/>
        <v>325</v>
      </c>
      <c r="Z329" s="53">
        <v>234.05</v>
      </c>
      <c r="AA329" s="53">
        <v>3</v>
      </c>
      <c r="AB329" s="53">
        <v>269.70999999999998</v>
      </c>
      <c r="AC329" s="53" t="s">
        <v>184</v>
      </c>
      <c r="AD329" s="56">
        <f t="shared" si="77"/>
        <v>506.76</v>
      </c>
      <c r="AE329" s="53">
        <v>972.32</v>
      </c>
      <c r="AF329" s="56">
        <f t="shared" si="78"/>
        <v>972.32</v>
      </c>
      <c r="AG329" s="54"/>
      <c r="AH329" s="56">
        <f t="shared" si="81"/>
        <v>7516.0300000000007</v>
      </c>
    </row>
    <row r="330" spans="1:34" ht="16.5">
      <c r="A330" s="124"/>
      <c r="B330" s="52">
        <v>44342</v>
      </c>
      <c r="C330" s="53">
        <v>336.34</v>
      </c>
      <c r="D330" s="53"/>
      <c r="E330" s="53">
        <v>3.43</v>
      </c>
      <c r="F330" s="53"/>
      <c r="G330" s="53"/>
      <c r="H330" s="54"/>
      <c r="I330" s="55">
        <f t="shared" si="79"/>
        <v>339.77</v>
      </c>
      <c r="J330" s="53">
        <v>59.5</v>
      </c>
      <c r="K330" s="53"/>
      <c r="L330" s="53">
        <v>182.42</v>
      </c>
      <c r="M330" s="53">
        <v>2315.94</v>
      </c>
      <c r="N330" s="53">
        <v>4.51</v>
      </c>
      <c r="O330" s="53"/>
      <c r="P330" s="53">
        <v>302.47000000000003</v>
      </c>
      <c r="Q330" s="53">
        <v>809.1</v>
      </c>
      <c r="R330" s="53">
        <v>114.04</v>
      </c>
      <c r="S330" s="53"/>
      <c r="T330" s="53"/>
      <c r="U330" s="53">
        <v>1584.2</v>
      </c>
      <c r="V330" s="56">
        <f t="shared" si="80"/>
        <v>5372.18</v>
      </c>
      <c r="W330" s="53">
        <v>325</v>
      </c>
      <c r="X330" s="53"/>
      <c r="Y330" s="56">
        <f t="shared" si="76"/>
        <v>325</v>
      </c>
      <c r="Z330" s="53">
        <v>234.05</v>
      </c>
      <c r="AA330" s="53">
        <v>3</v>
      </c>
      <c r="AB330" s="53">
        <v>269.70999999999998</v>
      </c>
      <c r="AC330" s="53"/>
      <c r="AD330" s="56">
        <f t="shared" si="77"/>
        <v>506.76</v>
      </c>
      <c r="AE330" s="53">
        <v>972.32</v>
      </c>
      <c r="AF330" s="56">
        <f t="shared" si="78"/>
        <v>972.32</v>
      </c>
      <c r="AG330" s="54"/>
      <c r="AH330" s="56">
        <f t="shared" si="81"/>
        <v>7516.0300000000007</v>
      </c>
    </row>
    <row r="331" spans="1:34" ht="16.5">
      <c r="A331" s="124"/>
      <c r="B331" s="52">
        <v>44343</v>
      </c>
      <c r="C331" s="53">
        <v>1997.82</v>
      </c>
      <c r="D331" s="53"/>
      <c r="E331" s="53"/>
      <c r="F331" s="53"/>
      <c r="G331" s="53"/>
      <c r="H331" s="54"/>
      <c r="I331" s="55">
        <f t="shared" si="79"/>
        <v>1997.82</v>
      </c>
      <c r="J331" s="53">
        <v>62.5</v>
      </c>
      <c r="K331" s="53"/>
      <c r="L331" s="53">
        <v>122.46</v>
      </c>
      <c r="M331" s="53">
        <v>402.5</v>
      </c>
      <c r="N331" s="53">
        <v>3.35</v>
      </c>
      <c r="O331" s="53"/>
      <c r="P331" s="53">
        <v>169.67</v>
      </c>
      <c r="Q331" s="53">
        <v>336.93</v>
      </c>
      <c r="R331" s="53">
        <v>82.3</v>
      </c>
      <c r="S331" s="53"/>
      <c r="T331" s="53"/>
      <c r="U331" s="53">
        <v>167.47</v>
      </c>
      <c r="V331" s="56">
        <f t="shared" si="80"/>
        <v>1347.18</v>
      </c>
      <c r="W331" s="53">
        <v>286.60000000000002</v>
      </c>
      <c r="X331" s="53"/>
      <c r="Y331" s="56">
        <f t="shared" si="76"/>
        <v>286.60000000000002</v>
      </c>
      <c r="Z331" s="53">
        <v>39.51</v>
      </c>
      <c r="AA331" s="53"/>
      <c r="AB331" s="53">
        <v>23.26</v>
      </c>
      <c r="AC331" s="53"/>
      <c r="AD331" s="56">
        <f t="shared" si="77"/>
        <v>62.769999999999996</v>
      </c>
      <c r="AE331" s="53">
        <v>252.18</v>
      </c>
      <c r="AF331" s="56">
        <f t="shared" si="78"/>
        <v>252.18</v>
      </c>
      <c r="AG331" s="54"/>
      <c r="AH331" s="56">
        <f t="shared" si="81"/>
        <v>3946.55</v>
      </c>
    </row>
    <row r="332" spans="1:34" ht="16.5">
      <c r="A332" s="124"/>
      <c r="B332" s="52">
        <v>44344</v>
      </c>
      <c r="C332" s="53">
        <v>6350.78</v>
      </c>
      <c r="D332" s="53"/>
      <c r="E332" s="53"/>
      <c r="F332" s="53"/>
      <c r="G332" s="53">
        <v>18</v>
      </c>
      <c r="H332" s="54"/>
      <c r="I332" s="55">
        <f t="shared" si="79"/>
        <v>6368.78</v>
      </c>
      <c r="J332" s="53">
        <v>51</v>
      </c>
      <c r="K332" s="53">
        <v>2</v>
      </c>
      <c r="L332" s="53">
        <v>251.74</v>
      </c>
      <c r="M332" s="53">
        <v>911.56</v>
      </c>
      <c r="N332" s="53">
        <v>2.19</v>
      </c>
      <c r="O332" s="53"/>
      <c r="P332" s="53">
        <v>457.65</v>
      </c>
      <c r="Q332" s="53"/>
      <c r="R332" s="53">
        <v>116.39</v>
      </c>
      <c r="S332" s="53"/>
      <c r="T332" s="53"/>
      <c r="U332" s="53">
        <v>33</v>
      </c>
      <c r="V332" s="56">
        <f t="shared" si="80"/>
        <v>1825.53</v>
      </c>
      <c r="W332" s="53">
        <v>344.3</v>
      </c>
      <c r="X332" s="53"/>
      <c r="Y332" s="56">
        <f t="shared" si="76"/>
        <v>344.3</v>
      </c>
      <c r="Z332" s="53">
        <v>287.88</v>
      </c>
      <c r="AA332" s="53">
        <v>5.71</v>
      </c>
      <c r="AB332" s="53">
        <v>141.53</v>
      </c>
      <c r="AC332" s="53"/>
      <c r="AD332" s="56">
        <f t="shared" si="77"/>
        <v>435.12</v>
      </c>
      <c r="AE332" s="53">
        <v>1074.8900000000001</v>
      </c>
      <c r="AF332" s="56">
        <f t="shared" si="78"/>
        <v>1074.8900000000001</v>
      </c>
      <c r="AG332" s="54"/>
      <c r="AH332" s="56">
        <f t="shared" si="81"/>
        <v>10048.619999999999</v>
      </c>
    </row>
    <row r="333" spans="1:34" ht="16.5">
      <c r="A333" s="124"/>
      <c r="B333" s="52">
        <v>44347</v>
      </c>
      <c r="C333" s="53">
        <v>1119.01</v>
      </c>
      <c r="D333" s="53"/>
      <c r="E333" s="53"/>
      <c r="F333" s="53">
        <v>33</v>
      </c>
      <c r="G333" s="53">
        <v>15</v>
      </c>
      <c r="H333" s="54"/>
      <c r="I333" s="55">
        <f t="shared" si="79"/>
        <v>1167.01</v>
      </c>
      <c r="J333" s="53">
        <v>111</v>
      </c>
      <c r="K333" s="53"/>
      <c r="L333" s="53">
        <v>106.37</v>
      </c>
      <c r="M333" s="53">
        <v>445.23</v>
      </c>
      <c r="N333" s="53">
        <v>3.6</v>
      </c>
      <c r="O333" s="53">
        <v>6</v>
      </c>
      <c r="P333" s="53">
        <v>173.1</v>
      </c>
      <c r="Q333" s="53"/>
      <c r="R333" s="53">
        <v>42.21</v>
      </c>
      <c r="S333" s="53"/>
      <c r="T333" s="53">
        <v>35</v>
      </c>
      <c r="U333" s="53">
        <v>87.22</v>
      </c>
      <c r="V333" s="56">
        <f t="shared" si="80"/>
        <v>1009.7300000000001</v>
      </c>
      <c r="W333" s="53">
        <v>475</v>
      </c>
      <c r="X333" s="53"/>
      <c r="Y333" s="56">
        <f t="shared" si="76"/>
        <v>475</v>
      </c>
      <c r="Z333" s="53">
        <v>113.98</v>
      </c>
      <c r="AA333" s="53"/>
      <c r="AB333" s="53">
        <v>78.39</v>
      </c>
      <c r="AC333" s="53"/>
      <c r="AD333" s="56">
        <f t="shared" si="77"/>
        <v>192.37</v>
      </c>
      <c r="AE333" s="53">
        <v>981.25</v>
      </c>
      <c r="AF333" s="56">
        <f t="shared" si="78"/>
        <v>981.25</v>
      </c>
      <c r="AG333" s="54"/>
      <c r="AH333" s="56">
        <f t="shared" si="81"/>
        <v>3825.3599999999997</v>
      </c>
    </row>
    <row r="334" spans="1:34" ht="16.5">
      <c r="A334" s="124"/>
      <c r="B334" s="52"/>
      <c r="C334" s="53"/>
      <c r="D334" s="53"/>
      <c r="E334" s="53"/>
      <c r="F334" s="53"/>
      <c r="G334" s="53"/>
      <c r="H334" s="54"/>
      <c r="I334" s="55">
        <f t="shared" si="79"/>
        <v>0</v>
      </c>
      <c r="J334" s="53"/>
      <c r="K334" s="53"/>
      <c r="L334" s="53"/>
      <c r="M334" s="53"/>
      <c r="N334" s="53"/>
      <c r="O334" s="53"/>
      <c r="P334" s="53"/>
      <c r="Q334" s="53"/>
      <c r="R334" s="53"/>
      <c r="S334" s="53"/>
      <c r="T334" s="53"/>
      <c r="U334" s="53"/>
      <c r="V334" s="56">
        <f t="shared" si="80"/>
        <v>0</v>
      </c>
      <c r="W334" s="53"/>
      <c r="X334" s="53"/>
      <c r="Y334" s="56">
        <f t="shared" si="76"/>
        <v>0</v>
      </c>
      <c r="Z334" s="53"/>
      <c r="AA334" s="53"/>
      <c r="AB334" s="53"/>
      <c r="AC334" s="53"/>
      <c r="AD334" s="56">
        <f t="shared" si="77"/>
        <v>0</v>
      </c>
      <c r="AE334" s="53"/>
      <c r="AF334" s="56">
        <f t="shared" si="78"/>
        <v>0</v>
      </c>
      <c r="AG334" s="54"/>
      <c r="AH334" s="56">
        <f t="shared" si="81"/>
        <v>0</v>
      </c>
    </row>
    <row r="335" spans="1:34" ht="16.5">
      <c r="A335" s="124"/>
      <c r="B335" s="52"/>
      <c r="C335" s="53"/>
      <c r="D335" s="53"/>
      <c r="E335" s="53"/>
      <c r="F335" s="53"/>
      <c r="G335" s="53"/>
      <c r="H335" s="54"/>
      <c r="I335" s="55">
        <f t="shared" si="79"/>
        <v>0</v>
      </c>
      <c r="J335" s="53"/>
      <c r="K335" s="53"/>
      <c r="L335" s="53"/>
      <c r="M335" s="53"/>
      <c r="N335" s="53"/>
      <c r="O335" s="53"/>
      <c r="P335" s="53"/>
      <c r="Q335" s="53"/>
      <c r="R335" s="53"/>
      <c r="S335" s="53"/>
      <c r="T335" s="53"/>
      <c r="U335" s="53"/>
      <c r="V335" s="56">
        <f t="shared" si="80"/>
        <v>0</v>
      </c>
      <c r="W335" s="53"/>
      <c r="X335" s="53"/>
      <c r="Y335" s="56">
        <f t="shared" si="76"/>
        <v>0</v>
      </c>
      <c r="Z335" s="53"/>
      <c r="AA335" s="53"/>
      <c r="AB335" s="53"/>
      <c r="AC335" s="53"/>
      <c r="AD335" s="56">
        <f t="shared" si="77"/>
        <v>0</v>
      </c>
      <c r="AE335" s="53"/>
      <c r="AF335" s="56">
        <f t="shared" si="78"/>
        <v>0</v>
      </c>
      <c r="AG335" s="54"/>
      <c r="AH335" s="56">
        <f t="shared" si="81"/>
        <v>0</v>
      </c>
    </row>
    <row r="336" spans="1:34" ht="16.5">
      <c r="A336" s="124"/>
      <c r="H336" s="57"/>
      <c r="I336" s="55">
        <f t="shared" si="79"/>
        <v>0</v>
      </c>
    </row>
    <row r="337" spans="1:34" ht="16.5">
      <c r="A337" s="124"/>
      <c r="B337" s="49"/>
      <c r="C337" s="54"/>
      <c r="D337" s="54"/>
      <c r="E337" s="54"/>
      <c r="F337" s="54"/>
      <c r="G337" s="54"/>
      <c r="H337" s="56"/>
      <c r="I337" s="54"/>
      <c r="J337" s="54"/>
      <c r="K337" s="54"/>
      <c r="L337" s="54"/>
      <c r="M337" s="54"/>
      <c r="N337" s="54"/>
      <c r="O337" s="54"/>
      <c r="P337" s="54"/>
      <c r="Q337" s="54"/>
      <c r="R337" s="54"/>
      <c r="S337" s="54"/>
      <c r="T337" s="54"/>
      <c r="U337" s="54"/>
      <c r="V337" s="56"/>
      <c r="W337" s="54"/>
      <c r="X337" s="54"/>
      <c r="Y337" s="56"/>
      <c r="Z337" s="54"/>
      <c r="AA337" s="54"/>
      <c r="AB337" s="54"/>
      <c r="AC337" s="54"/>
      <c r="AD337" s="56"/>
      <c r="AE337" s="54"/>
      <c r="AF337" s="56"/>
      <c r="AG337" s="54"/>
      <c r="AH337" s="56"/>
    </row>
    <row r="338" spans="1:34" ht="16.5">
      <c r="A338" s="124"/>
      <c r="B338" s="58"/>
      <c r="C338" s="54">
        <f t="shared" ref="C338:AF338" si="82">SUM(C315:C337)</f>
        <v>19173.55</v>
      </c>
      <c r="D338" s="54">
        <f t="shared" si="82"/>
        <v>1830.59</v>
      </c>
      <c r="E338" s="54">
        <f t="shared" si="82"/>
        <v>367.01</v>
      </c>
      <c r="F338" s="54">
        <f t="shared" si="82"/>
        <v>68</v>
      </c>
      <c r="G338" s="54">
        <f t="shared" si="82"/>
        <v>265</v>
      </c>
      <c r="H338" s="54">
        <f t="shared" si="82"/>
        <v>1378.5</v>
      </c>
      <c r="I338" s="54">
        <f t="shared" si="82"/>
        <v>23082.649999999998</v>
      </c>
      <c r="J338" s="54">
        <f t="shared" si="82"/>
        <v>1040.5</v>
      </c>
      <c r="K338" s="54">
        <f t="shared" si="82"/>
        <v>10</v>
      </c>
      <c r="L338" s="54">
        <f t="shared" si="82"/>
        <v>4358.1000000000004</v>
      </c>
      <c r="M338" s="54">
        <f t="shared" si="82"/>
        <v>23371.859999999997</v>
      </c>
      <c r="N338" s="54">
        <f t="shared" si="82"/>
        <v>123.68</v>
      </c>
      <c r="O338" s="54">
        <f t="shared" si="82"/>
        <v>142</v>
      </c>
      <c r="P338" s="54">
        <f t="shared" si="82"/>
        <v>5874.6800000000012</v>
      </c>
      <c r="Q338" s="54">
        <f t="shared" si="82"/>
        <v>6020.0400000000009</v>
      </c>
      <c r="R338" s="54">
        <f t="shared" si="82"/>
        <v>2108.85</v>
      </c>
      <c r="S338" s="54">
        <f t="shared" si="82"/>
        <v>8829</v>
      </c>
      <c r="T338" s="54">
        <f t="shared" si="82"/>
        <v>78</v>
      </c>
      <c r="U338" s="54">
        <f t="shared" si="82"/>
        <v>22484.31</v>
      </c>
      <c r="V338" s="56">
        <f t="shared" si="82"/>
        <v>74441.01999999999</v>
      </c>
      <c r="W338" s="54">
        <f t="shared" si="82"/>
        <v>6576.5500000000011</v>
      </c>
      <c r="X338" s="54">
        <f t="shared" si="82"/>
        <v>0</v>
      </c>
      <c r="Y338" s="54">
        <f t="shared" si="82"/>
        <v>6576.5500000000011</v>
      </c>
      <c r="Z338" s="54">
        <f t="shared" si="82"/>
        <v>6233.54</v>
      </c>
      <c r="AA338" s="54">
        <f t="shared" si="82"/>
        <v>592.28000000000009</v>
      </c>
      <c r="AB338" s="54">
        <f t="shared" si="82"/>
        <v>2472.54</v>
      </c>
      <c r="AC338" s="54">
        <f t="shared" si="82"/>
        <v>0</v>
      </c>
      <c r="AD338" s="54">
        <f t="shared" si="82"/>
        <v>9298.3600000000024</v>
      </c>
      <c r="AE338" s="54">
        <f t="shared" si="82"/>
        <v>25332.079999999998</v>
      </c>
      <c r="AF338" s="54">
        <f t="shared" si="82"/>
        <v>25332.079999999998</v>
      </c>
      <c r="AG338" s="54"/>
      <c r="AH338" s="54">
        <f>SUM(AH315:AH337)</f>
        <v>138730.66</v>
      </c>
    </row>
    <row r="339" spans="1:34" ht="16.5">
      <c r="A339" s="124"/>
      <c r="B339" s="141"/>
      <c r="C339" s="141"/>
      <c r="D339" s="141"/>
      <c r="E339" s="141"/>
      <c r="F339" s="141"/>
      <c r="G339" s="141"/>
      <c r="H339" s="141"/>
      <c r="I339" s="141"/>
      <c r="J339" s="141"/>
      <c r="K339" s="141"/>
      <c r="L339" s="141"/>
      <c r="M339" s="141"/>
      <c r="N339" s="141"/>
      <c r="O339" s="141"/>
      <c r="P339" s="141"/>
      <c r="Q339" s="141"/>
      <c r="R339" s="141"/>
      <c r="S339" s="141"/>
      <c r="T339" s="141"/>
      <c r="U339" s="141"/>
      <c r="V339" s="141"/>
      <c r="W339" s="141"/>
      <c r="X339" s="141"/>
      <c r="Y339" s="141"/>
      <c r="Z339" s="141"/>
      <c r="AA339" s="141"/>
      <c r="AB339" s="141"/>
      <c r="AC339" s="141"/>
      <c r="AD339" s="141"/>
      <c r="AE339" s="141"/>
      <c r="AF339" s="56" t="s">
        <v>175</v>
      </c>
      <c r="AG339" s="54"/>
      <c r="AH339" s="59">
        <v>6250</v>
      </c>
    </row>
    <row r="340" spans="1:34" ht="16.5">
      <c r="A340" s="124"/>
      <c r="B340" s="141"/>
      <c r="C340" s="141"/>
      <c r="D340" s="141"/>
      <c r="E340" s="141"/>
      <c r="F340" s="141"/>
      <c r="G340" s="141"/>
      <c r="H340" s="141"/>
      <c r="I340" s="141"/>
      <c r="J340" s="141"/>
      <c r="K340" s="141"/>
      <c r="L340" s="141"/>
      <c r="M340" s="141"/>
      <c r="N340" s="141"/>
      <c r="O340" s="141"/>
      <c r="P340" s="141"/>
      <c r="Q340" s="141"/>
      <c r="R340" s="141"/>
      <c r="S340" s="141"/>
      <c r="T340" s="141"/>
      <c r="U340" s="141"/>
      <c r="V340" s="141"/>
      <c r="W340" s="141"/>
      <c r="X340" s="141"/>
      <c r="Y340" s="141"/>
      <c r="Z340" s="141"/>
      <c r="AA340" s="141"/>
      <c r="AB340" s="141"/>
      <c r="AC340" s="141"/>
      <c r="AD340" s="141"/>
      <c r="AE340" s="141"/>
      <c r="AF340" s="56" t="s">
        <v>139</v>
      </c>
      <c r="AG340" s="54"/>
      <c r="AH340" s="59">
        <v>549640.53</v>
      </c>
    </row>
    <row r="341" spans="1:34" ht="16.5">
      <c r="A341" s="124"/>
      <c r="B341" s="141"/>
      <c r="C341" s="141"/>
      <c r="D341" s="141"/>
      <c r="E341" s="141"/>
      <c r="F341" s="141"/>
      <c r="G341" s="141"/>
      <c r="H341" s="141"/>
      <c r="I341" s="141"/>
      <c r="J341" s="141"/>
      <c r="K341" s="141"/>
      <c r="L341" s="141"/>
      <c r="M341" s="141"/>
      <c r="N341" s="141"/>
      <c r="O341" s="141"/>
      <c r="P341" s="141"/>
      <c r="Q341" s="141"/>
      <c r="R341" s="141"/>
      <c r="S341" s="141"/>
      <c r="T341" s="141"/>
      <c r="U341" s="141"/>
      <c r="V341" s="141"/>
      <c r="W341" s="141"/>
      <c r="X341" s="141"/>
      <c r="Y341" s="141"/>
      <c r="Z341" s="141"/>
      <c r="AA341" s="141"/>
      <c r="AB341" s="141"/>
      <c r="AC341" s="141"/>
      <c r="AD341" s="141"/>
      <c r="AE341" s="141"/>
      <c r="AF341" s="56"/>
      <c r="AG341" s="54"/>
      <c r="AH341" s="59"/>
    </row>
    <row r="342" spans="1:34" ht="16.5">
      <c r="A342" s="124"/>
      <c r="B342" s="144"/>
      <c r="C342" s="144"/>
      <c r="D342" s="144"/>
      <c r="E342" s="144"/>
      <c r="F342" s="144"/>
      <c r="G342" s="144"/>
      <c r="H342" s="144"/>
      <c r="I342" s="144"/>
      <c r="J342" s="144"/>
      <c r="K342" s="144"/>
      <c r="L342" s="144"/>
      <c r="M342" s="144"/>
      <c r="N342" s="144"/>
      <c r="O342" s="144"/>
      <c r="P342" s="144"/>
      <c r="Q342" s="144"/>
      <c r="R342" s="144"/>
      <c r="S342" s="144"/>
      <c r="T342" s="144"/>
      <c r="U342" s="144"/>
      <c r="V342" s="144"/>
      <c r="W342" s="144"/>
      <c r="X342" s="144"/>
      <c r="Y342" s="144"/>
      <c r="Z342" s="144"/>
      <c r="AA342" s="144"/>
      <c r="AB342" s="144"/>
      <c r="AC342" s="144"/>
      <c r="AD342" s="144"/>
      <c r="AE342" s="144"/>
      <c r="AF342" s="47" t="s">
        <v>185</v>
      </c>
      <c r="AH342" s="59">
        <f>SUM(AH337:AH340)</f>
        <v>694621.19000000006</v>
      </c>
    </row>
    <row r="343" spans="1:34" ht="22.5">
      <c r="A343" s="124"/>
      <c r="B343" s="81"/>
      <c r="C343" s="82"/>
      <c r="D343" s="82"/>
      <c r="E343" s="140" t="s">
        <v>140</v>
      </c>
      <c r="F343" s="140"/>
      <c r="G343" s="140"/>
      <c r="H343" s="140"/>
      <c r="I343" s="140"/>
      <c r="J343" s="140"/>
      <c r="K343" s="140"/>
      <c r="L343" s="83"/>
      <c r="M343" s="83"/>
      <c r="N343" s="82"/>
      <c r="O343" s="82"/>
      <c r="P343" s="82"/>
      <c r="Q343" s="82"/>
      <c r="R343" s="82"/>
      <c r="S343" s="82"/>
      <c r="T343" s="82"/>
      <c r="U343" s="82"/>
      <c r="V343" s="84"/>
      <c r="W343" s="82"/>
      <c r="X343" s="82"/>
      <c r="Y343" s="84"/>
      <c r="Z343" s="82"/>
      <c r="AA343" s="82"/>
      <c r="AB343" s="82"/>
      <c r="AC343" s="82"/>
      <c r="AD343" s="84"/>
      <c r="AE343" s="85"/>
      <c r="AF343" s="85"/>
      <c r="AG343" s="85"/>
      <c r="AH343" s="85"/>
    </row>
    <row r="344" spans="1:34" ht="22.5">
      <c r="A344" s="124"/>
      <c r="B344" s="86"/>
      <c r="C344" s="87"/>
      <c r="D344" s="87"/>
      <c r="E344" s="140" t="s">
        <v>186</v>
      </c>
      <c r="F344" s="140"/>
      <c r="G344" s="140"/>
      <c r="H344" s="140"/>
      <c r="I344" s="140"/>
      <c r="J344" s="140"/>
      <c r="K344" s="140"/>
      <c r="L344" s="83"/>
      <c r="M344" s="83"/>
      <c r="N344" s="87"/>
      <c r="O344" s="87"/>
      <c r="P344" s="87"/>
      <c r="Q344" s="87"/>
      <c r="R344" s="87"/>
      <c r="S344" s="87"/>
      <c r="T344" s="87"/>
      <c r="U344" s="87"/>
      <c r="V344" s="84"/>
      <c r="W344" s="87"/>
      <c r="X344" s="87"/>
      <c r="Y344" s="84"/>
      <c r="Z344" s="87"/>
      <c r="AA344" s="87"/>
      <c r="AB344" s="87"/>
      <c r="AC344" s="87"/>
      <c r="AD344" s="84"/>
      <c r="AE344" s="87"/>
      <c r="AF344" s="88"/>
      <c r="AG344" s="85"/>
      <c r="AH344" s="89"/>
    </row>
    <row r="345" spans="1:34" ht="16.5">
      <c r="A345" s="124"/>
      <c r="B345" s="80"/>
      <c r="C345" s="77"/>
      <c r="D345" s="77"/>
      <c r="E345" s="77"/>
      <c r="F345" s="77"/>
      <c r="G345" s="77"/>
      <c r="H345" s="75"/>
      <c r="I345" s="77"/>
      <c r="J345" s="77"/>
      <c r="K345" s="77"/>
      <c r="L345" s="77"/>
      <c r="M345" s="77"/>
      <c r="N345" s="77"/>
      <c r="O345" s="77"/>
      <c r="P345" s="77"/>
      <c r="Q345" s="77"/>
      <c r="R345" s="77"/>
      <c r="S345" s="77"/>
      <c r="T345" s="77"/>
      <c r="U345" s="77"/>
      <c r="V345" s="75"/>
      <c r="W345" s="77"/>
      <c r="X345" s="77"/>
      <c r="Y345" s="75"/>
      <c r="Z345" s="77"/>
      <c r="AA345" s="77"/>
      <c r="AB345" s="77"/>
      <c r="AC345" s="77"/>
      <c r="AD345" s="75"/>
      <c r="AE345" s="77"/>
      <c r="AF345" s="90"/>
      <c r="AG345" s="76"/>
      <c r="AH345" s="79"/>
    </row>
    <row r="346" spans="1:34" ht="16.5">
      <c r="A346" s="124"/>
      <c r="B346" s="73"/>
      <c r="C346" s="105">
        <v>11801</v>
      </c>
      <c r="D346" s="105">
        <v>11803</v>
      </c>
      <c r="E346" s="105">
        <v>11818</v>
      </c>
      <c r="F346" s="105">
        <v>11802</v>
      </c>
      <c r="G346" s="105">
        <v>11804</v>
      </c>
      <c r="H346" s="105"/>
      <c r="I346" s="105">
        <v>21310001</v>
      </c>
      <c r="J346" s="105">
        <v>12105</v>
      </c>
      <c r="K346" s="105">
        <v>12106</v>
      </c>
      <c r="L346" s="105">
        <v>12108</v>
      </c>
      <c r="M346" s="105">
        <v>12109</v>
      </c>
      <c r="N346" s="105">
        <v>12199</v>
      </c>
      <c r="O346" s="105">
        <v>12111</v>
      </c>
      <c r="P346" s="105">
        <v>12114</v>
      </c>
      <c r="Q346" s="105">
        <v>12115</v>
      </c>
      <c r="R346" s="105">
        <v>12117</v>
      </c>
      <c r="S346" s="105">
        <v>12118</v>
      </c>
      <c r="T346" s="105">
        <v>12119</v>
      </c>
      <c r="U346" s="105">
        <v>12210</v>
      </c>
      <c r="V346" s="105">
        <v>21312001</v>
      </c>
      <c r="W346" s="105">
        <v>14201</v>
      </c>
      <c r="X346" s="105"/>
      <c r="Y346" s="105">
        <v>21314001</v>
      </c>
      <c r="Z346" s="105">
        <v>15302</v>
      </c>
      <c r="AA346" s="105">
        <v>15312</v>
      </c>
      <c r="AB346" s="105">
        <v>15314</v>
      </c>
      <c r="AC346" s="105"/>
      <c r="AD346" s="105">
        <v>21315001</v>
      </c>
      <c r="AE346" s="105">
        <v>32299</v>
      </c>
      <c r="AF346" s="78"/>
      <c r="AG346" s="78"/>
      <c r="AH346" s="78"/>
    </row>
    <row r="347" spans="1:34" ht="71.25" customHeight="1">
      <c r="A347" s="124"/>
      <c r="B347" s="106" t="s">
        <v>187</v>
      </c>
      <c r="C347" s="107" t="s">
        <v>143</v>
      </c>
      <c r="D347" s="107" t="s">
        <v>144</v>
      </c>
      <c r="E347" s="107" t="s">
        <v>145</v>
      </c>
      <c r="F347" s="107" t="s">
        <v>146</v>
      </c>
      <c r="G347" s="107" t="s">
        <v>147</v>
      </c>
      <c r="H347" s="107" t="s">
        <v>183</v>
      </c>
      <c r="I347" s="107" t="s">
        <v>149</v>
      </c>
      <c r="J347" s="107" t="s">
        <v>150</v>
      </c>
      <c r="K347" s="107" t="s">
        <v>151</v>
      </c>
      <c r="L347" s="107" t="s">
        <v>152</v>
      </c>
      <c r="M347" s="107" t="s">
        <v>153</v>
      </c>
      <c r="N347" s="107" t="s">
        <v>154</v>
      </c>
      <c r="O347" s="107" t="s">
        <v>155</v>
      </c>
      <c r="P347" s="107" t="s">
        <v>156</v>
      </c>
      <c r="Q347" s="107" t="s">
        <v>157</v>
      </c>
      <c r="R347" s="107" t="s">
        <v>158</v>
      </c>
      <c r="S347" s="107" t="s">
        <v>159</v>
      </c>
      <c r="T347" s="107" t="s">
        <v>160</v>
      </c>
      <c r="U347" s="107" t="s">
        <v>161</v>
      </c>
      <c r="V347" s="107" t="s">
        <v>163</v>
      </c>
      <c r="W347" s="107" t="s">
        <v>164</v>
      </c>
      <c r="X347" s="107" t="s">
        <v>165</v>
      </c>
      <c r="Y347" s="107" t="s">
        <v>166</v>
      </c>
      <c r="Z347" s="107" t="s">
        <v>167</v>
      </c>
      <c r="AA347" s="107" t="s">
        <v>168</v>
      </c>
      <c r="AB347" s="107" t="s">
        <v>169</v>
      </c>
      <c r="AC347" s="107" t="s">
        <v>170</v>
      </c>
      <c r="AD347" s="107" t="s">
        <v>171</v>
      </c>
      <c r="AE347" s="107" t="s">
        <v>172</v>
      </c>
      <c r="AF347" s="107" t="s">
        <v>173</v>
      </c>
      <c r="AG347" s="108"/>
      <c r="AH347" s="107" t="s">
        <v>174</v>
      </c>
    </row>
    <row r="348" spans="1:34" ht="16.5">
      <c r="A348" s="124"/>
      <c r="B348" s="52"/>
      <c r="C348" s="53"/>
      <c r="D348" s="53"/>
      <c r="E348" s="53"/>
      <c r="F348" s="53"/>
      <c r="G348" s="53"/>
      <c r="H348" s="56"/>
      <c r="I348" s="53"/>
      <c r="J348" s="53"/>
      <c r="K348" s="53"/>
      <c r="L348" s="53"/>
      <c r="M348" s="53"/>
      <c r="N348" s="53"/>
      <c r="O348" s="53"/>
      <c r="P348" s="53"/>
      <c r="Q348" s="53"/>
      <c r="R348" s="53"/>
      <c r="S348" s="53"/>
      <c r="T348" s="53"/>
      <c r="U348" s="53"/>
      <c r="V348" s="56"/>
      <c r="W348" s="53"/>
      <c r="X348" s="53"/>
      <c r="Y348" s="56"/>
      <c r="Z348" s="53"/>
      <c r="AA348" s="53"/>
      <c r="AB348" s="53"/>
      <c r="AC348" s="53"/>
      <c r="AD348" s="56"/>
      <c r="AE348" s="53"/>
      <c r="AF348" s="56"/>
      <c r="AG348" s="54"/>
      <c r="AH348" s="56"/>
    </row>
    <row r="349" spans="1:34" ht="16.5">
      <c r="A349" s="124"/>
      <c r="B349" s="52">
        <v>44348</v>
      </c>
      <c r="C349" s="53">
        <v>1772.88</v>
      </c>
      <c r="D349" s="53"/>
      <c r="E349" s="53">
        <v>10.29</v>
      </c>
      <c r="F349" s="53"/>
      <c r="G349" s="53"/>
      <c r="H349" s="56"/>
      <c r="I349" s="55">
        <f>C349+D349+E349+F349+G349+H349</f>
        <v>1783.17</v>
      </c>
      <c r="J349" s="53">
        <v>36.5</v>
      </c>
      <c r="K349" s="53"/>
      <c r="L349" s="53">
        <v>95.42</v>
      </c>
      <c r="M349" s="53">
        <v>758.69</v>
      </c>
      <c r="N349" s="53"/>
      <c r="O349" s="53">
        <v>16</v>
      </c>
      <c r="P349" s="53">
        <v>157.29</v>
      </c>
      <c r="Q349" s="53">
        <v>803.21</v>
      </c>
      <c r="R349" s="53">
        <v>27.14</v>
      </c>
      <c r="S349" s="53"/>
      <c r="T349" s="53"/>
      <c r="U349" s="53">
        <v>77</v>
      </c>
      <c r="V349" s="56">
        <f>J349+K349+L349+M349+N349+O349+P349+Q349+R349+S349+T349+U349</f>
        <v>1971.2500000000002</v>
      </c>
      <c r="W349" s="53">
        <v>197.75</v>
      </c>
      <c r="X349" s="53"/>
      <c r="Y349" s="56">
        <f t="shared" ref="Y349:Y371" si="83">SUM(W349:X349)</f>
        <v>197.75</v>
      </c>
      <c r="Z349" s="53">
        <v>104.42</v>
      </c>
      <c r="AA349" s="53"/>
      <c r="AB349" s="53">
        <v>40.909999999999997</v>
      </c>
      <c r="AC349" s="53"/>
      <c r="AD349" s="56">
        <f>SUM(Z349:AC349)</f>
        <v>145.32999999999998</v>
      </c>
      <c r="AE349" s="53">
        <v>170.07</v>
      </c>
      <c r="AF349" s="56">
        <f>SUM(AE349)</f>
        <v>170.07</v>
      </c>
      <c r="AG349" s="54"/>
      <c r="AH349" s="61">
        <f>AF349+AD349+Y349+V349+I349</f>
        <v>4267.57</v>
      </c>
    </row>
    <row r="350" spans="1:34" ht="16.5">
      <c r="A350" s="124"/>
      <c r="B350" s="52">
        <v>44349</v>
      </c>
      <c r="C350" s="53">
        <v>410.3</v>
      </c>
      <c r="D350" s="53"/>
      <c r="E350" s="53">
        <v>20.58</v>
      </c>
      <c r="F350" s="53">
        <v>66</v>
      </c>
      <c r="G350" s="53"/>
      <c r="H350" s="56"/>
      <c r="I350" s="55">
        <f t="shared" ref="I350:I372" si="84">C350+D350+E350+F350+G350+H350</f>
        <v>496.88</v>
      </c>
      <c r="J350" s="53">
        <v>58.5</v>
      </c>
      <c r="K350" s="53">
        <v>1</v>
      </c>
      <c r="L350" s="53">
        <v>189.63</v>
      </c>
      <c r="M350" s="53">
        <v>455.16</v>
      </c>
      <c r="N350" s="53">
        <v>0.5</v>
      </c>
      <c r="O350" s="53"/>
      <c r="P350" s="53">
        <v>124.62</v>
      </c>
      <c r="Q350" s="53">
        <v>124.84</v>
      </c>
      <c r="R350" s="53">
        <v>125.82</v>
      </c>
      <c r="S350" s="53"/>
      <c r="T350" s="53">
        <v>72.5</v>
      </c>
      <c r="U350" s="53">
        <v>651.15</v>
      </c>
      <c r="V350" s="56">
        <f t="shared" ref="V350:V371" si="85">J350+K350+L350+M350+N350+O350+P350+Q350+R350+S350+T350+U350</f>
        <v>1803.7199999999998</v>
      </c>
      <c r="W350" s="53">
        <v>152.30000000000001</v>
      </c>
      <c r="X350" s="53"/>
      <c r="Y350" s="56">
        <f>SUM(W350:X350)</f>
        <v>152.30000000000001</v>
      </c>
      <c r="Z350" s="53">
        <v>152.63</v>
      </c>
      <c r="AA350" s="53"/>
      <c r="AB350" s="53">
        <v>82.64</v>
      </c>
      <c r="AC350" s="53"/>
      <c r="AD350" s="56">
        <f t="shared" ref="AD350:AD371" si="86">SUM(Z350:AC350)</f>
        <v>235.26999999999998</v>
      </c>
      <c r="AE350" s="53">
        <v>302.77</v>
      </c>
      <c r="AF350" s="56">
        <f t="shared" ref="AF350:AF371" si="87">SUM(AE350)</f>
        <v>302.77</v>
      </c>
      <c r="AG350" s="54"/>
      <c r="AH350" s="61">
        <f t="shared" ref="AH350:AH370" si="88">AF350+AD350+Y350+V350+I350</f>
        <v>2990.9399999999996</v>
      </c>
    </row>
    <row r="351" spans="1:34" ht="16.5">
      <c r="A351" s="124"/>
      <c r="B351" s="52">
        <v>44350</v>
      </c>
      <c r="C351" s="53">
        <v>1919.45</v>
      </c>
      <c r="D351" s="53"/>
      <c r="E351" s="53">
        <v>3.43</v>
      </c>
      <c r="F351" s="53"/>
      <c r="G351" s="53"/>
      <c r="H351" s="56"/>
      <c r="I351" s="55">
        <f t="shared" si="84"/>
        <v>1922.88</v>
      </c>
      <c r="J351" s="53">
        <v>44.5</v>
      </c>
      <c r="K351" s="53"/>
      <c r="L351" s="53">
        <v>223.65</v>
      </c>
      <c r="M351" s="53">
        <v>2436.5100000000002</v>
      </c>
      <c r="N351" s="53">
        <v>2.1</v>
      </c>
      <c r="O351" s="53"/>
      <c r="P351" s="53">
        <v>630.80999999999995</v>
      </c>
      <c r="Q351" s="53"/>
      <c r="R351" s="53">
        <v>104.92</v>
      </c>
      <c r="S351" s="53"/>
      <c r="T351" s="53"/>
      <c r="U351" s="53">
        <v>593.22</v>
      </c>
      <c r="V351" s="56">
        <f t="shared" si="85"/>
        <v>4035.71</v>
      </c>
      <c r="W351" s="53">
        <v>110.05</v>
      </c>
      <c r="X351" s="53"/>
      <c r="Y351" s="56">
        <f t="shared" si="83"/>
        <v>110.05</v>
      </c>
      <c r="Z351" s="53">
        <v>2476.9899999999998</v>
      </c>
      <c r="AA351" s="53"/>
      <c r="AB351" s="53">
        <v>786.59</v>
      </c>
      <c r="AC351" s="53"/>
      <c r="AD351" s="56">
        <f t="shared" si="86"/>
        <v>3263.58</v>
      </c>
      <c r="AE351" s="53">
        <v>7178.74</v>
      </c>
      <c r="AF351" s="56">
        <f t="shared" si="87"/>
        <v>7178.74</v>
      </c>
      <c r="AG351" s="54"/>
      <c r="AH351" s="61">
        <f t="shared" si="88"/>
        <v>16510.96</v>
      </c>
    </row>
    <row r="352" spans="1:34" ht="16.5">
      <c r="A352" s="124"/>
      <c r="B352" s="52">
        <v>44351</v>
      </c>
      <c r="C352" s="53">
        <v>198</v>
      </c>
      <c r="D352" s="53"/>
      <c r="E352" s="53">
        <v>20.58</v>
      </c>
      <c r="F352" s="53"/>
      <c r="G352" s="53"/>
      <c r="H352" s="56"/>
      <c r="I352" s="55">
        <f t="shared" si="84"/>
        <v>218.57999999999998</v>
      </c>
      <c r="J352" s="53">
        <v>60</v>
      </c>
      <c r="K352" s="53">
        <v>1</v>
      </c>
      <c r="L352" s="53">
        <v>47.75</v>
      </c>
      <c r="M352" s="53">
        <v>475.93</v>
      </c>
      <c r="N352" s="53">
        <v>3.04</v>
      </c>
      <c r="O352" s="53">
        <v>16</v>
      </c>
      <c r="P352" s="53">
        <v>506.94</v>
      </c>
      <c r="Q352" s="53">
        <v>460.79</v>
      </c>
      <c r="R352" s="53">
        <v>200.23</v>
      </c>
      <c r="S352" s="53"/>
      <c r="T352" s="53">
        <v>22.5</v>
      </c>
      <c r="U352" s="53">
        <v>1802.81</v>
      </c>
      <c r="V352" s="56">
        <f t="shared" si="85"/>
        <v>3596.99</v>
      </c>
      <c r="W352" s="53">
        <v>191.5</v>
      </c>
      <c r="X352" s="53"/>
      <c r="Y352" s="56">
        <f t="shared" si="83"/>
        <v>191.5</v>
      </c>
      <c r="Z352" s="53">
        <v>125.7</v>
      </c>
      <c r="AA352" s="53"/>
      <c r="AB352" s="53">
        <v>69.8</v>
      </c>
      <c r="AC352" s="53"/>
      <c r="AD352" s="56">
        <f t="shared" si="86"/>
        <v>195.5</v>
      </c>
      <c r="AE352" s="53">
        <v>5940.39</v>
      </c>
      <c r="AF352" s="56">
        <f t="shared" si="87"/>
        <v>5940.39</v>
      </c>
      <c r="AG352" s="54"/>
      <c r="AH352" s="61">
        <f t="shared" si="88"/>
        <v>10142.960000000001</v>
      </c>
    </row>
    <row r="353" spans="1:34" ht="16.5">
      <c r="A353" s="124"/>
      <c r="B353" s="52">
        <v>44354</v>
      </c>
      <c r="C353" s="53"/>
      <c r="D353" s="53"/>
      <c r="E353" s="53">
        <v>6.86</v>
      </c>
      <c r="F353" s="53"/>
      <c r="G353" s="53"/>
      <c r="H353" s="56"/>
      <c r="I353" s="55">
        <f t="shared" si="84"/>
        <v>6.86</v>
      </c>
      <c r="J353" s="53">
        <v>66.5</v>
      </c>
      <c r="K353" s="53"/>
      <c r="L353" s="53">
        <v>124.46</v>
      </c>
      <c r="M353" s="53">
        <v>392.9</v>
      </c>
      <c r="N353" s="53">
        <v>3.88</v>
      </c>
      <c r="O353" s="53"/>
      <c r="P353" s="53">
        <v>85.04</v>
      </c>
      <c r="Q353" s="53"/>
      <c r="R353" s="53">
        <v>54.16</v>
      </c>
      <c r="S353" s="53"/>
      <c r="T353" s="53">
        <v>12.5</v>
      </c>
      <c r="U353" s="53">
        <v>351.88</v>
      </c>
      <c r="V353" s="56">
        <f t="shared" si="85"/>
        <v>1091.3199999999997</v>
      </c>
      <c r="W353" s="53">
        <v>129.1</v>
      </c>
      <c r="X353" s="53"/>
      <c r="Y353" s="56">
        <f t="shared" si="83"/>
        <v>129.1</v>
      </c>
      <c r="Z353" s="53">
        <v>189.88</v>
      </c>
      <c r="AA353" s="53"/>
      <c r="AB353" s="53">
        <v>72.849999999999994</v>
      </c>
      <c r="AC353" s="53"/>
      <c r="AD353" s="56">
        <f t="shared" si="86"/>
        <v>262.73</v>
      </c>
      <c r="AE353" s="53">
        <v>554.54999999999995</v>
      </c>
      <c r="AF353" s="56">
        <f t="shared" si="87"/>
        <v>554.54999999999995</v>
      </c>
      <c r="AG353" s="54"/>
      <c r="AH353" s="61">
        <f t="shared" si="88"/>
        <v>2044.5599999999997</v>
      </c>
    </row>
    <row r="354" spans="1:34" ht="16.5">
      <c r="A354" s="124"/>
      <c r="B354" s="52">
        <v>44355</v>
      </c>
      <c r="C354" s="53">
        <v>191.64</v>
      </c>
      <c r="D354" s="53"/>
      <c r="E354" s="53">
        <v>20.58</v>
      </c>
      <c r="F354" s="53"/>
      <c r="G354" s="53"/>
      <c r="H354" s="56"/>
      <c r="I354" s="55">
        <f t="shared" si="84"/>
        <v>212.21999999999997</v>
      </c>
      <c r="J354" s="53">
        <v>49.5</v>
      </c>
      <c r="K354" s="53">
        <v>1</v>
      </c>
      <c r="L354" s="53">
        <v>152.75</v>
      </c>
      <c r="M354" s="53">
        <v>518.13</v>
      </c>
      <c r="N354" s="53">
        <v>2.5499999999999998</v>
      </c>
      <c r="O354" s="53"/>
      <c r="P354" s="53">
        <v>88.98</v>
      </c>
      <c r="Q354" s="53">
        <v>650.75</v>
      </c>
      <c r="R354" s="53">
        <v>58.57</v>
      </c>
      <c r="S354" s="53"/>
      <c r="T354" s="53">
        <v>2.5</v>
      </c>
      <c r="U354" s="53">
        <v>302.16000000000003</v>
      </c>
      <c r="V354" s="56">
        <f t="shared" si="85"/>
        <v>1826.8899999999999</v>
      </c>
      <c r="W354" s="53">
        <v>80.3</v>
      </c>
      <c r="X354" s="53"/>
      <c r="Y354" s="56">
        <f t="shared" si="83"/>
        <v>80.3</v>
      </c>
      <c r="Z354" s="53">
        <v>187.9</v>
      </c>
      <c r="AA354" s="53"/>
      <c r="AB354" s="53">
        <v>76.27</v>
      </c>
      <c r="AC354" s="53"/>
      <c r="AD354" s="56">
        <f t="shared" si="86"/>
        <v>264.17</v>
      </c>
      <c r="AE354" s="53">
        <v>420.88</v>
      </c>
      <c r="AF354" s="56">
        <f t="shared" si="87"/>
        <v>420.88</v>
      </c>
      <c r="AG354" s="54"/>
      <c r="AH354" s="61">
        <f t="shared" si="88"/>
        <v>2804.4599999999996</v>
      </c>
    </row>
    <row r="355" spans="1:34" ht="16.5">
      <c r="A355" s="124"/>
      <c r="B355" s="52">
        <v>44356</v>
      </c>
      <c r="C355" s="53">
        <v>1.8</v>
      </c>
      <c r="D355" s="53">
        <v>37.799999999999997</v>
      </c>
      <c r="E355" s="53">
        <v>20.58</v>
      </c>
      <c r="F355" s="53"/>
      <c r="G355" s="53"/>
      <c r="H355" s="56"/>
      <c r="I355" s="55">
        <f t="shared" si="84"/>
        <v>60.179999999999993</v>
      </c>
      <c r="J355" s="53">
        <v>58.5</v>
      </c>
      <c r="K355" s="53"/>
      <c r="L355" s="53">
        <v>40.75</v>
      </c>
      <c r="M355" s="53">
        <v>223.54</v>
      </c>
      <c r="N355" s="53">
        <v>1.29</v>
      </c>
      <c r="O355" s="53">
        <v>12</v>
      </c>
      <c r="P355" s="53">
        <v>67.63</v>
      </c>
      <c r="Q355" s="53"/>
      <c r="R355" s="53">
        <v>24.06</v>
      </c>
      <c r="S355" s="53"/>
      <c r="T355" s="53"/>
      <c r="U355" s="53">
        <v>138</v>
      </c>
      <c r="V355" s="56">
        <f t="shared" si="85"/>
        <v>565.77</v>
      </c>
      <c r="W355" s="53">
        <v>22.75</v>
      </c>
      <c r="X355" s="53"/>
      <c r="Y355" s="56">
        <f t="shared" si="83"/>
        <v>22.75</v>
      </c>
      <c r="Z355" s="53">
        <v>224.91</v>
      </c>
      <c r="AA355" s="53"/>
      <c r="AB355" s="53">
        <v>101.1</v>
      </c>
      <c r="AC355" s="53"/>
      <c r="AD355" s="56">
        <f t="shared" si="86"/>
        <v>326.01</v>
      </c>
      <c r="AE355" s="53">
        <v>800.06</v>
      </c>
      <c r="AF355" s="56">
        <f t="shared" si="87"/>
        <v>800.06</v>
      </c>
      <c r="AG355" s="54"/>
      <c r="AH355" s="61">
        <f t="shared" si="88"/>
        <v>1774.77</v>
      </c>
    </row>
    <row r="356" spans="1:34" ht="16.5">
      <c r="A356" s="124"/>
      <c r="B356" s="52">
        <v>44357</v>
      </c>
      <c r="C356" s="53">
        <v>186</v>
      </c>
      <c r="D356" s="53"/>
      <c r="E356" s="53">
        <v>13.72</v>
      </c>
      <c r="F356" s="53"/>
      <c r="G356" s="53"/>
      <c r="H356" s="56"/>
      <c r="I356" s="55">
        <f t="shared" si="84"/>
        <v>199.72</v>
      </c>
      <c r="J356" s="53">
        <v>49</v>
      </c>
      <c r="K356" s="53">
        <v>1</v>
      </c>
      <c r="L356" s="53">
        <v>157.80000000000001</v>
      </c>
      <c r="M356" s="53">
        <v>396.25</v>
      </c>
      <c r="N356" s="53">
        <v>11.66</v>
      </c>
      <c r="O356" s="53"/>
      <c r="P356" s="53">
        <v>126.79</v>
      </c>
      <c r="Q356" s="53"/>
      <c r="R356" s="53">
        <v>56.95</v>
      </c>
      <c r="S356" s="53"/>
      <c r="T356" s="53">
        <v>5</v>
      </c>
      <c r="U356" s="53">
        <v>53</v>
      </c>
      <c r="V356" s="56">
        <f t="shared" si="85"/>
        <v>857.44999999999993</v>
      </c>
      <c r="W356" s="53">
        <v>80.099999999999994</v>
      </c>
      <c r="X356" s="53"/>
      <c r="Y356" s="56">
        <f t="shared" si="83"/>
        <v>80.099999999999994</v>
      </c>
      <c r="Z356" s="53">
        <v>528.01</v>
      </c>
      <c r="AA356" s="53"/>
      <c r="AB356" s="53">
        <v>176.49</v>
      </c>
      <c r="AC356" s="53"/>
      <c r="AD356" s="56">
        <f t="shared" si="86"/>
        <v>704.5</v>
      </c>
      <c r="AE356" s="53">
        <v>1531.1</v>
      </c>
      <c r="AF356" s="56">
        <f t="shared" si="87"/>
        <v>1531.1</v>
      </c>
      <c r="AG356" s="54"/>
      <c r="AH356" s="61">
        <f t="shared" si="88"/>
        <v>3372.8699999999994</v>
      </c>
    </row>
    <row r="357" spans="1:34" ht="16.5">
      <c r="A357" s="124"/>
      <c r="B357" s="52">
        <v>44358</v>
      </c>
      <c r="C357" s="53">
        <v>22</v>
      </c>
      <c r="D357" s="53"/>
      <c r="E357" s="53">
        <v>41.16</v>
      </c>
      <c r="F357" s="53"/>
      <c r="G357" s="53"/>
      <c r="H357" s="56"/>
      <c r="I357" s="55">
        <f t="shared" si="84"/>
        <v>63.16</v>
      </c>
      <c r="J357" s="53">
        <v>68.5</v>
      </c>
      <c r="K357" s="53"/>
      <c r="L357" s="53">
        <v>23.73</v>
      </c>
      <c r="M357" s="53">
        <v>168.52</v>
      </c>
      <c r="N357" s="53">
        <v>98.96</v>
      </c>
      <c r="O357" s="53"/>
      <c r="P357" s="53">
        <v>164.62</v>
      </c>
      <c r="Q357" s="53">
        <v>671.32</v>
      </c>
      <c r="R357" s="53">
        <v>10.11</v>
      </c>
      <c r="S357" s="53"/>
      <c r="T357" s="53">
        <v>7.5</v>
      </c>
      <c r="U357" s="53">
        <v>292.2</v>
      </c>
      <c r="V357" s="56">
        <f t="shared" si="85"/>
        <v>1505.46</v>
      </c>
      <c r="W357" s="53">
        <v>13.05</v>
      </c>
      <c r="X357" s="53"/>
      <c r="Y357" s="56">
        <f t="shared" si="83"/>
        <v>13.05</v>
      </c>
      <c r="Z357" s="53">
        <v>594.65</v>
      </c>
      <c r="AA357" s="53"/>
      <c r="AB357" s="53">
        <v>270.64999999999998</v>
      </c>
      <c r="AC357" s="53"/>
      <c r="AD357" s="56">
        <f t="shared" si="86"/>
        <v>865.3</v>
      </c>
      <c r="AE357" s="53">
        <v>2581.11</v>
      </c>
      <c r="AF357" s="56">
        <f t="shared" si="87"/>
        <v>2581.11</v>
      </c>
      <c r="AG357" s="54"/>
      <c r="AH357" s="61">
        <f t="shared" si="88"/>
        <v>5028.08</v>
      </c>
    </row>
    <row r="358" spans="1:34" ht="16.5">
      <c r="A358" s="124"/>
      <c r="B358" s="52">
        <v>44361</v>
      </c>
      <c r="C358" s="53">
        <v>24.5</v>
      </c>
      <c r="D358" s="53"/>
      <c r="E358" s="53">
        <v>24.01</v>
      </c>
      <c r="F358" s="53"/>
      <c r="G358" s="53">
        <v>3.5</v>
      </c>
      <c r="H358" s="56"/>
      <c r="I358" s="55">
        <f t="shared" si="84"/>
        <v>52.010000000000005</v>
      </c>
      <c r="J358" s="53">
        <v>78.5</v>
      </c>
      <c r="K358" s="53">
        <v>3</v>
      </c>
      <c r="L358" s="53">
        <v>100.62</v>
      </c>
      <c r="M358" s="53">
        <v>184.26</v>
      </c>
      <c r="N358" s="53">
        <v>6.11</v>
      </c>
      <c r="O358" s="53">
        <v>6</v>
      </c>
      <c r="P358" s="53">
        <v>43.56</v>
      </c>
      <c r="Q358" s="53"/>
      <c r="R358" s="53">
        <v>46.38</v>
      </c>
      <c r="S358" s="53"/>
      <c r="T358" s="53">
        <v>12.5</v>
      </c>
      <c r="U358" s="53">
        <v>24</v>
      </c>
      <c r="V358" s="56">
        <f t="shared" si="85"/>
        <v>504.93</v>
      </c>
      <c r="W358" s="53">
        <v>43.4</v>
      </c>
      <c r="X358" s="53"/>
      <c r="Y358" s="56">
        <f t="shared" si="83"/>
        <v>43.4</v>
      </c>
      <c r="Z358" s="53">
        <v>33.619999999999997</v>
      </c>
      <c r="AA358" s="53">
        <v>11.42</v>
      </c>
      <c r="AB358" s="53">
        <v>16.149999999999999</v>
      </c>
      <c r="AC358" s="53"/>
      <c r="AD358" s="56">
        <f t="shared" si="86"/>
        <v>61.19</v>
      </c>
      <c r="AE358" s="53">
        <v>340.88</v>
      </c>
      <c r="AF358" s="56">
        <f t="shared" si="87"/>
        <v>340.88</v>
      </c>
      <c r="AG358" s="54"/>
      <c r="AH358" s="61">
        <f t="shared" si="88"/>
        <v>1002.41</v>
      </c>
    </row>
    <row r="359" spans="1:34" ht="16.5">
      <c r="A359" s="124"/>
      <c r="B359" s="52">
        <v>44362</v>
      </c>
      <c r="C359" s="53">
        <v>220.2</v>
      </c>
      <c r="D359" s="53"/>
      <c r="E359" s="53">
        <v>24.01</v>
      </c>
      <c r="F359" s="53"/>
      <c r="G359" s="53"/>
      <c r="H359" s="56"/>
      <c r="I359" s="55">
        <f t="shared" si="84"/>
        <v>244.20999999999998</v>
      </c>
      <c r="J359" s="53">
        <v>74.5</v>
      </c>
      <c r="K359" s="53"/>
      <c r="L359" s="53">
        <v>192.21</v>
      </c>
      <c r="M359" s="53">
        <v>298.27</v>
      </c>
      <c r="N359" s="53"/>
      <c r="O359" s="53"/>
      <c r="P359" s="53">
        <v>63.62</v>
      </c>
      <c r="Q359" s="53"/>
      <c r="R359" s="53">
        <v>59.59</v>
      </c>
      <c r="S359" s="53"/>
      <c r="T359" s="53"/>
      <c r="U359" s="53">
        <v>76.52</v>
      </c>
      <c r="V359" s="56">
        <f t="shared" si="85"/>
        <v>764.71</v>
      </c>
      <c r="W359" s="53">
        <v>88.05</v>
      </c>
      <c r="X359" s="53"/>
      <c r="Y359" s="56">
        <f t="shared" si="83"/>
        <v>88.05</v>
      </c>
      <c r="Z359" s="53">
        <v>88.11</v>
      </c>
      <c r="AA359" s="53"/>
      <c r="AB359" s="53">
        <v>39.24</v>
      </c>
      <c r="AC359" s="53"/>
      <c r="AD359" s="56">
        <f t="shared" si="86"/>
        <v>127.35</v>
      </c>
      <c r="AE359" s="53">
        <v>255.53</v>
      </c>
      <c r="AF359" s="56">
        <f t="shared" si="87"/>
        <v>255.53</v>
      </c>
      <c r="AG359" s="54"/>
      <c r="AH359" s="61">
        <f t="shared" si="88"/>
        <v>1479.8500000000001</v>
      </c>
    </row>
    <row r="360" spans="1:34" ht="16.5">
      <c r="A360" s="124"/>
      <c r="B360" s="52">
        <v>44363</v>
      </c>
      <c r="C360" s="53">
        <v>376.3</v>
      </c>
      <c r="D360" s="53"/>
      <c r="E360" s="53">
        <v>13.72</v>
      </c>
      <c r="F360" s="53"/>
      <c r="G360" s="53"/>
      <c r="H360" s="56"/>
      <c r="I360" s="55">
        <f t="shared" si="84"/>
        <v>390.02000000000004</v>
      </c>
      <c r="J360" s="53">
        <v>93</v>
      </c>
      <c r="K360" s="53"/>
      <c r="L360" s="53">
        <v>152.1</v>
      </c>
      <c r="M360" s="53">
        <v>466.25</v>
      </c>
      <c r="N360" s="53">
        <v>93.12</v>
      </c>
      <c r="O360" s="53"/>
      <c r="P360" s="53">
        <v>1335.67</v>
      </c>
      <c r="Q360" s="53">
        <v>772.09</v>
      </c>
      <c r="R360" s="53">
        <v>58.95</v>
      </c>
      <c r="S360" s="53">
        <v>23350</v>
      </c>
      <c r="T360" s="53">
        <v>5</v>
      </c>
      <c r="U360" s="53">
        <v>38</v>
      </c>
      <c r="V360" s="56">
        <f t="shared" si="85"/>
        <v>26364.18</v>
      </c>
      <c r="W360" s="53">
        <v>47.35</v>
      </c>
      <c r="X360" s="53"/>
      <c r="Y360" s="56">
        <f t="shared" si="83"/>
        <v>47.35</v>
      </c>
      <c r="Z360" s="53">
        <v>689.88</v>
      </c>
      <c r="AA360" s="53"/>
      <c r="AB360" s="53">
        <v>226.56</v>
      </c>
      <c r="AC360" s="53"/>
      <c r="AD360" s="56">
        <f t="shared" si="86"/>
        <v>916.44</v>
      </c>
      <c r="AE360" s="53">
        <v>2040.74</v>
      </c>
      <c r="AF360" s="56">
        <f t="shared" si="87"/>
        <v>2040.74</v>
      </c>
      <c r="AG360" s="54"/>
      <c r="AH360" s="61">
        <f t="shared" si="88"/>
        <v>29758.73</v>
      </c>
    </row>
    <row r="361" spans="1:34" ht="16.5">
      <c r="A361" s="124"/>
      <c r="B361" s="52"/>
      <c r="C361" s="53"/>
      <c r="D361" s="53"/>
      <c r="E361" s="53"/>
      <c r="F361" s="53"/>
      <c r="G361" s="53"/>
      <c r="H361" s="56"/>
      <c r="I361" s="55">
        <f t="shared" si="84"/>
        <v>0</v>
      </c>
      <c r="J361" s="53"/>
      <c r="K361" s="53"/>
      <c r="L361" s="53"/>
      <c r="M361" s="53"/>
      <c r="N361" s="53"/>
      <c r="O361" s="53"/>
      <c r="P361" s="53"/>
      <c r="Q361" s="53"/>
      <c r="R361" s="53"/>
      <c r="S361" s="53"/>
      <c r="T361" s="53"/>
      <c r="U361" s="53"/>
      <c r="V361" s="56">
        <f t="shared" si="85"/>
        <v>0</v>
      </c>
      <c r="W361" s="53"/>
      <c r="X361" s="53"/>
      <c r="Y361" s="56">
        <f t="shared" si="83"/>
        <v>0</v>
      </c>
      <c r="Z361" s="53"/>
      <c r="AA361" s="53"/>
      <c r="AB361" s="53"/>
      <c r="AC361" s="53"/>
      <c r="AD361" s="56">
        <f t="shared" si="86"/>
        <v>0</v>
      </c>
      <c r="AE361" s="53"/>
      <c r="AF361" s="56">
        <f t="shared" si="87"/>
        <v>0</v>
      </c>
      <c r="AG361" s="54"/>
      <c r="AH361" s="61">
        <f t="shared" si="88"/>
        <v>0</v>
      </c>
    </row>
    <row r="362" spans="1:34" ht="16.5">
      <c r="A362" s="124"/>
      <c r="B362" s="52">
        <v>44365</v>
      </c>
      <c r="C362" s="53">
        <v>925.56</v>
      </c>
      <c r="D362" s="53"/>
      <c r="E362" s="53">
        <v>10.29</v>
      </c>
      <c r="F362" s="53"/>
      <c r="G362" s="53"/>
      <c r="H362" s="56"/>
      <c r="I362" s="55">
        <f t="shared" si="84"/>
        <v>935.84999999999991</v>
      </c>
      <c r="J362" s="53">
        <v>40</v>
      </c>
      <c r="K362" s="53"/>
      <c r="L362" s="53">
        <v>113.06</v>
      </c>
      <c r="M362" s="53">
        <v>1565.86</v>
      </c>
      <c r="N362" s="53">
        <v>5.25</v>
      </c>
      <c r="O362" s="53"/>
      <c r="P362" s="53">
        <v>205.15</v>
      </c>
      <c r="Q362" s="53"/>
      <c r="R362" s="53">
        <v>102.62</v>
      </c>
      <c r="S362" s="53"/>
      <c r="T362" s="53"/>
      <c r="U362" s="53">
        <v>9</v>
      </c>
      <c r="V362" s="56">
        <f t="shared" si="85"/>
        <v>2040.94</v>
      </c>
      <c r="W362" s="53">
        <v>131.25</v>
      </c>
      <c r="X362" s="53"/>
      <c r="Y362" s="56">
        <f t="shared" si="83"/>
        <v>131.25</v>
      </c>
      <c r="Z362" s="53">
        <v>37.130000000000003</v>
      </c>
      <c r="AA362" s="53"/>
      <c r="AB362" s="53">
        <v>25.48</v>
      </c>
      <c r="AC362" s="53"/>
      <c r="AD362" s="56">
        <f t="shared" si="86"/>
        <v>62.61</v>
      </c>
      <c r="AE362" s="53">
        <v>1205.94</v>
      </c>
      <c r="AF362" s="56">
        <f t="shared" si="87"/>
        <v>1205.94</v>
      </c>
      <c r="AG362" s="54"/>
      <c r="AH362" s="61">
        <f t="shared" si="88"/>
        <v>4376.59</v>
      </c>
    </row>
    <row r="363" spans="1:34" ht="16.5">
      <c r="A363" s="124"/>
      <c r="B363" s="52">
        <v>44368</v>
      </c>
      <c r="C363" s="53"/>
      <c r="D363" s="53"/>
      <c r="E363" s="53">
        <v>17.149999999999999</v>
      </c>
      <c r="F363" s="53"/>
      <c r="G363" s="53"/>
      <c r="H363" s="56"/>
      <c r="I363" s="55">
        <f t="shared" si="84"/>
        <v>17.149999999999999</v>
      </c>
      <c r="J363" s="53">
        <v>105</v>
      </c>
      <c r="K363" s="53"/>
      <c r="L363" s="53">
        <v>894.12</v>
      </c>
      <c r="M363" s="53">
        <v>5636.13</v>
      </c>
      <c r="N363" s="53">
        <v>30.17</v>
      </c>
      <c r="O363" s="53">
        <v>32</v>
      </c>
      <c r="P363" s="53">
        <v>427.22</v>
      </c>
      <c r="Q363" s="53">
        <v>670.73</v>
      </c>
      <c r="R363" s="53">
        <v>407.06</v>
      </c>
      <c r="S363" s="53"/>
      <c r="T363" s="53">
        <v>2.5</v>
      </c>
      <c r="U363" s="53">
        <v>163</v>
      </c>
      <c r="V363" s="56">
        <f t="shared" si="85"/>
        <v>8367.93</v>
      </c>
      <c r="W363" s="53">
        <v>426.15</v>
      </c>
      <c r="X363" s="53"/>
      <c r="Y363" s="56">
        <f t="shared" si="83"/>
        <v>426.15</v>
      </c>
      <c r="Z363" s="53">
        <v>346.41</v>
      </c>
      <c r="AA363" s="53">
        <v>11.71</v>
      </c>
      <c r="AB363" s="53">
        <v>101.41</v>
      </c>
      <c r="AC363" s="53"/>
      <c r="AD363" s="56">
        <f t="shared" si="86"/>
        <v>459.53</v>
      </c>
      <c r="AE363" s="53">
        <v>838.73</v>
      </c>
      <c r="AF363" s="56">
        <f t="shared" si="87"/>
        <v>838.73</v>
      </c>
      <c r="AG363" s="54"/>
      <c r="AH363" s="61">
        <f t="shared" si="88"/>
        <v>10109.49</v>
      </c>
    </row>
    <row r="364" spans="1:34" ht="16.5">
      <c r="A364" s="124"/>
      <c r="B364" s="52">
        <v>44369</v>
      </c>
      <c r="C364" s="53">
        <v>28</v>
      </c>
      <c r="D364" s="53"/>
      <c r="E364" s="53">
        <v>13.72</v>
      </c>
      <c r="F364" s="53"/>
      <c r="G364" s="53"/>
      <c r="H364" s="56"/>
      <c r="I364" s="55">
        <f t="shared" si="84"/>
        <v>41.72</v>
      </c>
      <c r="J364" s="53">
        <v>36</v>
      </c>
      <c r="K364" s="53">
        <v>1</v>
      </c>
      <c r="L364" s="53">
        <v>132.33000000000001</v>
      </c>
      <c r="M364" s="53">
        <v>287.64</v>
      </c>
      <c r="N364" s="53">
        <v>1.18</v>
      </c>
      <c r="O364" s="53"/>
      <c r="P364" s="53">
        <v>81.540000000000006</v>
      </c>
      <c r="Q364" s="53">
        <v>265.45</v>
      </c>
      <c r="R364" s="53">
        <v>41.61</v>
      </c>
      <c r="S364" s="53"/>
      <c r="T364" s="53">
        <v>2.5</v>
      </c>
      <c r="U364" s="53">
        <v>167.98</v>
      </c>
      <c r="V364" s="56">
        <f t="shared" si="85"/>
        <v>1017.2300000000001</v>
      </c>
      <c r="W364" s="53">
        <v>454.2</v>
      </c>
      <c r="X364" s="53"/>
      <c r="Y364" s="56">
        <f t="shared" si="83"/>
        <v>454.2</v>
      </c>
      <c r="Z364" s="53">
        <v>172.37</v>
      </c>
      <c r="AA364" s="53">
        <v>8.7100000000000009</v>
      </c>
      <c r="AB364" s="53">
        <v>70.8</v>
      </c>
      <c r="AC364" s="53"/>
      <c r="AD364" s="56">
        <f t="shared" si="86"/>
        <v>251.88</v>
      </c>
      <c r="AE364" s="53">
        <v>484.17</v>
      </c>
      <c r="AF364" s="56">
        <f t="shared" si="87"/>
        <v>484.17</v>
      </c>
      <c r="AG364" s="54"/>
      <c r="AH364" s="61">
        <f t="shared" si="88"/>
        <v>2249.1999999999998</v>
      </c>
    </row>
    <row r="365" spans="1:34" ht="16.5">
      <c r="A365" s="124"/>
      <c r="B365" s="52">
        <v>44370</v>
      </c>
      <c r="C365" s="53">
        <v>242.4</v>
      </c>
      <c r="D365" s="53"/>
      <c r="E365" s="53">
        <v>13.72</v>
      </c>
      <c r="F365" s="53"/>
      <c r="G365" s="53"/>
      <c r="H365" s="56"/>
      <c r="I365" s="55">
        <f t="shared" si="84"/>
        <v>256.12</v>
      </c>
      <c r="J365" s="53">
        <v>40</v>
      </c>
      <c r="K365" s="53"/>
      <c r="L365" s="53">
        <v>69.989999999999995</v>
      </c>
      <c r="M365" s="53">
        <v>175.65</v>
      </c>
      <c r="N365" s="53">
        <v>0.64</v>
      </c>
      <c r="O365" s="53">
        <v>6</v>
      </c>
      <c r="P365" s="53">
        <v>98.36</v>
      </c>
      <c r="Q365" s="53"/>
      <c r="R365" s="53">
        <v>34.31</v>
      </c>
      <c r="S365" s="53"/>
      <c r="T365" s="53"/>
      <c r="U365" s="53">
        <v>825.5</v>
      </c>
      <c r="V365" s="56">
        <f t="shared" si="85"/>
        <v>1250.45</v>
      </c>
      <c r="W365" s="53">
        <v>253.05</v>
      </c>
      <c r="X365" s="53"/>
      <c r="Y365" s="56">
        <f t="shared" si="83"/>
        <v>253.05</v>
      </c>
      <c r="Z365" s="53">
        <v>129.94</v>
      </c>
      <c r="AA365" s="53"/>
      <c r="AB365" s="53">
        <v>48.53</v>
      </c>
      <c r="AC365" s="53"/>
      <c r="AD365" s="56">
        <f t="shared" si="86"/>
        <v>178.47</v>
      </c>
      <c r="AE365" s="53">
        <v>326.77</v>
      </c>
      <c r="AF365" s="56">
        <f t="shared" si="87"/>
        <v>326.77</v>
      </c>
      <c r="AG365" s="54"/>
      <c r="AH365" s="61">
        <f t="shared" si="88"/>
        <v>2264.86</v>
      </c>
    </row>
    <row r="366" spans="1:34" ht="16.5">
      <c r="A366" s="124"/>
      <c r="B366" s="52">
        <v>44371</v>
      </c>
      <c r="C366" s="53">
        <v>1299.32</v>
      </c>
      <c r="D366" s="53"/>
      <c r="E366" s="53">
        <v>10.29</v>
      </c>
      <c r="F366" s="53"/>
      <c r="G366" s="53"/>
      <c r="H366" s="56"/>
      <c r="I366" s="55">
        <f t="shared" si="84"/>
        <v>1309.6099999999999</v>
      </c>
      <c r="J366" s="53">
        <v>16</v>
      </c>
      <c r="K366" s="53"/>
      <c r="L366" s="53">
        <v>138.57</v>
      </c>
      <c r="M366" s="53">
        <v>267.56</v>
      </c>
      <c r="N366" s="53">
        <v>16.190000000000001</v>
      </c>
      <c r="O366" s="53"/>
      <c r="P366" s="53">
        <v>141.33000000000001</v>
      </c>
      <c r="Q366" s="53">
        <v>272.64999999999998</v>
      </c>
      <c r="R366" s="53">
        <v>64.41</v>
      </c>
      <c r="S366" s="53"/>
      <c r="T366" s="53">
        <v>2.5</v>
      </c>
      <c r="U366" s="53">
        <v>123.35</v>
      </c>
      <c r="V366" s="56">
        <f t="shared" si="85"/>
        <v>1042.56</v>
      </c>
      <c r="W366" s="53">
        <v>570.95000000000005</v>
      </c>
      <c r="X366" s="53"/>
      <c r="Y366" s="56">
        <f t="shared" si="83"/>
        <v>570.95000000000005</v>
      </c>
      <c r="Z366" s="53">
        <v>104.76</v>
      </c>
      <c r="AA366" s="53"/>
      <c r="AB366" s="53">
        <v>42.16</v>
      </c>
      <c r="AC366" s="53"/>
      <c r="AD366" s="56">
        <f t="shared" si="86"/>
        <v>146.92000000000002</v>
      </c>
      <c r="AE366" s="53">
        <v>319.92</v>
      </c>
      <c r="AF366" s="56">
        <f t="shared" si="87"/>
        <v>319.92</v>
      </c>
      <c r="AG366" s="54"/>
      <c r="AH366" s="61">
        <f t="shared" si="88"/>
        <v>3389.96</v>
      </c>
    </row>
    <row r="367" spans="1:34" ht="16.5">
      <c r="A367" s="124"/>
      <c r="B367" s="52">
        <v>44372</v>
      </c>
      <c r="C367" s="53">
        <v>70</v>
      </c>
      <c r="D367" s="53"/>
      <c r="E367" s="53">
        <v>6.86</v>
      </c>
      <c r="F367" s="53"/>
      <c r="G367" s="53"/>
      <c r="H367" s="53">
        <v>35</v>
      </c>
      <c r="I367" s="55">
        <f t="shared" si="84"/>
        <v>111.86</v>
      </c>
      <c r="J367" s="53">
        <v>31.5</v>
      </c>
      <c r="K367" s="53"/>
      <c r="L367" s="53">
        <v>95.18</v>
      </c>
      <c r="M367" s="53">
        <v>410.39</v>
      </c>
      <c r="N367" s="53">
        <v>4.9400000000000004</v>
      </c>
      <c r="O367" s="53"/>
      <c r="P367" s="53">
        <v>209.92</v>
      </c>
      <c r="Q367" s="53"/>
      <c r="R367" s="53">
        <v>58.25</v>
      </c>
      <c r="S367" s="53"/>
      <c r="T367" s="53">
        <v>10</v>
      </c>
      <c r="U367" s="53">
        <v>2733</v>
      </c>
      <c r="V367" s="56">
        <f t="shared" si="85"/>
        <v>3553.18</v>
      </c>
      <c r="W367" s="53">
        <v>634.5</v>
      </c>
      <c r="X367" s="53"/>
      <c r="Y367" s="56">
        <f t="shared" si="83"/>
        <v>634.5</v>
      </c>
      <c r="Z367" s="53">
        <v>30.59</v>
      </c>
      <c r="AA367" s="53"/>
      <c r="AB367" s="53">
        <v>42.05</v>
      </c>
      <c r="AC367" s="53"/>
      <c r="AD367" s="56">
        <f t="shared" si="86"/>
        <v>72.64</v>
      </c>
      <c r="AE367" s="53">
        <v>99.21</v>
      </c>
      <c r="AF367" s="56">
        <f t="shared" si="87"/>
        <v>99.21</v>
      </c>
      <c r="AG367" s="54"/>
      <c r="AH367" s="61">
        <f t="shared" si="88"/>
        <v>4471.3899999999994</v>
      </c>
    </row>
    <row r="368" spans="1:34" ht="16.5">
      <c r="A368" s="124"/>
      <c r="B368" s="52">
        <v>44375</v>
      </c>
      <c r="C368" s="53">
        <v>403.8</v>
      </c>
      <c r="D368" s="53"/>
      <c r="E368" s="53"/>
      <c r="F368" s="53"/>
      <c r="G368" s="53"/>
      <c r="H368" s="56"/>
      <c r="I368" s="55">
        <f t="shared" si="84"/>
        <v>403.8</v>
      </c>
      <c r="J368" s="53">
        <v>83.5</v>
      </c>
      <c r="K368" s="53"/>
      <c r="L368" s="53">
        <v>304.49</v>
      </c>
      <c r="M368" s="53">
        <v>2553.79</v>
      </c>
      <c r="N368" s="53">
        <v>3.09</v>
      </c>
      <c r="O368" s="53">
        <v>18</v>
      </c>
      <c r="P368" s="53">
        <v>223.13</v>
      </c>
      <c r="Q368" s="53"/>
      <c r="R368" s="53">
        <v>172.76</v>
      </c>
      <c r="S368" s="53"/>
      <c r="T368" s="53">
        <v>2.5</v>
      </c>
      <c r="U368" s="53">
        <v>123</v>
      </c>
      <c r="V368" s="56">
        <f t="shared" si="85"/>
        <v>3484.26</v>
      </c>
      <c r="W368" s="53">
        <v>715.8</v>
      </c>
      <c r="X368" s="53"/>
      <c r="Y368" s="56">
        <f t="shared" si="83"/>
        <v>715.8</v>
      </c>
      <c r="Z368" s="53">
        <v>47.02</v>
      </c>
      <c r="AA368" s="53"/>
      <c r="AB368" s="53">
        <v>32.81</v>
      </c>
      <c r="AC368" s="53"/>
      <c r="AD368" s="56">
        <f t="shared" si="86"/>
        <v>79.830000000000013</v>
      </c>
      <c r="AE368" s="53">
        <v>83.1</v>
      </c>
      <c r="AF368" s="56">
        <f t="shared" si="87"/>
        <v>83.1</v>
      </c>
      <c r="AG368" s="54"/>
      <c r="AH368" s="61">
        <f t="shared" si="88"/>
        <v>4766.79</v>
      </c>
    </row>
    <row r="369" spans="1:34" ht="16.5">
      <c r="A369" s="124"/>
      <c r="B369" s="52">
        <v>44376</v>
      </c>
      <c r="C369" s="53">
        <v>422.6</v>
      </c>
      <c r="D369" s="53"/>
      <c r="E369" s="53">
        <v>13.72</v>
      </c>
      <c r="F369" s="53"/>
      <c r="G369" s="53"/>
      <c r="H369" s="56"/>
      <c r="I369" s="55">
        <f t="shared" si="84"/>
        <v>436.32000000000005</v>
      </c>
      <c r="J369" s="53">
        <v>55.5</v>
      </c>
      <c r="K369" s="53">
        <v>1</v>
      </c>
      <c r="L369" s="53">
        <v>130.27000000000001</v>
      </c>
      <c r="M369" s="53">
        <v>271.16000000000003</v>
      </c>
      <c r="N369" s="53">
        <v>14.58</v>
      </c>
      <c r="O369" s="53">
        <v>12</v>
      </c>
      <c r="P369" s="53">
        <v>144.74</v>
      </c>
      <c r="Q369" s="53">
        <v>631.34</v>
      </c>
      <c r="R369" s="53">
        <v>54.39</v>
      </c>
      <c r="S369" s="53"/>
      <c r="T369" s="53">
        <v>2.5</v>
      </c>
      <c r="U369" s="53">
        <v>606.73</v>
      </c>
      <c r="V369" s="56">
        <f t="shared" si="85"/>
        <v>1924.2100000000003</v>
      </c>
      <c r="W369" s="53">
        <v>442.65</v>
      </c>
      <c r="X369" s="53"/>
      <c r="Y369" s="56">
        <f t="shared" si="83"/>
        <v>442.65</v>
      </c>
      <c r="Z369" s="53">
        <v>255.35</v>
      </c>
      <c r="AA369" s="53"/>
      <c r="AB369" s="53">
        <v>92.12</v>
      </c>
      <c r="AC369" s="53"/>
      <c r="AD369" s="56">
        <f t="shared" si="86"/>
        <v>347.47</v>
      </c>
      <c r="AE369" s="53">
        <v>892.17</v>
      </c>
      <c r="AF369" s="56">
        <f t="shared" si="87"/>
        <v>892.17</v>
      </c>
      <c r="AG369" s="54"/>
      <c r="AH369" s="61">
        <f t="shared" si="88"/>
        <v>4042.82</v>
      </c>
    </row>
    <row r="370" spans="1:34" ht="16.5">
      <c r="A370" s="124"/>
      <c r="B370" s="52">
        <v>44377</v>
      </c>
      <c r="C370" s="53">
        <v>350.97</v>
      </c>
      <c r="D370" s="53"/>
      <c r="E370" s="53"/>
      <c r="F370" s="53"/>
      <c r="G370" s="53"/>
      <c r="H370" s="56"/>
      <c r="I370" s="55">
        <f t="shared" si="84"/>
        <v>350.97</v>
      </c>
      <c r="J370" s="53">
        <v>52</v>
      </c>
      <c r="K370" s="53"/>
      <c r="L370" s="53">
        <v>63.74</v>
      </c>
      <c r="M370" s="53">
        <v>97.36</v>
      </c>
      <c r="N370" s="53">
        <v>3.83</v>
      </c>
      <c r="O370" s="53">
        <v>18</v>
      </c>
      <c r="P370" s="53">
        <v>110.46</v>
      </c>
      <c r="Q370" s="53">
        <v>319.08999999999997</v>
      </c>
      <c r="R370" s="53">
        <v>26.9</v>
      </c>
      <c r="S370" s="53"/>
      <c r="T370" s="53"/>
      <c r="U370" s="53">
        <v>953.9</v>
      </c>
      <c r="V370" s="56">
        <f t="shared" si="85"/>
        <v>1645.28</v>
      </c>
      <c r="W370" s="53">
        <v>576.4</v>
      </c>
      <c r="X370" s="53"/>
      <c r="Y370" s="56">
        <f t="shared" si="83"/>
        <v>576.4</v>
      </c>
      <c r="Z370" s="53">
        <v>25.88</v>
      </c>
      <c r="AA370" s="53"/>
      <c r="AB370" s="53">
        <v>21.58</v>
      </c>
      <c r="AC370" s="53"/>
      <c r="AD370" s="56">
        <f t="shared" si="86"/>
        <v>47.459999999999994</v>
      </c>
      <c r="AE370" s="53">
        <v>33.75</v>
      </c>
      <c r="AF370" s="56">
        <f t="shared" si="87"/>
        <v>33.75</v>
      </c>
      <c r="AG370" s="54"/>
      <c r="AH370" s="61">
        <f t="shared" si="88"/>
        <v>2653.8599999999997</v>
      </c>
    </row>
    <row r="371" spans="1:34" ht="16.5">
      <c r="A371" s="124"/>
      <c r="B371" s="49"/>
      <c r="C371" s="54"/>
      <c r="D371" s="54"/>
      <c r="E371" s="54"/>
      <c r="F371" s="54"/>
      <c r="G371" s="54"/>
      <c r="H371" s="56"/>
      <c r="I371" s="55">
        <f>C371+D371+E371+F371+G371+H371</f>
        <v>0</v>
      </c>
      <c r="J371" s="54"/>
      <c r="K371" s="54"/>
      <c r="L371" s="54"/>
      <c r="M371" s="54"/>
      <c r="N371" s="54"/>
      <c r="O371" s="54"/>
      <c r="P371" s="54"/>
      <c r="Q371" s="54"/>
      <c r="R371" s="54"/>
      <c r="S371" s="54"/>
      <c r="T371" s="54"/>
      <c r="U371" s="54"/>
      <c r="V371" s="56">
        <f t="shared" si="85"/>
        <v>0</v>
      </c>
      <c r="W371" s="54"/>
      <c r="X371" s="54"/>
      <c r="Y371" s="56">
        <f t="shared" si="83"/>
        <v>0</v>
      </c>
      <c r="Z371" s="54"/>
      <c r="AA371" s="54"/>
      <c r="AB371" s="54"/>
      <c r="AC371" s="54"/>
      <c r="AD371" s="56">
        <f t="shared" si="86"/>
        <v>0</v>
      </c>
      <c r="AE371" s="54"/>
      <c r="AF371" s="56">
        <f t="shared" si="87"/>
        <v>0</v>
      </c>
      <c r="AG371" s="56"/>
      <c r="AH371" s="61">
        <f t="shared" ref="AH371" si="89">AF371+AD371+Y371+V371+H371</f>
        <v>0</v>
      </c>
    </row>
    <row r="372" spans="1:34" ht="16.5">
      <c r="A372" s="124"/>
      <c r="B372" s="60"/>
      <c r="C372" s="54">
        <f t="shared" ref="C372:H372" si="90">SUM(C349:C371)</f>
        <v>9065.7199999999993</v>
      </c>
      <c r="D372" s="54">
        <f t="shared" si="90"/>
        <v>37.799999999999997</v>
      </c>
      <c r="E372" s="54">
        <f t="shared" si="90"/>
        <v>305.27000000000004</v>
      </c>
      <c r="F372" s="54">
        <f t="shared" si="90"/>
        <v>66</v>
      </c>
      <c r="G372" s="54">
        <f t="shared" si="90"/>
        <v>3.5</v>
      </c>
      <c r="H372" s="54">
        <f t="shared" si="90"/>
        <v>35</v>
      </c>
      <c r="I372" s="55">
        <f t="shared" si="84"/>
        <v>9513.2899999999991</v>
      </c>
      <c r="J372" s="54">
        <f>SUM(J349:J371)</f>
        <v>1197</v>
      </c>
      <c r="K372" s="54">
        <f t="shared" ref="K372:U372" si="91">SUM(K349:K371)</f>
        <v>9</v>
      </c>
      <c r="L372" s="54">
        <f t="shared" si="91"/>
        <v>3442.6199999999994</v>
      </c>
      <c r="M372" s="54">
        <f t="shared" si="91"/>
        <v>18039.95</v>
      </c>
      <c r="N372" s="54">
        <f t="shared" si="91"/>
        <v>303.07999999999993</v>
      </c>
      <c r="O372" s="54">
        <f t="shared" si="91"/>
        <v>136</v>
      </c>
      <c r="P372" s="54">
        <f t="shared" si="91"/>
        <v>5037.4199999999992</v>
      </c>
      <c r="Q372" s="54">
        <f t="shared" si="91"/>
        <v>5642.26</v>
      </c>
      <c r="R372" s="54">
        <f t="shared" si="91"/>
        <v>1789.1900000000003</v>
      </c>
      <c r="S372" s="54">
        <f t="shared" si="91"/>
        <v>23350</v>
      </c>
      <c r="T372" s="54">
        <f t="shared" si="91"/>
        <v>162.5</v>
      </c>
      <c r="U372" s="54">
        <f t="shared" si="91"/>
        <v>10105.4</v>
      </c>
      <c r="V372" s="56">
        <f>SUM(V348:V371)</f>
        <v>69214.420000000013</v>
      </c>
      <c r="W372" s="54">
        <f>SUM(W348:W371)</f>
        <v>5360.65</v>
      </c>
      <c r="X372" s="54">
        <f>SUM(X348:X371)</f>
        <v>0</v>
      </c>
      <c r="Y372" s="56">
        <f>SUM(W372:X372)</f>
        <v>5360.65</v>
      </c>
      <c r="Z372" s="54">
        <f>SUM(Z349:Z371)</f>
        <v>6546.15</v>
      </c>
      <c r="AA372" s="54">
        <f>SUM(AA349:AA371)</f>
        <v>31.840000000000003</v>
      </c>
      <c r="AB372" s="54">
        <f>SUM(AB349:AB371)</f>
        <v>2436.19</v>
      </c>
      <c r="AC372" s="54">
        <f>SUM(AC349:AC371)</f>
        <v>0</v>
      </c>
      <c r="AD372" s="56">
        <f>SUM(AD348:AD371)</f>
        <v>9014.1799999999985</v>
      </c>
      <c r="AE372" s="54">
        <f>SUM(AE348:AE371)</f>
        <v>26400.579999999991</v>
      </c>
      <c r="AF372" s="56">
        <f>SUM(AF348:AF371)</f>
        <v>26400.579999999991</v>
      </c>
      <c r="AG372" s="54"/>
      <c r="AH372" s="62">
        <f>SUM(AH349:AH371)</f>
        <v>119503.12000000001</v>
      </c>
    </row>
    <row r="373" spans="1:34" ht="16.5">
      <c r="A373" s="124"/>
      <c r="B373" s="118" t="s">
        <v>184</v>
      </c>
      <c r="C373" s="118"/>
      <c r="D373" s="118"/>
      <c r="E373" s="118"/>
      <c r="F373" s="118"/>
      <c r="G373" s="118"/>
      <c r="H373" s="118"/>
      <c r="I373" s="118"/>
      <c r="J373" s="118"/>
      <c r="K373" s="118"/>
      <c r="L373" s="118"/>
      <c r="M373" s="118"/>
      <c r="N373" s="118"/>
      <c r="O373" s="118"/>
      <c r="P373" s="118"/>
      <c r="Q373" s="118"/>
      <c r="R373" s="118"/>
      <c r="S373" s="118"/>
      <c r="T373" s="118"/>
      <c r="U373" s="118"/>
      <c r="V373" s="118"/>
      <c r="W373" s="118"/>
      <c r="X373" s="118"/>
      <c r="Y373" s="118"/>
      <c r="Z373" s="118"/>
      <c r="AA373" s="118"/>
      <c r="AB373" s="118"/>
      <c r="AC373" s="118"/>
      <c r="AD373" s="118"/>
      <c r="AE373" s="118"/>
      <c r="AF373" s="56" t="s">
        <v>175</v>
      </c>
      <c r="AG373" s="54"/>
      <c r="AH373" s="122">
        <f ca="1">SUM(AH371:AH374)</f>
        <v>119503.12000000001</v>
      </c>
    </row>
    <row r="374" spans="1:34" ht="16.5">
      <c r="A374" s="124"/>
      <c r="B374" s="118"/>
      <c r="C374" s="118"/>
      <c r="D374" s="118"/>
      <c r="E374" s="118"/>
      <c r="F374" s="118"/>
      <c r="G374" s="118"/>
      <c r="H374" s="118"/>
      <c r="I374" s="118"/>
      <c r="J374" s="118"/>
      <c r="K374" s="118"/>
      <c r="L374" s="118"/>
      <c r="M374" s="118"/>
      <c r="N374" s="118"/>
      <c r="O374" s="118"/>
      <c r="P374" s="118"/>
      <c r="Q374" s="118"/>
      <c r="R374" s="118"/>
      <c r="S374" s="118"/>
      <c r="T374" s="118"/>
      <c r="U374" s="118"/>
      <c r="V374" s="118"/>
      <c r="W374" s="118"/>
      <c r="X374" s="118"/>
      <c r="Y374" s="118"/>
      <c r="Z374" s="118"/>
      <c r="AA374" s="118"/>
      <c r="AB374" s="118"/>
      <c r="AC374" s="118"/>
      <c r="AD374" s="118"/>
      <c r="AE374" s="118"/>
      <c r="AF374" s="47" t="s">
        <v>139</v>
      </c>
      <c r="AH374" s="122"/>
    </row>
    <row r="375" spans="1:34" ht="16.5">
      <c r="A375" s="124"/>
      <c r="B375" s="118"/>
      <c r="C375" s="118"/>
      <c r="D375" s="118"/>
      <c r="E375" s="118"/>
      <c r="F375" s="118"/>
      <c r="G375" s="118"/>
      <c r="H375" s="118"/>
      <c r="I375" s="118"/>
      <c r="J375" s="118"/>
      <c r="K375" s="118"/>
      <c r="L375" s="118"/>
      <c r="M375" s="118"/>
      <c r="N375" s="118"/>
      <c r="O375" s="118"/>
      <c r="P375" s="118"/>
      <c r="Q375" s="118"/>
      <c r="R375" s="118"/>
      <c r="S375" s="118"/>
      <c r="T375" s="118"/>
      <c r="U375" s="118"/>
      <c r="V375" s="118"/>
      <c r="W375" s="118"/>
      <c r="X375" s="118"/>
      <c r="Y375" s="118"/>
      <c r="Z375" s="118"/>
      <c r="AA375" s="118"/>
      <c r="AB375" s="118"/>
      <c r="AC375" s="118"/>
      <c r="AD375" s="118"/>
      <c r="AE375" s="118"/>
      <c r="AF375" s="63"/>
      <c r="AG375" s="63"/>
      <c r="AH375" s="122"/>
    </row>
    <row r="376" spans="1:34" ht="63" customHeight="1">
      <c r="A376" s="124"/>
      <c r="B376" s="119"/>
      <c r="C376" s="119"/>
      <c r="D376" s="119"/>
      <c r="E376" s="119"/>
      <c r="F376" s="119"/>
      <c r="G376" s="119"/>
      <c r="H376" s="119"/>
      <c r="I376" s="119"/>
      <c r="J376" s="119"/>
      <c r="K376" s="119"/>
      <c r="L376" s="119"/>
      <c r="M376" s="119"/>
      <c r="N376" s="119"/>
      <c r="O376" s="119"/>
      <c r="P376" s="119"/>
      <c r="Q376" s="119"/>
      <c r="R376" s="119"/>
      <c r="S376" s="119"/>
      <c r="T376" s="119"/>
      <c r="U376" s="119"/>
      <c r="V376" s="119"/>
      <c r="W376" s="119"/>
      <c r="X376" s="119"/>
      <c r="Y376" s="119"/>
      <c r="Z376" s="119"/>
      <c r="AA376" s="119"/>
      <c r="AB376" s="119"/>
      <c r="AC376" s="119"/>
      <c r="AD376" s="119"/>
      <c r="AE376" s="119"/>
      <c r="AF376" s="64" t="s">
        <v>185</v>
      </c>
      <c r="AG376" s="65"/>
      <c r="AH376" s="123"/>
    </row>
    <row r="377" spans="1:34" ht="22.5">
      <c r="A377" s="124"/>
      <c r="B377" s="86"/>
      <c r="C377" s="87"/>
      <c r="D377" s="87"/>
      <c r="E377" s="140" t="s">
        <v>140</v>
      </c>
      <c r="F377" s="140"/>
      <c r="G377" s="140"/>
      <c r="H377" s="140"/>
      <c r="I377" s="140"/>
      <c r="J377" s="140"/>
      <c r="K377" s="140"/>
      <c r="L377" s="140"/>
      <c r="M377" s="83"/>
      <c r="N377" s="87"/>
      <c r="O377" s="87"/>
      <c r="P377" s="87"/>
      <c r="Q377" s="87"/>
      <c r="R377" s="87"/>
      <c r="S377" s="87"/>
      <c r="T377" s="87"/>
      <c r="U377" s="87"/>
      <c r="V377" s="84"/>
      <c r="W377" s="87"/>
      <c r="X377" s="87"/>
      <c r="Y377" s="84"/>
      <c r="Z377" s="87"/>
      <c r="AA377" s="87"/>
      <c r="AB377" s="87"/>
      <c r="AC377" s="87"/>
      <c r="AD377" s="84"/>
      <c r="AE377" s="87"/>
      <c r="AF377" s="85"/>
      <c r="AG377" s="85"/>
      <c r="AH377" s="91"/>
    </row>
    <row r="378" spans="1:34" ht="22.5">
      <c r="A378" s="124"/>
      <c r="B378" s="86"/>
      <c r="C378" s="87"/>
      <c r="D378" s="87"/>
      <c r="E378" s="140" t="s">
        <v>188</v>
      </c>
      <c r="F378" s="140"/>
      <c r="G378" s="140"/>
      <c r="H378" s="140"/>
      <c r="I378" s="140"/>
      <c r="J378" s="140"/>
      <c r="K378" s="140"/>
      <c r="L378" s="140"/>
      <c r="M378" s="83"/>
      <c r="N378" s="87"/>
      <c r="O378" s="87"/>
      <c r="P378" s="87"/>
      <c r="Q378" s="87"/>
      <c r="R378" s="87"/>
      <c r="S378" s="87"/>
      <c r="T378" s="87"/>
      <c r="U378" s="87"/>
      <c r="V378" s="84"/>
      <c r="W378" s="87"/>
      <c r="X378" s="87"/>
      <c r="Y378" s="84"/>
      <c r="Z378" s="87"/>
      <c r="AA378" s="87"/>
      <c r="AB378" s="87"/>
      <c r="AC378" s="87"/>
      <c r="AD378" s="84"/>
      <c r="AE378" s="87"/>
      <c r="AF378" s="92"/>
      <c r="AG378" s="85"/>
      <c r="AH378" s="89"/>
    </row>
    <row r="379" spans="1:34" ht="16.5">
      <c r="A379" s="124"/>
      <c r="B379" s="80"/>
      <c r="C379" s="77"/>
      <c r="D379" s="77"/>
      <c r="E379" s="77"/>
      <c r="F379" s="77"/>
      <c r="G379" s="77"/>
      <c r="H379" s="75"/>
      <c r="I379" s="77"/>
      <c r="J379" s="77"/>
      <c r="K379" s="77"/>
      <c r="L379" s="77"/>
      <c r="M379" s="77"/>
      <c r="N379" s="77"/>
      <c r="O379" s="77"/>
      <c r="P379" s="77"/>
      <c r="Q379" s="77"/>
      <c r="R379" s="77"/>
      <c r="S379" s="77"/>
      <c r="T379" s="77"/>
      <c r="U379" s="77"/>
      <c r="V379" s="75"/>
      <c r="W379" s="77"/>
      <c r="X379" s="77"/>
      <c r="Y379" s="75"/>
      <c r="Z379" s="77"/>
      <c r="AA379" s="77"/>
      <c r="AB379" s="77"/>
      <c r="AC379" s="77"/>
      <c r="AD379" s="75"/>
      <c r="AE379" s="77"/>
      <c r="AF379" s="75"/>
      <c r="AG379" s="76"/>
      <c r="AH379" s="75"/>
    </row>
    <row r="380" spans="1:34" ht="16.5">
      <c r="A380" s="124"/>
      <c r="B380" s="73"/>
      <c r="C380" s="105">
        <v>11801</v>
      </c>
      <c r="D380" s="105">
        <v>11803</v>
      </c>
      <c r="E380" s="105">
        <v>11818</v>
      </c>
      <c r="F380" s="105">
        <v>11802</v>
      </c>
      <c r="G380" s="105">
        <v>11804</v>
      </c>
      <c r="H380" s="105"/>
      <c r="I380" s="105">
        <v>21310001</v>
      </c>
      <c r="J380" s="105">
        <v>12105</v>
      </c>
      <c r="K380" s="105">
        <v>12106</v>
      </c>
      <c r="L380" s="105">
        <v>12108</v>
      </c>
      <c r="M380" s="105">
        <v>12109</v>
      </c>
      <c r="N380" s="105">
        <v>12199</v>
      </c>
      <c r="O380" s="105">
        <v>12111</v>
      </c>
      <c r="P380" s="105">
        <v>12114</v>
      </c>
      <c r="Q380" s="105">
        <v>12115</v>
      </c>
      <c r="R380" s="105">
        <v>12117</v>
      </c>
      <c r="S380" s="105">
        <v>12118</v>
      </c>
      <c r="T380" s="105">
        <v>12119</v>
      </c>
      <c r="U380" s="105">
        <v>12210</v>
      </c>
      <c r="V380" s="105">
        <v>21312001</v>
      </c>
      <c r="W380" s="105">
        <v>14201</v>
      </c>
      <c r="X380" s="105"/>
      <c r="Y380" s="105">
        <v>21314001</v>
      </c>
      <c r="Z380" s="105">
        <v>15302</v>
      </c>
      <c r="AA380" s="105">
        <v>15312</v>
      </c>
      <c r="AB380" s="105">
        <v>15314</v>
      </c>
      <c r="AC380" s="105"/>
      <c r="AD380" s="105">
        <v>21315001</v>
      </c>
      <c r="AE380" s="105">
        <v>32299</v>
      </c>
      <c r="AF380" s="78"/>
      <c r="AG380" s="78"/>
      <c r="AH380" s="78"/>
    </row>
    <row r="381" spans="1:34" ht="66" customHeight="1">
      <c r="A381" s="124"/>
      <c r="B381" s="106" t="s">
        <v>189</v>
      </c>
      <c r="C381" s="107" t="s">
        <v>143</v>
      </c>
      <c r="D381" s="107" t="s">
        <v>144</v>
      </c>
      <c r="E381" s="107" t="s">
        <v>145</v>
      </c>
      <c r="F381" s="107" t="s">
        <v>146</v>
      </c>
      <c r="G381" s="107" t="s">
        <v>147</v>
      </c>
      <c r="H381" s="107" t="s">
        <v>183</v>
      </c>
      <c r="I381" s="107" t="s">
        <v>149</v>
      </c>
      <c r="J381" s="107" t="s">
        <v>150</v>
      </c>
      <c r="K381" s="107" t="s">
        <v>151</v>
      </c>
      <c r="L381" s="107" t="s">
        <v>152</v>
      </c>
      <c r="M381" s="107" t="s">
        <v>153</v>
      </c>
      <c r="N381" s="107" t="s">
        <v>154</v>
      </c>
      <c r="O381" s="107" t="s">
        <v>155</v>
      </c>
      <c r="P381" s="107" t="s">
        <v>156</v>
      </c>
      <c r="Q381" s="107" t="s">
        <v>157</v>
      </c>
      <c r="R381" s="107" t="s">
        <v>158</v>
      </c>
      <c r="S381" s="107" t="s">
        <v>159</v>
      </c>
      <c r="T381" s="107" t="s">
        <v>160</v>
      </c>
      <c r="U381" s="107" t="s">
        <v>161</v>
      </c>
      <c r="V381" s="107" t="s">
        <v>163</v>
      </c>
      <c r="W381" s="107" t="s">
        <v>164</v>
      </c>
      <c r="X381" s="107" t="s">
        <v>165</v>
      </c>
      <c r="Y381" s="107" t="s">
        <v>166</v>
      </c>
      <c r="Z381" s="107" t="s">
        <v>167</v>
      </c>
      <c r="AA381" s="107" t="s">
        <v>168</v>
      </c>
      <c r="AB381" s="107" t="s">
        <v>169</v>
      </c>
      <c r="AC381" s="107" t="s">
        <v>170</v>
      </c>
      <c r="AD381" s="107" t="s">
        <v>171</v>
      </c>
      <c r="AE381" s="107" t="s">
        <v>172</v>
      </c>
      <c r="AF381" s="107" t="s">
        <v>173</v>
      </c>
      <c r="AG381" s="108"/>
      <c r="AH381" s="107" t="s">
        <v>174</v>
      </c>
    </row>
    <row r="382" spans="1:34" ht="16.5">
      <c r="A382" s="124"/>
      <c r="B382" s="66"/>
      <c r="C382" s="67"/>
      <c r="D382" s="67"/>
      <c r="E382" s="67"/>
      <c r="F382" s="67"/>
      <c r="G382" s="67"/>
      <c r="H382" s="47"/>
      <c r="I382" s="47"/>
      <c r="J382" s="67"/>
      <c r="K382" s="67"/>
      <c r="L382" s="67"/>
      <c r="M382" s="67"/>
      <c r="N382" s="67"/>
      <c r="O382" s="67"/>
      <c r="P382" s="67"/>
      <c r="Q382" s="67"/>
      <c r="R382" s="67"/>
      <c r="S382" s="67"/>
      <c r="T382" s="67"/>
      <c r="U382" s="67"/>
      <c r="V382" s="47"/>
      <c r="W382" s="67"/>
      <c r="X382" s="67"/>
      <c r="Y382" s="47"/>
      <c r="Z382" s="67"/>
      <c r="AA382" s="67"/>
      <c r="AB382" s="67"/>
      <c r="AC382" s="67"/>
      <c r="AD382" s="47"/>
      <c r="AE382" s="67"/>
      <c r="AF382" s="47"/>
      <c r="AG382" s="68"/>
      <c r="AH382" s="47"/>
    </row>
    <row r="383" spans="1:34" ht="16.5">
      <c r="A383" s="124"/>
      <c r="B383" s="52">
        <v>44378</v>
      </c>
      <c r="C383" s="53">
        <v>1244.1199999999999</v>
      </c>
      <c r="D383" s="53"/>
      <c r="E383" s="53"/>
      <c r="F383" s="53"/>
      <c r="G383" s="53"/>
      <c r="H383" s="54"/>
      <c r="I383" s="56">
        <f>C383+D383+E383+F383+G383+H383</f>
        <v>1244.1199999999999</v>
      </c>
      <c r="J383" s="53">
        <v>56</v>
      </c>
      <c r="K383" s="53"/>
      <c r="L383" s="53">
        <v>117.75</v>
      </c>
      <c r="M383" s="53">
        <v>1329.11</v>
      </c>
      <c r="N383" s="53">
        <v>1.68</v>
      </c>
      <c r="O383" s="53"/>
      <c r="P383" s="53">
        <v>165.78</v>
      </c>
      <c r="Q383" s="53"/>
      <c r="R383" s="53">
        <v>98.41</v>
      </c>
      <c r="S383" s="53"/>
      <c r="T383" s="53">
        <v>7.5</v>
      </c>
      <c r="U383" s="53">
        <v>72</v>
      </c>
      <c r="V383" s="56">
        <f>U383+T383+S383+R383+Q383+P383+O383+N383+M383+L383+K383+J383</f>
        <v>1848.23</v>
      </c>
      <c r="W383" s="53">
        <v>262.89999999999998</v>
      </c>
      <c r="X383" s="53"/>
      <c r="Y383" s="56">
        <f>SUM(W383:X383)</f>
        <v>262.89999999999998</v>
      </c>
      <c r="Z383" s="53">
        <v>101.77</v>
      </c>
      <c r="AA383" s="53"/>
      <c r="AB383" s="53">
        <v>37.29</v>
      </c>
      <c r="AC383" s="53"/>
      <c r="AD383" s="56">
        <f>SUM(Z383:AC383)</f>
        <v>139.06</v>
      </c>
      <c r="AE383" s="53">
        <v>123.93</v>
      </c>
      <c r="AF383" s="56">
        <f>SUM(AE383)</f>
        <v>123.93</v>
      </c>
      <c r="AG383" s="54"/>
      <c r="AH383" s="56">
        <f>AF383+AD383+Y383+V383+I383</f>
        <v>3618.24</v>
      </c>
    </row>
    <row r="384" spans="1:34" ht="16.5">
      <c r="A384" s="124"/>
      <c r="B384" s="52">
        <v>44379</v>
      </c>
      <c r="C384" s="53">
        <v>2275.0500000000002</v>
      </c>
      <c r="D384" s="53"/>
      <c r="E384" s="53"/>
      <c r="F384" s="53"/>
      <c r="G384" s="53"/>
      <c r="H384" s="54"/>
      <c r="I384" s="56">
        <f t="shared" ref="I384:I408" si="92">C384+D384+E384+F384+G384+H384</f>
        <v>2275.0500000000002</v>
      </c>
      <c r="J384" s="53">
        <v>45.5</v>
      </c>
      <c r="K384" s="53"/>
      <c r="L384" s="53">
        <v>259.22000000000003</v>
      </c>
      <c r="M384" s="53">
        <v>1890.24</v>
      </c>
      <c r="N384" s="53">
        <v>14.25</v>
      </c>
      <c r="O384" s="53">
        <v>26</v>
      </c>
      <c r="P384" s="53">
        <v>408.22</v>
      </c>
      <c r="Q384" s="53"/>
      <c r="R384" s="53">
        <v>132.33000000000001</v>
      </c>
      <c r="S384" s="53"/>
      <c r="T384" s="53">
        <v>5</v>
      </c>
      <c r="U384" s="53">
        <v>3055.77</v>
      </c>
      <c r="V384" s="56">
        <f t="shared" ref="V384:V408" si="93">U384+T384+S384+R384+Q384+P384+O384+N384+M384+L384+K384+J384</f>
        <v>5836.53</v>
      </c>
      <c r="W384" s="53">
        <v>353.35</v>
      </c>
      <c r="X384" s="53"/>
      <c r="Y384" s="56">
        <f t="shared" ref="Y384:Y406" si="94">SUM(W384:X384)</f>
        <v>353.35</v>
      </c>
      <c r="Z384" s="53">
        <v>540.66</v>
      </c>
      <c r="AA384" s="53"/>
      <c r="AB384" s="53">
        <v>127.32</v>
      </c>
      <c r="AC384" s="53"/>
      <c r="AD384" s="56">
        <f t="shared" ref="AD384:AD406" si="95">SUM(Z384:AC384)</f>
        <v>667.98</v>
      </c>
      <c r="AE384" s="53">
        <v>119.37</v>
      </c>
      <c r="AF384" s="56">
        <f t="shared" ref="AF384:AF406" si="96">SUM(AE384)</f>
        <v>119.37</v>
      </c>
      <c r="AG384" s="54"/>
      <c r="AH384" s="56">
        <f t="shared" ref="AH384:AH406" si="97">AF384+AD384+Y384+V384+I384</f>
        <v>9252.2799999999988</v>
      </c>
    </row>
    <row r="385" spans="1:34" ht="16.5">
      <c r="A385" s="124"/>
      <c r="B385" s="52">
        <v>44382</v>
      </c>
      <c r="C385" s="53">
        <v>3</v>
      </c>
      <c r="D385" s="53"/>
      <c r="E385" s="53">
        <v>10.29</v>
      </c>
      <c r="F385" s="53"/>
      <c r="G385" s="53"/>
      <c r="H385" s="54"/>
      <c r="I385" s="56">
        <f t="shared" si="92"/>
        <v>13.29</v>
      </c>
      <c r="J385" s="53">
        <v>78.5</v>
      </c>
      <c r="K385" s="53"/>
      <c r="L385" s="53">
        <v>121.9</v>
      </c>
      <c r="M385" s="53">
        <v>1434.29</v>
      </c>
      <c r="N385" s="53">
        <v>0.74</v>
      </c>
      <c r="O385" s="53">
        <v>28</v>
      </c>
      <c r="P385" s="53">
        <v>129.18</v>
      </c>
      <c r="Q385" s="53"/>
      <c r="R385" s="53">
        <v>106.98</v>
      </c>
      <c r="S385" s="53"/>
      <c r="T385" s="53">
        <v>17.5</v>
      </c>
      <c r="U385" s="53">
        <v>45</v>
      </c>
      <c r="V385" s="56">
        <f t="shared" si="93"/>
        <v>1962.0900000000001</v>
      </c>
      <c r="W385" s="53">
        <v>237.5</v>
      </c>
      <c r="X385" s="53"/>
      <c r="Y385" s="56">
        <f t="shared" si="94"/>
        <v>237.5</v>
      </c>
      <c r="Z385" s="53">
        <v>160.57</v>
      </c>
      <c r="AA385" s="53"/>
      <c r="AB385" s="53">
        <v>67.75</v>
      </c>
      <c r="AC385" s="53"/>
      <c r="AD385" s="56">
        <f t="shared" si="95"/>
        <v>228.32</v>
      </c>
      <c r="AE385" s="53">
        <v>512.79</v>
      </c>
      <c r="AF385" s="56">
        <f t="shared" si="96"/>
        <v>512.79</v>
      </c>
      <c r="AG385" s="54"/>
      <c r="AH385" s="56">
        <f t="shared" si="97"/>
        <v>2953.99</v>
      </c>
    </row>
    <row r="386" spans="1:34" ht="16.5">
      <c r="A386" s="124"/>
      <c r="B386" s="52">
        <v>44383</v>
      </c>
      <c r="C386" s="53">
        <v>294.8</v>
      </c>
      <c r="D386" s="53"/>
      <c r="E386" s="53"/>
      <c r="F386" s="53"/>
      <c r="G386" s="53"/>
      <c r="H386" s="54"/>
      <c r="I386" s="56">
        <f t="shared" si="92"/>
        <v>294.8</v>
      </c>
      <c r="J386" s="53">
        <v>45.5</v>
      </c>
      <c r="K386" s="53"/>
      <c r="L386" s="53">
        <v>62.91</v>
      </c>
      <c r="M386" s="53">
        <v>600.24</v>
      </c>
      <c r="N386" s="53">
        <v>1.22</v>
      </c>
      <c r="O386" s="53"/>
      <c r="P386" s="53">
        <v>614.30999999999995</v>
      </c>
      <c r="Q386" s="53">
        <v>672.14</v>
      </c>
      <c r="R386" s="53">
        <v>51.96</v>
      </c>
      <c r="S386" s="53"/>
      <c r="T386" s="53">
        <v>7.5</v>
      </c>
      <c r="U386" s="53">
        <v>327.14999999999998</v>
      </c>
      <c r="V386" s="56">
        <f t="shared" si="93"/>
        <v>2382.9299999999998</v>
      </c>
      <c r="W386" s="53">
        <v>148.9</v>
      </c>
      <c r="X386" s="53"/>
      <c r="Y386" s="56">
        <f t="shared" si="94"/>
        <v>148.9</v>
      </c>
      <c r="Z386" s="53">
        <v>12.03</v>
      </c>
      <c r="AA386" s="53"/>
      <c r="AB386" s="53">
        <v>8.58</v>
      </c>
      <c r="AC386" s="53"/>
      <c r="AD386" s="56">
        <f>SUM(Z386:AC386)</f>
        <v>20.61</v>
      </c>
      <c r="AE386" s="53">
        <v>8434.91</v>
      </c>
      <c r="AF386" s="56">
        <f>SUM(AE386)</f>
        <v>8434.91</v>
      </c>
      <c r="AG386" s="54"/>
      <c r="AH386" s="56">
        <f t="shared" si="97"/>
        <v>11282.15</v>
      </c>
    </row>
    <row r="387" spans="1:34" ht="16.5">
      <c r="A387" s="124"/>
      <c r="B387" s="52">
        <v>44384</v>
      </c>
      <c r="C387" s="53">
        <v>7867.3</v>
      </c>
      <c r="D387" s="53"/>
      <c r="E387" s="53"/>
      <c r="F387" s="53"/>
      <c r="G387" s="53">
        <v>105</v>
      </c>
      <c r="H387" s="54"/>
      <c r="I387" s="56">
        <f t="shared" si="92"/>
        <v>7972.3</v>
      </c>
      <c r="J387" s="53">
        <v>44</v>
      </c>
      <c r="K387" s="53">
        <v>1</v>
      </c>
      <c r="L387" s="53">
        <v>216.37</v>
      </c>
      <c r="M387" s="53">
        <v>4165.01</v>
      </c>
      <c r="N387" s="53">
        <v>2.41</v>
      </c>
      <c r="O387" s="53">
        <v>10</v>
      </c>
      <c r="P387" s="53">
        <v>867.34</v>
      </c>
      <c r="Q387" s="53">
        <v>154.91</v>
      </c>
      <c r="R387" s="53">
        <v>191.77</v>
      </c>
      <c r="S387" s="53"/>
      <c r="T387" s="53">
        <v>10</v>
      </c>
      <c r="U387" s="53">
        <v>53</v>
      </c>
      <c r="V387" s="56">
        <f t="shared" si="93"/>
        <v>5715.81</v>
      </c>
      <c r="W387" s="53">
        <v>113.9</v>
      </c>
      <c r="X387" s="53"/>
      <c r="Y387" s="56">
        <f>SUM(W387:X387)</f>
        <v>113.9</v>
      </c>
      <c r="Z387" s="53"/>
      <c r="AA387" s="53"/>
      <c r="AB387" s="53">
        <v>23.81</v>
      </c>
      <c r="AC387" s="53"/>
      <c r="AD387" s="56">
        <f>SUM(Z387:AC387)</f>
        <v>23.81</v>
      </c>
      <c r="AE387" s="53">
        <v>4354.3</v>
      </c>
      <c r="AF387" s="56">
        <f>SUM(AE387)</f>
        <v>4354.3</v>
      </c>
      <c r="AG387" s="54"/>
      <c r="AH387" s="56">
        <f t="shared" si="97"/>
        <v>18180.12</v>
      </c>
    </row>
    <row r="388" spans="1:34" ht="16.5">
      <c r="A388" s="124"/>
      <c r="B388" s="52">
        <v>44385</v>
      </c>
      <c r="C388" s="53">
        <v>16.8</v>
      </c>
      <c r="D388" s="53"/>
      <c r="E388" s="53"/>
      <c r="F388" s="53"/>
      <c r="G388" s="53"/>
      <c r="H388" s="54"/>
      <c r="I388" s="56">
        <f t="shared" si="92"/>
        <v>16.8</v>
      </c>
      <c r="J388" s="53">
        <v>61</v>
      </c>
      <c r="K388" s="53"/>
      <c r="L388" s="53">
        <v>101.97</v>
      </c>
      <c r="M388" s="53">
        <v>213.78</v>
      </c>
      <c r="N388" s="53">
        <v>11.85</v>
      </c>
      <c r="O388" s="53">
        <v>6</v>
      </c>
      <c r="P388" s="53">
        <v>39.85</v>
      </c>
      <c r="Q388" s="53">
        <v>131.58000000000001</v>
      </c>
      <c r="R388" s="53">
        <v>54.49</v>
      </c>
      <c r="S388" s="53"/>
      <c r="T388" s="53">
        <v>7.5</v>
      </c>
      <c r="U388" s="53">
        <v>168.15</v>
      </c>
      <c r="V388" s="56">
        <f t="shared" si="93"/>
        <v>796.17000000000007</v>
      </c>
      <c r="W388" s="53">
        <v>123.75</v>
      </c>
      <c r="X388" s="53"/>
      <c r="Y388" s="56">
        <f t="shared" si="94"/>
        <v>123.75</v>
      </c>
      <c r="Z388" s="53"/>
      <c r="AA388" s="53"/>
      <c r="AB388" s="53"/>
      <c r="AC388" s="53"/>
      <c r="AD388" s="56">
        <f t="shared" si="95"/>
        <v>0</v>
      </c>
      <c r="AE388" s="53">
        <v>39.46</v>
      </c>
      <c r="AF388" s="56">
        <f t="shared" si="96"/>
        <v>39.46</v>
      </c>
      <c r="AG388" s="54"/>
      <c r="AH388" s="56">
        <f t="shared" si="97"/>
        <v>976.18000000000006</v>
      </c>
    </row>
    <row r="389" spans="1:34" ht="16.5">
      <c r="A389" s="124"/>
      <c r="B389" s="52">
        <v>44386</v>
      </c>
      <c r="C389" s="53">
        <v>448</v>
      </c>
      <c r="D389" s="53"/>
      <c r="E389" s="53"/>
      <c r="F389" s="53"/>
      <c r="G389" s="53">
        <v>293.02</v>
      </c>
      <c r="H389" s="54"/>
      <c r="I389" s="56">
        <f t="shared" si="92"/>
        <v>741.02</v>
      </c>
      <c r="J389" s="53">
        <v>63</v>
      </c>
      <c r="K389" s="53">
        <v>1</v>
      </c>
      <c r="L389" s="53">
        <v>104.87</v>
      </c>
      <c r="M389" s="53">
        <v>837.12</v>
      </c>
      <c r="N389" s="53">
        <v>1.02</v>
      </c>
      <c r="O389" s="53"/>
      <c r="P389" s="53">
        <v>264.02999999999997</v>
      </c>
      <c r="Q389" s="53">
        <v>114.57</v>
      </c>
      <c r="R389" s="53">
        <v>75.430000000000007</v>
      </c>
      <c r="S389" s="53"/>
      <c r="T389" s="53">
        <v>7.5</v>
      </c>
      <c r="U389" s="53">
        <v>319.18</v>
      </c>
      <c r="V389" s="56">
        <f t="shared" si="93"/>
        <v>1787.7199999999998</v>
      </c>
      <c r="W389" s="53">
        <v>95.2</v>
      </c>
      <c r="X389" s="53"/>
      <c r="Y389" s="56">
        <f t="shared" si="94"/>
        <v>95.2</v>
      </c>
      <c r="Z389" s="53"/>
      <c r="AA389" s="53"/>
      <c r="AB389" s="53"/>
      <c r="AC389" s="53"/>
      <c r="AD389" s="56">
        <f t="shared" si="95"/>
        <v>0</v>
      </c>
      <c r="AE389" s="53">
        <v>3038.71</v>
      </c>
      <c r="AF389" s="56">
        <f t="shared" si="96"/>
        <v>3038.71</v>
      </c>
      <c r="AG389" s="54"/>
      <c r="AH389" s="56">
        <f t="shared" si="97"/>
        <v>5662.65</v>
      </c>
    </row>
    <row r="390" spans="1:34" ht="16.5">
      <c r="A390" s="124"/>
      <c r="B390" s="52">
        <v>44389</v>
      </c>
      <c r="C390" s="53">
        <v>2414.1799999999998</v>
      </c>
      <c r="D390" s="53"/>
      <c r="E390" s="53"/>
      <c r="F390" s="53"/>
      <c r="G390" s="53">
        <v>4.5</v>
      </c>
      <c r="H390" s="54">
        <v>210</v>
      </c>
      <c r="I390" s="56">
        <f t="shared" si="92"/>
        <v>2628.68</v>
      </c>
      <c r="J390" s="53">
        <v>52</v>
      </c>
      <c r="K390" s="53"/>
      <c r="L390" s="53">
        <v>130.94</v>
      </c>
      <c r="M390" s="53">
        <v>292.27</v>
      </c>
      <c r="N390" s="53">
        <v>18.989999999999998</v>
      </c>
      <c r="O390" s="53"/>
      <c r="P390" s="53">
        <v>256.58</v>
      </c>
      <c r="Q390" s="53"/>
      <c r="R390" s="53">
        <v>64.81</v>
      </c>
      <c r="S390" s="53"/>
      <c r="T390" s="53">
        <v>17.5</v>
      </c>
      <c r="U390" s="53">
        <v>45.81</v>
      </c>
      <c r="V390" s="56">
        <f>U390+T390+S390+R390+Q390+P390+O390+N390+M390+L390+K390+J390</f>
        <v>878.90000000000009</v>
      </c>
      <c r="W390" s="53">
        <v>250.6</v>
      </c>
      <c r="X390" s="53"/>
      <c r="Y390" s="56">
        <f t="shared" si="94"/>
        <v>250.6</v>
      </c>
      <c r="Z390" s="53"/>
      <c r="AA390" s="53">
        <v>5.71</v>
      </c>
      <c r="AB390" s="53">
        <v>44.93</v>
      </c>
      <c r="AC390" s="53"/>
      <c r="AD390" s="56">
        <f t="shared" si="95"/>
        <v>50.64</v>
      </c>
      <c r="AE390" s="53">
        <v>1575.15</v>
      </c>
      <c r="AF390" s="56">
        <f t="shared" si="96"/>
        <v>1575.15</v>
      </c>
      <c r="AG390" s="54"/>
      <c r="AH390" s="56">
        <f t="shared" si="97"/>
        <v>5383.9699999999993</v>
      </c>
    </row>
    <row r="391" spans="1:34" ht="16.5">
      <c r="A391" s="124"/>
      <c r="B391" s="52">
        <v>44390</v>
      </c>
      <c r="C391" s="53">
        <v>482.6</v>
      </c>
      <c r="D391" s="53"/>
      <c r="E391" s="53"/>
      <c r="F391" s="53"/>
      <c r="G391" s="53"/>
      <c r="H391" s="54"/>
      <c r="I391" s="56">
        <f t="shared" si="92"/>
        <v>482.6</v>
      </c>
      <c r="J391" s="53">
        <v>72</v>
      </c>
      <c r="K391" s="53"/>
      <c r="L391" s="53">
        <v>174.58</v>
      </c>
      <c r="M391" s="53">
        <v>552.27</v>
      </c>
      <c r="N391" s="53">
        <v>119.14</v>
      </c>
      <c r="O391" s="53">
        <v>6</v>
      </c>
      <c r="P391" s="53">
        <v>351.78</v>
      </c>
      <c r="Q391" s="53">
        <v>552.49</v>
      </c>
      <c r="R391" s="53">
        <v>32.08</v>
      </c>
      <c r="S391" s="53"/>
      <c r="T391" s="53">
        <v>17.5</v>
      </c>
      <c r="U391" s="53">
        <v>888.23</v>
      </c>
      <c r="V391" s="56">
        <f t="shared" si="93"/>
        <v>2766.07</v>
      </c>
      <c r="W391" s="53">
        <v>122.9</v>
      </c>
      <c r="X391" s="53"/>
      <c r="Y391" s="56">
        <f t="shared" si="94"/>
        <v>122.9</v>
      </c>
      <c r="Z391" s="53"/>
      <c r="AA391" s="53">
        <v>5.71</v>
      </c>
      <c r="AB391" s="53"/>
      <c r="AC391" s="53"/>
      <c r="AD391" s="56">
        <f t="shared" si="95"/>
        <v>5.71</v>
      </c>
      <c r="AE391" s="53">
        <v>4579.3900000000003</v>
      </c>
      <c r="AF391" s="56">
        <f t="shared" si="96"/>
        <v>4579.3900000000003</v>
      </c>
      <c r="AG391" s="54"/>
      <c r="AH391" s="56">
        <f t="shared" si="97"/>
        <v>7956.67</v>
      </c>
    </row>
    <row r="392" spans="1:34" ht="16.5">
      <c r="A392" s="124"/>
      <c r="B392" s="52">
        <v>44391</v>
      </c>
      <c r="C392" s="69">
        <v>725.5</v>
      </c>
      <c r="D392" s="53"/>
      <c r="E392" s="53">
        <v>3.43</v>
      </c>
      <c r="F392" s="53"/>
      <c r="G392" s="53"/>
      <c r="H392" s="54"/>
      <c r="I392" s="56">
        <f t="shared" si="92"/>
        <v>728.93</v>
      </c>
      <c r="J392" s="53">
        <v>35.5</v>
      </c>
      <c r="K392" s="53">
        <v>1</v>
      </c>
      <c r="L392" s="53">
        <v>109.17</v>
      </c>
      <c r="M392" s="53">
        <v>498.44</v>
      </c>
      <c r="N392" s="53">
        <v>1.17</v>
      </c>
      <c r="O392" s="53"/>
      <c r="P392" s="53">
        <v>1396.66</v>
      </c>
      <c r="Q392" s="53"/>
      <c r="R392" s="53">
        <v>47.05</v>
      </c>
      <c r="S392" s="53">
        <v>23390</v>
      </c>
      <c r="T392" s="53">
        <v>5</v>
      </c>
      <c r="U392" s="53">
        <v>1786.71</v>
      </c>
      <c r="V392" s="56">
        <f t="shared" si="93"/>
        <v>27270.699999999993</v>
      </c>
      <c r="W392" s="53">
        <v>222.15</v>
      </c>
      <c r="X392" s="53"/>
      <c r="Y392" s="56">
        <f t="shared" si="94"/>
        <v>222.15</v>
      </c>
      <c r="Z392" s="53"/>
      <c r="AA392" s="53"/>
      <c r="AB392" s="53">
        <v>11.4</v>
      </c>
      <c r="AC392" s="53"/>
      <c r="AD392" s="56">
        <f t="shared" si="95"/>
        <v>11.4</v>
      </c>
      <c r="AE392" s="53">
        <v>1097.8499999999999</v>
      </c>
      <c r="AF392" s="56">
        <f t="shared" si="96"/>
        <v>1097.8499999999999</v>
      </c>
      <c r="AG392" s="54"/>
      <c r="AH392" s="56">
        <f t="shared" si="97"/>
        <v>29331.029999999995</v>
      </c>
    </row>
    <row r="393" spans="1:34" ht="16.5">
      <c r="A393" s="124"/>
      <c r="B393" s="52">
        <v>44392</v>
      </c>
      <c r="C393" s="53">
        <v>5801.47</v>
      </c>
      <c r="D393" s="53">
        <v>1308.75</v>
      </c>
      <c r="E393" s="53"/>
      <c r="F393" s="53"/>
      <c r="G393" s="53"/>
      <c r="H393" s="54"/>
      <c r="I393" s="56">
        <f t="shared" si="92"/>
        <v>7110.22</v>
      </c>
      <c r="J393" s="53">
        <v>73</v>
      </c>
      <c r="K393" s="53"/>
      <c r="L393" s="53">
        <v>116.49</v>
      </c>
      <c r="M393" s="53">
        <v>1037.77</v>
      </c>
      <c r="N393" s="53">
        <v>17.079999999999998</v>
      </c>
      <c r="O393" s="53">
        <v>6</v>
      </c>
      <c r="P393" s="53">
        <v>845.07</v>
      </c>
      <c r="Q393" s="53">
        <v>281.69</v>
      </c>
      <c r="R393" s="53">
        <v>88.01</v>
      </c>
      <c r="S393" s="53">
        <v>4000</v>
      </c>
      <c r="T393" s="53">
        <v>7.5</v>
      </c>
      <c r="U393" s="53">
        <v>53</v>
      </c>
      <c r="V393" s="56">
        <f t="shared" si="93"/>
        <v>6525.6099999999988</v>
      </c>
      <c r="W393" s="53">
        <v>272.05</v>
      </c>
      <c r="X393" s="53"/>
      <c r="Y393" s="56">
        <f t="shared" si="94"/>
        <v>272.05</v>
      </c>
      <c r="Z393" s="53">
        <v>1160.07</v>
      </c>
      <c r="AA393" s="53"/>
      <c r="AB393" s="53">
        <v>428.18</v>
      </c>
      <c r="AC393" s="53"/>
      <c r="AD393" s="56">
        <f t="shared" si="95"/>
        <v>1588.25</v>
      </c>
      <c r="AE393" s="53">
        <v>4069.5</v>
      </c>
      <c r="AF393" s="56">
        <f t="shared" si="96"/>
        <v>4069.5</v>
      </c>
      <c r="AG393" s="54"/>
      <c r="AH393" s="56">
        <f>AF393+AD393+Y393+V393+I393</f>
        <v>19565.63</v>
      </c>
    </row>
    <row r="394" spans="1:34" ht="16.5">
      <c r="A394" s="124"/>
      <c r="B394" s="52">
        <v>44393</v>
      </c>
      <c r="C394" s="53">
        <v>775.66</v>
      </c>
      <c r="D394" s="53"/>
      <c r="E394" s="53"/>
      <c r="F394" s="53">
        <v>352.5</v>
      </c>
      <c r="G394" s="53">
        <v>1707.5</v>
      </c>
      <c r="H394" s="54"/>
      <c r="I394" s="56">
        <f t="shared" si="92"/>
        <v>2835.66</v>
      </c>
      <c r="J394" s="53">
        <v>71.5</v>
      </c>
      <c r="K394" s="53"/>
      <c r="L394" s="53">
        <v>119.77</v>
      </c>
      <c r="M394" s="53">
        <v>487.31</v>
      </c>
      <c r="N394" s="53">
        <v>17.239999999999998</v>
      </c>
      <c r="O394" s="53">
        <v>6</v>
      </c>
      <c r="P394" s="53">
        <v>316.49</v>
      </c>
      <c r="Q394" s="53">
        <v>113.35</v>
      </c>
      <c r="R394" s="53">
        <v>77.72</v>
      </c>
      <c r="S394" s="53"/>
      <c r="T394" s="53">
        <v>2.5</v>
      </c>
      <c r="U394" s="53">
        <v>100</v>
      </c>
      <c r="V394" s="56">
        <f t="shared" si="93"/>
        <v>1311.8799999999999</v>
      </c>
      <c r="W394" s="53">
        <v>516.04999999999995</v>
      </c>
      <c r="X394" s="53"/>
      <c r="Y394" s="56">
        <f t="shared" si="94"/>
        <v>516.04999999999995</v>
      </c>
      <c r="Z394" s="53"/>
      <c r="AA394" s="53"/>
      <c r="AB394" s="53"/>
      <c r="AC394" s="53"/>
      <c r="AD394" s="56">
        <f t="shared" si="95"/>
        <v>0</v>
      </c>
      <c r="AE394" s="53">
        <v>2109.06</v>
      </c>
      <c r="AF394" s="56">
        <f t="shared" si="96"/>
        <v>2109.06</v>
      </c>
      <c r="AG394" s="54"/>
      <c r="AH394" s="56">
        <f t="shared" si="97"/>
        <v>6772.65</v>
      </c>
    </row>
    <row r="395" spans="1:34" ht="16.5">
      <c r="A395" s="124"/>
      <c r="B395" s="52">
        <v>44396</v>
      </c>
      <c r="C395" s="53">
        <v>79.03</v>
      </c>
      <c r="D395" s="53"/>
      <c r="E395" s="53"/>
      <c r="F395" s="53">
        <v>126</v>
      </c>
      <c r="G395" s="53"/>
      <c r="H395" s="54"/>
      <c r="I395" s="56">
        <f t="shared" si="92"/>
        <v>205.03</v>
      </c>
      <c r="J395" s="53">
        <v>56.5</v>
      </c>
      <c r="K395" s="53"/>
      <c r="L395" s="53">
        <v>169.43</v>
      </c>
      <c r="M395" s="53">
        <v>281.64</v>
      </c>
      <c r="N395" s="53">
        <v>6.25</v>
      </c>
      <c r="O395" s="53">
        <v>26</v>
      </c>
      <c r="P395" s="53">
        <v>180.15</v>
      </c>
      <c r="Q395" s="53">
        <v>343.16</v>
      </c>
      <c r="R395" s="53">
        <v>59.24</v>
      </c>
      <c r="S395" s="53"/>
      <c r="T395" s="53">
        <v>25</v>
      </c>
      <c r="U395" s="53">
        <v>708.9</v>
      </c>
      <c r="V395" s="56">
        <f t="shared" si="93"/>
        <v>1856.2700000000002</v>
      </c>
      <c r="W395" s="53">
        <v>620.29999999999995</v>
      </c>
      <c r="X395" s="53"/>
      <c r="Y395" s="56">
        <f t="shared" si="94"/>
        <v>620.29999999999995</v>
      </c>
      <c r="Z395" s="53"/>
      <c r="AA395" s="53">
        <v>8.7100000000000009</v>
      </c>
      <c r="AB395" s="53"/>
      <c r="AC395" s="53"/>
      <c r="AD395" s="56">
        <f t="shared" si="95"/>
        <v>8.7100000000000009</v>
      </c>
      <c r="AE395" s="53">
        <v>1464.53</v>
      </c>
      <c r="AF395" s="56">
        <f t="shared" si="96"/>
        <v>1464.53</v>
      </c>
      <c r="AG395" s="54"/>
      <c r="AH395" s="56">
        <f t="shared" si="97"/>
        <v>4154.84</v>
      </c>
    </row>
    <row r="396" spans="1:34" ht="16.5">
      <c r="A396" s="124"/>
      <c r="B396" s="52">
        <v>44397</v>
      </c>
      <c r="C396" s="53">
        <v>17</v>
      </c>
      <c r="D396" s="53">
        <v>125.01</v>
      </c>
      <c r="E396" s="53"/>
      <c r="F396" s="53"/>
      <c r="G396" s="53"/>
      <c r="H396" s="54"/>
      <c r="I396" s="56">
        <f t="shared" si="92"/>
        <v>142.01</v>
      </c>
      <c r="J396" s="53">
        <v>56</v>
      </c>
      <c r="K396" s="53">
        <v>2</v>
      </c>
      <c r="L396" s="53">
        <v>145.9</v>
      </c>
      <c r="M396" s="53">
        <v>1241.24</v>
      </c>
      <c r="N396" s="53">
        <v>19.940000000000001</v>
      </c>
      <c r="O396" s="53"/>
      <c r="P396" s="53">
        <v>192.81</v>
      </c>
      <c r="Q396" s="53">
        <v>287.95</v>
      </c>
      <c r="R396" s="53">
        <v>93.8</v>
      </c>
      <c r="S396" s="53"/>
      <c r="T396" s="53"/>
      <c r="U396" s="53">
        <v>120.71</v>
      </c>
      <c r="V396" s="56">
        <f t="shared" si="93"/>
        <v>2160.35</v>
      </c>
      <c r="W396" s="53">
        <v>544.79999999999995</v>
      </c>
      <c r="X396" s="53"/>
      <c r="Y396" s="56">
        <f t="shared" si="94"/>
        <v>544.79999999999995</v>
      </c>
      <c r="Z396" s="53"/>
      <c r="AA396" s="53"/>
      <c r="AB396" s="53"/>
      <c r="AC396" s="53"/>
      <c r="AD396" s="56">
        <f t="shared" si="95"/>
        <v>0</v>
      </c>
      <c r="AE396" s="53">
        <v>1499.71</v>
      </c>
      <c r="AF396" s="56">
        <f t="shared" si="96"/>
        <v>1499.71</v>
      </c>
      <c r="AG396" s="54"/>
      <c r="AH396" s="56">
        <f t="shared" si="97"/>
        <v>4346.87</v>
      </c>
    </row>
    <row r="397" spans="1:34" ht="16.5">
      <c r="A397" s="124"/>
      <c r="B397" s="52">
        <v>44398</v>
      </c>
      <c r="C397" s="53">
        <v>1092.5</v>
      </c>
      <c r="D397" s="53"/>
      <c r="E397" s="53"/>
      <c r="F397" s="53"/>
      <c r="G397" s="53"/>
      <c r="H397" s="54"/>
      <c r="I397" s="56">
        <f t="shared" si="92"/>
        <v>1092.5</v>
      </c>
      <c r="J397" s="53">
        <v>84</v>
      </c>
      <c r="K397" s="53"/>
      <c r="L397" s="53">
        <v>213.43</v>
      </c>
      <c r="M397" s="53">
        <v>623.1</v>
      </c>
      <c r="N397" s="53">
        <v>13.27</v>
      </c>
      <c r="O397" s="53"/>
      <c r="P397" s="53">
        <v>316.98</v>
      </c>
      <c r="Q397" s="53"/>
      <c r="R397" s="53">
        <v>112.42</v>
      </c>
      <c r="S397" s="53"/>
      <c r="T397" s="53"/>
      <c r="U397" s="53">
        <v>281.85000000000002</v>
      </c>
      <c r="V397" s="56">
        <f t="shared" si="93"/>
        <v>1645.05</v>
      </c>
      <c r="W397" s="53">
        <v>556.29999999999995</v>
      </c>
      <c r="X397" s="53"/>
      <c r="Y397" s="56">
        <f t="shared" si="94"/>
        <v>556.29999999999995</v>
      </c>
      <c r="Z397" s="53"/>
      <c r="AA397" s="53">
        <v>3</v>
      </c>
      <c r="AB397" s="53">
        <v>84.84</v>
      </c>
      <c r="AC397" s="53"/>
      <c r="AD397" s="56">
        <f t="shared" si="95"/>
        <v>87.84</v>
      </c>
      <c r="AE397" s="53">
        <v>3276.9</v>
      </c>
      <c r="AF397" s="56">
        <f t="shared" si="96"/>
        <v>3276.9</v>
      </c>
      <c r="AG397" s="54"/>
      <c r="AH397" s="56">
        <f t="shared" si="97"/>
        <v>6658.59</v>
      </c>
    </row>
    <row r="398" spans="1:34" ht="16.5">
      <c r="A398" s="124"/>
      <c r="B398" s="52">
        <v>44399</v>
      </c>
      <c r="C398" s="53">
        <v>70</v>
      </c>
      <c r="D398" s="53"/>
      <c r="E398" s="53"/>
      <c r="F398" s="53"/>
      <c r="G398" s="53">
        <v>28</v>
      </c>
      <c r="H398" s="54"/>
      <c r="I398" s="56">
        <f t="shared" si="92"/>
        <v>98</v>
      </c>
      <c r="J398" s="53">
        <v>38</v>
      </c>
      <c r="K398" s="53"/>
      <c r="L398" s="53">
        <v>171</v>
      </c>
      <c r="M398" s="53">
        <v>376.15</v>
      </c>
      <c r="N398" s="53">
        <v>20.3</v>
      </c>
      <c r="O398" s="53">
        <v>12</v>
      </c>
      <c r="P398" s="53">
        <v>78.27</v>
      </c>
      <c r="Q398" s="53"/>
      <c r="R398" s="53">
        <v>87.47</v>
      </c>
      <c r="S398" s="53">
        <v>72</v>
      </c>
      <c r="T398" s="53">
        <v>7.5</v>
      </c>
      <c r="U398" s="53">
        <v>238.15</v>
      </c>
      <c r="V398" s="56">
        <f t="shared" si="93"/>
        <v>1100.8399999999999</v>
      </c>
      <c r="W398" s="53">
        <v>286.85000000000002</v>
      </c>
      <c r="X398" s="53"/>
      <c r="Y398" s="56">
        <f t="shared" si="94"/>
        <v>286.85000000000002</v>
      </c>
      <c r="Z398" s="53"/>
      <c r="AA398" s="53"/>
      <c r="AB398" s="53"/>
      <c r="AC398" s="53"/>
      <c r="AD398" s="56">
        <f t="shared" si="95"/>
        <v>0</v>
      </c>
      <c r="AE398" s="53">
        <v>163.61000000000001</v>
      </c>
      <c r="AF398" s="56">
        <f t="shared" si="96"/>
        <v>163.61000000000001</v>
      </c>
      <c r="AG398" s="54"/>
      <c r="AH398" s="56">
        <f t="shared" si="97"/>
        <v>1649.3</v>
      </c>
    </row>
    <row r="399" spans="1:34" ht="16.5">
      <c r="A399" s="124"/>
      <c r="B399" s="52">
        <v>44400</v>
      </c>
      <c r="C399" s="53">
        <v>2707.26</v>
      </c>
      <c r="D399" s="53"/>
      <c r="E399" s="53"/>
      <c r="F399" s="53"/>
      <c r="G399" s="53"/>
      <c r="H399" s="54"/>
      <c r="I399" s="56">
        <f t="shared" si="92"/>
        <v>2707.26</v>
      </c>
      <c r="J399" s="53">
        <v>67</v>
      </c>
      <c r="K399" s="53">
        <v>1</v>
      </c>
      <c r="L399" s="53">
        <v>223.65</v>
      </c>
      <c r="M399" s="53">
        <v>2139.0700000000002</v>
      </c>
      <c r="N399" s="53">
        <v>11.17</v>
      </c>
      <c r="O399" s="53"/>
      <c r="P399" s="53">
        <v>374.75</v>
      </c>
      <c r="Q399" s="53"/>
      <c r="R399" s="53">
        <v>66.89</v>
      </c>
      <c r="S399" s="53"/>
      <c r="T399" s="53"/>
      <c r="U399" s="53">
        <v>672.5</v>
      </c>
      <c r="V399" s="56">
        <f t="shared" si="93"/>
        <v>3556.03</v>
      </c>
      <c r="W399" s="53">
        <v>527.75</v>
      </c>
      <c r="X399" s="53"/>
      <c r="Y399" s="56">
        <f t="shared" si="94"/>
        <v>527.75</v>
      </c>
      <c r="Z399" s="53"/>
      <c r="AA399" s="53">
        <v>8.7100000000000009</v>
      </c>
      <c r="AB399" s="53"/>
      <c r="AC399" s="53"/>
      <c r="AD399" s="56">
        <f t="shared" si="95"/>
        <v>8.7100000000000009</v>
      </c>
      <c r="AE399" s="53">
        <v>1072.2</v>
      </c>
      <c r="AF399" s="56">
        <f t="shared" si="96"/>
        <v>1072.2</v>
      </c>
      <c r="AG399" s="54"/>
      <c r="AH399" s="56">
        <f t="shared" si="97"/>
        <v>7871.9500000000007</v>
      </c>
    </row>
    <row r="400" spans="1:34" ht="16.5">
      <c r="A400" s="124"/>
      <c r="B400" s="52">
        <v>44403</v>
      </c>
      <c r="C400" s="53">
        <v>757.71</v>
      </c>
      <c r="D400" s="53"/>
      <c r="E400" s="53"/>
      <c r="F400" s="53"/>
      <c r="G400" s="53"/>
      <c r="H400" s="54"/>
      <c r="I400" s="56">
        <f t="shared" si="92"/>
        <v>757.71</v>
      </c>
      <c r="J400" s="53">
        <v>73</v>
      </c>
      <c r="K400" s="53">
        <v>1</v>
      </c>
      <c r="L400" s="70">
        <v>258.38</v>
      </c>
      <c r="M400" s="53">
        <v>512.42999999999995</v>
      </c>
      <c r="N400" s="53">
        <v>15.13</v>
      </c>
      <c r="O400" s="53">
        <v>10</v>
      </c>
      <c r="P400" s="53">
        <v>184.72</v>
      </c>
      <c r="Q400" s="53">
        <v>875.17</v>
      </c>
      <c r="R400" s="53">
        <v>96.11</v>
      </c>
      <c r="S400" s="53"/>
      <c r="T400" s="53">
        <v>10</v>
      </c>
      <c r="U400" s="53">
        <v>186</v>
      </c>
      <c r="V400" s="56">
        <f t="shared" si="93"/>
        <v>2221.94</v>
      </c>
      <c r="W400" s="53">
        <v>846.45</v>
      </c>
      <c r="X400" s="53"/>
      <c r="Y400" s="56">
        <f>SUM(W400:X400)</f>
        <v>846.45</v>
      </c>
      <c r="Z400" s="53"/>
      <c r="AA400" s="53">
        <v>6</v>
      </c>
      <c r="AB400" s="53">
        <v>11.43</v>
      </c>
      <c r="AC400" s="53"/>
      <c r="AD400" s="56">
        <f t="shared" si="95"/>
        <v>17.43</v>
      </c>
      <c r="AE400" s="53">
        <v>895.56</v>
      </c>
      <c r="AF400" s="56">
        <f t="shared" si="96"/>
        <v>895.56</v>
      </c>
      <c r="AG400" s="54"/>
      <c r="AH400" s="56">
        <f t="shared" si="97"/>
        <v>4739.09</v>
      </c>
    </row>
    <row r="401" spans="1:34" ht="16.5">
      <c r="A401" s="124"/>
      <c r="B401" s="52">
        <v>44404</v>
      </c>
      <c r="C401" s="53">
        <v>3861.5</v>
      </c>
      <c r="D401" s="53">
        <v>1020</v>
      </c>
      <c r="E401" s="53"/>
      <c r="F401" s="53"/>
      <c r="G401" s="53">
        <v>3613.96</v>
      </c>
      <c r="H401" s="54"/>
      <c r="I401" s="56">
        <f t="shared" si="92"/>
        <v>8495.4599999999991</v>
      </c>
      <c r="J401" s="53">
        <v>78</v>
      </c>
      <c r="K401" s="53">
        <v>2</v>
      </c>
      <c r="L401" s="53">
        <v>394.42</v>
      </c>
      <c r="M401" s="53">
        <v>5219.41</v>
      </c>
      <c r="N401" s="53">
        <v>3.77</v>
      </c>
      <c r="O401" s="53">
        <v>6</v>
      </c>
      <c r="P401" s="53"/>
      <c r="Q401" s="53">
        <v>119.7</v>
      </c>
      <c r="R401" s="53">
        <v>352.69</v>
      </c>
      <c r="S401" s="53"/>
      <c r="T401" s="53"/>
      <c r="U401" s="53">
        <v>337.88</v>
      </c>
      <c r="V401" s="56">
        <f t="shared" si="93"/>
        <v>6513.87</v>
      </c>
      <c r="W401" s="53">
        <v>410.55</v>
      </c>
      <c r="X401" s="53"/>
      <c r="Y401" s="56">
        <f t="shared" si="94"/>
        <v>410.55</v>
      </c>
      <c r="Z401" s="53"/>
      <c r="AA401" s="53">
        <v>6</v>
      </c>
      <c r="AB401" s="53">
        <v>41.26</v>
      </c>
      <c r="AC401" s="53"/>
      <c r="AD401" s="56">
        <f t="shared" si="95"/>
        <v>47.26</v>
      </c>
      <c r="AE401" s="53">
        <v>13013.42</v>
      </c>
      <c r="AF401" s="56">
        <f t="shared" si="96"/>
        <v>13013.42</v>
      </c>
      <c r="AG401" s="54"/>
      <c r="AH401" s="56">
        <f t="shared" si="97"/>
        <v>28480.559999999998</v>
      </c>
    </row>
    <row r="402" spans="1:34" ht="16.5">
      <c r="A402" s="124"/>
      <c r="B402" s="52">
        <v>44405</v>
      </c>
      <c r="C402" s="53">
        <v>361.28</v>
      </c>
      <c r="D402" s="53"/>
      <c r="E402" s="53"/>
      <c r="F402" s="53"/>
      <c r="G402" s="53">
        <v>24.5</v>
      </c>
      <c r="H402" s="54"/>
      <c r="I402" s="56">
        <f t="shared" si="92"/>
        <v>385.78</v>
      </c>
      <c r="J402" s="53">
        <v>52.5</v>
      </c>
      <c r="K402" s="53"/>
      <c r="L402" s="53">
        <v>193.02</v>
      </c>
      <c r="M402" s="53">
        <v>674.2</v>
      </c>
      <c r="N402" s="53"/>
      <c r="O402" s="53">
        <v>6</v>
      </c>
      <c r="P402" s="53">
        <v>236.76</v>
      </c>
      <c r="Q402" s="53"/>
      <c r="R402" s="53">
        <v>76.55</v>
      </c>
      <c r="S402" s="53">
        <v>765</v>
      </c>
      <c r="T402" s="53">
        <v>12.5</v>
      </c>
      <c r="U402" s="53">
        <v>997.99</v>
      </c>
      <c r="V402" s="56">
        <f t="shared" si="93"/>
        <v>3014.52</v>
      </c>
      <c r="W402" s="53">
        <v>499.95</v>
      </c>
      <c r="X402" s="53"/>
      <c r="Y402" s="56">
        <f t="shared" si="94"/>
        <v>499.95</v>
      </c>
      <c r="Z402" s="53"/>
      <c r="AA402" s="53"/>
      <c r="AB402" s="53"/>
      <c r="AC402" s="53"/>
      <c r="AD402" s="56">
        <f t="shared" si="95"/>
        <v>0</v>
      </c>
      <c r="AE402" s="53">
        <v>887.82</v>
      </c>
      <c r="AF402" s="56">
        <f t="shared" si="96"/>
        <v>887.82</v>
      </c>
      <c r="AG402" s="54"/>
      <c r="AH402" s="56">
        <f t="shared" si="97"/>
        <v>4788.07</v>
      </c>
    </row>
    <row r="403" spans="1:34" ht="16.5">
      <c r="A403" s="124"/>
      <c r="B403" s="52">
        <v>44406</v>
      </c>
      <c r="C403" s="53">
        <v>17.7</v>
      </c>
      <c r="D403" s="53"/>
      <c r="E403" s="53"/>
      <c r="F403" s="53"/>
      <c r="G403" s="53"/>
      <c r="H403" s="54"/>
      <c r="I403" s="56">
        <f t="shared" si="92"/>
        <v>17.7</v>
      </c>
      <c r="J403" s="53">
        <v>65</v>
      </c>
      <c r="K403" s="53">
        <v>2</v>
      </c>
      <c r="L403" s="53">
        <v>206.75</v>
      </c>
      <c r="M403" s="53">
        <v>1637.02</v>
      </c>
      <c r="N403" s="53">
        <v>4.53</v>
      </c>
      <c r="O403" s="53"/>
      <c r="P403" s="53">
        <v>271.85000000000002</v>
      </c>
      <c r="Q403" s="53">
        <v>346.32</v>
      </c>
      <c r="R403" s="53">
        <v>47.95</v>
      </c>
      <c r="S403" s="53"/>
      <c r="T403" s="53"/>
      <c r="U403" s="53">
        <v>1387.16</v>
      </c>
      <c r="V403" s="56">
        <f t="shared" si="93"/>
        <v>3968.5800000000004</v>
      </c>
      <c r="W403" s="53">
        <v>609.75</v>
      </c>
      <c r="X403" s="53"/>
      <c r="Y403" s="56">
        <f t="shared" si="94"/>
        <v>609.75</v>
      </c>
      <c r="Z403" s="53"/>
      <c r="AA403" s="53"/>
      <c r="AB403" s="53"/>
      <c r="AC403" s="53"/>
      <c r="AD403" s="56">
        <f t="shared" si="95"/>
        <v>0</v>
      </c>
      <c r="AE403" s="53">
        <v>1486.59</v>
      </c>
      <c r="AF403" s="56">
        <f t="shared" si="96"/>
        <v>1486.59</v>
      </c>
      <c r="AG403" s="54"/>
      <c r="AH403" s="56">
        <f t="shared" si="97"/>
        <v>6082.62</v>
      </c>
    </row>
    <row r="404" spans="1:34" ht="16.5">
      <c r="A404" s="124"/>
      <c r="B404" s="52">
        <v>44407</v>
      </c>
      <c r="C404" s="53">
        <v>1739.72</v>
      </c>
      <c r="D404" s="53"/>
      <c r="E404" s="53"/>
      <c r="F404" s="53"/>
      <c r="G404" s="53"/>
      <c r="H404" s="54"/>
      <c r="I404" s="56">
        <f t="shared" si="92"/>
        <v>1739.72</v>
      </c>
      <c r="J404" s="53">
        <v>101</v>
      </c>
      <c r="K404" s="53">
        <v>1</v>
      </c>
      <c r="L404" s="53">
        <v>323.14</v>
      </c>
      <c r="M404" s="53">
        <v>1640.93</v>
      </c>
      <c r="N404" s="53">
        <v>2.42</v>
      </c>
      <c r="O404" s="53">
        <v>26</v>
      </c>
      <c r="P404" s="53">
        <v>287.14</v>
      </c>
      <c r="Q404" s="53">
        <v>160.6</v>
      </c>
      <c r="R404" s="53">
        <v>78.88</v>
      </c>
      <c r="S404" s="53"/>
      <c r="T404" s="53"/>
      <c r="U404" s="53">
        <v>304.14999999999998</v>
      </c>
      <c r="V404" s="56">
        <f t="shared" si="93"/>
        <v>2925.2599999999998</v>
      </c>
      <c r="W404" s="53">
        <v>566.29999999999995</v>
      </c>
      <c r="X404" s="53"/>
      <c r="Y404" s="56">
        <f t="shared" si="94"/>
        <v>566.29999999999995</v>
      </c>
      <c r="Z404" s="53"/>
      <c r="AA404" s="53"/>
      <c r="AB404" s="53"/>
      <c r="AC404" s="53"/>
      <c r="AD404" s="56">
        <f t="shared" si="95"/>
        <v>0</v>
      </c>
      <c r="AE404" s="53">
        <v>949.68</v>
      </c>
      <c r="AF404" s="56">
        <f t="shared" si="96"/>
        <v>949.68</v>
      </c>
      <c r="AG404" s="54"/>
      <c r="AH404" s="56">
        <f t="shared" si="97"/>
        <v>6180.96</v>
      </c>
    </row>
    <row r="405" spans="1:34" ht="16.5">
      <c r="A405" s="124"/>
      <c r="B405" s="49"/>
      <c r="C405" s="54"/>
      <c r="D405" s="54"/>
      <c r="E405" s="54"/>
      <c r="F405" s="54"/>
      <c r="G405" s="54"/>
      <c r="H405" s="54"/>
      <c r="I405" s="56">
        <f t="shared" si="92"/>
        <v>0</v>
      </c>
      <c r="J405" s="54"/>
      <c r="K405" s="54"/>
      <c r="L405" s="54"/>
      <c r="M405" s="54"/>
      <c r="N405" s="54"/>
      <c r="O405" s="54"/>
      <c r="P405" s="54"/>
      <c r="Q405" s="54"/>
      <c r="R405" s="54"/>
      <c r="S405" s="54"/>
      <c r="T405" s="54"/>
      <c r="U405" s="54"/>
      <c r="V405" s="56">
        <f t="shared" si="93"/>
        <v>0</v>
      </c>
      <c r="W405" s="54"/>
      <c r="X405" s="54"/>
      <c r="Y405" s="56">
        <f t="shared" si="94"/>
        <v>0</v>
      </c>
      <c r="Z405" s="54"/>
      <c r="AA405" s="54"/>
      <c r="AB405" s="54"/>
      <c r="AC405" s="54"/>
      <c r="AD405" s="56">
        <f t="shared" si="95"/>
        <v>0</v>
      </c>
      <c r="AE405" s="54"/>
      <c r="AF405" s="56">
        <f t="shared" si="96"/>
        <v>0</v>
      </c>
      <c r="AG405" s="56"/>
      <c r="AH405" s="56">
        <f t="shared" si="97"/>
        <v>0</v>
      </c>
    </row>
    <row r="406" spans="1:34" ht="16.5">
      <c r="A406" s="124"/>
      <c r="B406" s="49"/>
      <c r="C406" s="54"/>
      <c r="D406" s="54"/>
      <c r="E406" s="54"/>
      <c r="F406" s="54"/>
      <c r="G406" s="54"/>
      <c r="H406" s="54"/>
      <c r="I406" s="56">
        <f t="shared" si="92"/>
        <v>0</v>
      </c>
      <c r="J406" s="54"/>
      <c r="K406" s="54"/>
      <c r="L406" s="54"/>
      <c r="M406" s="54"/>
      <c r="N406" s="54"/>
      <c r="O406" s="54"/>
      <c r="P406" s="54"/>
      <c r="Q406" s="54"/>
      <c r="R406" s="54"/>
      <c r="S406" s="54"/>
      <c r="T406" s="54"/>
      <c r="U406" s="54"/>
      <c r="V406" s="56">
        <f t="shared" si="93"/>
        <v>0</v>
      </c>
      <c r="W406" s="54"/>
      <c r="X406" s="54"/>
      <c r="Y406" s="54">
        <f t="shared" si="94"/>
        <v>0</v>
      </c>
      <c r="Z406" s="54"/>
      <c r="AA406" s="54"/>
      <c r="AB406" s="54"/>
      <c r="AC406" s="54"/>
      <c r="AD406" s="54">
        <f t="shared" si="95"/>
        <v>0</v>
      </c>
      <c r="AE406" s="54"/>
      <c r="AF406" s="56">
        <f t="shared" si="96"/>
        <v>0</v>
      </c>
      <c r="AG406" s="56"/>
      <c r="AH406" s="56">
        <f t="shared" si="97"/>
        <v>0</v>
      </c>
    </row>
    <row r="407" spans="1:34" ht="16.5">
      <c r="A407" s="124"/>
      <c r="B407" s="60"/>
      <c r="C407" s="54"/>
      <c r="D407" s="54"/>
      <c r="E407" s="54"/>
      <c r="F407" s="54"/>
      <c r="G407" s="54"/>
      <c r="H407" s="54"/>
      <c r="I407" s="56"/>
      <c r="J407" s="54"/>
      <c r="K407" s="54"/>
      <c r="L407" s="54"/>
      <c r="M407" s="54"/>
      <c r="N407" s="54"/>
      <c r="O407" s="54"/>
      <c r="P407" s="54"/>
      <c r="Q407" s="54"/>
      <c r="R407" s="54"/>
      <c r="S407" s="54"/>
      <c r="T407" s="54"/>
      <c r="U407" s="54"/>
      <c r="V407" s="56"/>
      <c r="W407" s="54"/>
      <c r="X407" s="54"/>
      <c r="Y407" s="56"/>
      <c r="Z407" s="54"/>
      <c r="AA407" s="54"/>
      <c r="AB407" s="54"/>
      <c r="AC407" s="54"/>
      <c r="AD407" s="56"/>
      <c r="AE407" s="54"/>
      <c r="AF407" s="56"/>
      <c r="AG407" s="54"/>
      <c r="AH407" s="59"/>
    </row>
    <row r="408" spans="1:34" ht="16.5">
      <c r="A408" s="124"/>
      <c r="B408" s="60"/>
      <c r="C408" s="54">
        <f t="shared" ref="C408:AF408" si="98">SUM(C383:C407)</f>
        <v>33052.179999999993</v>
      </c>
      <c r="D408" s="54">
        <f t="shared" si="98"/>
        <v>2453.7600000000002</v>
      </c>
      <c r="E408" s="54">
        <f t="shared" si="98"/>
        <v>13.719999999999999</v>
      </c>
      <c r="F408" s="54">
        <f t="shared" si="98"/>
        <v>478.5</v>
      </c>
      <c r="G408" s="54">
        <f t="shared" si="98"/>
        <v>5776.48</v>
      </c>
      <c r="H408" s="54">
        <f t="shared" si="98"/>
        <v>210</v>
      </c>
      <c r="I408" s="56">
        <f t="shared" si="92"/>
        <v>41984.639999999999</v>
      </c>
      <c r="J408" s="54">
        <f t="shared" ref="J408:U408" si="99">SUM(J383:J407)</f>
        <v>1368.5</v>
      </c>
      <c r="K408" s="54">
        <f t="shared" si="99"/>
        <v>12</v>
      </c>
      <c r="L408" s="54">
        <f t="shared" si="99"/>
        <v>3935.0600000000004</v>
      </c>
      <c r="M408" s="54">
        <f t="shared" si="99"/>
        <v>27683.040000000005</v>
      </c>
      <c r="N408" s="54">
        <f t="shared" si="99"/>
        <v>303.57</v>
      </c>
      <c r="O408" s="54">
        <f t="shared" si="99"/>
        <v>174</v>
      </c>
      <c r="P408" s="54">
        <f t="shared" si="99"/>
        <v>7778.7200000000012</v>
      </c>
      <c r="Q408" s="54">
        <f t="shared" si="99"/>
        <v>4153.63</v>
      </c>
      <c r="R408" s="54">
        <f t="shared" si="99"/>
        <v>2093.04</v>
      </c>
      <c r="S408" s="54">
        <f t="shared" si="99"/>
        <v>28227</v>
      </c>
      <c r="T408" s="54">
        <f t="shared" si="99"/>
        <v>167.5</v>
      </c>
      <c r="U408" s="54">
        <f t="shared" si="99"/>
        <v>12149.289999999999</v>
      </c>
      <c r="V408" s="56">
        <f t="shared" si="93"/>
        <v>88045.35</v>
      </c>
      <c r="W408" s="54">
        <f t="shared" si="98"/>
        <v>8188.2500000000009</v>
      </c>
      <c r="X408" s="54">
        <f t="shared" si="98"/>
        <v>0</v>
      </c>
      <c r="Y408" s="56">
        <f t="shared" si="98"/>
        <v>8188.2500000000009</v>
      </c>
      <c r="Z408" s="54">
        <f t="shared" si="98"/>
        <v>1975.1</v>
      </c>
      <c r="AA408" s="54">
        <f t="shared" si="98"/>
        <v>43.84</v>
      </c>
      <c r="AB408" s="54">
        <f t="shared" si="98"/>
        <v>886.79</v>
      </c>
      <c r="AC408" s="54">
        <f t="shared" si="98"/>
        <v>0</v>
      </c>
      <c r="AD408" s="56">
        <f t="shared" si="98"/>
        <v>2905.73</v>
      </c>
      <c r="AE408" s="54">
        <f t="shared" si="98"/>
        <v>54764.439999999988</v>
      </c>
      <c r="AF408" s="56">
        <f t="shared" si="98"/>
        <v>54764.439999999988</v>
      </c>
      <c r="AG408" s="54"/>
      <c r="AH408" s="71">
        <f>SUM(AH383:AH407)</f>
        <v>195888.40999999997</v>
      </c>
    </row>
    <row r="409" spans="1:34" ht="16.5">
      <c r="A409" s="124"/>
      <c r="B409" s="118"/>
      <c r="C409" s="118"/>
      <c r="D409" s="118"/>
      <c r="E409" s="118"/>
      <c r="F409" s="118"/>
      <c r="G409" s="118"/>
      <c r="H409" s="118"/>
      <c r="I409" s="118"/>
      <c r="J409" s="118"/>
      <c r="K409" s="118"/>
      <c r="L409" s="118"/>
      <c r="M409" s="118"/>
      <c r="N409" s="118"/>
      <c r="O409" s="118"/>
      <c r="P409" s="118"/>
      <c r="Q409" s="118"/>
      <c r="R409" s="118"/>
      <c r="S409" s="118"/>
      <c r="T409" s="118"/>
      <c r="U409" s="118"/>
      <c r="V409" s="118"/>
      <c r="W409" s="118"/>
      <c r="X409" s="118"/>
      <c r="Y409" s="118"/>
      <c r="Z409" s="118"/>
      <c r="AA409" s="118"/>
      <c r="AB409" s="118"/>
      <c r="AC409" s="118"/>
      <c r="AD409" s="118"/>
      <c r="AE409" s="118"/>
      <c r="AF409" s="47" t="s">
        <v>175</v>
      </c>
      <c r="AH409" s="120">
        <f ca="1">SUM(AH408:AH410)</f>
        <v>195888.40999999997</v>
      </c>
    </row>
    <row r="410" spans="1:34" ht="16.5">
      <c r="A410" s="124"/>
      <c r="B410" s="118"/>
      <c r="C410" s="118"/>
      <c r="D410" s="118"/>
      <c r="E410" s="118"/>
      <c r="F410" s="118"/>
      <c r="G410" s="118"/>
      <c r="H410" s="118"/>
      <c r="I410" s="118"/>
      <c r="J410" s="118"/>
      <c r="K410" s="118"/>
      <c r="L410" s="118"/>
      <c r="M410" s="118"/>
      <c r="N410" s="118"/>
      <c r="O410" s="118"/>
      <c r="P410" s="118"/>
      <c r="Q410" s="118"/>
      <c r="R410" s="118"/>
      <c r="S410" s="118"/>
      <c r="T410" s="118"/>
      <c r="U410" s="118"/>
      <c r="V410" s="118"/>
      <c r="W410" s="118"/>
      <c r="X410" s="118"/>
      <c r="Y410" s="118"/>
      <c r="Z410" s="118"/>
      <c r="AA410" s="118"/>
      <c r="AB410" s="118"/>
      <c r="AC410" s="118"/>
      <c r="AD410" s="118"/>
      <c r="AE410" s="118"/>
      <c r="AF410" s="63" t="s">
        <v>139</v>
      </c>
      <c r="AG410" s="63"/>
      <c r="AH410" s="120"/>
    </row>
    <row r="411" spans="1:34" ht="16.5">
      <c r="A411" s="124"/>
      <c r="B411" s="118"/>
      <c r="C411" s="118"/>
      <c r="D411" s="118"/>
      <c r="E411" s="118"/>
      <c r="F411" s="118"/>
      <c r="G411" s="118"/>
      <c r="H411" s="118"/>
      <c r="I411" s="118"/>
      <c r="J411" s="118"/>
      <c r="K411" s="118"/>
      <c r="L411" s="118"/>
      <c r="M411" s="118"/>
      <c r="N411" s="118"/>
      <c r="O411" s="118"/>
      <c r="P411" s="118"/>
      <c r="Q411" s="118"/>
      <c r="R411" s="118"/>
      <c r="S411" s="118"/>
      <c r="T411" s="118"/>
      <c r="U411" s="118"/>
      <c r="V411" s="118"/>
      <c r="W411" s="118"/>
      <c r="X411" s="118"/>
      <c r="Y411" s="118"/>
      <c r="Z411" s="118"/>
      <c r="AA411" s="118"/>
      <c r="AB411" s="118"/>
      <c r="AC411" s="118"/>
      <c r="AD411" s="118"/>
      <c r="AE411" s="118"/>
      <c r="AF411" s="63"/>
      <c r="AG411" s="63"/>
      <c r="AH411" s="120"/>
    </row>
    <row r="412" spans="1:34" ht="16.5" customHeight="1">
      <c r="A412" s="124"/>
      <c r="B412" s="119"/>
      <c r="C412" s="119"/>
      <c r="D412" s="119"/>
      <c r="E412" s="119"/>
      <c r="F412" s="119"/>
      <c r="G412" s="119"/>
      <c r="H412" s="119"/>
      <c r="I412" s="119"/>
      <c r="J412" s="119"/>
      <c r="K412" s="119"/>
      <c r="L412" s="119"/>
      <c r="M412" s="119"/>
      <c r="N412" s="119"/>
      <c r="O412" s="119"/>
      <c r="P412" s="119"/>
      <c r="Q412" s="119"/>
      <c r="R412" s="119"/>
      <c r="S412" s="119"/>
      <c r="T412" s="119"/>
      <c r="U412" s="119"/>
      <c r="V412" s="119"/>
      <c r="W412" s="119"/>
      <c r="X412" s="119"/>
      <c r="Y412" s="119"/>
      <c r="Z412" s="119"/>
      <c r="AA412" s="119"/>
      <c r="AB412" s="119"/>
      <c r="AC412" s="119"/>
      <c r="AD412" s="119"/>
      <c r="AE412" s="119"/>
      <c r="AF412" s="64" t="s">
        <v>185</v>
      </c>
      <c r="AG412" s="65"/>
      <c r="AH412" s="121"/>
    </row>
    <row r="413" spans="1:34" ht="22.5">
      <c r="A413" s="124"/>
      <c r="B413" s="93"/>
      <c r="C413" s="94"/>
      <c r="D413" s="94"/>
      <c r="E413" s="127" t="s">
        <v>140</v>
      </c>
      <c r="F413" s="127"/>
      <c r="G413" s="127"/>
      <c r="H413" s="127"/>
      <c r="I413" s="127"/>
      <c r="J413" s="127"/>
      <c r="K413" s="127"/>
      <c r="L413" s="127"/>
      <c r="M413" s="94"/>
      <c r="N413" s="94"/>
      <c r="O413" s="94"/>
      <c r="P413" s="94"/>
      <c r="Q413" s="94"/>
      <c r="R413" s="94"/>
      <c r="S413" s="94"/>
      <c r="T413" s="94"/>
      <c r="U413" s="94"/>
      <c r="V413" s="95"/>
      <c r="W413" s="94"/>
      <c r="X413" s="94"/>
      <c r="Y413" s="95"/>
      <c r="Z413" s="94"/>
      <c r="AA413" s="94"/>
      <c r="AB413" s="94"/>
      <c r="AC413" s="94"/>
      <c r="AD413" s="95"/>
      <c r="AE413" s="94"/>
      <c r="AF413" s="95"/>
      <c r="AG413" s="94"/>
      <c r="AH413" s="95"/>
    </row>
    <row r="414" spans="1:34" ht="22.5">
      <c r="A414" s="124"/>
      <c r="B414" s="86"/>
      <c r="C414" s="87"/>
      <c r="D414" s="87"/>
      <c r="E414" s="140" t="s">
        <v>190</v>
      </c>
      <c r="F414" s="140"/>
      <c r="G414" s="140"/>
      <c r="H414" s="140"/>
      <c r="I414" s="140"/>
      <c r="J414" s="140"/>
      <c r="K414" s="140"/>
      <c r="L414" s="140"/>
      <c r="M414" s="83"/>
      <c r="N414" s="87"/>
      <c r="O414" s="87"/>
      <c r="P414" s="87"/>
      <c r="Q414" s="87"/>
      <c r="R414" s="87"/>
      <c r="S414" s="87"/>
      <c r="T414" s="87"/>
      <c r="U414" s="87"/>
      <c r="V414" s="84"/>
      <c r="W414" s="87"/>
      <c r="X414" s="87"/>
      <c r="Y414" s="84"/>
      <c r="Z414" s="87"/>
      <c r="AA414" s="87"/>
      <c r="AB414" s="87"/>
      <c r="AC414" s="87"/>
      <c r="AD414" s="84"/>
      <c r="AE414" s="87"/>
      <c r="AF414" s="92"/>
      <c r="AG414" s="85"/>
      <c r="AH414" s="89"/>
    </row>
    <row r="415" spans="1:34" ht="16.5">
      <c r="A415" s="124"/>
      <c r="B415" s="80"/>
      <c r="C415" s="77"/>
      <c r="D415" s="77"/>
      <c r="E415" s="77"/>
      <c r="F415" s="77"/>
      <c r="G415" s="77"/>
      <c r="H415" s="75"/>
      <c r="I415" s="77"/>
      <c r="J415" s="77"/>
      <c r="K415" s="77"/>
      <c r="L415" s="77"/>
      <c r="M415" s="77"/>
      <c r="N415" s="77"/>
      <c r="O415" s="77"/>
      <c r="P415" s="77"/>
      <c r="Q415" s="77"/>
      <c r="R415" s="77"/>
      <c r="S415" s="77"/>
      <c r="T415" s="77"/>
      <c r="U415" s="77"/>
      <c r="V415" s="75"/>
      <c r="W415" s="77"/>
      <c r="X415" s="77"/>
      <c r="Y415" s="75"/>
      <c r="Z415" s="77"/>
      <c r="AA415" s="77"/>
      <c r="AB415" s="77"/>
      <c r="AC415" s="77"/>
      <c r="AD415" s="75"/>
      <c r="AE415" s="77"/>
      <c r="AF415" s="75"/>
      <c r="AG415" s="76"/>
      <c r="AH415" s="75"/>
    </row>
    <row r="416" spans="1:34" ht="16.5">
      <c r="A416" s="124"/>
      <c r="B416" s="73"/>
      <c r="C416" s="105">
        <v>11801</v>
      </c>
      <c r="D416" s="105">
        <v>11803</v>
      </c>
      <c r="E416" s="105">
        <v>11818</v>
      </c>
      <c r="F416" s="105">
        <v>11802</v>
      </c>
      <c r="G416" s="105">
        <v>11804</v>
      </c>
      <c r="H416" s="105">
        <v>21310001</v>
      </c>
      <c r="I416" s="105">
        <v>12105</v>
      </c>
      <c r="J416" s="105">
        <v>12106</v>
      </c>
      <c r="K416" s="105">
        <v>12108</v>
      </c>
      <c r="L416" s="105">
        <v>12109</v>
      </c>
      <c r="M416" s="105">
        <v>12199</v>
      </c>
      <c r="N416" s="105">
        <v>12111</v>
      </c>
      <c r="O416" s="105">
        <v>12114</v>
      </c>
      <c r="P416" s="105">
        <v>12115</v>
      </c>
      <c r="Q416" s="105">
        <v>12117</v>
      </c>
      <c r="R416" s="105">
        <v>12118</v>
      </c>
      <c r="S416" s="105">
        <v>12119</v>
      </c>
      <c r="T416" s="105">
        <v>12210</v>
      </c>
      <c r="U416" s="105"/>
      <c r="V416" s="105">
        <v>21312001</v>
      </c>
      <c r="W416" s="105">
        <v>14201</v>
      </c>
      <c r="X416" s="105"/>
      <c r="Y416" s="105">
        <v>21314001</v>
      </c>
      <c r="Z416" s="105">
        <v>15302</v>
      </c>
      <c r="AA416" s="105">
        <v>15312</v>
      </c>
      <c r="AB416" s="105">
        <v>15314</v>
      </c>
      <c r="AC416" s="105"/>
      <c r="AD416" s="105">
        <v>21315001</v>
      </c>
      <c r="AE416" s="105">
        <v>32299</v>
      </c>
      <c r="AF416" s="78"/>
      <c r="AG416" s="78"/>
      <c r="AH416" s="78"/>
    </row>
    <row r="417" spans="1:34" ht="83.25" customHeight="1">
      <c r="A417" s="124"/>
      <c r="B417" s="106" t="s">
        <v>191</v>
      </c>
      <c r="C417" s="107" t="s">
        <v>143</v>
      </c>
      <c r="D417" s="107" t="s">
        <v>144</v>
      </c>
      <c r="E417" s="107" t="s">
        <v>145</v>
      </c>
      <c r="F417" s="107" t="s">
        <v>146</v>
      </c>
      <c r="G417" s="107" t="s">
        <v>147</v>
      </c>
      <c r="H417" s="107" t="s">
        <v>149</v>
      </c>
      <c r="I417" s="107" t="s">
        <v>150</v>
      </c>
      <c r="J417" s="107" t="s">
        <v>151</v>
      </c>
      <c r="K417" s="107" t="s">
        <v>152</v>
      </c>
      <c r="L417" s="107" t="s">
        <v>153</v>
      </c>
      <c r="M417" s="107" t="s">
        <v>154</v>
      </c>
      <c r="N417" s="107" t="s">
        <v>155</v>
      </c>
      <c r="O417" s="107" t="s">
        <v>156</v>
      </c>
      <c r="P417" s="107" t="s">
        <v>157</v>
      </c>
      <c r="Q417" s="107" t="s">
        <v>158</v>
      </c>
      <c r="R417" s="107" t="s">
        <v>159</v>
      </c>
      <c r="S417" s="107" t="s">
        <v>160</v>
      </c>
      <c r="T417" s="107" t="s">
        <v>161</v>
      </c>
      <c r="U417" s="107" t="s">
        <v>162</v>
      </c>
      <c r="V417" s="107" t="s">
        <v>163</v>
      </c>
      <c r="W417" s="107" t="s">
        <v>164</v>
      </c>
      <c r="X417" s="107" t="s">
        <v>165</v>
      </c>
      <c r="Y417" s="107" t="s">
        <v>166</v>
      </c>
      <c r="Z417" s="107" t="s">
        <v>167</v>
      </c>
      <c r="AA417" s="107" t="s">
        <v>168</v>
      </c>
      <c r="AB417" s="107" t="s">
        <v>169</v>
      </c>
      <c r="AC417" s="107" t="s">
        <v>170</v>
      </c>
      <c r="AD417" s="107" t="s">
        <v>171</v>
      </c>
      <c r="AE417" s="107" t="s">
        <v>172</v>
      </c>
      <c r="AF417" s="107" t="s">
        <v>173</v>
      </c>
      <c r="AG417" s="108"/>
      <c r="AH417" s="107" t="s">
        <v>174</v>
      </c>
    </row>
    <row r="418" spans="1:34" ht="16.5">
      <c r="A418" s="124"/>
      <c r="B418" s="45"/>
      <c r="C418" s="46"/>
      <c r="D418" s="46"/>
      <c r="E418" s="46"/>
      <c r="F418" s="46"/>
      <c r="G418" s="46"/>
      <c r="H418" s="47"/>
      <c r="I418" s="46"/>
      <c r="J418" s="46"/>
      <c r="K418" s="46"/>
      <c r="L418" s="46"/>
      <c r="M418" s="46"/>
      <c r="N418" s="46"/>
      <c r="O418" s="46"/>
      <c r="P418" s="46"/>
      <c r="Q418" s="46"/>
      <c r="R418" s="46"/>
      <c r="S418" s="46"/>
      <c r="T418" s="46"/>
      <c r="U418" s="46"/>
      <c r="V418" s="47"/>
      <c r="W418" s="46"/>
      <c r="X418" s="46"/>
      <c r="Y418" s="47"/>
      <c r="Z418" s="46"/>
      <c r="AA418" s="46"/>
      <c r="AB418" s="46"/>
      <c r="AC418" s="46"/>
      <c r="AD418" s="47"/>
      <c r="AE418" s="46"/>
      <c r="AF418" s="47"/>
      <c r="AH418" s="47"/>
    </row>
    <row r="419" spans="1:34" ht="16.5">
      <c r="A419" s="124"/>
      <c r="B419" s="52">
        <v>44417</v>
      </c>
      <c r="C419" s="53">
        <v>2100.8000000000002</v>
      </c>
      <c r="D419" s="53"/>
      <c r="E419" s="53"/>
      <c r="F419" s="53"/>
      <c r="G419" s="53"/>
      <c r="H419" s="56">
        <f t="shared" ref="H419:H439" si="100">SUM(C419:G419)</f>
        <v>2100.8000000000002</v>
      </c>
      <c r="I419" s="53">
        <v>242.5</v>
      </c>
      <c r="J419" s="53"/>
      <c r="K419" s="53">
        <v>239.31</v>
      </c>
      <c r="L419" s="53">
        <v>1068.99</v>
      </c>
      <c r="M419" s="53">
        <v>17.27</v>
      </c>
      <c r="N419" s="53">
        <v>6</v>
      </c>
      <c r="O419" s="53">
        <v>487.03</v>
      </c>
      <c r="P419" s="53">
        <v>712.54</v>
      </c>
      <c r="Q419" s="53">
        <v>152.94999999999999</v>
      </c>
      <c r="R419" s="53"/>
      <c r="S419" s="53"/>
      <c r="T419" s="53">
        <v>364</v>
      </c>
      <c r="U419" s="53"/>
      <c r="V419" s="56">
        <f>SUM(I419:U419)</f>
        <v>3290.5899999999997</v>
      </c>
      <c r="W419" s="53">
        <v>522.02</v>
      </c>
      <c r="X419" s="53"/>
      <c r="Y419" s="56">
        <f t="shared" ref="Y419:Y439" si="101">SUM(W419:X419)</f>
        <v>522.02</v>
      </c>
      <c r="Z419" s="53"/>
      <c r="AA419" s="53"/>
      <c r="AB419" s="53">
        <v>51.3</v>
      </c>
      <c r="AC419" s="53"/>
      <c r="AD419" s="56">
        <f t="shared" ref="AD419:AD439" si="102">SUM(Z419:AC419)</f>
        <v>51.3</v>
      </c>
      <c r="AE419" s="53">
        <v>4949.87</v>
      </c>
      <c r="AF419" s="56">
        <f t="shared" ref="AF419:AF439" si="103">SUM(AE419)</f>
        <v>4949.87</v>
      </c>
      <c r="AG419" s="54"/>
      <c r="AH419" s="56">
        <f t="shared" ref="AH419:AH428" si="104">AF419+AD419+Y419+V419+H419</f>
        <v>10914.580000000002</v>
      </c>
    </row>
    <row r="420" spans="1:34" ht="16.5">
      <c r="A420" s="124"/>
      <c r="B420" s="52">
        <v>44418</v>
      </c>
      <c r="C420" s="53">
        <v>357</v>
      </c>
      <c r="D420" s="53"/>
      <c r="E420" s="53"/>
      <c r="F420" s="53"/>
      <c r="G420" s="53">
        <v>28</v>
      </c>
      <c r="H420" s="56">
        <f t="shared" si="100"/>
        <v>385</v>
      </c>
      <c r="I420" s="53">
        <v>53.5</v>
      </c>
      <c r="J420" s="53"/>
      <c r="K420" s="53">
        <v>187.15</v>
      </c>
      <c r="L420" s="53">
        <v>588.32000000000005</v>
      </c>
      <c r="M420" s="53">
        <v>4.87</v>
      </c>
      <c r="N420" s="53"/>
      <c r="O420" s="53">
        <v>694.88</v>
      </c>
      <c r="P420" s="53">
        <v>621.38</v>
      </c>
      <c r="Q420" s="53">
        <v>79.64</v>
      </c>
      <c r="R420" s="53"/>
      <c r="S420" s="53"/>
      <c r="T420" s="53">
        <v>12094.61</v>
      </c>
      <c r="U420" s="53"/>
      <c r="V420" s="56">
        <f t="shared" ref="V420:V429" si="105">SUM(I420:U420)</f>
        <v>14324.35</v>
      </c>
      <c r="W420" s="53">
        <v>413</v>
      </c>
      <c r="X420" s="53"/>
      <c r="Y420" s="56">
        <f t="shared" si="101"/>
        <v>413</v>
      </c>
      <c r="Z420" s="53"/>
      <c r="AA420" s="53"/>
      <c r="AB420" s="53"/>
      <c r="AC420" s="53"/>
      <c r="AD420" s="56">
        <f t="shared" si="102"/>
        <v>0</v>
      </c>
      <c r="AE420" s="53">
        <v>90.56</v>
      </c>
      <c r="AF420" s="56">
        <f t="shared" si="103"/>
        <v>90.56</v>
      </c>
      <c r="AG420" s="54"/>
      <c r="AH420" s="56">
        <f t="shared" si="104"/>
        <v>15212.91</v>
      </c>
    </row>
    <row r="421" spans="1:34" ht="16.5">
      <c r="A421" s="124"/>
      <c r="B421" s="52">
        <v>44419</v>
      </c>
      <c r="C421" s="53">
        <v>22.65</v>
      </c>
      <c r="D421" s="53"/>
      <c r="E421" s="53"/>
      <c r="F421" s="53"/>
      <c r="G421" s="53">
        <v>252</v>
      </c>
      <c r="H421" s="56">
        <f t="shared" si="100"/>
        <v>274.64999999999998</v>
      </c>
      <c r="I421" s="53">
        <v>67.5</v>
      </c>
      <c r="J421" s="53">
        <v>3</v>
      </c>
      <c r="K421" s="53">
        <v>204.06</v>
      </c>
      <c r="L421" s="53">
        <v>711.21</v>
      </c>
      <c r="M421" s="53">
        <v>25.98</v>
      </c>
      <c r="N421" s="53"/>
      <c r="O421" s="53">
        <v>124.93</v>
      </c>
      <c r="P421" s="53">
        <v>576.96</v>
      </c>
      <c r="Q421" s="53">
        <v>125.63</v>
      </c>
      <c r="R421" s="53"/>
      <c r="S421" s="53">
        <v>7.5</v>
      </c>
      <c r="T421" s="53">
        <v>394.5</v>
      </c>
      <c r="U421" s="53"/>
      <c r="V421" s="56">
        <f t="shared" si="105"/>
        <v>2241.27</v>
      </c>
      <c r="W421" s="53">
        <v>194.4</v>
      </c>
      <c r="X421" s="53"/>
      <c r="Y421" s="56">
        <f t="shared" si="101"/>
        <v>194.4</v>
      </c>
      <c r="Z421" s="53"/>
      <c r="AA421" s="53"/>
      <c r="AB421" s="53"/>
      <c r="AC421" s="53"/>
      <c r="AD421" s="56">
        <f t="shared" si="102"/>
        <v>0</v>
      </c>
      <c r="AE421" s="53">
        <v>500.06</v>
      </c>
      <c r="AF421" s="56">
        <f t="shared" si="103"/>
        <v>500.06</v>
      </c>
      <c r="AG421" s="54"/>
      <c r="AH421" s="56">
        <f t="shared" si="104"/>
        <v>3210.38</v>
      </c>
    </row>
    <row r="422" spans="1:34" ht="16.5">
      <c r="A422" s="124"/>
      <c r="B422" s="52">
        <v>44420</v>
      </c>
      <c r="C422" s="53">
        <v>748.6</v>
      </c>
      <c r="D422" s="53"/>
      <c r="E422" s="53"/>
      <c r="F422" s="53"/>
      <c r="G422" s="53"/>
      <c r="H422" s="56">
        <f t="shared" si="100"/>
        <v>748.6</v>
      </c>
      <c r="I422" s="53">
        <v>45</v>
      </c>
      <c r="J422" s="53">
        <v>1</v>
      </c>
      <c r="K422" s="53">
        <v>233.31</v>
      </c>
      <c r="L422" s="53">
        <v>218.8</v>
      </c>
      <c r="M422" s="53">
        <v>1.4</v>
      </c>
      <c r="N422" s="53">
        <v>6</v>
      </c>
      <c r="O422" s="53">
        <v>142.59</v>
      </c>
      <c r="P422" s="53">
        <v>141.31</v>
      </c>
      <c r="Q422" s="53">
        <v>205.63</v>
      </c>
      <c r="R422" s="53"/>
      <c r="S422" s="53">
        <v>2.5</v>
      </c>
      <c r="T422" s="53">
        <v>1113.55</v>
      </c>
      <c r="U422" s="53"/>
      <c r="V422" s="56">
        <f t="shared" si="105"/>
        <v>2111.09</v>
      </c>
      <c r="W422" s="53">
        <v>159.15</v>
      </c>
      <c r="X422" s="53"/>
      <c r="Y422" s="56">
        <f t="shared" si="101"/>
        <v>159.15</v>
      </c>
      <c r="Z422" s="53"/>
      <c r="AA422" s="53"/>
      <c r="AB422" s="53"/>
      <c r="AC422" s="53"/>
      <c r="AD422" s="56">
        <f t="shared" si="102"/>
        <v>0</v>
      </c>
      <c r="AE422" s="53">
        <v>123.95</v>
      </c>
      <c r="AF422" s="56">
        <f t="shared" si="103"/>
        <v>123.95</v>
      </c>
      <c r="AG422" s="54"/>
      <c r="AH422" s="56">
        <f t="shared" si="104"/>
        <v>3142.79</v>
      </c>
    </row>
    <row r="423" spans="1:34" ht="16.5">
      <c r="A423" s="124"/>
      <c r="B423" s="52">
        <v>44421</v>
      </c>
      <c r="C423" s="53">
        <v>235</v>
      </c>
      <c r="D423" s="53"/>
      <c r="E423" s="53"/>
      <c r="F423" s="53"/>
      <c r="G423" s="53">
        <v>3.5</v>
      </c>
      <c r="H423" s="56">
        <f t="shared" si="100"/>
        <v>238.5</v>
      </c>
      <c r="I423" s="53">
        <v>62</v>
      </c>
      <c r="J423" s="53"/>
      <c r="K423" s="53">
        <v>358.56</v>
      </c>
      <c r="L423" s="53">
        <v>298.14</v>
      </c>
      <c r="M423" s="53">
        <v>1.43</v>
      </c>
      <c r="N423" s="53"/>
      <c r="O423" s="53">
        <v>429.15</v>
      </c>
      <c r="P423" s="53">
        <v>148.88</v>
      </c>
      <c r="Q423" s="53">
        <v>58.54</v>
      </c>
      <c r="R423" s="53"/>
      <c r="S423" s="53"/>
      <c r="T423" s="53">
        <v>3254.97</v>
      </c>
      <c r="U423" s="53"/>
      <c r="V423" s="56">
        <f t="shared" si="105"/>
        <v>4611.67</v>
      </c>
      <c r="W423" s="53">
        <v>344.2</v>
      </c>
      <c r="X423" s="53"/>
      <c r="Y423" s="56">
        <f t="shared" si="101"/>
        <v>344.2</v>
      </c>
      <c r="Z423" s="53"/>
      <c r="AA423" s="53"/>
      <c r="AB423" s="53">
        <v>2000</v>
      </c>
      <c r="AC423" s="53"/>
      <c r="AD423" s="56">
        <f t="shared" si="102"/>
        <v>2000</v>
      </c>
      <c r="AE423" s="53">
        <v>1962.33</v>
      </c>
      <c r="AF423" s="56">
        <f t="shared" si="103"/>
        <v>1962.33</v>
      </c>
      <c r="AG423" s="54"/>
      <c r="AH423" s="56">
        <f t="shared" si="104"/>
        <v>9156.7000000000007</v>
      </c>
    </row>
    <row r="424" spans="1:34" ht="16.5">
      <c r="A424" s="124"/>
      <c r="B424" s="52">
        <v>44424</v>
      </c>
      <c r="C424" s="53">
        <v>753.8</v>
      </c>
      <c r="D424" s="53"/>
      <c r="E424" s="53">
        <v>240.1</v>
      </c>
      <c r="F424" s="53"/>
      <c r="G424" s="53"/>
      <c r="H424" s="56">
        <f t="shared" si="100"/>
        <v>993.9</v>
      </c>
      <c r="I424" s="53">
        <v>80</v>
      </c>
      <c r="J424" s="53"/>
      <c r="K424" s="53">
        <v>1401.29</v>
      </c>
      <c r="L424" s="53">
        <v>5299.5</v>
      </c>
      <c r="M424" s="53">
        <v>44.15</v>
      </c>
      <c r="N424" s="53">
        <v>6</v>
      </c>
      <c r="O424" s="53">
        <v>424.3</v>
      </c>
      <c r="P424" s="53">
        <v>464.5</v>
      </c>
      <c r="Q424" s="53">
        <v>561.1</v>
      </c>
      <c r="R424" s="53"/>
      <c r="S424" s="53">
        <v>2.5</v>
      </c>
      <c r="T424" s="53">
        <v>29</v>
      </c>
      <c r="U424" s="53"/>
      <c r="V424" s="56">
        <f t="shared" si="105"/>
        <v>8312.34</v>
      </c>
      <c r="W424" s="53">
        <v>114.75</v>
      </c>
      <c r="X424" s="53"/>
      <c r="Y424" s="56">
        <f t="shared" si="101"/>
        <v>114.75</v>
      </c>
      <c r="Z424" s="53"/>
      <c r="AA424" s="53"/>
      <c r="AB424" s="53">
        <v>8.5500000000000007</v>
      </c>
      <c r="AC424" s="53"/>
      <c r="AD424" s="56">
        <f t="shared" si="102"/>
        <v>8.5500000000000007</v>
      </c>
      <c r="AE424" s="53">
        <v>186</v>
      </c>
      <c r="AF424" s="56">
        <f t="shared" si="103"/>
        <v>186</v>
      </c>
      <c r="AG424" s="54"/>
      <c r="AH424" s="56">
        <f t="shared" si="104"/>
        <v>9615.5399999999991</v>
      </c>
    </row>
    <row r="425" spans="1:34" ht="16.5">
      <c r="A425" s="124"/>
      <c r="B425" s="52">
        <v>44425</v>
      </c>
      <c r="C425" s="53">
        <v>281.66000000000003</v>
      </c>
      <c r="D425" s="53"/>
      <c r="E425" s="53"/>
      <c r="F425" s="53"/>
      <c r="G425" s="53">
        <v>117</v>
      </c>
      <c r="H425" s="56">
        <f t="shared" si="100"/>
        <v>398.66</v>
      </c>
      <c r="I425" s="53">
        <v>62.5</v>
      </c>
      <c r="J425" s="53">
        <v>1</v>
      </c>
      <c r="K425" s="53">
        <v>99.5</v>
      </c>
      <c r="L425" s="53">
        <v>215.33</v>
      </c>
      <c r="M425" s="53">
        <v>6.72</v>
      </c>
      <c r="N425" s="53"/>
      <c r="O425" s="53">
        <v>143.15</v>
      </c>
      <c r="P425" s="53">
        <v>271.61</v>
      </c>
      <c r="Q425" s="53">
        <v>62.93</v>
      </c>
      <c r="R425" s="53"/>
      <c r="S425" s="53">
        <v>2.5</v>
      </c>
      <c r="T425" s="53">
        <v>119</v>
      </c>
      <c r="U425" s="53"/>
      <c r="V425" s="56">
        <f t="shared" si="105"/>
        <v>984.24</v>
      </c>
      <c r="W425" s="53">
        <v>397.1</v>
      </c>
      <c r="X425" s="53"/>
      <c r="Y425" s="56">
        <f t="shared" si="101"/>
        <v>397.1</v>
      </c>
      <c r="Z425" s="53"/>
      <c r="AA425" s="53"/>
      <c r="AB425" s="53"/>
      <c r="AC425" s="53"/>
      <c r="AD425" s="56">
        <f t="shared" si="102"/>
        <v>0</v>
      </c>
      <c r="AE425" s="53">
        <v>1512.3</v>
      </c>
      <c r="AF425" s="56">
        <f t="shared" si="103"/>
        <v>1512.3</v>
      </c>
      <c r="AG425" s="54"/>
      <c r="AH425" s="56">
        <f t="shared" si="104"/>
        <v>3292.3</v>
      </c>
    </row>
    <row r="426" spans="1:34" ht="16.5">
      <c r="A426" s="124"/>
      <c r="B426" s="52">
        <v>44426</v>
      </c>
      <c r="C426" s="53">
        <v>355.3</v>
      </c>
      <c r="D426" s="53"/>
      <c r="E426" s="53"/>
      <c r="F426" s="53"/>
      <c r="G426" s="53"/>
      <c r="H426" s="56">
        <f t="shared" si="100"/>
        <v>355.3</v>
      </c>
      <c r="I426" s="53">
        <v>70.5</v>
      </c>
      <c r="J426" s="53"/>
      <c r="K426" s="53">
        <v>50.85</v>
      </c>
      <c r="L426" s="53">
        <v>273.51</v>
      </c>
      <c r="M426" s="53">
        <v>6.02</v>
      </c>
      <c r="N426" s="53"/>
      <c r="O426" s="53">
        <v>1285.6500000000001</v>
      </c>
      <c r="P426" s="53">
        <v>182.45</v>
      </c>
      <c r="Q426" s="53">
        <v>30.55</v>
      </c>
      <c r="R426" s="53">
        <v>23260</v>
      </c>
      <c r="S426" s="53"/>
      <c r="T426" s="53">
        <v>192</v>
      </c>
      <c r="U426" s="53"/>
      <c r="V426" s="56">
        <f t="shared" si="105"/>
        <v>25351.53</v>
      </c>
      <c r="W426" s="53">
        <v>860.1</v>
      </c>
      <c r="X426" s="53"/>
      <c r="Y426" s="56">
        <f t="shared" si="101"/>
        <v>860.1</v>
      </c>
      <c r="Z426" s="53"/>
      <c r="AA426" s="53"/>
      <c r="AB426" s="53"/>
      <c r="AC426" s="53"/>
      <c r="AD426" s="56">
        <f t="shared" si="102"/>
        <v>0</v>
      </c>
      <c r="AE426" s="53">
        <v>611.75</v>
      </c>
      <c r="AF426" s="56">
        <f t="shared" si="103"/>
        <v>611.75</v>
      </c>
      <c r="AG426" s="54"/>
      <c r="AH426" s="56">
        <f t="shared" si="104"/>
        <v>27178.679999999997</v>
      </c>
    </row>
    <row r="427" spans="1:34" ht="16.5">
      <c r="A427" s="124"/>
      <c r="B427" s="52">
        <v>44427</v>
      </c>
      <c r="C427" s="53">
        <v>937.69</v>
      </c>
      <c r="D427" s="53"/>
      <c r="E427" s="53"/>
      <c r="F427" s="53"/>
      <c r="G427" s="53"/>
      <c r="H427" s="56">
        <f t="shared" si="100"/>
        <v>937.69</v>
      </c>
      <c r="I427" s="53">
        <v>78.5</v>
      </c>
      <c r="J427" s="53"/>
      <c r="K427" s="53">
        <v>147.99</v>
      </c>
      <c r="L427" s="53">
        <v>1592.57</v>
      </c>
      <c r="M427" s="53">
        <v>3.69</v>
      </c>
      <c r="N427" s="53"/>
      <c r="O427" s="53">
        <v>622.42999999999995</v>
      </c>
      <c r="P427" s="53">
        <v>6</v>
      </c>
      <c r="Q427" s="53">
        <v>84.97</v>
      </c>
      <c r="R427" s="53">
        <v>8064</v>
      </c>
      <c r="S427" s="53">
        <v>10</v>
      </c>
      <c r="T427" s="53">
        <v>216.15</v>
      </c>
      <c r="U427" s="53"/>
      <c r="V427" s="56">
        <f t="shared" si="105"/>
        <v>10826.3</v>
      </c>
      <c r="W427" s="53">
        <v>480.7</v>
      </c>
      <c r="X427" s="53"/>
      <c r="Y427" s="56">
        <f t="shared" si="101"/>
        <v>480.7</v>
      </c>
      <c r="Z427" s="53"/>
      <c r="AA427" s="53">
        <v>3</v>
      </c>
      <c r="AB427" s="53"/>
      <c r="AC427" s="53"/>
      <c r="AD427" s="56">
        <f t="shared" si="102"/>
        <v>3</v>
      </c>
      <c r="AE427" s="53">
        <v>251.86</v>
      </c>
      <c r="AF427" s="56">
        <f t="shared" si="103"/>
        <v>251.86</v>
      </c>
      <c r="AG427" s="54"/>
      <c r="AH427" s="56">
        <f t="shared" si="104"/>
        <v>12499.55</v>
      </c>
    </row>
    <row r="428" spans="1:34" ht="16.5">
      <c r="A428" s="124"/>
      <c r="B428" s="52">
        <v>44428</v>
      </c>
      <c r="C428" s="53">
        <v>11</v>
      </c>
      <c r="D428" s="53"/>
      <c r="E428" s="53"/>
      <c r="F428" s="53"/>
      <c r="G428" s="53"/>
      <c r="H428" s="56">
        <f t="shared" si="100"/>
        <v>11</v>
      </c>
      <c r="I428" s="53">
        <v>82</v>
      </c>
      <c r="J428" s="53">
        <v>1</v>
      </c>
      <c r="K428" s="53">
        <v>1761.64</v>
      </c>
      <c r="L428" s="53">
        <v>5866.81</v>
      </c>
      <c r="M428" s="53">
        <v>22.61</v>
      </c>
      <c r="N428" s="53"/>
      <c r="O428" s="53">
        <v>500.57</v>
      </c>
      <c r="P428" s="53"/>
      <c r="Q428" s="53">
        <v>740.96</v>
      </c>
      <c r="R428" s="53"/>
      <c r="S428" s="53"/>
      <c r="T428" s="53">
        <v>817.61</v>
      </c>
      <c r="U428" s="53"/>
      <c r="V428" s="56">
        <f t="shared" si="105"/>
        <v>9793.2000000000007</v>
      </c>
      <c r="W428" s="53">
        <v>355.45</v>
      </c>
      <c r="X428" s="53"/>
      <c r="Y428" s="56">
        <f t="shared" si="101"/>
        <v>355.45</v>
      </c>
      <c r="Z428" s="53"/>
      <c r="AA428" s="53"/>
      <c r="AB428" s="53"/>
      <c r="AC428" s="53"/>
      <c r="AD428" s="56">
        <f t="shared" si="102"/>
        <v>0</v>
      </c>
      <c r="AE428" s="53">
        <v>355.32</v>
      </c>
      <c r="AF428" s="56">
        <f t="shared" si="103"/>
        <v>355.32</v>
      </c>
      <c r="AG428" s="54"/>
      <c r="AH428" s="56">
        <f t="shared" si="104"/>
        <v>10514.970000000001</v>
      </c>
    </row>
    <row r="429" spans="1:34" ht="16.5">
      <c r="A429" s="124"/>
      <c r="B429" s="52">
        <v>44431</v>
      </c>
      <c r="C429" s="53">
        <v>26.4</v>
      </c>
      <c r="D429" s="53"/>
      <c r="E429" s="53"/>
      <c r="F429" s="53"/>
      <c r="G429" s="53"/>
      <c r="H429" s="56">
        <f t="shared" si="100"/>
        <v>26.4</v>
      </c>
      <c r="I429" s="53">
        <v>81</v>
      </c>
      <c r="J429" s="53">
        <v>1</v>
      </c>
      <c r="K429" s="53">
        <v>184.02</v>
      </c>
      <c r="L429" s="53">
        <v>542.46</v>
      </c>
      <c r="M429" s="53">
        <v>13.89</v>
      </c>
      <c r="N429" s="53"/>
      <c r="O429" s="53">
        <v>306.7</v>
      </c>
      <c r="P429" s="53">
        <v>718.32</v>
      </c>
      <c r="Q429" s="53">
        <v>88.16</v>
      </c>
      <c r="R429" s="53"/>
      <c r="S429" s="53">
        <v>10</v>
      </c>
      <c r="T429" s="53">
        <v>1231.83</v>
      </c>
      <c r="U429" s="53"/>
      <c r="V429" s="56">
        <f t="shared" si="105"/>
        <v>3177.38</v>
      </c>
      <c r="W429" s="53">
        <v>681.3</v>
      </c>
      <c r="X429" s="53"/>
      <c r="Y429" s="56">
        <f t="shared" si="101"/>
        <v>681.3</v>
      </c>
      <c r="Z429" s="53"/>
      <c r="AA429" s="53">
        <v>3</v>
      </c>
      <c r="AB429" s="53"/>
      <c r="AC429" s="53"/>
      <c r="AD429" s="56">
        <f t="shared" si="102"/>
        <v>3</v>
      </c>
      <c r="AE429" s="53">
        <v>3268.49</v>
      </c>
      <c r="AF429" s="56">
        <f t="shared" si="103"/>
        <v>3268.49</v>
      </c>
      <c r="AG429" s="54"/>
      <c r="AH429" s="56">
        <f>AF429+AD429+Y429+V429+H429</f>
        <v>7156.57</v>
      </c>
    </row>
    <row r="430" spans="1:34" ht="16.5">
      <c r="A430" s="124"/>
      <c r="B430" s="52">
        <v>44432</v>
      </c>
      <c r="C430" s="53">
        <v>601.44000000000005</v>
      </c>
      <c r="D430" s="53"/>
      <c r="E430" s="53">
        <v>3.43</v>
      </c>
      <c r="F430" s="53"/>
      <c r="G430" s="53"/>
      <c r="H430" s="56">
        <f t="shared" si="100"/>
        <v>604.87</v>
      </c>
      <c r="I430" s="53">
        <v>84</v>
      </c>
      <c r="J430" s="53"/>
      <c r="K430" s="53">
        <v>57.57</v>
      </c>
      <c r="L430" s="53">
        <v>113.34</v>
      </c>
      <c r="M430" s="53">
        <v>2.5299999999999998</v>
      </c>
      <c r="N430" s="53"/>
      <c r="O430" s="53">
        <v>50.54</v>
      </c>
      <c r="P430" s="53">
        <v>203.36</v>
      </c>
      <c r="Q430" s="53">
        <v>42.32</v>
      </c>
      <c r="R430" s="53"/>
      <c r="S430" s="53"/>
      <c r="T430" s="53">
        <v>15</v>
      </c>
      <c r="U430" s="53"/>
      <c r="V430" s="56">
        <f t="shared" ref="V430:V439" si="106">SUM(I430:U430)</f>
        <v>568.66000000000008</v>
      </c>
      <c r="W430" s="53">
        <v>538.6</v>
      </c>
      <c r="X430" s="53"/>
      <c r="Y430" s="56">
        <f t="shared" si="101"/>
        <v>538.6</v>
      </c>
      <c r="Z430" s="53"/>
      <c r="AA430" s="53"/>
      <c r="AB430" s="53"/>
      <c r="AC430" s="53"/>
      <c r="AD430" s="56">
        <f t="shared" si="102"/>
        <v>0</v>
      </c>
      <c r="AE430" s="53"/>
      <c r="AF430" s="56">
        <f t="shared" si="103"/>
        <v>0</v>
      </c>
      <c r="AG430" s="54"/>
      <c r="AH430" s="56">
        <f t="shared" ref="AH430:AH439" si="107">AF430+AD430+Y430+V430+H430</f>
        <v>1712.13</v>
      </c>
    </row>
    <row r="431" spans="1:34" ht="16.5">
      <c r="A431" s="124"/>
      <c r="B431" s="52">
        <v>44433</v>
      </c>
      <c r="C431" s="53">
        <v>10.5</v>
      </c>
      <c r="D431" s="53"/>
      <c r="E431" s="53"/>
      <c r="F431" s="53"/>
      <c r="G431" s="53"/>
      <c r="H431" s="56">
        <f t="shared" si="100"/>
        <v>10.5</v>
      </c>
      <c r="I431" s="53">
        <v>36</v>
      </c>
      <c r="J431" s="53"/>
      <c r="K431" s="53">
        <v>77.900000000000006</v>
      </c>
      <c r="L431" s="53">
        <v>269.97000000000003</v>
      </c>
      <c r="M431" s="53">
        <v>10.55</v>
      </c>
      <c r="N431" s="53">
        <v>6</v>
      </c>
      <c r="O431" s="53">
        <v>86.27</v>
      </c>
      <c r="P431" s="53">
        <v>219.07</v>
      </c>
      <c r="Q431" s="53">
        <v>25.48</v>
      </c>
      <c r="R431" s="53"/>
      <c r="S431" s="53"/>
      <c r="T431" s="53">
        <v>97</v>
      </c>
      <c r="U431" s="53"/>
      <c r="V431" s="56">
        <f t="shared" si="106"/>
        <v>828.24</v>
      </c>
      <c r="W431" s="53">
        <v>417.9</v>
      </c>
      <c r="X431" s="53"/>
      <c r="Y431" s="56">
        <f t="shared" si="101"/>
        <v>417.9</v>
      </c>
      <c r="Z431" s="53"/>
      <c r="AA431" s="53"/>
      <c r="AB431" s="53"/>
      <c r="AC431" s="53"/>
      <c r="AD431" s="56">
        <f t="shared" si="102"/>
        <v>0</v>
      </c>
      <c r="AE431" s="53">
        <v>732.65</v>
      </c>
      <c r="AF431" s="56">
        <f t="shared" si="103"/>
        <v>732.65</v>
      </c>
      <c r="AG431" s="54"/>
      <c r="AH431" s="56">
        <f t="shared" si="107"/>
        <v>1989.29</v>
      </c>
    </row>
    <row r="432" spans="1:34" ht="16.5">
      <c r="A432" s="124"/>
      <c r="B432" s="52">
        <v>44434</v>
      </c>
      <c r="C432" s="53">
        <v>232.2</v>
      </c>
      <c r="D432" s="53"/>
      <c r="E432" s="53"/>
      <c r="F432" s="53"/>
      <c r="G432" s="53"/>
      <c r="H432" s="56">
        <f t="shared" si="100"/>
        <v>232.2</v>
      </c>
      <c r="I432" s="53">
        <v>31.5</v>
      </c>
      <c r="J432" s="53">
        <v>1</v>
      </c>
      <c r="K432" s="53">
        <v>191.89</v>
      </c>
      <c r="L432" s="53">
        <v>463.88</v>
      </c>
      <c r="M432" s="53"/>
      <c r="N432" s="53">
        <v>6</v>
      </c>
      <c r="O432" s="53">
        <v>642.65</v>
      </c>
      <c r="P432" s="53">
        <v>127.92</v>
      </c>
      <c r="Q432" s="53">
        <v>1084.54</v>
      </c>
      <c r="R432" s="53"/>
      <c r="S432" s="53"/>
      <c r="T432" s="53">
        <v>2897.15</v>
      </c>
      <c r="U432" s="53"/>
      <c r="V432" s="56">
        <f t="shared" si="106"/>
        <v>5446.5300000000007</v>
      </c>
      <c r="W432" s="53">
        <v>574.5</v>
      </c>
      <c r="X432" s="53"/>
      <c r="Y432" s="56">
        <f t="shared" si="101"/>
        <v>574.5</v>
      </c>
      <c r="Z432" s="53"/>
      <c r="AA432" s="53">
        <v>3</v>
      </c>
      <c r="AB432" s="53"/>
      <c r="AC432" s="53"/>
      <c r="AD432" s="56">
        <f t="shared" si="102"/>
        <v>3</v>
      </c>
      <c r="AE432" s="53">
        <v>6206.39</v>
      </c>
      <c r="AF432" s="56">
        <f t="shared" si="103"/>
        <v>6206.39</v>
      </c>
      <c r="AG432" s="54"/>
      <c r="AH432" s="56">
        <f t="shared" si="107"/>
        <v>12462.620000000003</v>
      </c>
    </row>
    <row r="433" spans="1:34" ht="16.5">
      <c r="A433" s="124"/>
      <c r="B433" s="52">
        <v>44438</v>
      </c>
      <c r="C433" s="53">
        <v>1425.01</v>
      </c>
      <c r="D433" s="53"/>
      <c r="E433" s="53"/>
      <c r="F433" s="53">
        <v>106.56</v>
      </c>
      <c r="G433" s="53"/>
      <c r="H433" s="56">
        <f t="shared" si="100"/>
        <v>1531.57</v>
      </c>
      <c r="I433" s="53">
        <v>138.5</v>
      </c>
      <c r="J433" s="53">
        <v>2</v>
      </c>
      <c r="K433" s="53">
        <v>235.86</v>
      </c>
      <c r="L433" s="53">
        <v>1522.57</v>
      </c>
      <c r="M433" s="53">
        <v>21.87</v>
      </c>
      <c r="N433" s="53"/>
      <c r="O433" s="53">
        <v>465.3</v>
      </c>
      <c r="P433" s="53"/>
      <c r="Q433" s="53">
        <v>165.4</v>
      </c>
      <c r="R433" s="53"/>
      <c r="S433" s="53"/>
      <c r="T433" s="53">
        <v>303</v>
      </c>
      <c r="U433" s="53"/>
      <c r="V433" s="56">
        <f t="shared" si="106"/>
        <v>2854.5</v>
      </c>
      <c r="W433" s="53">
        <v>1238.0999999999999</v>
      </c>
      <c r="X433" s="53"/>
      <c r="Y433" s="56">
        <f t="shared" si="101"/>
        <v>1238.0999999999999</v>
      </c>
      <c r="Z433" s="53"/>
      <c r="AA433" s="53"/>
      <c r="AB433" s="53"/>
      <c r="AC433" s="53"/>
      <c r="AD433" s="56">
        <f t="shared" si="102"/>
        <v>0</v>
      </c>
      <c r="AE433" s="53">
        <v>4123.3900000000003</v>
      </c>
      <c r="AF433" s="56">
        <f t="shared" si="103"/>
        <v>4123.3900000000003</v>
      </c>
      <c r="AG433" s="54"/>
      <c r="AH433" s="56">
        <f t="shared" si="107"/>
        <v>9747.56</v>
      </c>
    </row>
    <row r="434" spans="1:34" ht="16.5">
      <c r="A434" s="124"/>
      <c r="B434" s="52">
        <v>44439</v>
      </c>
      <c r="C434" s="53">
        <v>438</v>
      </c>
      <c r="D434" s="53"/>
      <c r="E434" s="53"/>
      <c r="F434" s="53"/>
      <c r="G434" s="53"/>
      <c r="H434" s="56">
        <f t="shared" si="100"/>
        <v>438</v>
      </c>
      <c r="I434" s="53">
        <v>75</v>
      </c>
      <c r="J434" s="53"/>
      <c r="K434" s="53">
        <v>152.36000000000001</v>
      </c>
      <c r="L434" s="53">
        <v>144.99</v>
      </c>
      <c r="M434" s="53">
        <v>11.59</v>
      </c>
      <c r="N434" s="53">
        <v>6</v>
      </c>
      <c r="O434" s="53">
        <v>371.7</v>
      </c>
      <c r="P434" s="53">
        <v>612.16999999999996</v>
      </c>
      <c r="Q434" s="53">
        <v>61.55</v>
      </c>
      <c r="R434" s="53"/>
      <c r="S434" s="53"/>
      <c r="T434" s="53">
        <v>5875.18</v>
      </c>
      <c r="U434" s="53"/>
      <c r="V434" s="56">
        <f t="shared" si="106"/>
        <v>7310.54</v>
      </c>
      <c r="W434" s="53">
        <v>651.4</v>
      </c>
      <c r="X434" s="53"/>
      <c r="Y434" s="56">
        <f t="shared" si="101"/>
        <v>651.4</v>
      </c>
      <c r="Z434" s="53"/>
      <c r="AA434" s="53"/>
      <c r="AB434" s="53"/>
      <c r="AC434" s="53"/>
      <c r="AD434" s="56">
        <f t="shared" si="102"/>
        <v>0</v>
      </c>
      <c r="AE434" s="53">
        <v>22.83</v>
      </c>
      <c r="AF434" s="56">
        <f t="shared" si="103"/>
        <v>22.83</v>
      </c>
      <c r="AG434" s="54"/>
      <c r="AH434" s="56">
        <f t="shared" si="107"/>
        <v>8422.77</v>
      </c>
    </row>
    <row r="435" spans="1:34" ht="16.5">
      <c r="A435" s="124"/>
      <c r="B435" s="52"/>
      <c r="C435" s="53"/>
      <c r="D435" s="53"/>
      <c r="E435" s="53"/>
      <c r="F435" s="53"/>
      <c r="G435" s="53"/>
      <c r="H435" s="56">
        <f t="shared" si="100"/>
        <v>0</v>
      </c>
      <c r="I435" s="53"/>
      <c r="J435" s="53"/>
      <c r="K435" s="53"/>
      <c r="L435" s="53"/>
      <c r="M435" s="53"/>
      <c r="N435" s="53"/>
      <c r="O435" s="53"/>
      <c r="P435" s="53"/>
      <c r="Q435" s="53"/>
      <c r="R435" s="53"/>
      <c r="S435" s="53"/>
      <c r="T435" s="53"/>
      <c r="U435" s="53"/>
      <c r="V435" s="56">
        <f t="shared" si="106"/>
        <v>0</v>
      </c>
      <c r="W435" s="53"/>
      <c r="X435" s="53"/>
      <c r="Y435" s="56">
        <f t="shared" si="101"/>
        <v>0</v>
      </c>
      <c r="Z435" s="53"/>
      <c r="AA435" s="53"/>
      <c r="AB435" s="53"/>
      <c r="AC435" s="53"/>
      <c r="AD435" s="56">
        <f t="shared" si="102"/>
        <v>0</v>
      </c>
      <c r="AE435" s="53"/>
      <c r="AF435" s="56">
        <f t="shared" si="103"/>
        <v>0</v>
      </c>
      <c r="AG435" s="54"/>
      <c r="AH435" s="56">
        <f t="shared" si="107"/>
        <v>0</v>
      </c>
    </row>
    <row r="436" spans="1:34" ht="16.5">
      <c r="A436" s="124"/>
      <c r="B436" s="52"/>
      <c r="C436" s="53"/>
      <c r="D436" s="53"/>
      <c r="E436" s="53"/>
      <c r="F436" s="53"/>
      <c r="G436" s="53"/>
      <c r="H436" s="56">
        <f t="shared" si="100"/>
        <v>0</v>
      </c>
      <c r="I436" s="53"/>
      <c r="J436" s="53"/>
      <c r="K436" s="53"/>
      <c r="L436" s="53"/>
      <c r="M436" s="53"/>
      <c r="N436" s="53"/>
      <c r="O436" s="53"/>
      <c r="P436" s="53"/>
      <c r="Q436" s="53"/>
      <c r="R436" s="53"/>
      <c r="S436" s="53"/>
      <c r="T436" s="53"/>
      <c r="U436" s="53"/>
      <c r="V436" s="56">
        <f t="shared" si="106"/>
        <v>0</v>
      </c>
      <c r="W436" s="53"/>
      <c r="X436" s="53"/>
      <c r="Y436" s="56">
        <f t="shared" si="101"/>
        <v>0</v>
      </c>
      <c r="Z436" s="53"/>
      <c r="AA436" s="53"/>
      <c r="AB436" s="53"/>
      <c r="AC436" s="53"/>
      <c r="AD436" s="56">
        <f t="shared" si="102"/>
        <v>0</v>
      </c>
      <c r="AE436" s="53"/>
      <c r="AF436" s="56">
        <f t="shared" si="103"/>
        <v>0</v>
      </c>
      <c r="AG436" s="54"/>
      <c r="AH436" s="56">
        <f t="shared" si="107"/>
        <v>0</v>
      </c>
    </row>
    <row r="437" spans="1:34" ht="16.5">
      <c r="A437" s="124"/>
      <c r="B437" s="52"/>
      <c r="C437" s="53"/>
      <c r="D437" s="53"/>
      <c r="E437" s="53"/>
      <c r="F437" s="53"/>
      <c r="G437" s="53"/>
      <c r="H437" s="56">
        <f t="shared" si="100"/>
        <v>0</v>
      </c>
      <c r="I437" s="53"/>
      <c r="J437" s="53"/>
      <c r="K437" s="53"/>
      <c r="L437" s="53"/>
      <c r="M437" s="53"/>
      <c r="N437" s="53"/>
      <c r="O437" s="53"/>
      <c r="P437" s="53"/>
      <c r="Q437" s="53"/>
      <c r="R437" s="53"/>
      <c r="S437" s="53"/>
      <c r="T437" s="53"/>
      <c r="U437" s="53"/>
      <c r="V437" s="56">
        <f t="shared" si="106"/>
        <v>0</v>
      </c>
      <c r="W437" s="53"/>
      <c r="X437" s="53"/>
      <c r="Y437" s="56">
        <f t="shared" si="101"/>
        <v>0</v>
      </c>
      <c r="Z437" s="53"/>
      <c r="AA437" s="53"/>
      <c r="AB437" s="53"/>
      <c r="AC437" s="53"/>
      <c r="AD437" s="56">
        <f t="shared" si="102"/>
        <v>0</v>
      </c>
      <c r="AE437" s="53"/>
      <c r="AF437" s="56">
        <f t="shared" si="103"/>
        <v>0</v>
      </c>
      <c r="AG437" s="54"/>
      <c r="AH437" s="56">
        <f t="shared" si="107"/>
        <v>0</v>
      </c>
    </row>
    <row r="438" spans="1:34" ht="16.5">
      <c r="A438" s="124"/>
      <c r="B438" s="52"/>
      <c r="C438" s="53"/>
      <c r="D438" s="53"/>
      <c r="E438" s="53"/>
      <c r="F438" s="53"/>
      <c r="G438" s="53"/>
      <c r="H438" s="56">
        <f t="shared" si="100"/>
        <v>0</v>
      </c>
      <c r="I438" s="53"/>
      <c r="J438" s="53"/>
      <c r="K438" s="53"/>
      <c r="L438" s="53"/>
      <c r="M438" s="53"/>
      <c r="N438" s="53"/>
      <c r="O438" s="53"/>
      <c r="P438" s="53"/>
      <c r="Q438" s="53"/>
      <c r="R438" s="53"/>
      <c r="S438" s="53"/>
      <c r="T438" s="53"/>
      <c r="U438" s="53"/>
      <c r="V438" s="56">
        <f t="shared" si="106"/>
        <v>0</v>
      </c>
      <c r="W438" s="53"/>
      <c r="X438" s="53"/>
      <c r="Y438" s="56">
        <f t="shared" si="101"/>
        <v>0</v>
      </c>
      <c r="Z438" s="53"/>
      <c r="AA438" s="53"/>
      <c r="AB438" s="53"/>
      <c r="AC438" s="53"/>
      <c r="AD438" s="56">
        <f t="shared" si="102"/>
        <v>0</v>
      </c>
      <c r="AE438" s="53"/>
      <c r="AF438" s="56">
        <f t="shared" si="103"/>
        <v>0</v>
      </c>
      <c r="AG438" s="54"/>
      <c r="AH438" s="56">
        <f t="shared" si="107"/>
        <v>0</v>
      </c>
    </row>
    <row r="439" spans="1:34" ht="16.5">
      <c r="A439" s="124"/>
      <c r="B439" s="52"/>
      <c r="C439" s="53"/>
      <c r="D439" s="53"/>
      <c r="E439" s="53"/>
      <c r="F439" s="53"/>
      <c r="G439" s="53"/>
      <c r="H439" s="56">
        <f t="shared" si="100"/>
        <v>0</v>
      </c>
      <c r="I439" s="53"/>
      <c r="J439" s="53"/>
      <c r="K439" s="53"/>
      <c r="L439" s="53"/>
      <c r="M439" s="53"/>
      <c r="N439" s="53"/>
      <c r="O439" s="53"/>
      <c r="P439" s="53"/>
      <c r="Q439" s="53"/>
      <c r="R439" s="53"/>
      <c r="S439" s="53"/>
      <c r="T439" s="53"/>
      <c r="U439" s="53"/>
      <c r="V439" s="56">
        <f t="shared" si="106"/>
        <v>0</v>
      </c>
      <c r="W439" s="53"/>
      <c r="X439" s="53"/>
      <c r="Y439" s="56">
        <f t="shared" si="101"/>
        <v>0</v>
      </c>
      <c r="Z439" s="53"/>
      <c r="AA439" s="53"/>
      <c r="AB439" s="53"/>
      <c r="AC439" s="53"/>
      <c r="AD439" s="56">
        <f t="shared" si="102"/>
        <v>0</v>
      </c>
      <c r="AE439" s="53"/>
      <c r="AF439" s="56">
        <f t="shared" si="103"/>
        <v>0</v>
      </c>
      <c r="AG439" s="54"/>
      <c r="AH439" s="56">
        <f t="shared" si="107"/>
        <v>0</v>
      </c>
    </row>
    <row r="440" spans="1:34" ht="16.5">
      <c r="A440" s="124"/>
      <c r="B440" s="52"/>
      <c r="C440" s="54"/>
      <c r="D440" s="54"/>
      <c r="E440" s="54"/>
      <c r="F440" s="54"/>
      <c r="G440" s="54"/>
      <c r="H440" s="56"/>
      <c r="I440" s="54"/>
      <c r="J440" s="54"/>
      <c r="K440" s="54"/>
      <c r="L440" s="54"/>
      <c r="M440" s="54"/>
      <c r="N440" s="54"/>
      <c r="O440" s="54"/>
      <c r="P440" s="54"/>
      <c r="Q440" s="54"/>
      <c r="R440" s="54"/>
      <c r="S440" s="54"/>
      <c r="T440" s="54"/>
      <c r="U440" s="54"/>
      <c r="V440" s="56"/>
      <c r="W440" s="54"/>
      <c r="X440" s="54"/>
      <c r="Y440" s="54"/>
      <c r="Z440" s="54"/>
      <c r="AA440" s="54"/>
      <c r="AB440" s="54"/>
      <c r="AC440" s="54"/>
      <c r="AD440" s="54"/>
      <c r="AE440" s="54"/>
      <c r="AF440" s="56"/>
      <c r="AG440" s="56"/>
      <c r="AH440" s="56"/>
    </row>
    <row r="441" spans="1:34" ht="16.5">
      <c r="A441" s="124"/>
      <c r="B441" s="60" t="s">
        <v>192</v>
      </c>
      <c r="C441" s="54">
        <f>SUM(C419:C440)</f>
        <v>8537.0499999999993</v>
      </c>
      <c r="D441" s="54">
        <f>SUM(D419:D440)</f>
        <v>0</v>
      </c>
      <c r="E441" s="54">
        <f>SUM(E419:E440)</f>
        <v>243.53</v>
      </c>
      <c r="F441" s="54">
        <f>SUM(F419:F440)</f>
        <v>106.56</v>
      </c>
      <c r="G441" s="54">
        <f>SUM(G419:G440)</f>
        <v>400.5</v>
      </c>
      <c r="H441" s="56">
        <f t="shared" ref="H441:AF441" si="108">SUM(H418:H440)</f>
        <v>9287.64</v>
      </c>
      <c r="I441" s="54">
        <f t="shared" si="108"/>
        <v>1290</v>
      </c>
      <c r="J441" s="54">
        <f t="shared" si="108"/>
        <v>10</v>
      </c>
      <c r="K441" s="54">
        <f t="shared" si="108"/>
        <v>5583.2599999999993</v>
      </c>
      <c r="L441" s="54">
        <f t="shared" si="108"/>
        <v>19190.390000000003</v>
      </c>
      <c r="M441" s="54">
        <f t="shared" si="108"/>
        <v>194.57</v>
      </c>
      <c r="N441" s="54">
        <f t="shared" si="108"/>
        <v>36</v>
      </c>
      <c r="O441" s="54">
        <f t="shared" si="108"/>
        <v>6777.84</v>
      </c>
      <c r="P441" s="54">
        <f t="shared" si="108"/>
        <v>5006.47</v>
      </c>
      <c r="Q441" s="54">
        <f t="shared" si="108"/>
        <v>3570.35</v>
      </c>
      <c r="R441" s="54">
        <f t="shared" si="108"/>
        <v>31324</v>
      </c>
      <c r="S441" s="54">
        <f t="shared" si="108"/>
        <v>35</v>
      </c>
      <c r="T441" s="54">
        <f t="shared" si="108"/>
        <v>29014.550000000003</v>
      </c>
      <c r="U441" s="54">
        <f t="shared" si="108"/>
        <v>0</v>
      </c>
      <c r="V441" s="56">
        <f t="shared" si="108"/>
        <v>102032.43</v>
      </c>
      <c r="W441" s="54">
        <f t="shared" si="108"/>
        <v>7942.67</v>
      </c>
      <c r="X441" s="54">
        <f t="shared" si="108"/>
        <v>0</v>
      </c>
      <c r="Y441" s="56">
        <f t="shared" si="108"/>
        <v>7942.67</v>
      </c>
      <c r="Z441" s="54">
        <f t="shared" si="108"/>
        <v>0</v>
      </c>
      <c r="AA441" s="54">
        <f t="shared" si="108"/>
        <v>9</v>
      </c>
      <c r="AB441" s="54">
        <f t="shared" si="108"/>
        <v>2059.8500000000004</v>
      </c>
      <c r="AC441" s="54">
        <f t="shared" si="108"/>
        <v>0</v>
      </c>
      <c r="AD441" s="56">
        <f t="shared" si="108"/>
        <v>2068.8500000000004</v>
      </c>
      <c r="AE441" s="54">
        <f t="shared" si="108"/>
        <v>24897.75</v>
      </c>
      <c r="AF441" s="56">
        <f t="shared" si="108"/>
        <v>24897.75</v>
      </c>
      <c r="AG441" s="54"/>
      <c r="AH441" s="59">
        <f>SUM(AH418:AH440)</f>
        <v>146229.34</v>
      </c>
    </row>
    <row r="442" spans="1:34" ht="16.5">
      <c r="A442" s="124"/>
      <c r="B442" s="118"/>
      <c r="C442" s="118"/>
      <c r="D442" s="118"/>
      <c r="E442" s="118"/>
      <c r="F442" s="118"/>
      <c r="G442" s="118"/>
      <c r="H442" s="118"/>
      <c r="I442" s="118"/>
      <c r="J442" s="118"/>
      <c r="K442" s="118"/>
      <c r="L442" s="118"/>
      <c r="M442" s="118"/>
      <c r="N442" s="118"/>
      <c r="O442" s="118"/>
      <c r="P442" s="118"/>
      <c r="Q442" s="118"/>
      <c r="R442" s="118"/>
      <c r="S442" s="118"/>
      <c r="T442" s="118"/>
      <c r="U442" s="118"/>
      <c r="V442" s="118"/>
      <c r="W442" s="118"/>
      <c r="X442" s="118"/>
      <c r="Y442" s="118"/>
      <c r="Z442" s="118"/>
      <c r="AA442" s="118"/>
      <c r="AB442" s="118"/>
      <c r="AC442" s="118"/>
      <c r="AD442" s="118"/>
      <c r="AE442" s="118"/>
      <c r="AF442" s="56" t="s">
        <v>175</v>
      </c>
      <c r="AG442" s="54"/>
      <c r="AH442" s="120">
        <f ca="1">SUM(AH441:AH443)</f>
        <v>146229.34</v>
      </c>
    </row>
    <row r="443" spans="1:34" ht="16.5">
      <c r="A443" s="124"/>
      <c r="B443" s="118"/>
      <c r="C443" s="118"/>
      <c r="D443" s="118"/>
      <c r="E443" s="118"/>
      <c r="F443" s="118"/>
      <c r="G443" s="118"/>
      <c r="H443" s="118"/>
      <c r="I443" s="118"/>
      <c r="J443" s="118"/>
      <c r="K443" s="118"/>
      <c r="L443" s="118"/>
      <c r="M443" s="118"/>
      <c r="N443" s="118"/>
      <c r="O443" s="118"/>
      <c r="P443" s="118"/>
      <c r="Q443" s="118"/>
      <c r="R443" s="118"/>
      <c r="S443" s="118"/>
      <c r="T443" s="118"/>
      <c r="U443" s="118"/>
      <c r="V443" s="118"/>
      <c r="W443" s="118"/>
      <c r="X443" s="118"/>
      <c r="Y443" s="118"/>
      <c r="Z443" s="118"/>
      <c r="AA443" s="118"/>
      <c r="AB443" s="118"/>
      <c r="AC443" s="118"/>
      <c r="AD443" s="118"/>
      <c r="AE443" s="118"/>
      <c r="AF443" s="47" t="s">
        <v>139</v>
      </c>
      <c r="AH443" s="120"/>
    </row>
    <row r="444" spans="1:34" ht="16.5">
      <c r="A444" s="124"/>
      <c r="B444" s="118"/>
      <c r="C444" s="118"/>
      <c r="D444" s="118"/>
      <c r="E444" s="118"/>
      <c r="F444" s="118"/>
      <c r="G444" s="118"/>
      <c r="H444" s="118"/>
      <c r="I444" s="118"/>
      <c r="J444" s="118"/>
      <c r="K444" s="118"/>
      <c r="L444" s="118"/>
      <c r="M444" s="118"/>
      <c r="N444" s="118"/>
      <c r="O444" s="118"/>
      <c r="P444" s="118"/>
      <c r="Q444" s="118"/>
      <c r="R444" s="118"/>
      <c r="S444" s="118"/>
      <c r="T444" s="118"/>
      <c r="U444" s="118"/>
      <c r="V444" s="118"/>
      <c r="W444" s="118"/>
      <c r="X444" s="118"/>
      <c r="Y444" s="118"/>
      <c r="Z444" s="118"/>
      <c r="AA444" s="118"/>
      <c r="AB444" s="118"/>
      <c r="AC444" s="118"/>
      <c r="AD444" s="118"/>
      <c r="AE444" s="118"/>
      <c r="AF444" s="63"/>
      <c r="AG444" s="63"/>
      <c r="AH444" s="120"/>
    </row>
    <row r="445" spans="1:34" ht="16.5" customHeight="1">
      <c r="A445" s="124"/>
      <c r="B445" s="119"/>
      <c r="C445" s="119"/>
      <c r="D445" s="119"/>
      <c r="E445" s="119"/>
      <c r="F445" s="119"/>
      <c r="G445" s="119"/>
      <c r="H445" s="119"/>
      <c r="I445" s="119"/>
      <c r="J445" s="119"/>
      <c r="K445" s="119"/>
      <c r="L445" s="119"/>
      <c r="M445" s="119"/>
      <c r="N445" s="119"/>
      <c r="O445" s="119"/>
      <c r="P445" s="119"/>
      <c r="Q445" s="119"/>
      <c r="R445" s="119"/>
      <c r="S445" s="119"/>
      <c r="T445" s="119"/>
      <c r="U445" s="119"/>
      <c r="V445" s="119"/>
      <c r="W445" s="119"/>
      <c r="X445" s="119"/>
      <c r="Y445" s="119"/>
      <c r="Z445" s="119"/>
      <c r="AA445" s="119"/>
      <c r="AB445" s="119"/>
      <c r="AC445" s="119"/>
      <c r="AD445" s="119"/>
      <c r="AE445" s="119"/>
      <c r="AF445" s="64" t="s">
        <v>193</v>
      </c>
      <c r="AG445" s="65"/>
      <c r="AH445" s="121"/>
    </row>
    <row r="446" spans="1:34" ht="22.5">
      <c r="A446" s="124"/>
      <c r="B446" s="86"/>
      <c r="C446" s="96"/>
      <c r="D446" s="96"/>
      <c r="E446" s="140" t="s">
        <v>140</v>
      </c>
      <c r="F446" s="140"/>
      <c r="G446" s="140"/>
      <c r="H446" s="140"/>
      <c r="I446" s="140"/>
      <c r="J446" s="140"/>
      <c r="K446" s="140"/>
      <c r="L446" s="140"/>
      <c r="M446" s="83"/>
      <c r="N446" s="87"/>
      <c r="O446" s="87"/>
      <c r="P446" s="87"/>
      <c r="Q446" s="87"/>
      <c r="R446" s="87"/>
      <c r="S446" s="87"/>
      <c r="T446" s="87"/>
      <c r="U446" s="87"/>
      <c r="V446" s="84"/>
      <c r="W446" s="87"/>
      <c r="X446" s="87"/>
      <c r="Y446" s="84"/>
      <c r="Z446" s="87"/>
      <c r="AA446" s="87"/>
      <c r="AB446" s="87"/>
      <c r="AC446" s="87"/>
      <c r="AD446" s="84"/>
      <c r="AE446" s="87"/>
      <c r="AF446" s="92"/>
      <c r="AG446" s="85"/>
      <c r="AH446" s="89"/>
    </row>
    <row r="447" spans="1:34" ht="22.5">
      <c r="A447" s="124"/>
      <c r="B447" s="86"/>
      <c r="C447" s="96"/>
      <c r="D447" s="96"/>
      <c r="E447" s="140" t="s">
        <v>194</v>
      </c>
      <c r="F447" s="140"/>
      <c r="G447" s="140"/>
      <c r="H447" s="140"/>
      <c r="I447" s="140"/>
      <c r="J447" s="140"/>
      <c r="K447" s="140"/>
      <c r="L447" s="140"/>
      <c r="M447" s="83"/>
      <c r="N447" s="87"/>
      <c r="O447" s="87"/>
      <c r="P447" s="87"/>
      <c r="Q447" s="87"/>
      <c r="R447" s="87"/>
      <c r="S447" s="87"/>
      <c r="T447" s="87"/>
      <c r="U447" s="87"/>
      <c r="V447" s="84"/>
      <c r="W447" s="87"/>
      <c r="X447" s="87"/>
      <c r="Y447" s="84"/>
      <c r="Z447" s="87"/>
      <c r="AA447" s="87"/>
      <c r="AB447" s="87"/>
      <c r="AC447" s="87"/>
      <c r="AD447" s="84"/>
      <c r="AE447" s="87"/>
      <c r="AF447" s="92"/>
      <c r="AG447" s="85"/>
      <c r="AH447" s="89"/>
    </row>
    <row r="448" spans="1:34" ht="16.5">
      <c r="A448" s="124"/>
      <c r="B448" s="86"/>
      <c r="C448" s="87"/>
      <c r="D448" s="87"/>
      <c r="E448" s="87"/>
      <c r="F448" s="87"/>
      <c r="G448" s="87"/>
      <c r="H448" s="84"/>
      <c r="I448" s="87"/>
      <c r="J448" s="87"/>
      <c r="K448" s="87"/>
      <c r="L448" s="87"/>
      <c r="M448" s="87"/>
      <c r="N448" s="87"/>
      <c r="O448" s="87"/>
      <c r="P448" s="87"/>
      <c r="Q448" s="87"/>
      <c r="R448" s="87"/>
      <c r="S448" s="87"/>
      <c r="T448" s="87"/>
      <c r="U448" s="87"/>
      <c r="V448" s="84"/>
      <c r="W448" s="87"/>
      <c r="X448" s="87"/>
      <c r="Y448" s="84"/>
      <c r="Z448" s="87"/>
      <c r="AA448" s="87"/>
      <c r="AB448" s="87"/>
      <c r="AC448" s="87"/>
      <c r="AD448" s="84"/>
      <c r="AE448" s="87"/>
      <c r="AF448" s="84"/>
      <c r="AG448" s="85"/>
      <c r="AH448" s="84"/>
    </row>
    <row r="449" spans="1:34" ht="16.5">
      <c r="A449" s="124"/>
      <c r="B449" s="93"/>
      <c r="C449" s="105">
        <v>11801</v>
      </c>
      <c r="D449" s="105">
        <v>11803</v>
      </c>
      <c r="E449" s="105">
        <v>11818</v>
      </c>
      <c r="F449" s="105">
        <v>11802</v>
      </c>
      <c r="G449" s="105">
        <v>11804</v>
      </c>
      <c r="H449" s="88"/>
      <c r="I449" s="105">
        <v>21310001</v>
      </c>
      <c r="J449" s="105">
        <v>12105</v>
      </c>
      <c r="K449" s="105">
        <v>12106</v>
      </c>
      <c r="L449" s="105">
        <v>12108</v>
      </c>
      <c r="M449" s="105">
        <v>12109</v>
      </c>
      <c r="N449" s="105">
        <v>12199</v>
      </c>
      <c r="O449" s="105">
        <v>12111</v>
      </c>
      <c r="P449" s="105">
        <v>12114</v>
      </c>
      <c r="Q449" s="105">
        <v>12115</v>
      </c>
      <c r="R449" s="105">
        <v>12117</v>
      </c>
      <c r="S449" s="105">
        <v>12118</v>
      </c>
      <c r="T449" s="105">
        <v>12119</v>
      </c>
      <c r="U449" s="105">
        <v>12210</v>
      </c>
      <c r="V449" s="105">
        <v>21312001</v>
      </c>
      <c r="W449" s="105">
        <v>14201</v>
      </c>
      <c r="X449" s="105"/>
      <c r="Y449" s="105">
        <v>21314001</v>
      </c>
      <c r="Z449" s="105">
        <v>15302</v>
      </c>
      <c r="AA449" s="105">
        <v>15312</v>
      </c>
      <c r="AB449" s="105">
        <v>15314</v>
      </c>
      <c r="AC449" s="105"/>
      <c r="AD449" s="105">
        <v>21315001</v>
      </c>
      <c r="AE449" s="105">
        <v>32299</v>
      </c>
      <c r="AF449" s="88"/>
      <c r="AG449" s="88"/>
      <c r="AH449" s="88"/>
    </row>
    <row r="450" spans="1:34" ht="95.25" customHeight="1">
      <c r="A450" s="124"/>
      <c r="B450" s="106" t="s">
        <v>195</v>
      </c>
      <c r="C450" s="107" t="s">
        <v>143</v>
      </c>
      <c r="D450" s="107" t="s">
        <v>144</v>
      </c>
      <c r="E450" s="107" t="s">
        <v>145</v>
      </c>
      <c r="F450" s="107" t="s">
        <v>146</v>
      </c>
      <c r="G450" s="107" t="s">
        <v>147</v>
      </c>
      <c r="H450" s="109" t="s">
        <v>183</v>
      </c>
      <c r="I450" s="107" t="s">
        <v>149</v>
      </c>
      <c r="J450" s="107" t="s">
        <v>150</v>
      </c>
      <c r="K450" s="107" t="s">
        <v>151</v>
      </c>
      <c r="L450" s="107" t="s">
        <v>152</v>
      </c>
      <c r="M450" s="107" t="s">
        <v>153</v>
      </c>
      <c r="N450" s="107" t="s">
        <v>154</v>
      </c>
      <c r="O450" s="107" t="s">
        <v>155</v>
      </c>
      <c r="P450" s="107" t="s">
        <v>156</v>
      </c>
      <c r="Q450" s="107" t="s">
        <v>157</v>
      </c>
      <c r="R450" s="107" t="s">
        <v>158</v>
      </c>
      <c r="S450" s="107" t="s">
        <v>159</v>
      </c>
      <c r="T450" s="107" t="s">
        <v>160</v>
      </c>
      <c r="U450" s="107" t="s">
        <v>161</v>
      </c>
      <c r="V450" s="107" t="s">
        <v>163</v>
      </c>
      <c r="W450" s="107" t="s">
        <v>164</v>
      </c>
      <c r="X450" s="107" t="s">
        <v>165</v>
      </c>
      <c r="Y450" s="107" t="s">
        <v>166</v>
      </c>
      <c r="Z450" s="107" t="s">
        <v>167</v>
      </c>
      <c r="AA450" s="107" t="s">
        <v>168</v>
      </c>
      <c r="AB450" s="107" t="s">
        <v>169</v>
      </c>
      <c r="AC450" s="107" t="s">
        <v>170</v>
      </c>
      <c r="AD450" s="107" t="s">
        <v>171</v>
      </c>
      <c r="AE450" s="107" t="s">
        <v>172</v>
      </c>
      <c r="AF450" s="107" t="s">
        <v>173</v>
      </c>
      <c r="AG450" s="108"/>
      <c r="AH450" s="107" t="s">
        <v>174</v>
      </c>
    </row>
    <row r="451" spans="1:34" ht="16.5">
      <c r="A451" s="124"/>
      <c r="B451" s="45"/>
      <c r="C451" s="46"/>
      <c r="D451" s="46"/>
      <c r="E451" s="46"/>
      <c r="F451" s="46"/>
      <c r="G451" s="46"/>
      <c r="H451" s="48"/>
      <c r="I451" s="47"/>
      <c r="J451" s="46"/>
      <c r="K451" s="46"/>
      <c r="L451" s="46"/>
      <c r="M451" s="46"/>
      <c r="N451" s="46"/>
      <c r="O451" s="46"/>
      <c r="P451" s="46"/>
      <c r="Q451" s="46"/>
      <c r="R451" s="46"/>
      <c r="S451" s="46"/>
      <c r="T451" s="46"/>
      <c r="U451" s="46"/>
      <c r="V451" s="47"/>
      <c r="W451" s="46"/>
      <c r="X451" s="46"/>
      <c r="Y451" s="47"/>
      <c r="Z451" s="46"/>
      <c r="AA451" s="46"/>
      <c r="AB451" s="46"/>
      <c r="AC451" s="46"/>
      <c r="AD451" s="47"/>
      <c r="AE451" s="46"/>
      <c r="AF451" s="47"/>
      <c r="AH451" s="47"/>
    </row>
    <row r="452" spans="1:34" ht="16.5">
      <c r="A452" s="124"/>
      <c r="B452" s="49">
        <v>44440</v>
      </c>
      <c r="C452" s="54">
        <v>320</v>
      </c>
      <c r="D452" s="54"/>
      <c r="E452" s="54">
        <v>13.72</v>
      </c>
      <c r="F452" s="54">
        <v>42</v>
      </c>
      <c r="G452" s="54">
        <v>60.36</v>
      </c>
      <c r="H452" s="54"/>
      <c r="I452" s="56">
        <f>SUM(C452:H452)</f>
        <v>436.08000000000004</v>
      </c>
      <c r="J452" s="54">
        <v>61.5</v>
      </c>
      <c r="K452" s="54">
        <v>1</v>
      </c>
      <c r="L452" s="54">
        <v>176.76</v>
      </c>
      <c r="M452" s="54">
        <v>736.35</v>
      </c>
      <c r="N452" s="54">
        <v>4.05</v>
      </c>
      <c r="O452" s="54">
        <v>6</v>
      </c>
      <c r="P452" s="54">
        <v>107.41</v>
      </c>
      <c r="Q452" s="54"/>
      <c r="R452" s="54">
        <v>84.16</v>
      </c>
      <c r="S452" s="54"/>
      <c r="T452" s="54">
        <v>2.5</v>
      </c>
      <c r="U452" s="54">
        <v>46</v>
      </c>
      <c r="V452" s="56">
        <f>SUM(J452:U452)</f>
        <v>1225.73</v>
      </c>
      <c r="W452" s="54">
        <v>356.25</v>
      </c>
      <c r="X452" s="54"/>
      <c r="Y452" s="56">
        <f>SUM(W452:X452)</f>
        <v>356.25</v>
      </c>
      <c r="Z452" s="54"/>
      <c r="AA452" s="54">
        <v>5.71</v>
      </c>
      <c r="AB452" s="54"/>
      <c r="AC452" s="54"/>
      <c r="AD452" s="56">
        <f>SUM(Z452:AC452)</f>
        <v>5.71</v>
      </c>
      <c r="AE452" s="54">
        <v>256.76</v>
      </c>
      <c r="AF452" s="56">
        <f>SUM(AE452)</f>
        <v>256.76</v>
      </c>
      <c r="AG452" s="54"/>
      <c r="AH452" s="56">
        <f>AF452+AD452+Y452+V452+I452</f>
        <v>2280.5300000000002</v>
      </c>
    </row>
    <row r="453" spans="1:34" ht="16.5">
      <c r="A453" s="124"/>
      <c r="B453" s="49">
        <v>44441</v>
      </c>
      <c r="C453" s="54">
        <v>1246.5</v>
      </c>
      <c r="D453" s="54"/>
      <c r="E453" s="54"/>
      <c r="F453" s="54"/>
      <c r="G453" s="54"/>
      <c r="H453" s="54"/>
      <c r="I453" s="56">
        <f t="shared" ref="I453:I477" si="109">SUM(C453:H453)</f>
        <v>1246.5</v>
      </c>
      <c r="J453" s="54">
        <v>74</v>
      </c>
      <c r="K453" s="54"/>
      <c r="L453" s="54">
        <v>179.02</v>
      </c>
      <c r="M453" s="54">
        <v>577.27</v>
      </c>
      <c r="N453" s="54"/>
      <c r="O453" s="54">
        <v>18</v>
      </c>
      <c r="P453" s="54">
        <v>216.28</v>
      </c>
      <c r="Q453" s="54">
        <v>409.89</v>
      </c>
      <c r="R453" s="54">
        <v>75.540000000000006</v>
      </c>
      <c r="S453" s="54"/>
      <c r="T453" s="54"/>
      <c r="U453" s="54">
        <v>1110.95</v>
      </c>
      <c r="V453" s="56">
        <f t="shared" ref="V453:V475" si="110">SUM(J453:U453)</f>
        <v>2660.95</v>
      </c>
      <c r="W453" s="54">
        <v>177.9</v>
      </c>
      <c r="X453" s="54"/>
      <c r="Y453" s="56">
        <f t="shared" ref="Y453:Y475" si="111">SUM(W453:X453)</f>
        <v>177.9</v>
      </c>
      <c r="Z453" s="54"/>
      <c r="AA453" s="54"/>
      <c r="AB453" s="54"/>
      <c r="AC453" s="54"/>
      <c r="AD453" s="56">
        <f t="shared" ref="AD453:AD454" si="112">SUM(Z453:AC453)</f>
        <v>0</v>
      </c>
      <c r="AE453" s="54">
        <v>868.31</v>
      </c>
      <c r="AF453" s="56">
        <f t="shared" ref="AF453:AF475" si="113">SUM(AE453)</f>
        <v>868.31</v>
      </c>
      <c r="AG453" s="54"/>
      <c r="AH453" s="56">
        <f t="shared" ref="AH453:AH475" si="114">AF453+AD453+Y453+V453+I453</f>
        <v>4953.66</v>
      </c>
    </row>
    <row r="454" spans="1:34" ht="16.5">
      <c r="A454" s="124"/>
      <c r="B454" s="49">
        <v>44442</v>
      </c>
      <c r="C454" s="54">
        <v>2083.92</v>
      </c>
      <c r="D454" s="54"/>
      <c r="E454" s="54">
        <v>13.72</v>
      </c>
      <c r="F454" s="54"/>
      <c r="G454" s="54"/>
      <c r="H454" s="54"/>
      <c r="I454" s="56">
        <f t="shared" si="109"/>
        <v>2097.64</v>
      </c>
      <c r="J454" s="54">
        <v>94</v>
      </c>
      <c r="K454" s="54">
        <v>1</v>
      </c>
      <c r="L454" s="54">
        <v>338</v>
      </c>
      <c r="M454" s="54">
        <v>1499.32</v>
      </c>
      <c r="N454" s="54">
        <v>3.9</v>
      </c>
      <c r="O454" s="54"/>
      <c r="P454" s="54">
        <v>255.33</v>
      </c>
      <c r="Q454" s="54"/>
      <c r="R454" s="54">
        <v>86.3</v>
      </c>
      <c r="S454" s="54"/>
      <c r="T454" s="54">
        <v>7.5</v>
      </c>
      <c r="U454" s="54">
        <v>42</v>
      </c>
      <c r="V454" s="56">
        <f t="shared" si="110"/>
        <v>2327.3500000000004</v>
      </c>
      <c r="W454" s="54">
        <v>92.75</v>
      </c>
      <c r="X454" s="54"/>
      <c r="Y454" s="56">
        <f t="shared" si="111"/>
        <v>92.75</v>
      </c>
      <c r="Z454" s="54"/>
      <c r="AA454" s="54">
        <v>5.71</v>
      </c>
      <c r="AB454" s="54"/>
      <c r="AC454" s="54"/>
      <c r="AD454" s="56">
        <f t="shared" si="112"/>
        <v>5.71</v>
      </c>
      <c r="AE454" s="54">
        <v>823.94</v>
      </c>
      <c r="AF454" s="56">
        <f t="shared" si="113"/>
        <v>823.94</v>
      </c>
      <c r="AG454" s="54"/>
      <c r="AH454" s="56">
        <f t="shared" si="114"/>
        <v>5347.39</v>
      </c>
    </row>
    <row r="455" spans="1:34" ht="16.5">
      <c r="A455" s="124"/>
      <c r="B455" s="49">
        <v>44445</v>
      </c>
      <c r="C455" s="54">
        <v>43</v>
      </c>
      <c r="D455" s="54"/>
      <c r="E455" s="54"/>
      <c r="F455" s="54"/>
      <c r="G455" s="54"/>
      <c r="H455" s="54"/>
      <c r="I455" s="56">
        <f t="shared" si="109"/>
        <v>43</v>
      </c>
      <c r="J455" s="54">
        <v>108</v>
      </c>
      <c r="K455" s="54"/>
      <c r="L455" s="54">
        <v>140.47999999999999</v>
      </c>
      <c r="M455" s="54">
        <v>633.75</v>
      </c>
      <c r="N455" s="54">
        <v>0.8</v>
      </c>
      <c r="O455" s="54">
        <v>12</v>
      </c>
      <c r="P455" s="54">
        <v>92.48</v>
      </c>
      <c r="Q455" s="54">
        <v>127.55</v>
      </c>
      <c r="R455" s="54">
        <v>46.66</v>
      </c>
      <c r="S455" s="54"/>
      <c r="T455" s="54">
        <v>2.5</v>
      </c>
      <c r="U455" s="54">
        <v>73</v>
      </c>
      <c r="V455" s="56">
        <f t="shared" si="110"/>
        <v>1237.22</v>
      </c>
      <c r="W455" s="54">
        <v>285.05</v>
      </c>
      <c r="X455" s="54"/>
      <c r="Y455" s="56">
        <f>SUM(W455:X455)</f>
        <v>285.05</v>
      </c>
      <c r="Z455" s="54"/>
      <c r="AA455" s="54"/>
      <c r="AB455" s="54"/>
      <c r="AC455" s="54"/>
      <c r="AD455" s="56">
        <f>SUM(Z455:AC455)</f>
        <v>0</v>
      </c>
      <c r="AE455" s="54">
        <v>507.12</v>
      </c>
      <c r="AF455" s="56">
        <f>SUM(AE455)</f>
        <v>507.12</v>
      </c>
      <c r="AG455" s="54"/>
      <c r="AH455" s="56">
        <f t="shared" si="114"/>
        <v>2072.3900000000003</v>
      </c>
    </row>
    <row r="456" spans="1:34" ht="16.5">
      <c r="A456" s="124"/>
      <c r="B456" s="49">
        <v>44446</v>
      </c>
      <c r="C456" s="54">
        <v>3.43</v>
      </c>
      <c r="D456" s="54"/>
      <c r="E456" s="54"/>
      <c r="F456" s="54"/>
      <c r="G456" s="54"/>
      <c r="H456" s="54"/>
      <c r="I456" s="56">
        <f t="shared" si="109"/>
        <v>3.43</v>
      </c>
      <c r="J456" s="54">
        <v>64.5</v>
      </c>
      <c r="K456" s="54"/>
      <c r="L456" s="54">
        <v>93.24</v>
      </c>
      <c r="M456" s="54">
        <v>896.75</v>
      </c>
      <c r="N456" s="54">
        <v>3.2</v>
      </c>
      <c r="O456" s="54">
        <v>6</v>
      </c>
      <c r="P456" s="54">
        <v>336.45</v>
      </c>
      <c r="Q456" s="54">
        <v>124.54</v>
      </c>
      <c r="R456" s="54">
        <v>72.31</v>
      </c>
      <c r="S456" s="54"/>
      <c r="T456" s="54">
        <v>5</v>
      </c>
      <c r="U456" s="54">
        <v>64</v>
      </c>
      <c r="V456" s="56">
        <f t="shared" si="110"/>
        <v>1665.99</v>
      </c>
      <c r="W456" s="54">
        <v>333.05</v>
      </c>
      <c r="X456" s="54"/>
      <c r="Y456" s="56">
        <f t="shared" ref="Y456:Y463" si="115">SUM(W456:X456)</f>
        <v>333.05</v>
      </c>
      <c r="Z456" s="54"/>
      <c r="AA456" s="54"/>
      <c r="AB456" s="54"/>
      <c r="AC456" s="54"/>
      <c r="AD456" s="56">
        <f t="shared" ref="AD456:AD475" si="116">SUM(Z456:AC456)</f>
        <v>0</v>
      </c>
      <c r="AE456" s="54">
        <v>5182.05</v>
      </c>
      <c r="AF456" s="56">
        <f t="shared" ref="AF456:AF463" si="117">SUM(AE456)</f>
        <v>5182.05</v>
      </c>
      <c r="AG456" s="54"/>
      <c r="AH456" s="56">
        <f t="shared" si="114"/>
        <v>7184.52</v>
      </c>
    </row>
    <row r="457" spans="1:34" ht="16.5">
      <c r="A457" s="124"/>
      <c r="B457" s="49">
        <v>44447</v>
      </c>
      <c r="C457" s="54">
        <v>382.37</v>
      </c>
      <c r="D457" s="54"/>
      <c r="E457" s="54"/>
      <c r="F457" s="54"/>
      <c r="G457" s="54"/>
      <c r="H457" s="54"/>
      <c r="I457" s="56">
        <f t="shared" si="109"/>
        <v>382.37</v>
      </c>
      <c r="J457" s="54">
        <v>17</v>
      </c>
      <c r="K457" s="54"/>
      <c r="L457" s="54">
        <v>85.35</v>
      </c>
      <c r="M457" s="54">
        <v>41.3</v>
      </c>
      <c r="N457" s="54">
        <v>0.16</v>
      </c>
      <c r="O457" s="54"/>
      <c r="P457" s="54">
        <v>72.14</v>
      </c>
      <c r="Q457" s="54"/>
      <c r="R457" s="54">
        <v>2.2200000000000002</v>
      </c>
      <c r="S457" s="54"/>
      <c r="T457" s="54">
        <v>5</v>
      </c>
      <c r="U457" s="54">
        <v>61</v>
      </c>
      <c r="V457" s="56">
        <f t="shared" si="110"/>
        <v>284.16999999999996</v>
      </c>
      <c r="W457" s="54"/>
      <c r="X457" s="54"/>
      <c r="Y457" s="56">
        <f t="shared" si="115"/>
        <v>0</v>
      </c>
      <c r="Z457" s="54"/>
      <c r="AA457" s="54"/>
      <c r="AB457" s="54"/>
      <c r="AC457" s="54"/>
      <c r="AD457" s="56">
        <f t="shared" si="116"/>
        <v>0</v>
      </c>
      <c r="AE457" s="54">
        <v>842.51</v>
      </c>
      <c r="AF457" s="56">
        <f t="shared" si="117"/>
        <v>842.51</v>
      </c>
      <c r="AG457" s="54"/>
      <c r="AH457" s="56">
        <f t="shared" si="114"/>
        <v>1509.0499999999997</v>
      </c>
    </row>
    <row r="458" spans="1:34" ht="16.5">
      <c r="A458" s="124"/>
      <c r="B458" s="49">
        <v>44448</v>
      </c>
      <c r="C458" s="54"/>
      <c r="D458" s="54"/>
      <c r="E458" s="54"/>
      <c r="F458" s="54"/>
      <c r="G458" s="54"/>
      <c r="H458" s="54"/>
      <c r="I458" s="56">
        <f t="shared" si="109"/>
        <v>0</v>
      </c>
      <c r="J458" s="54">
        <v>48.5</v>
      </c>
      <c r="K458" s="54"/>
      <c r="L458" s="54">
        <v>63.7</v>
      </c>
      <c r="M458" s="54">
        <v>93.78</v>
      </c>
      <c r="N458" s="54">
        <v>5.13</v>
      </c>
      <c r="O458" s="54"/>
      <c r="P458" s="54">
        <v>35.44</v>
      </c>
      <c r="Q458" s="54"/>
      <c r="R458" s="54">
        <v>29.09</v>
      </c>
      <c r="S458" s="54"/>
      <c r="T458" s="54">
        <v>5</v>
      </c>
      <c r="U458" s="54">
        <v>58</v>
      </c>
      <c r="V458" s="56">
        <f t="shared" si="110"/>
        <v>338.64</v>
      </c>
      <c r="W458" s="54">
        <v>110.1</v>
      </c>
      <c r="X458" s="54"/>
      <c r="Y458" s="56">
        <f t="shared" si="115"/>
        <v>110.1</v>
      </c>
      <c r="Z458" s="54"/>
      <c r="AA458" s="54"/>
      <c r="AB458" s="54"/>
      <c r="AC458" s="54"/>
      <c r="AD458" s="56">
        <f t="shared" si="116"/>
        <v>0</v>
      </c>
      <c r="AE458" s="54">
        <v>291.95999999999998</v>
      </c>
      <c r="AF458" s="56">
        <f t="shared" si="117"/>
        <v>291.95999999999998</v>
      </c>
      <c r="AG458" s="54"/>
      <c r="AH458" s="56">
        <f t="shared" si="114"/>
        <v>740.69999999999993</v>
      </c>
    </row>
    <row r="459" spans="1:34" ht="16.5">
      <c r="A459" s="124"/>
      <c r="B459" s="49">
        <v>44449</v>
      </c>
      <c r="C459" s="54">
        <v>22.5</v>
      </c>
      <c r="D459" s="54"/>
      <c r="E459" s="54"/>
      <c r="F459" s="54"/>
      <c r="G459" s="54"/>
      <c r="H459" s="54"/>
      <c r="I459" s="56">
        <f t="shared" si="109"/>
        <v>22.5</v>
      </c>
      <c r="J459" s="54">
        <v>57</v>
      </c>
      <c r="K459" s="54">
        <v>1</v>
      </c>
      <c r="L459" s="54">
        <v>169.88</v>
      </c>
      <c r="M459" s="54">
        <v>2812.18</v>
      </c>
      <c r="N459" s="54">
        <v>6.9</v>
      </c>
      <c r="O459" s="54">
        <v>12</v>
      </c>
      <c r="P459" s="54">
        <v>231.25</v>
      </c>
      <c r="Q459" s="54">
        <v>401.13</v>
      </c>
      <c r="R459" s="54">
        <v>103.1</v>
      </c>
      <c r="S459" s="54"/>
      <c r="T459" s="54">
        <v>5</v>
      </c>
      <c r="U459" s="54">
        <v>36</v>
      </c>
      <c r="V459" s="56">
        <f t="shared" si="110"/>
        <v>3835.44</v>
      </c>
      <c r="W459" s="54">
        <v>35.700000000000003</v>
      </c>
      <c r="X459" s="54"/>
      <c r="Y459" s="56">
        <f t="shared" si="115"/>
        <v>35.700000000000003</v>
      </c>
      <c r="Z459" s="54"/>
      <c r="AA459" s="54">
        <v>3</v>
      </c>
      <c r="AB459" s="54"/>
      <c r="AC459" s="54"/>
      <c r="AD459" s="56">
        <f t="shared" si="116"/>
        <v>3</v>
      </c>
      <c r="AE459" s="54">
        <v>1351.13</v>
      </c>
      <c r="AF459" s="56">
        <f t="shared" si="117"/>
        <v>1351.13</v>
      </c>
      <c r="AG459" s="54"/>
      <c r="AH459" s="56">
        <f t="shared" si="114"/>
        <v>5247.77</v>
      </c>
    </row>
    <row r="460" spans="1:34" ht="16.5">
      <c r="A460" s="124"/>
      <c r="B460" s="49">
        <v>44452</v>
      </c>
      <c r="C460" s="54">
        <v>1.8</v>
      </c>
      <c r="D460" s="54"/>
      <c r="E460" s="54"/>
      <c r="F460" s="72"/>
      <c r="G460" s="72"/>
      <c r="H460" s="72"/>
      <c r="I460" s="56">
        <f t="shared" si="109"/>
        <v>1.8</v>
      </c>
      <c r="J460" s="54">
        <v>79</v>
      </c>
      <c r="K460" s="54"/>
      <c r="L460" s="54">
        <v>1716.09</v>
      </c>
      <c r="M460" s="54">
        <v>4815.63</v>
      </c>
      <c r="N460" s="54">
        <v>24.41</v>
      </c>
      <c r="O460" s="54"/>
      <c r="P460" s="54">
        <v>689.46</v>
      </c>
      <c r="Q460" s="54">
        <v>18</v>
      </c>
      <c r="R460" s="54">
        <v>688.92</v>
      </c>
      <c r="S460" s="54"/>
      <c r="T460" s="54">
        <v>2.5</v>
      </c>
      <c r="U460" s="54">
        <v>3614.16</v>
      </c>
      <c r="V460" s="56">
        <f t="shared" si="110"/>
        <v>11648.17</v>
      </c>
      <c r="W460" s="54">
        <v>87.1</v>
      </c>
      <c r="X460" s="54"/>
      <c r="Y460" s="56">
        <f t="shared" si="115"/>
        <v>87.1</v>
      </c>
      <c r="Z460" s="54"/>
      <c r="AA460" s="54"/>
      <c r="AB460" s="54">
        <v>2857.16</v>
      </c>
      <c r="AC460" s="54"/>
      <c r="AD460" s="56">
        <f t="shared" si="116"/>
        <v>2857.16</v>
      </c>
      <c r="AE460" s="54">
        <v>93</v>
      </c>
      <c r="AF460" s="56">
        <f t="shared" si="117"/>
        <v>93</v>
      </c>
      <c r="AG460" s="54"/>
      <c r="AH460" s="56">
        <f t="shared" si="114"/>
        <v>14687.23</v>
      </c>
    </row>
    <row r="461" spans="1:34" ht="16.5">
      <c r="A461" s="124"/>
      <c r="B461" s="49">
        <v>44453</v>
      </c>
      <c r="C461" s="54">
        <v>10</v>
      </c>
      <c r="D461" s="54"/>
      <c r="E461" s="54"/>
      <c r="F461" s="72"/>
      <c r="G461" s="72"/>
      <c r="H461" s="72"/>
      <c r="I461" s="56">
        <f t="shared" si="109"/>
        <v>10</v>
      </c>
      <c r="J461" s="54">
        <v>61</v>
      </c>
      <c r="K461" s="54">
        <v>1</v>
      </c>
      <c r="L461" s="54">
        <v>247.12</v>
      </c>
      <c r="M461" s="54">
        <v>340.16</v>
      </c>
      <c r="N461" s="54">
        <v>0.26</v>
      </c>
      <c r="O461" s="54"/>
      <c r="P461" s="54">
        <v>96.75</v>
      </c>
      <c r="Q461" s="54">
        <v>554.42999999999995</v>
      </c>
      <c r="R461" s="54">
        <v>27.27</v>
      </c>
      <c r="S461" s="54"/>
      <c r="T461" s="54">
        <v>12.5</v>
      </c>
      <c r="U461" s="54">
        <v>162.15</v>
      </c>
      <c r="V461" s="56">
        <f t="shared" si="110"/>
        <v>1502.6399999999999</v>
      </c>
      <c r="W461" s="54">
        <v>253.2</v>
      </c>
      <c r="X461" s="54"/>
      <c r="Y461" s="56">
        <f t="shared" si="115"/>
        <v>253.2</v>
      </c>
      <c r="Z461" s="54"/>
      <c r="AA461" s="54"/>
      <c r="AB461" s="54"/>
      <c r="AC461" s="54"/>
      <c r="AD461" s="56">
        <f t="shared" si="116"/>
        <v>0</v>
      </c>
      <c r="AE461" s="54">
        <v>723.73</v>
      </c>
      <c r="AF461" s="56">
        <f t="shared" si="117"/>
        <v>723.73</v>
      </c>
      <c r="AG461" s="54"/>
      <c r="AH461" s="56">
        <f t="shared" si="114"/>
        <v>2489.5699999999997</v>
      </c>
    </row>
    <row r="462" spans="1:34" ht="16.5">
      <c r="A462" s="124"/>
      <c r="B462" s="49">
        <v>44455</v>
      </c>
      <c r="C462" s="54">
        <v>43.5</v>
      </c>
      <c r="D462" s="54"/>
      <c r="E462" s="54"/>
      <c r="F462" s="72"/>
      <c r="G462" s="72"/>
      <c r="H462" s="72"/>
      <c r="I462" s="56">
        <f t="shared" si="109"/>
        <v>43.5</v>
      </c>
      <c r="J462" s="54">
        <v>91</v>
      </c>
      <c r="K462" s="54">
        <v>1</v>
      </c>
      <c r="L462" s="54">
        <v>116.48</v>
      </c>
      <c r="M462" s="54">
        <v>297.63</v>
      </c>
      <c r="N462" s="54">
        <v>6.12</v>
      </c>
      <c r="O462" s="54"/>
      <c r="P462" s="54">
        <v>356.94</v>
      </c>
      <c r="Q462" s="54"/>
      <c r="R462" s="54">
        <v>40.450000000000003</v>
      </c>
      <c r="S462" s="54"/>
      <c r="T462" s="54">
        <v>5</v>
      </c>
      <c r="U462" s="54">
        <v>222.26</v>
      </c>
      <c r="V462" s="56">
        <f t="shared" si="110"/>
        <v>1136.8800000000001</v>
      </c>
      <c r="W462" s="54">
        <v>628.75</v>
      </c>
      <c r="X462" s="54"/>
      <c r="Y462" s="56">
        <f t="shared" si="115"/>
        <v>628.75</v>
      </c>
      <c r="Z462" s="54"/>
      <c r="AA462" s="54"/>
      <c r="AB462" s="54"/>
      <c r="AC462" s="54"/>
      <c r="AD462" s="56">
        <f t="shared" si="116"/>
        <v>0</v>
      </c>
      <c r="AE462" s="54">
        <v>4535.72</v>
      </c>
      <c r="AF462" s="56">
        <f t="shared" si="117"/>
        <v>4535.72</v>
      </c>
      <c r="AG462" s="54"/>
      <c r="AH462" s="56">
        <f t="shared" si="114"/>
        <v>6344.85</v>
      </c>
    </row>
    <row r="463" spans="1:34" ht="16.5">
      <c r="A463" s="124"/>
      <c r="B463" s="49">
        <v>44456</v>
      </c>
      <c r="C463" s="54">
        <v>559.1</v>
      </c>
      <c r="D463" s="54"/>
      <c r="E463" s="54"/>
      <c r="F463" s="72"/>
      <c r="G463" s="72"/>
      <c r="H463" s="72"/>
      <c r="I463" s="56">
        <f t="shared" si="109"/>
        <v>559.1</v>
      </c>
      <c r="J463" s="54">
        <v>70.5</v>
      </c>
      <c r="K463" s="54">
        <v>2</v>
      </c>
      <c r="L463" s="54">
        <v>119.21</v>
      </c>
      <c r="M463" s="54">
        <v>1291.8599999999999</v>
      </c>
      <c r="N463" s="54">
        <v>18.39</v>
      </c>
      <c r="O463" s="54">
        <v>6</v>
      </c>
      <c r="P463" s="54">
        <v>1405.29</v>
      </c>
      <c r="Q463" s="54">
        <v>475.73</v>
      </c>
      <c r="R463" s="54">
        <v>72.099999999999994</v>
      </c>
      <c r="S463" s="54">
        <v>23260</v>
      </c>
      <c r="T463" s="54">
        <v>15.5</v>
      </c>
      <c r="U463" s="54">
        <v>32</v>
      </c>
      <c r="V463" s="56">
        <f t="shared" si="110"/>
        <v>26768.58</v>
      </c>
      <c r="W463" s="54">
        <v>516.65</v>
      </c>
      <c r="X463" s="54"/>
      <c r="Y463" s="56">
        <f t="shared" si="115"/>
        <v>516.65</v>
      </c>
      <c r="Z463" s="54"/>
      <c r="AA463" s="54"/>
      <c r="AB463" s="54"/>
      <c r="AC463" s="54"/>
      <c r="AD463" s="56">
        <f t="shared" si="116"/>
        <v>0</v>
      </c>
      <c r="AE463" s="54">
        <v>2125.96</v>
      </c>
      <c r="AF463" s="56">
        <f t="shared" si="117"/>
        <v>2125.96</v>
      </c>
      <c r="AG463" s="54"/>
      <c r="AH463" s="56">
        <f t="shared" si="114"/>
        <v>29970.29</v>
      </c>
    </row>
    <row r="464" spans="1:34" ht="16.5">
      <c r="A464" s="124"/>
      <c r="B464" s="49">
        <v>44459</v>
      </c>
      <c r="C464" s="54">
        <v>215.08</v>
      </c>
      <c r="D464" s="54"/>
      <c r="E464" s="54"/>
      <c r="F464" s="72"/>
      <c r="G464" s="72"/>
      <c r="H464" s="72"/>
      <c r="I464" s="56">
        <f t="shared" si="109"/>
        <v>215.08</v>
      </c>
      <c r="J464" s="54">
        <v>104.5</v>
      </c>
      <c r="K464" s="54">
        <v>1</v>
      </c>
      <c r="L464" s="54">
        <v>50.12</v>
      </c>
      <c r="M464" s="54">
        <v>151.97999999999999</v>
      </c>
      <c r="N464" s="54">
        <v>0.96</v>
      </c>
      <c r="O464" s="54">
        <v>12</v>
      </c>
      <c r="P464" s="54">
        <v>228.37</v>
      </c>
      <c r="Q464" s="54">
        <v>133.47</v>
      </c>
      <c r="R464" s="54">
        <v>37.81</v>
      </c>
      <c r="S464" s="54"/>
      <c r="T464" s="54">
        <v>20</v>
      </c>
      <c r="U464" s="54">
        <v>423</v>
      </c>
      <c r="V464" s="56">
        <f t="shared" si="110"/>
        <v>1163.21</v>
      </c>
      <c r="W464" s="54">
        <v>733.45</v>
      </c>
      <c r="X464" s="54"/>
      <c r="Y464" s="56">
        <f t="shared" si="111"/>
        <v>733.45</v>
      </c>
      <c r="Z464" s="54"/>
      <c r="AA464" s="54"/>
      <c r="AB464" s="54"/>
      <c r="AC464" s="54"/>
      <c r="AD464" s="56">
        <f t="shared" si="116"/>
        <v>0</v>
      </c>
      <c r="AE464" s="54">
        <v>2818.08</v>
      </c>
      <c r="AF464" s="56">
        <f t="shared" si="113"/>
        <v>2818.08</v>
      </c>
      <c r="AG464" s="54"/>
      <c r="AH464" s="56">
        <f t="shared" si="114"/>
        <v>4929.82</v>
      </c>
    </row>
    <row r="465" spans="1:34" ht="16.5">
      <c r="A465" s="124"/>
      <c r="B465" s="49">
        <v>44460</v>
      </c>
      <c r="C465" s="54">
        <v>240</v>
      </c>
      <c r="D465" s="54"/>
      <c r="E465" s="54"/>
      <c r="F465" s="54"/>
      <c r="G465" s="54"/>
      <c r="H465" s="54"/>
      <c r="I465" s="56">
        <f t="shared" si="109"/>
        <v>240</v>
      </c>
      <c r="J465" s="54">
        <v>111.5</v>
      </c>
      <c r="K465" s="54"/>
      <c r="L465" s="54">
        <v>233.56</v>
      </c>
      <c r="M465" s="54">
        <v>221.2</v>
      </c>
      <c r="N465" s="54">
        <v>5.89</v>
      </c>
      <c r="O465" s="54"/>
      <c r="P465" s="54">
        <v>185.35</v>
      </c>
      <c r="Q465" s="54">
        <v>443.1</v>
      </c>
      <c r="R465" s="54">
        <v>121.48</v>
      </c>
      <c r="S465" s="54"/>
      <c r="T465" s="54">
        <v>10</v>
      </c>
      <c r="U465" s="54">
        <v>134</v>
      </c>
      <c r="V465" s="56">
        <f t="shared" si="110"/>
        <v>1466.08</v>
      </c>
      <c r="W465" s="54">
        <v>1021.2</v>
      </c>
      <c r="X465" s="54"/>
      <c r="Y465" s="56">
        <f t="shared" si="111"/>
        <v>1021.2</v>
      </c>
      <c r="Z465" s="54"/>
      <c r="AA465" s="54">
        <v>5.71</v>
      </c>
      <c r="AB465" s="54"/>
      <c r="AC465" s="54"/>
      <c r="AD465" s="56">
        <f t="shared" si="116"/>
        <v>5.71</v>
      </c>
      <c r="AE465" s="54">
        <v>1622.18</v>
      </c>
      <c r="AF465" s="56">
        <f t="shared" si="113"/>
        <v>1622.18</v>
      </c>
      <c r="AG465" s="54"/>
      <c r="AH465" s="56">
        <f t="shared" si="114"/>
        <v>4355.17</v>
      </c>
    </row>
    <row r="466" spans="1:34" ht="16.5">
      <c r="A466" s="124"/>
      <c r="B466" s="49">
        <v>44461</v>
      </c>
      <c r="C466" s="54">
        <v>296</v>
      </c>
      <c r="D466" s="54"/>
      <c r="E466" s="54"/>
      <c r="F466" s="54"/>
      <c r="G466" s="54">
        <v>7</v>
      </c>
      <c r="H466" s="54"/>
      <c r="I466" s="56">
        <f t="shared" si="109"/>
        <v>303</v>
      </c>
      <c r="J466" s="54">
        <v>39</v>
      </c>
      <c r="K466" s="54"/>
      <c r="L466" s="54">
        <v>242.59</v>
      </c>
      <c r="M466" s="54">
        <v>389.88</v>
      </c>
      <c r="N466" s="54">
        <v>4.8</v>
      </c>
      <c r="O466" s="54"/>
      <c r="P466" s="54">
        <v>154.30000000000001</v>
      </c>
      <c r="Q466" s="54">
        <v>227.31</v>
      </c>
      <c r="R466" s="54">
        <v>45.09</v>
      </c>
      <c r="S466" s="54"/>
      <c r="T466" s="54">
        <v>5</v>
      </c>
      <c r="U466" s="54">
        <v>545.63</v>
      </c>
      <c r="V466" s="56">
        <f t="shared" si="110"/>
        <v>1653.6</v>
      </c>
      <c r="W466" s="54">
        <v>588.79999999999995</v>
      </c>
      <c r="X466" s="54"/>
      <c r="Y466" s="56">
        <f t="shared" si="111"/>
        <v>588.79999999999995</v>
      </c>
      <c r="Z466" s="54"/>
      <c r="AA466" s="54"/>
      <c r="AB466" s="54"/>
      <c r="AC466" s="54"/>
      <c r="AD466" s="56">
        <f t="shared" si="116"/>
        <v>0</v>
      </c>
      <c r="AE466" s="54">
        <v>833.37</v>
      </c>
      <c r="AF466" s="56">
        <f t="shared" si="113"/>
        <v>833.37</v>
      </c>
      <c r="AG466" s="54"/>
      <c r="AH466" s="56">
        <f t="shared" si="114"/>
        <v>3378.77</v>
      </c>
    </row>
    <row r="467" spans="1:34" ht="16.5">
      <c r="A467" s="124"/>
      <c r="B467" s="49">
        <v>44462</v>
      </c>
      <c r="C467" s="54">
        <v>22.5</v>
      </c>
      <c r="D467" s="54"/>
      <c r="E467" s="54"/>
      <c r="F467" s="54"/>
      <c r="G467" s="54">
        <v>3.5</v>
      </c>
      <c r="H467" s="54"/>
      <c r="I467" s="56">
        <f t="shared" si="109"/>
        <v>26</v>
      </c>
      <c r="J467" s="54">
        <v>63.5</v>
      </c>
      <c r="K467" s="54"/>
      <c r="L467" s="54">
        <v>243.21</v>
      </c>
      <c r="M467" s="54">
        <v>1733.56</v>
      </c>
      <c r="N467" s="54">
        <v>2.88</v>
      </c>
      <c r="O467" s="54"/>
      <c r="P467" s="54">
        <v>231.48</v>
      </c>
      <c r="Q467" s="54">
        <v>200.31</v>
      </c>
      <c r="R467" s="54">
        <v>113.65</v>
      </c>
      <c r="S467" s="54"/>
      <c r="T467" s="54">
        <v>2.5</v>
      </c>
      <c r="U467" s="54">
        <v>3</v>
      </c>
      <c r="V467" s="56">
        <f t="shared" si="110"/>
        <v>2594.09</v>
      </c>
      <c r="W467" s="54">
        <v>432.4</v>
      </c>
      <c r="X467" s="54"/>
      <c r="Y467" s="56">
        <f t="shared" si="111"/>
        <v>432.4</v>
      </c>
      <c r="Z467" s="54"/>
      <c r="AA467" s="54"/>
      <c r="AB467" s="54"/>
      <c r="AC467" s="54"/>
      <c r="AD467" s="56">
        <f t="shared" si="116"/>
        <v>0</v>
      </c>
      <c r="AE467" s="54">
        <v>2040</v>
      </c>
      <c r="AF467" s="56">
        <f t="shared" si="113"/>
        <v>2040</v>
      </c>
      <c r="AG467" s="54"/>
      <c r="AH467" s="56">
        <f t="shared" si="114"/>
        <v>5092.49</v>
      </c>
    </row>
    <row r="468" spans="1:34" ht="16.5">
      <c r="A468" s="124"/>
      <c r="B468" s="49">
        <v>44463</v>
      </c>
      <c r="C468" s="54">
        <v>4515.43</v>
      </c>
      <c r="D468" s="54"/>
      <c r="E468" s="54"/>
      <c r="F468" s="54"/>
      <c r="G468" s="54"/>
      <c r="H468" s="54"/>
      <c r="I468" s="56">
        <f t="shared" si="109"/>
        <v>4515.43</v>
      </c>
      <c r="J468" s="54">
        <v>37.5</v>
      </c>
      <c r="K468" s="54"/>
      <c r="L468" s="54">
        <v>250.38</v>
      </c>
      <c r="M468" s="54">
        <v>2806.42</v>
      </c>
      <c r="N468" s="54">
        <v>7.49</v>
      </c>
      <c r="O468" s="54">
        <v>6</v>
      </c>
      <c r="P468" s="54">
        <v>478.34</v>
      </c>
      <c r="Q468" s="54">
        <v>125.5</v>
      </c>
      <c r="R468" s="54">
        <v>192.24</v>
      </c>
      <c r="S468" s="54"/>
      <c r="T468" s="54">
        <v>7.5</v>
      </c>
      <c r="U468" s="54">
        <v>98</v>
      </c>
      <c r="V468" s="56">
        <f t="shared" si="110"/>
        <v>4009.37</v>
      </c>
      <c r="W468" s="54">
        <v>552.15</v>
      </c>
      <c r="X468" s="54"/>
      <c r="Y468" s="56">
        <f t="shared" si="111"/>
        <v>552.15</v>
      </c>
      <c r="Z468" s="54"/>
      <c r="AA468" s="54"/>
      <c r="AB468" s="54"/>
      <c r="AC468" s="54"/>
      <c r="AD468" s="56">
        <f t="shared" si="116"/>
        <v>0</v>
      </c>
      <c r="AE468" s="54">
        <v>1067.9000000000001</v>
      </c>
      <c r="AF468" s="56">
        <f t="shared" si="113"/>
        <v>1067.9000000000001</v>
      </c>
      <c r="AG468" s="54"/>
      <c r="AH468" s="56">
        <f t="shared" si="114"/>
        <v>10144.85</v>
      </c>
    </row>
    <row r="469" spans="1:34" ht="16.5">
      <c r="A469" s="124"/>
      <c r="B469" s="49">
        <v>44466</v>
      </c>
      <c r="C469" s="54">
        <v>654.54999999999995</v>
      </c>
      <c r="D469" s="54">
        <v>21.6</v>
      </c>
      <c r="E469" s="54"/>
      <c r="F469" s="54"/>
      <c r="G469" s="54"/>
      <c r="H469" s="54"/>
      <c r="I469" s="56">
        <f t="shared" si="109"/>
        <v>676.15</v>
      </c>
      <c r="J469" s="54">
        <v>80.5</v>
      </c>
      <c r="K469" s="54"/>
      <c r="L469" s="54">
        <v>216.79</v>
      </c>
      <c r="M469" s="54">
        <v>347.63</v>
      </c>
      <c r="N469" s="54">
        <v>12.22</v>
      </c>
      <c r="O469" s="54">
        <v>6</v>
      </c>
      <c r="P469" s="54">
        <v>279.23</v>
      </c>
      <c r="Q469" s="54">
        <v>119.5</v>
      </c>
      <c r="R469" s="54">
        <v>48.45</v>
      </c>
      <c r="S469" s="54"/>
      <c r="T469" s="54"/>
      <c r="U469" s="54">
        <v>2314.29</v>
      </c>
      <c r="V469" s="56">
        <f t="shared" si="110"/>
        <v>3424.6099999999997</v>
      </c>
      <c r="W469" s="54">
        <v>778.75</v>
      </c>
      <c r="X469" s="54"/>
      <c r="Y469" s="56">
        <f t="shared" si="111"/>
        <v>778.75</v>
      </c>
      <c r="Z469" s="54"/>
      <c r="AA469" s="54"/>
      <c r="AB469" s="54">
        <v>34.22</v>
      </c>
      <c r="AC469" s="54"/>
      <c r="AD469" s="56">
        <f t="shared" si="116"/>
        <v>34.22</v>
      </c>
      <c r="AE469" s="54">
        <v>1079.1099999999999</v>
      </c>
      <c r="AF469" s="56">
        <f t="shared" si="113"/>
        <v>1079.1099999999999</v>
      </c>
      <c r="AG469" s="54"/>
      <c r="AH469" s="56">
        <f t="shared" si="114"/>
        <v>5992.8399999999992</v>
      </c>
    </row>
    <row r="470" spans="1:34" ht="16.5">
      <c r="A470" s="124"/>
      <c r="B470" s="49">
        <v>44467</v>
      </c>
      <c r="C470" s="54">
        <v>1163.3399999999999</v>
      </c>
      <c r="D470" s="54"/>
      <c r="E470" s="54"/>
      <c r="F470" s="54"/>
      <c r="G470" s="54"/>
      <c r="H470" s="54"/>
      <c r="I470" s="56">
        <f t="shared" si="109"/>
        <v>1163.3399999999999</v>
      </c>
      <c r="J470" s="54">
        <v>67</v>
      </c>
      <c r="K470" s="54"/>
      <c r="L470" s="54">
        <v>119.74</v>
      </c>
      <c r="M470" s="54">
        <v>811.48</v>
      </c>
      <c r="N470" s="54">
        <v>5.34</v>
      </c>
      <c r="O470" s="54">
        <v>6</v>
      </c>
      <c r="P470" s="54">
        <v>358.81</v>
      </c>
      <c r="Q470" s="54">
        <v>425.91</v>
      </c>
      <c r="R470" s="54">
        <v>85</v>
      </c>
      <c r="S470" s="54"/>
      <c r="T470" s="54">
        <v>5</v>
      </c>
      <c r="U470" s="54">
        <v>216</v>
      </c>
      <c r="V470" s="56">
        <f t="shared" si="110"/>
        <v>2100.2800000000002</v>
      </c>
      <c r="W470" s="54">
        <v>497.6</v>
      </c>
      <c r="X470" s="54"/>
      <c r="Y470" s="56">
        <f t="shared" si="111"/>
        <v>497.6</v>
      </c>
      <c r="Z470" s="54"/>
      <c r="AA470" s="54">
        <v>3</v>
      </c>
      <c r="AB470" s="54">
        <v>3</v>
      </c>
      <c r="AC470" s="54"/>
      <c r="AD470" s="56">
        <f t="shared" si="116"/>
        <v>6</v>
      </c>
      <c r="AE470" s="54">
        <v>4176.93</v>
      </c>
      <c r="AF470" s="56">
        <f t="shared" si="113"/>
        <v>4176.93</v>
      </c>
      <c r="AG470" s="54"/>
      <c r="AH470" s="56">
        <f t="shared" si="114"/>
        <v>7944.1500000000015</v>
      </c>
    </row>
    <row r="471" spans="1:34" ht="16.5">
      <c r="A471" s="124"/>
      <c r="B471" s="49">
        <v>44468</v>
      </c>
      <c r="C471" s="54">
        <v>1024.6400000000001</v>
      </c>
      <c r="D471" s="54"/>
      <c r="E471" s="54"/>
      <c r="F471" s="54"/>
      <c r="G471" s="54"/>
      <c r="H471" s="54"/>
      <c r="I471" s="56">
        <f t="shared" si="109"/>
        <v>1024.6400000000001</v>
      </c>
      <c r="J471" s="54">
        <v>48.5</v>
      </c>
      <c r="K471" s="54"/>
      <c r="L471" s="54">
        <v>287.18</v>
      </c>
      <c r="M471" s="54">
        <v>2645.35</v>
      </c>
      <c r="N471" s="54">
        <v>29</v>
      </c>
      <c r="O471" s="54">
        <v>12</v>
      </c>
      <c r="P471" s="54">
        <v>1017.8</v>
      </c>
      <c r="Q471" s="54">
        <v>171</v>
      </c>
      <c r="R471" s="54">
        <v>177.93</v>
      </c>
      <c r="S471" s="54"/>
      <c r="T471" s="54">
        <v>5</v>
      </c>
      <c r="U471" s="54">
        <v>583.51</v>
      </c>
      <c r="V471" s="56">
        <f t="shared" si="110"/>
        <v>4977.2700000000004</v>
      </c>
      <c r="W471" s="54">
        <v>465.95</v>
      </c>
      <c r="X471" s="54"/>
      <c r="Y471" s="56">
        <f t="shared" si="111"/>
        <v>465.95</v>
      </c>
      <c r="Z471" s="54">
        <v>550.20000000000005</v>
      </c>
      <c r="AA471" s="54"/>
      <c r="AB471" s="54">
        <v>88.2</v>
      </c>
      <c r="AC471" s="54"/>
      <c r="AD471" s="56">
        <f t="shared" si="116"/>
        <v>638.40000000000009</v>
      </c>
      <c r="AE471" s="54">
        <v>15024.58</v>
      </c>
      <c r="AF471" s="56">
        <f t="shared" si="113"/>
        <v>15024.58</v>
      </c>
      <c r="AG471" s="54"/>
      <c r="AH471" s="56">
        <f t="shared" si="114"/>
        <v>22130.84</v>
      </c>
    </row>
    <row r="472" spans="1:34" ht="16.5">
      <c r="A472" s="124"/>
      <c r="B472" s="49">
        <v>44469</v>
      </c>
      <c r="C472" s="54">
        <v>4186.16</v>
      </c>
      <c r="D472" s="54"/>
      <c r="E472" s="54"/>
      <c r="F472" s="54"/>
      <c r="G472" s="54">
        <v>18</v>
      </c>
      <c r="H472" s="54">
        <v>675</v>
      </c>
      <c r="I472" s="56">
        <f t="shared" si="109"/>
        <v>4879.16</v>
      </c>
      <c r="J472" s="54">
        <v>71</v>
      </c>
      <c r="K472" s="54">
        <v>1</v>
      </c>
      <c r="L472" s="54">
        <v>634.78</v>
      </c>
      <c r="M472" s="54">
        <v>4836.09</v>
      </c>
      <c r="N472" s="54">
        <v>13.77</v>
      </c>
      <c r="O472" s="54">
        <v>6</v>
      </c>
      <c r="P472" s="54">
        <v>1092.1600000000001</v>
      </c>
      <c r="Q472" s="54">
        <v>336.77</v>
      </c>
      <c r="R472" s="54"/>
      <c r="S472" s="54"/>
      <c r="T472" s="54">
        <v>7.5</v>
      </c>
      <c r="U472" s="54">
        <v>486.5</v>
      </c>
      <c r="V472" s="56">
        <f t="shared" si="110"/>
        <v>7485.57</v>
      </c>
      <c r="W472" s="54">
        <v>577.95000000000005</v>
      </c>
      <c r="X472" s="54"/>
      <c r="Y472" s="56">
        <f t="shared" si="111"/>
        <v>577.95000000000005</v>
      </c>
      <c r="Z472" s="54"/>
      <c r="AA472" s="54">
        <v>8.86</v>
      </c>
      <c r="AB472" s="54"/>
      <c r="AC472" s="54"/>
      <c r="AD472" s="56">
        <f t="shared" si="116"/>
        <v>8.86</v>
      </c>
      <c r="AE472" s="54">
        <v>10285.09</v>
      </c>
      <c r="AF472" s="56">
        <f t="shared" si="113"/>
        <v>10285.09</v>
      </c>
      <c r="AG472" s="54"/>
      <c r="AH472" s="56">
        <f t="shared" si="114"/>
        <v>23236.63</v>
      </c>
    </row>
    <row r="473" spans="1:34" ht="16.5">
      <c r="A473" s="124"/>
      <c r="B473" s="49"/>
      <c r="C473" s="54"/>
      <c r="D473" s="54"/>
      <c r="E473" s="54"/>
      <c r="F473" s="54"/>
      <c r="G473" s="54"/>
      <c r="H473" s="54"/>
      <c r="I473" s="56">
        <f t="shared" si="109"/>
        <v>0</v>
      </c>
      <c r="J473" s="54"/>
      <c r="K473" s="54"/>
      <c r="L473" s="54"/>
      <c r="M473" s="54"/>
      <c r="N473" s="54"/>
      <c r="O473" s="54"/>
      <c r="P473" s="54"/>
      <c r="Q473" s="54"/>
      <c r="R473" s="54"/>
      <c r="S473" s="54"/>
      <c r="T473" s="54"/>
      <c r="U473" s="54"/>
      <c r="V473" s="56">
        <f t="shared" si="110"/>
        <v>0</v>
      </c>
      <c r="W473" s="54"/>
      <c r="X473" s="54"/>
      <c r="Y473" s="56">
        <f t="shared" si="111"/>
        <v>0</v>
      </c>
      <c r="Z473" s="54"/>
      <c r="AA473" s="54"/>
      <c r="AB473" s="54"/>
      <c r="AC473" s="54"/>
      <c r="AD473" s="56">
        <f t="shared" si="116"/>
        <v>0</v>
      </c>
      <c r="AE473" s="54"/>
      <c r="AF473" s="56">
        <f t="shared" si="113"/>
        <v>0</v>
      </c>
      <c r="AG473" s="54"/>
      <c r="AH473" s="56">
        <f t="shared" si="114"/>
        <v>0</v>
      </c>
    </row>
    <row r="474" spans="1:34" ht="16.5">
      <c r="A474" s="124"/>
      <c r="B474" s="49"/>
      <c r="C474" s="54"/>
      <c r="D474" s="54"/>
      <c r="E474" s="54"/>
      <c r="F474" s="54"/>
      <c r="G474" s="54"/>
      <c r="H474" s="54"/>
      <c r="I474" s="56">
        <f t="shared" si="109"/>
        <v>0</v>
      </c>
      <c r="J474" s="54"/>
      <c r="K474" s="54"/>
      <c r="L474" s="54"/>
      <c r="M474" s="54"/>
      <c r="N474" s="54"/>
      <c r="O474" s="54"/>
      <c r="P474" s="54"/>
      <c r="Q474" s="54"/>
      <c r="R474" s="54"/>
      <c r="S474" s="54"/>
      <c r="T474" s="54"/>
      <c r="U474" s="54"/>
      <c r="V474" s="56">
        <f t="shared" si="110"/>
        <v>0</v>
      </c>
      <c r="W474" s="54"/>
      <c r="X474" s="54"/>
      <c r="Y474" s="56">
        <f t="shared" si="111"/>
        <v>0</v>
      </c>
      <c r="Z474" s="54"/>
      <c r="AA474" s="54"/>
      <c r="AB474" s="54"/>
      <c r="AC474" s="54"/>
      <c r="AD474" s="56">
        <f t="shared" si="116"/>
        <v>0</v>
      </c>
      <c r="AE474" s="54"/>
      <c r="AF474" s="56">
        <f t="shared" si="113"/>
        <v>0</v>
      </c>
      <c r="AG474" s="54"/>
      <c r="AH474" s="56">
        <f t="shared" si="114"/>
        <v>0</v>
      </c>
    </row>
    <row r="475" spans="1:34" ht="16.5">
      <c r="A475" s="124"/>
      <c r="B475" s="49"/>
      <c r="C475" s="54"/>
      <c r="D475" s="54"/>
      <c r="E475" s="54"/>
      <c r="F475" s="54"/>
      <c r="G475" s="54"/>
      <c r="H475" s="54"/>
      <c r="I475" s="56">
        <f t="shared" si="109"/>
        <v>0</v>
      </c>
      <c r="J475" s="54"/>
      <c r="K475" s="54"/>
      <c r="L475" s="54"/>
      <c r="M475" s="54"/>
      <c r="N475" s="54"/>
      <c r="O475" s="54"/>
      <c r="P475" s="54"/>
      <c r="Q475" s="54"/>
      <c r="R475" s="54"/>
      <c r="S475" s="54"/>
      <c r="T475" s="54"/>
      <c r="U475" s="54"/>
      <c r="V475" s="56">
        <f t="shared" si="110"/>
        <v>0</v>
      </c>
      <c r="W475" s="54"/>
      <c r="X475" s="54"/>
      <c r="Y475" s="56">
        <f t="shared" si="111"/>
        <v>0</v>
      </c>
      <c r="Z475" s="54"/>
      <c r="AA475" s="54"/>
      <c r="AB475" s="54"/>
      <c r="AC475" s="54"/>
      <c r="AD475" s="56">
        <f t="shared" si="116"/>
        <v>0</v>
      </c>
      <c r="AE475" s="54"/>
      <c r="AF475" s="56">
        <f t="shared" si="113"/>
        <v>0</v>
      </c>
      <c r="AG475" s="54"/>
      <c r="AH475" s="56">
        <f t="shared" si="114"/>
        <v>0</v>
      </c>
    </row>
    <row r="476" spans="1:34" ht="16.5">
      <c r="A476" s="124"/>
      <c r="B476" s="49"/>
      <c r="C476" s="54"/>
      <c r="D476" s="54"/>
      <c r="E476" s="54"/>
      <c r="F476" s="54"/>
      <c r="G476" s="54"/>
      <c r="H476" s="54"/>
      <c r="I476" s="54"/>
      <c r="J476" s="54"/>
      <c r="K476" s="54"/>
      <c r="L476" s="54"/>
      <c r="M476" s="54"/>
      <c r="N476" s="54"/>
      <c r="O476" s="54"/>
      <c r="P476" s="54"/>
      <c r="Q476" s="54"/>
      <c r="R476" s="54"/>
      <c r="S476" s="54"/>
      <c r="T476" s="54"/>
      <c r="U476" s="54"/>
      <c r="V476" s="56"/>
      <c r="W476" s="54"/>
      <c r="X476" s="54"/>
      <c r="Y476" s="56"/>
      <c r="Z476" s="54"/>
      <c r="AA476" s="54"/>
      <c r="AB476" s="54"/>
      <c r="AC476" s="54"/>
      <c r="AD476" s="56"/>
      <c r="AE476" s="54"/>
      <c r="AF476" s="56"/>
      <c r="AG476" s="54"/>
      <c r="AH476" s="56"/>
    </row>
    <row r="477" spans="1:34" ht="16.5">
      <c r="A477" s="124"/>
      <c r="B477" s="49"/>
      <c r="C477" s="54">
        <f t="shared" ref="C477:H477" si="118">SUM(C452:C472)</f>
        <v>17033.82</v>
      </c>
      <c r="D477" s="54">
        <f t="shared" si="118"/>
        <v>21.6</v>
      </c>
      <c r="E477" s="54">
        <f t="shared" si="118"/>
        <v>27.44</v>
      </c>
      <c r="F477" s="54">
        <f t="shared" si="118"/>
        <v>42</v>
      </c>
      <c r="G477" s="54">
        <f t="shared" si="118"/>
        <v>88.86</v>
      </c>
      <c r="H477" s="54">
        <f t="shared" si="118"/>
        <v>675</v>
      </c>
      <c r="I477" s="56">
        <f t="shared" si="109"/>
        <v>17888.719999999998</v>
      </c>
      <c r="J477" s="54">
        <f>SUM(J452:J476)</f>
        <v>1449</v>
      </c>
      <c r="K477" s="54">
        <f>SUM(K452:K476)</f>
        <v>9</v>
      </c>
      <c r="L477" s="54">
        <f>SUM(L451:L476)</f>
        <v>5723.6799999999994</v>
      </c>
      <c r="M477" s="54">
        <f>SUM(M452:M476)</f>
        <v>27979.569999999996</v>
      </c>
      <c r="N477" s="54">
        <f>SUM(N452:N476)</f>
        <v>155.66999999999999</v>
      </c>
      <c r="O477" s="54">
        <f>SUM(O452:O476)</f>
        <v>108</v>
      </c>
      <c r="P477" s="54">
        <f>SUM(P451:P476)</f>
        <v>7921.0600000000013</v>
      </c>
      <c r="Q477" s="54">
        <f>SUM(Q451:Q476)</f>
        <v>4294.1399999999994</v>
      </c>
      <c r="R477" s="54">
        <f>SUM(R451:R476)</f>
        <v>2149.77</v>
      </c>
      <c r="S477" s="54">
        <f>SUM(S452:S476)</f>
        <v>23260</v>
      </c>
      <c r="T477" s="54">
        <f>SUM(T451:T476)</f>
        <v>130.5</v>
      </c>
      <c r="U477" s="54">
        <f>SUM(U451:U476)</f>
        <v>10325.449999999999</v>
      </c>
      <c r="V477" s="56">
        <f>SUM(V452:V476)</f>
        <v>83505.84</v>
      </c>
      <c r="W477" s="54">
        <f>SUM(W451:W476)</f>
        <v>8524.75</v>
      </c>
      <c r="X477" s="54">
        <f t="shared" ref="X477:AC477" si="119">SUM(X451:X472)</f>
        <v>0</v>
      </c>
      <c r="Y477" s="56">
        <f>SUM(Y451:Y476)</f>
        <v>8524.75</v>
      </c>
      <c r="Z477" s="54">
        <f t="shared" si="119"/>
        <v>550.20000000000005</v>
      </c>
      <c r="AA477" s="54">
        <f>SUM(AA451:AA476)</f>
        <v>31.99</v>
      </c>
      <c r="AB477" s="54">
        <f>SUM(AB451:AB476)</f>
        <v>2982.5799999999995</v>
      </c>
      <c r="AC477" s="54">
        <f t="shared" si="119"/>
        <v>0</v>
      </c>
      <c r="AD477" s="56">
        <f>SUM(AD451:AD476)</f>
        <v>3564.77</v>
      </c>
      <c r="AE477" s="54">
        <f>SUM(AE452:AE476)</f>
        <v>56549.429999999993</v>
      </c>
      <c r="AF477" s="110">
        <f>SUM(AF452:AF476)</f>
        <v>56549.429999999993</v>
      </c>
      <c r="AG477" s="111"/>
      <c r="AH477" s="112">
        <f>SUM(AH452:AH476)</f>
        <v>170033.51000000004</v>
      </c>
    </row>
    <row r="478" spans="1:34" ht="16.5">
      <c r="A478" s="124"/>
      <c r="B478" s="128"/>
      <c r="C478" s="128"/>
      <c r="D478" s="128"/>
      <c r="E478" s="128"/>
      <c r="F478" s="128"/>
      <c r="G478" s="128"/>
      <c r="H478" s="128"/>
      <c r="I478" s="128"/>
      <c r="J478" s="128"/>
      <c r="K478" s="128"/>
      <c r="L478" s="128"/>
      <c r="M478" s="128"/>
      <c r="N478" s="128"/>
      <c r="O478" s="128"/>
      <c r="P478" s="128"/>
      <c r="Q478" s="128"/>
      <c r="R478" s="128"/>
      <c r="S478" s="128"/>
      <c r="T478" s="128"/>
      <c r="U478" s="128"/>
      <c r="V478" s="128"/>
      <c r="W478" s="128"/>
      <c r="X478" s="128"/>
      <c r="Y478" s="128"/>
      <c r="Z478" s="128"/>
      <c r="AA478" s="128"/>
      <c r="AB478" s="128"/>
      <c r="AC478" s="128"/>
      <c r="AD478" s="128"/>
      <c r="AE478" s="128"/>
      <c r="AF478" s="110" t="s">
        <v>175</v>
      </c>
      <c r="AG478" s="111"/>
      <c r="AH478" s="139">
        <f ca="1">SUM(AH477:AH480)</f>
        <v>170033.51000000004</v>
      </c>
    </row>
    <row r="479" spans="1:34" ht="16.5">
      <c r="A479" s="124"/>
      <c r="B479" s="128"/>
      <c r="C479" s="128"/>
      <c r="D479" s="128"/>
      <c r="E479" s="128"/>
      <c r="F479" s="128"/>
      <c r="G479" s="128"/>
      <c r="H479" s="128"/>
      <c r="I479" s="128"/>
      <c r="J479" s="128"/>
      <c r="K479" s="128"/>
      <c r="L479" s="128"/>
      <c r="M479" s="128"/>
      <c r="N479" s="128"/>
      <c r="O479" s="128"/>
      <c r="P479" s="128"/>
      <c r="Q479" s="128"/>
      <c r="R479" s="128"/>
      <c r="S479" s="128"/>
      <c r="T479" s="128"/>
      <c r="U479" s="128"/>
      <c r="V479" s="128"/>
      <c r="W479" s="128"/>
      <c r="X479" s="128"/>
      <c r="Y479" s="128"/>
      <c r="Z479" s="128"/>
      <c r="AA479" s="128"/>
      <c r="AB479" s="128"/>
      <c r="AC479" s="128"/>
      <c r="AD479" s="128"/>
      <c r="AE479" s="128"/>
      <c r="AF479" s="110" t="s">
        <v>139</v>
      </c>
      <c r="AG479" s="111"/>
      <c r="AH479" s="139"/>
    </row>
    <row r="480" spans="1:34" ht="16.5">
      <c r="A480" s="124"/>
      <c r="B480" s="128"/>
      <c r="C480" s="128"/>
      <c r="D480" s="128"/>
      <c r="E480" s="128"/>
      <c r="F480" s="128"/>
      <c r="G480" s="128"/>
      <c r="H480" s="128"/>
      <c r="I480" s="128"/>
      <c r="J480" s="128"/>
      <c r="K480" s="128"/>
      <c r="L480" s="128"/>
      <c r="M480" s="128"/>
      <c r="N480" s="128"/>
      <c r="O480" s="128"/>
      <c r="P480" s="128"/>
      <c r="Q480" s="128"/>
      <c r="R480" s="128"/>
      <c r="S480" s="128"/>
      <c r="T480" s="128"/>
      <c r="U480" s="128"/>
      <c r="V480" s="128"/>
      <c r="W480" s="128"/>
      <c r="X480" s="128"/>
      <c r="Y480" s="128"/>
      <c r="Z480" s="128"/>
      <c r="AA480" s="128"/>
      <c r="AB480" s="128"/>
      <c r="AC480" s="128"/>
      <c r="AD480" s="128"/>
      <c r="AE480" s="128"/>
      <c r="AF480" s="110"/>
      <c r="AG480" s="111"/>
      <c r="AH480" s="139"/>
    </row>
    <row r="481" spans="1:34" ht="16.5">
      <c r="A481" s="124"/>
      <c r="B481" s="129"/>
      <c r="C481" s="129"/>
      <c r="D481" s="129"/>
      <c r="E481" s="129"/>
      <c r="F481" s="129"/>
      <c r="G481" s="129"/>
      <c r="H481" s="129"/>
      <c r="I481" s="129"/>
      <c r="J481" s="129"/>
      <c r="K481" s="129"/>
      <c r="L481" s="129"/>
      <c r="M481" s="129"/>
      <c r="N481" s="129"/>
      <c r="O481" s="129"/>
      <c r="P481" s="129"/>
      <c r="Q481" s="129"/>
      <c r="R481" s="129"/>
      <c r="S481" s="129"/>
      <c r="T481" s="129"/>
      <c r="U481" s="129"/>
      <c r="V481" s="129"/>
      <c r="W481" s="129"/>
      <c r="X481" s="129"/>
      <c r="Y481" s="129"/>
      <c r="Z481" s="129"/>
      <c r="AA481" s="129"/>
      <c r="AB481" s="129"/>
      <c r="AC481" s="129"/>
      <c r="AD481" s="129"/>
      <c r="AE481" s="129"/>
      <c r="AF481" s="110" t="s">
        <v>193</v>
      </c>
      <c r="AG481" s="111"/>
      <c r="AH481" s="139"/>
    </row>
    <row r="482" spans="1:34" ht="22.5">
      <c r="A482" s="124"/>
      <c r="B482" s="86"/>
      <c r="C482" s="87"/>
      <c r="D482" s="85"/>
      <c r="E482" s="140" t="s">
        <v>140</v>
      </c>
      <c r="F482" s="140"/>
      <c r="G482" s="140"/>
      <c r="H482" s="140"/>
      <c r="I482" s="140"/>
      <c r="J482" s="140"/>
      <c r="K482" s="140"/>
      <c r="L482" s="140"/>
      <c r="M482" s="83"/>
      <c r="N482" s="87"/>
      <c r="O482" s="87"/>
      <c r="P482" s="87"/>
      <c r="Q482" s="87"/>
      <c r="R482" s="87"/>
      <c r="S482" s="87"/>
      <c r="T482" s="87"/>
      <c r="U482" s="87"/>
      <c r="V482" s="84"/>
      <c r="W482" s="87"/>
      <c r="X482" s="87"/>
      <c r="Y482" s="84"/>
      <c r="Z482" s="87"/>
      <c r="AA482" s="87"/>
      <c r="AB482" s="87"/>
      <c r="AC482" s="87"/>
      <c r="AD482" s="84"/>
      <c r="AE482" s="87"/>
      <c r="AF482" s="92"/>
      <c r="AG482" s="85"/>
      <c r="AH482" s="89"/>
    </row>
    <row r="483" spans="1:34" ht="22.5">
      <c r="A483" s="124"/>
      <c r="B483" s="86"/>
      <c r="C483" s="87"/>
      <c r="D483" s="85"/>
      <c r="E483" s="140" t="s">
        <v>196</v>
      </c>
      <c r="F483" s="140"/>
      <c r="G483" s="140"/>
      <c r="H483" s="140"/>
      <c r="I483" s="140"/>
      <c r="J483" s="140"/>
      <c r="K483" s="140"/>
      <c r="L483" s="140"/>
      <c r="M483" s="83"/>
      <c r="N483" s="87"/>
      <c r="O483" s="87"/>
      <c r="P483" s="87"/>
      <c r="Q483" s="87"/>
      <c r="R483" s="87"/>
      <c r="S483" s="87"/>
      <c r="T483" s="87"/>
      <c r="U483" s="87"/>
      <c r="V483" s="84"/>
      <c r="W483" s="87"/>
      <c r="X483" s="87"/>
      <c r="Y483" s="84"/>
      <c r="Z483" s="87"/>
      <c r="AA483" s="87"/>
      <c r="AB483" s="87"/>
      <c r="AC483" s="87"/>
      <c r="AD483" s="84"/>
      <c r="AE483" s="87"/>
      <c r="AF483" s="92"/>
      <c r="AG483" s="85"/>
      <c r="AH483" s="89"/>
    </row>
    <row r="484" spans="1:34" ht="16.5">
      <c r="A484" s="124"/>
      <c r="B484" s="80"/>
      <c r="C484" s="77"/>
      <c r="D484" s="77"/>
      <c r="E484" s="77"/>
      <c r="F484" s="77"/>
      <c r="G484" s="77"/>
      <c r="H484" s="75"/>
      <c r="I484" s="77"/>
      <c r="J484" s="77"/>
      <c r="K484" s="77"/>
      <c r="L484" s="77"/>
      <c r="M484" s="77"/>
      <c r="N484" s="77"/>
      <c r="O484" s="77"/>
      <c r="P484" s="77"/>
      <c r="Q484" s="77"/>
      <c r="R484" s="77"/>
      <c r="S484" s="77"/>
      <c r="T484" s="77"/>
      <c r="U484" s="77"/>
      <c r="V484" s="75"/>
      <c r="W484" s="77"/>
      <c r="X484" s="77"/>
      <c r="Y484" s="75"/>
      <c r="Z484" s="77"/>
      <c r="AA484" s="77"/>
      <c r="AB484" s="77"/>
      <c r="AC484" s="77"/>
      <c r="AD484" s="75"/>
      <c r="AE484" s="77"/>
      <c r="AF484" s="75"/>
      <c r="AG484" s="76"/>
      <c r="AH484" s="75"/>
    </row>
    <row r="485" spans="1:34" ht="16.5">
      <c r="A485" s="124"/>
      <c r="B485" s="73"/>
      <c r="C485" s="105">
        <v>11801</v>
      </c>
      <c r="D485" s="105">
        <v>11803</v>
      </c>
      <c r="E485" s="105">
        <v>11818</v>
      </c>
      <c r="F485" s="105">
        <v>11802</v>
      </c>
      <c r="G485" s="105">
        <v>11804</v>
      </c>
      <c r="H485" s="105">
        <v>21310001</v>
      </c>
      <c r="I485" s="105">
        <v>12105</v>
      </c>
      <c r="J485" s="105">
        <v>12106</v>
      </c>
      <c r="K485" s="105">
        <v>12108</v>
      </c>
      <c r="L485" s="105">
        <v>12109</v>
      </c>
      <c r="M485" s="105">
        <v>12199</v>
      </c>
      <c r="N485" s="105">
        <v>12111</v>
      </c>
      <c r="O485" s="105">
        <v>12114</v>
      </c>
      <c r="P485" s="105">
        <v>12115</v>
      </c>
      <c r="Q485" s="105">
        <v>12117</v>
      </c>
      <c r="R485" s="105">
        <v>12118</v>
      </c>
      <c r="S485" s="105">
        <v>12119</v>
      </c>
      <c r="T485" s="105">
        <v>12210</v>
      </c>
      <c r="U485" s="105"/>
      <c r="V485" s="105">
        <v>21312001</v>
      </c>
      <c r="W485" s="105">
        <v>14201</v>
      </c>
      <c r="X485" s="105"/>
      <c r="Y485" s="105">
        <v>21314001</v>
      </c>
      <c r="Z485" s="105">
        <v>15302</v>
      </c>
      <c r="AA485" s="105">
        <v>15312</v>
      </c>
      <c r="AB485" s="105">
        <v>15314</v>
      </c>
      <c r="AC485" s="105"/>
      <c r="AD485" s="105">
        <v>21315001</v>
      </c>
      <c r="AE485" s="105">
        <v>32299</v>
      </c>
      <c r="AF485" s="78"/>
      <c r="AG485" s="78"/>
      <c r="AH485" s="78"/>
    </row>
    <row r="486" spans="1:34" ht="61.5" customHeight="1">
      <c r="A486" s="124"/>
      <c r="B486" s="106" t="s">
        <v>197</v>
      </c>
      <c r="C486" s="107" t="s">
        <v>143</v>
      </c>
      <c r="D486" s="107" t="s">
        <v>144</v>
      </c>
      <c r="E486" s="107" t="s">
        <v>145</v>
      </c>
      <c r="F486" s="107" t="s">
        <v>146</v>
      </c>
      <c r="G486" s="107" t="s">
        <v>147</v>
      </c>
      <c r="H486" s="107" t="s">
        <v>149</v>
      </c>
      <c r="I486" s="107" t="s">
        <v>150</v>
      </c>
      <c r="J486" s="107" t="s">
        <v>151</v>
      </c>
      <c r="K486" s="107" t="s">
        <v>152</v>
      </c>
      <c r="L486" s="107" t="s">
        <v>153</v>
      </c>
      <c r="M486" s="107" t="s">
        <v>154</v>
      </c>
      <c r="N486" s="107" t="s">
        <v>155</v>
      </c>
      <c r="O486" s="107" t="s">
        <v>156</v>
      </c>
      <c r="P486" s="107" t="s">
        <v>157</v>
      </c>
      <c r="Q486" s="107" t="s">
        <v>158</v>
      </c>
      <c r="R486" s="107" t="s">
        <v>159</v>
      </c>
      <c r="S486" s="107" t="s">
        <v>160</v>
      </c>
      <c r="T486" s="107" t="s">
        <v>161</v>
      </c>
      <c r="U486" s="107" t="s">
        <v>162</v>
      </c>
      <c r="V486" s="107" t="s">
        <v>163</v>
      </c>
      <c r="W486" s="107" t="s">
        <v>164</v>
      </c>
      <c r="X486" s="107" t="s">
        <v>165</v>
      </c>
      <c r="Y486" s="107" t="s">
        <v>166</v>
      </c>
      <c r="Z486" s="107" t="s">
        <v>167</v>
      </c>
      <c r="AA486" s="107" t="s">
        <v>168</v>
      </c>
      <c r="AB486" s="107" t="s">
        <v>169</v>
      </c>
      <c r="AC486" s="107" t="s">
        <v>170</v>
      </c>
      <c r="AD486" s="107" t="s">
        <v>171</v>
      </c>
      <c r="AE486" s="107" t="s">
        <v>172</v>
      </c>
      <c r="AF486" s="107" t="s">
        <v>173</v>
      </c>
      <c r="AG486" s="108"/>
      <c r="AH486" s="107" t="s">
        <v>174</v>
      </c>
    </row>
    <row r="487" spans="1:34" ht="16.5">
      <c r="A487" s="124"/>
      <c r="B487" s="45"/>
      <c r="C487" s="46"/>
      <c r="D487" s="46"/>
      <c r="E487" s="46"/>
      <c r="F487" s="46"/>
      <c r="G487" s="46"/>
      <c r="H487" s="47"/>
      <c r="I487" s="47"/>
      <c r="J487" s="46"/>
      <c r="K487" s="46"/>
      <c r="L487" s="46"/>
      <c r="M487" s="46"/>
      <c r="N487" s="46"/>
      <c r="O487" s="46"/>
      <c r="P487" s="46"/>
      <c r="Q487" s="46"/>
      <c r="R487" s="46"/>
      <c r="S487" s="46"/>
      <c r="T487" s="46"/>
      <c r="U487" s="46"/>
      <c r="V487" s="47"/>
      <c r="W487" s="46"/>
      <c r="X487" s="46"/>
      <c r="Y487" s="47"/>
      <c r="Z487" s="46"/>
      <c r="AA487" s="46"/>
      <c r="AB487" s="46"/>
      <c r="AC487" s="46"/>
      <c r="AD487" s="47"/>
      <c r="AE487" s="46"/>
      <c r="AF487" s="47"/>
      <c r="AH487" s="47"/>
    </row>
    <row r="488" spans="1:34" ht="16.5">
      <c r="A488" s="124"/>
      <c r="B488" s="49">
        <v>44470</v>
      </c>
      <c r="C488" s="54"/>
      <c r="D488" s="54"/>
      <c r="E488" s="54"/>
      <c r="F488" s="54"/>
      <c r="G488" s="54"/>
      <c r="H488" s="56">
        <f t="shared" ref="H488:H510" si="120">SUM(C488:G488)</f>
        <v>0</v>
      </c>
      <c r="I488" s="54"/>
      <c r="J488" s="54"/>
      <c r="K488" s="54"/>
      <c r="L488" s="54"/>
      <c r="M488" s="54"/>
      <c r="N488" s="54"/>
      <c r="O488" s="54"/>
      <c r="P488" s="54"/>
      <c r="Q488" s="54"/>
      <c r="R488" s="54"/>
      <c r="S488" s="54"/>
      <c r="T488" s="54"/>
      <c r="U488" s="54"/>
      <c r="V488" s="56">
        <f>SUM(I488:U488)</f>
        <v>0</v>
      </c>
      <c r="W488" s="54"/>
      <c r="X488" s="54"/>
      <c r="Y488" s="56">
        <f>SUM(W488:X488)</f>
        <v>0</v>
      </c>
      <c r="Z488" s="54"/>
      <c r="AA488" s="54"/>
      <c r="AB488" s="54"/>
      <c r="AC488" s="54"/>
      <c r="AD488" s="56">
        <f>SUM(Z488:AC488)</f>
        <v>0</v>
      </c>
      <c r="AE488" s="54"/>
      <c r="AF488" s="56">
        <f>SUM(AE488)</f>
        <v>0</v>
      </c>
      <c r="AG488" s="54"/>
      <c r="AH488" s="56">
        <f>AF488+AD488+Y488+V488+H488</f>
        <v>0</v>
      </c>
    </row>
    <row r="489" spans="1:34" ht="16.5">
      <c r="A489" s="124"/>
      <c r="B489" s="49">
        <v>44473</v>
      </c>
      <c r="C489" s="54">
        <v>330</v>
      </c>
      <c r="D489" s="54"/>
      <c r="E489" s="54"/>
      <c r="F489" s="54"/>
      <c r="G489" s="54"/>
      <c r="H489" s="56">
        <f t="shared" si="120"/>
        <v>330</v>
      </c>
      <c r="I489" s="54">
        <v>83.5</v>
      </c>
      <c r="J489" s="54">
        <v>1</v>
      </c>
      <c r="K489" s="54">
        <v>88.8</v>
      </c>
      <c r="L489" s="54">
        <v>312.08999999999997</v>
      </c>
      <c r="M489" s="54">
        <v>1.36</v>
      </c>
      <c r="N489" s="54"/>
      <c r="O489" s="54">
        <v>61.17</v>
      </c>
      <c r="P489" s="54">
        <v>128</v>
      </c>
      <c r="Q489" s="54">
        <v>33.31</v>
      </c>
      <c r="R489" s="54"/>
      <c r="S489" s="54">
        <v>5</v>
      </c>
      <c r="T489" s="54">
        <v>93</v>
      </c>
      <c r="U489" s="54"/>
      <c r="V489" s="56">
        <f t="shared" ref="V489:V510" si="121">SUM(I489:U489)</f>
        <v>807.23</v>
      </c>
      <c r="W489" s="54">
        <v>266.7</v>
      </c>
      <c r="X489" s="54"/>
      <c r="Y489" s="56">
        <f t="shared" ref="Y489:Y509" si="122">SUM(W489:X489)</f>
        <v>266.7</v>
      </c>
      <c r="Z489" s="54">
        <v>22.06</v>
      </c>
      <c r="AA489" s="54"/>
      <c r="AB489" s="54">
        <v>34.79</v>
      </c>
      <c r="AC489" s="54"/>
      <c r="AD489" s="56">
        <f>SUM(Z489:AC489)</f>
        <v>56.849999999999994</v>
      </c>
      <c r="AE489" s="54">
        <v>9.66</v>
      </c>
      <c r="AF489" s="56">
        <f t="shared" ref="AF489:AF509" si="123">SUM(AE489)</f>
        <v>9.66</v>
      </c>
      <c r="AG489" s="54"/>
      <c r="AH489" s="56">
        <f>AF489+AD489+Y489+V489+H489</f>
        <v>1470.44</v>
      </c>
    </row>
    <row r="490" spans="1:34" ht="16.5">
      <c r="A490" s="124"/>
      <c r="B490" s="49">
        <v>44474</v>
      </c>
      <c r="C490" s="54"/>
      <c r="D490" s="54"/>
      <c r="E490" s="54"/>
      <c r="F490" s="54"/>
      <c r="G490" s="54"/>
      <c r="H490" s="56">
        <f t="shared" si="120"/>
        <v>0</v>
      </c>
      <c r="I490" s="54">
        <v>70.5</v>
      </c>
      <c r="J490" s="54">
        <v>1</v>
      </c>
      <c r="K490" s="54">
        <v>226.03</v>
      </c>
      <c r="L490" s="54">
        <v>450.61</v>
      </c>
      <c r="M490" s="54">
        <v>6.32</v>
      </c>
      <c r="N490" s="54">
        <v>6</v>
      </c>
      <c r="O490" s="54">
        <v>59.34</v>
      </c>
      <c r="P490" s="54">
        <v>458.82</v>
      </c>
      <c r="Q490" s="54">
        <v>78.14</v>
      </c>
      <c r="R490" s="54"/>
      <c r="S490" s="54">
        <v>2.5</v>
      </c>
      <c r="T490" s="54">
        <v>141.15</v>
      </c>
      <c r="U490" s="54"/>
      <c r="V490" s="56">
        <f t="shared" si="121"/>
        <v>1500.4100000000003</v>
      </c>
      <c r="W490" s="54">
        <v>181.8</v>
      </c>
      <c r="X490" s="54"/>
      <c r="Y490" s="56">
        <f t="shared" si="122"/>
        <v>181.8</v>
      </c>
      <c r="Z490" s="54">
        <v>90.05</v>
      </c>
      <c r="AA490" s="54">
        <v>3</v>
      </c>
      <c r="AB490" s="54">
        <v>35.93</v>
      </c>
      <c r="AC490" s="54"/>
      <c r="AD490" s="56">
        <f t="shared" ref="AD490:AD496" si="124">SUM(Z490:AC490)</f>
        <v>128.97999999999999</v>
      </c>
      <c r="AE490" s="54">
        <v>27.03</v>
      </c>
      <c r="AF490" s="56">
        <f t="shared" si="123"/>
        <v>27.03</v>
      </c>
      <c r="AG490" s="54"/>
      <c r="AH490" s="56">
        <f t="shared" ref="AH490:AH510" si="125">AF490+AD490+Y490+V490+H490</f>
        <v>1838.2200000000003</v>
      </c>
    </row>
    <row r="491" spans="1:34" ht="16.5">
      <c r="A491" s="124"/>
      <c r="B491" s="49">
        <v>44475</v>
      </c>
      <c r="C491" s="54">
        <v>37</v>
      </c>
      <c r="D491" s="54"/>
      <c r="E491" s="54"/>
      <c r="F491" s="54"/>
      <c r="G491" s="54"/>
      <c r="H491" s="56">
        <f t="shared" si="120"/>
        <v>37</v>
      </c>
      <c r="I491" s="54">
        <v>73</v>
      </c>
      <c r="J491" s="54">
        <v>1</v>
      </c>
      <c r="K491" s="54">
        <v>169.37</v>
      </c>
      <c r="L491" s="54">
        <v>904.41</v>
      </c>
      <c r="M491" s="54">
        <v>0.59</v>
      </c>
      <c r="N491" s="54"/>
      <c r="O491" s="54">
        <v>189.63</v>
      </c>
      <c r="P491" s="54">
        <v>121.6</v>
      </c>
      <c r="Q491" s="54">
        <v>78.92</v>
      </c>
      <c r="R491" s="54"/>
      <c r="S491" s="54">
        <v>5</v>
      </c>
      <c r="T491" s="54">
        <v>1845.6</v>
      </c>
      <c r="U491" s="54"/>
      <c r="V491" s="56">
        <f t="shared" si="121"/>
        <v>3389.12</v>
      </c>
      <c r="W491" s="54">
        <v>42.4</v>
      </c>
      <c r="X491" s="54"/>
      <c r="Y491" s="56">
        <f t="shared" si="122"/>
        <v>42.4</v>
      </c>
      <c r="Z491" s="54">
        <v>260.16000000000003</v>
      </c>
      <c r="AA491" s="54">
        <v>5</v>
      </c>
      <c r="AB491" s="54">
        <v>72.03</v>
      </c>
      <c r="AC491" s="54"/>
      <c r="AD491" s="56">
        <f t="shared" si="124"/>
        <v>337.19000000000005</v>
      </c>
      <c r="AE491" s="54">
        <v>615.02</v>
      </c>
      <c r="AF491" s="56">
        <f t="shared" si="123"/>
        <v>615.02</v>
      </c>
      <c r="AG491" s="54"/>
      <c r="AH491" s="56">
        <f t="shared" si="125"/>
        <v>4420.7299999999996</v>
      </c>
    </row>
    <row r="492" spans="1:34" ht="16.5">
      <c r="A492" s="124"/>
      <c r="B492" s="49">
        <v>44476</v>
      </c>
      <c r="C492" s="54"/>
      <c r="D492" s="54"/>
      <c r="E492" s="54"/>
      <c r="F492" s="54"/>
      <c r="G492" s="54"/>
      <c r="H492" s="56">
        <f t="shared" si="120"/>
        <v>0</v>
      </c>
      <c r="I492" s="54">
        <v>48</v>
      </c>
      <c r="J492" s="54"/>
      <c r="K492" s="54">
        <v>41.67</v>
      </c>
      <c r="L492" s="54">
        <v>417.67</v>
      </c>
      <c r="M492" s="54">
        <v>0.66</v>
      </c>
      <c r="N492" s="54"/>
      <c r="O492" s="54">
        <v>85.5</v>
      </c>
      <c r="P492" s="54">
        <v>185.74</v>
      </c>
      <c r="Q492" s="54">
        <v>25.25</v>
      </c>
      <c r="R492" s="54"/>
      <c r="S492" s="54">
        <v>5</v>
      </c>
      <c r="T492" s="54">
        <v>708.77</v>
      </c>
      <c r="U492" s="54"/>
      <c r="V492" s="56">
        <f t="shared" si="121"/>
        <v>1518.26</v>
      </c>
      <c r="W492" s="54">
        <v>120.2</v>
      </c>
      <c r="X492" s="54"/>
      <c r="Y492" s="56">
        <f t="shared" si="122"/>
        <v>120.2</v>
      </c>
      <c r="Z492" s="54">
        <v>188.48</v>
      </c>
      <c r="AA492" s="54">
        <v>3</v>
      </c>
      <c r="AB492" s="54">
        <v>61.99</v>
      </c>
      <c r="AC492" s="54"/>
      <c r="AD492" s="56">
        <f>SUM(Z492:AC492)</f>
        <v>253.47</v>
      </c>
      <c r="AE492" s="54">
        <v>341.58</v>
      </c>
      <c r="AF492" s="56">
        <f t="shared" si="123"/>
        <v>341.58</v>
      </c>
      <c r="AG492" s="54"/>
      <c r="AH492" s="56">
        <f t="shared" si="125"/>
        <v>2233.5100000000002</v>
      </c>
    </row>
    <row r="493" spans="1:34" ht="16.5">
      <c r="A493" s="124"/>
      <c r="B493" s="49">
        <v>44477</v>
      </c>
      <c r="C493" s="54">
        <v>759.9</v>
      </c>
      <c r="D493" s="54"/>
      <c r="E493" s="54"/>
      <c r="F493" s="54"/>
      <c r="G493" s="54"/>
      <c r="H493" s="56">
        <f t="shared" si="120"/>
        <v>759.9</v>
      </c>
      <c r="I493" s="54">
        <v>54</v>
      </c>
      <c r="J493" s="54"/>
      <c r="K493" s="54">
        <v>62.87</v>
      </c>
      <c r="L493" s="54">
        <v>200.3</v>
      </c>
      <c r="M493" s="54">
        <v>8.18</v>
      </c>
      <c r="N493" s="54"/>
      <c r="O493" s="54">
        <v>93.25</v>
      </c>
      <c r="P493" s="54">
        <v>120.12</v>
      </c>
      <c r="Q493" s="54">
        <v>46.41</v>
      </c>
      <c r="R493" s="54"/>
      <c r="S493" s="54">
        <v>5</v>
      </c>
      <c r="T493" s="54">
        <v>204.15</v>
      </c>
      <c r="U493" s="54"/>
      <c r="V493" s="56">
        <f t="shared" si="121"/>
        <v>794.28</v>
      </c>
      <c r="W493" s="54">
        <v>166.5</v>
      </c>
      <c r="X493" s="54"/>
      <c r="Y493" s="56">
        <f t="shared" si="122"/>
        <v>166.5</v>
      </c>
      <c r="Z493" s="54">
        <v>46</v>
      </c>
      <c r="AA493" s="54"/>
      <c r="AB493" s="54">
        <v>26.26</v>
      </c>
      <c r="AC493" s="54"/>
      <c r="AD493" s="56">
        <f t="shared" si="124"/>
        <v>72.260000000000005</v>
      </c>
      <c r="AE493" s="54">
        <v>359.46</v>
      </c>
      <c r="AF493" s="56">
        <f t="shared" si="123"/>
        <v>359.46</v>
      </c>
      <c r="AG493" s="54"/>
      <c r="AH493" s="56">
        <f t="shared" si="125"/>
        <v>2152.4</v>
      </c>
    </row>
    <row r="494" spans="1:34" ht="16.5">
      <c r="A494" s="124"/>
      <c r="B494" s="49">
        <v>44480</v>
      </c>
      <c r="C494" s="54">
        <v>381.87</v>
      </c>
      <c r="D494" s="54"/>
      <c r="E494" s="54"/>
      <c r="F494" s="54"/>
      <c r="G494" s="54"/>
      <c r="H494" s="56">
        <f t="shared" si="120"/>
        <v>381.87</v>
      </c>
      <c r="I494" s="54">
        <v>65.5</v>
      </c>
      <c r="J494" s="54"/>
      <c r="K494" s="54">
        <v>103.4</v>
      </c>
      <c r="L494" s="54">
        <v>511.9</v>
      </c>
      <c r="M494" s="54"/>
      <c r="N494" s="54">
        <v>12</v>
      </c>
      <c r="O494" s="54">
        <v>92</v>
      </c>
      <c r="P494" s="54">
        <v>127.36</v>
      </c>
      <c r="Q494" s="54">
        <v>61.42</v>
      </c>
      <c r="R494" s="54"/>
      <c r="S494" s="54">
        <v>5</v>
      </c>
      <c r="T494" s="54">
        <v>58</v>
      </c>
      <c r="U494" s="54"/>
      <c r="V494" s="56">
        <f t="shared" si="121"/>
        <v>1036.58</v>
      </c>
      <c r="W494" s="54">
        <v>258.25</v>
      </c>
      <c r="X494" s="54"/>
      <c r="Y494" s="56">
        <f t="shared" si="122"/>
        <v>258.25</v>
      </c>
      <c r="Z494" s="54">
        <v>275.04000000000002</v>
      </c>
      <c r="AA494" s="54"/>
      <c r="AB494" s="54">
        <v>79.62</v>
      </c>
      <c r="AC494" s="54"/>
      <c r="AD494" s="56">
        <f t="shared" si="124"/>
        <v>354.66</v>
      </c>
      <c r="AE494" s="54">
        <v>381.81</v>
      </c>
      <c r="AF494" s="56">
        <f t="shared" si="123"/>
        <v>381.81</v>
      </c>
      <c r="AG494" s="54"/>
      <c r="AH494" s="56">
        <f t="shared" si="125"/>
        <v>2413.17</v>
      </c>
    </row>
    <row r="495" spans="1:34" ht="16.5">
      <c r="A495" s="124"/>
      <c r="B495" s="49">
        <v>44481</v>
      </c>
      <c r="C495" s="54">
        <v>1948.65</v>
      </c>
      <c r="D495" s="54"/>
      <c r="E495" s="54"/>
      <c r="F495" s="54"/>
      <c r="G495" s="54"/>
      <c r="H495" s="56">
        <f t="shared" si="120"/>
        <v>1948.65</v>
      </c>
      <c r="I495" s="54">
        <v>54.5</v>
      </c>
      <c r="J495" s="54">
        <v>3</v>
      </c>
      <c r="K495" s="54">
        <v>116.01</v>
      </c>
      <c r="L495" s="54">
        <v>2715.99</v>
      </c>
      <c r="M495" s="54">
        <v>1.81</v>
      </c>
      <c r="N495" s="54">
        <v>18</v>
      </c>
      <c r="O495" s="54">
        <v>339.99</v>
      </c>
      <c r="P495" s="54"/>
      <c r="Q495" s="54">
        <v>92.41</v>
      </c>
      <c r="R495" s="54"/>
      <c r="S495" s="54">
        <v>2.5</v>
      </c>
      <c r="T495" s="54">
        <v>1292.3499999999999</v>
      </c>
      <c r="U495" s="54"/>
      <c r="V495" s="56">
        <f t="shared" si="121"/>
        <v>4636.5599999999995</v>
      </c>
      <c r="W495" s="54">
        <v>471.25</v>
      </c>
      <c r="X495" s="54"/>
      <c r="Y495" s="56">
        <f t="shared" si="122"/>
        <v>471.25</v>
      </c>
      <c r="Z495" s="54">
        <v>521.98</v>
      </c>
      <c r="AA495" s="54"/>
      <c r="AB495" s="54">
        <v>124</v>
      </c>
      <c r="AC495" s="54"/>
      <c r="AD495" s="56">
        <f t="shared" si="124"/>
        <v>645.98</v>
      </c>
      <c r="AE495" s="54">
        <v>89.74</v>
      </c>
      <c r="AF495" s="56">
        <f t="shared" si="123"/>
        <v>89.74</v>
      </c>
      <c r="AG495" s="54"/>
      <c r="AH495" s="56">
        <f t="shared" si="125"/>
        <v>7792.18</v>
      </c>
    </row>
    <row r="496" spans="1:34" ht="16.5">
      <c r="A496" s="124"/>
      <c r="B496" s="49">
        <v>44482</v>
      </c>
      <c r="C496" s="54"/>
      <c r="D496" s="54"/>
      <c r="E496" s="54"/>
      <c r="F496" s="54">
        <v>84</v>
      </c>
      <c r="G496" s="54">
        <v>63</v>
      </c>
      <c r="H496" s="56">
        <f t="shared" si="120"/>
        <v>147</v>
      </c>
      <c r="I496" s="54">
        <v>28</v>
      </c>
      <c r="J496" s="54"/>
      <c r="K496" s="54">
        <v>54.16</v>
      </c>
      <c r="L496" s="54">
        <v>51.89</v>
      </c>
      <c r="M496" s="54"/>
      <c r="N496" s="54"/>
      <c r="O496" s="54">
        <v>33.33</v>
      </c>
      <c r="P496" s="54">
        <v>611.4</v>
      </c>
      <c r="Q496" s="54">
        <v>5.37</v>
      </c>
      <c r="R496" s="54"/>
      <c r="S496" s="54"/>
      <c r="T496" s="54">
        <v>34</v>
      </c>
      <c r="U496" s="54"/>
      <c r="V496" s="56">
        <f t="shared" si="121"/>
        <v>818.15</v>
      </c>
      <c r="W496" s="54">
        <v>211.15</v>
      </c>
      <c r="X496" s="54"/>
      <c r="Y496" s="56">
        <f t="shared" si="122"/>
        <v>211.15</v>
      </c>
      <c r="Z496" s="54">
        <v>46.3</v>
      </c>
      <c r="AA496" s="54"/>
      <c r="AB496" s="54">
        <v>26.32</v>
      </c>
      <c r="AC496" s="54"/>
      <c r="AD496" s="56">
        <f t="shared" si="124"/>
        <v>72.62</v>
      </c>
      <c r="AE496" s="54">
        <v>118.8</v>
      </c>
      <c r="AF496" s="56">
        <f t="shared" si="123"/>
        <v>118.8</v>
      </c>
      <c r="AG496" s="54"/>
      <c r="AH496" s="56">
        <f t="shared" si="125"/>
        <v>1367.72</v>
      </c>
    </row>
    <row r="497" spans="1:34" ht="16.5">
      <c r="A497" s="124"/>
      <c r="B497" s="49">
        <v>44483</v>
      </c>
      <c r="C497" s="54">
        <v>22.52</v>
      </c>
      <c r="D497" s="54"/>
      <c r="E497" s="54"/>
      <c r="F497" s="54"/>
      <c r="G497" s="54"/>
      <c r="H497" s="56">
        <f t="shared" si="120"/>
        <v>22.52</v>
      </c>
      <c r="I497" s="54">
        <v>22</v>
      </c>
      <c r="J497" s="54">
        <v>1</v>
      </c>
      <c r="K497" s="54">
        <v>14.62</v>
      </c>
      <c r="L497" s="54">
        <v>42.46</v>
      </c>
      <c r="M497" s="54">
        <v>0.6</v>
      </c>
      <c r="N497" s="54"/>
      <c r="O497" s="54">
        <v>22.44</v>
      </c>
      <c r="P497" s="54">
        <v>148.25</v>
      </c>
      <c r="Q497" s="54">
        <v>8.74</v>
      </c>
      <c r="R497" s="54"/>
      <c r="S497" s="54"/>
      <c r="T497" s="54">
        <v>170.15</v>
      </c>
      <c r="U497" s="54"/>
      <c r="V497" s="56">
        <f t="shared" si="121"/>
        <v>430.26</v>
      </c>
      <c r="W497" s="54">
        <v>105.05</v>
      </c>
      <c r="X497" s="54"/>
      <c r="Y497" s="56">
        <f t="shared" si="122"/>
        <v>105.05</v>
      </c>
      <c r="Z497" s="54">
        <v>23.85</v>
      </c>
      <c r="AA497" s="54">
        <v>5.71</v>
      </c>
      <c r="AB497" s="54">
        <v>11.01</v>
      </c>
      <c r="AC497" s="54"/>
      <c r="AD497" s="56">
        <f t="shared" ref="AD497:AD510" si="126">SUM(Z497:AC497)</f>
        <v>40.57</v>
      </c>
      <c r="AE497" s="54">
        <v>68.7</v>
      </c>
      <c r="AF497" s="56">
        <f>SUM(AE497)</f>
        <v>68.7</v>
      </c>
      <c r="AG497" s="54"/>
      <c r="AH497" s="56">
        <f t="shared" si="125"/>
        <v>667.09999999999991</v>
      </c>
    </row>
    <row r="498" spans="1:34" ht="16.5">
      <c r="A498" s="124"/>
      <c r="B498" s="49">
        <v>44484</v>
      </c>
      <c r="C498" s="54"/>
      <c r="D498" s="54"/>
      <c r="E498" s="54"/>
      <c r="F498" s="54"/>
      <c r="G498" s="54"/>
      <c r="H498" s="56">
        <f t="shared" si="120"/>
        <v>0</v>
      </c>
      <c r="I498" s="54">
        <v>105.5</v>
      </c>
      <c r="J498" s="54">
        <v>2</v>
      </c>
      <c r="K498" s="54">
        <v>132.99</v>
      </c>
      <c r="L498" s="54">
        <v>235.9</v>
      </c>
      <c r="M498" s="54">
        <v>16.100000000000001</v>
      </c>
      <c r="N498" s="54"/>
      <c r="O498" s="54">
        <v>106.14</v>
      </c>
      <c r="P498" s="54">
        <v>18</v>
      </c>
      <c r="Q498" s="54">
        <v>52.34</v>
      </c>
      <c r="R498" s="54"/>
      <c r="S498" s="54"/>
      <c r="T498" s="54">
        <v>784.7</v>
      </c>
      <c r="U498" s="54"/>
      <c r="V498" s="56">
        <f t="shared" si="121"/>
        <v>1453.67</v>
      </c>
      <c r="W498" s="54">
        <v>579.79999999999995</v>
      </c>
      <c r="X498" s="54"/>
      <c r="Y498" s="56">
        <f t="shared" si="122"/>
        <v>579.79999999999995</v>
      </c>
      <c r="Z498" s="54">
        <v>54.91</v>
      </c>
      <c r="AA498" s="54"/>
      <c r="AB498" s="54">
        <v>31.01</v>
      </c>
      <c r="AC498" s="54"/>
      <c r="AD498" s="56">
        <f t="shared" si="126"/>
        <v>85.92</v>
      </c>
      <c r="AE498" s="54">
        <v>212.52</v>
      </c>
      <c r="AF498" s="56">
        <f t="shared" si="123"/>
        <v>212.52</v>
      </c>
      <c r="AG498" s="54"/>
      <c r="AH498" s="56">
        <f t="shared" si="125"/>
        <v>2331.91</v>
      </c>
    </row>
    <row r="499" spans="1:34" ht="16.5">
      <c r="A499" s="124"/>
      <c r="B499" s="49">
        <v>44487</v>
      </c>
      <c r="C499" s="54">
        <v>539.1</v>
      </c>
      <c r="D499" s="54"/>
      <c r="E499" s="54"/>
      <c r="F499" s="54"/>
      <c r="G499" s="54"/>
      <c r="H499" s="56">
        <f t="shared" si="120"/>
        <v>539.1</v>
      </c>
      <c r="I499" s="54">
        <v>153</v>
      </c>
      <c r="J499" s="54"/>
      <c r="K499" s="54">
        <v>45.86</v>
      </c>
      <c r="L499" s="54">
        <v>70.95</v>
      </c>
      <c r="M499" s="54">
        <v>6.69</v>
      </c>
      <c r="N499" s="54">
        <v>18</v>
      </c>
      <c r="O499" s="54">
        <v>1310.94</v>
      </c>
      <c r="P499" s="54">
        <v>261.98</v>
      </c>
      <c r="Q499" s="54">
        <v>23.69</v>
      </c>
      <c r="R499" s="54">
        <v>23320</v>
      </c>
      <c r="S499" s="54">
        <v>15</v>
      </c>
      <c r="T499" s="54">
        <v>1433.8</v>
      </c>
      <c r="U499" s="54"/>
      <c r="V499" s="56">
        <f t="shared" si="121"/>
        <v>26659.91</v>
      </c>
      <c r="W499" s="54">
        <v>613.4</v>
      </c>
      <c r="X499" s="54"/>
      <c r="Y499" s="56">
        <f t="shared" si="122"/>
        <v>613.4</v>
      </c>
      <c r="Z499" s="54">
        <v>9.6199999999999992</v>
      </c>
      <c r="AA499" s="54"/>
      <c r="AB499" s="54">
        <v>22.17</v>
      </c>
      <c r="AC499" s="54"/>
      <c r="AD499" s="56">
        <f t="shared" si="126"/>
        <v>31.79</v>
      </c>
      <c r="AE499" s="54"/>
      <c r="AF499" s="56">
        <f t="shared" ref="AF499:AF505" si="127">SUM(AE499)</f>
        <v>0</v>
      </c>
      <c r="AG499" s="54"/>
      <c r="AH499" s="56">
        <f t="shared" si="125"/>
        <v>27844.199999999997</v>
      </c>
    </row>
    <row r="500" spans="1:34" ht="16.5">
      <c r="A500" s="124"/>
      <c r="B500" s="49">
        <v>44488</v>
      </c>
      <c r="C500" s="54">
        <v>171</v>
      </c>
      <c r="D500" s="54"/>
      <c r="E500" s="54"/>
      <c r="F500" s="54"/>
      <c r="G500" s="54"/>
      <c r="H500" s="56">
        <f t="shared" si="120"/>
        <v>171</v>
      </c>
      <c r="I500" s="54">
        <v>57</v>
      </c>
      <c r="J500" s="54"/>
      <c r="K500" s="54">
        <v>47.45</v>
      </c>
      <c r="L500" s="54">
        <v>96.6</v>
      </c>
      <c r="M500" s="54">
        <v>0.81</v>
      </c>
      <c r="N500" s="54">
        <v>10</v>
      </c>
      <c r="O500" s="54">
        <v>51.23</v>
      </c>
      <c r="P500" s="54">
        <v>557.74</v>
      </c>
      <c r="Q500" s="54">
        <v>13.57</v>
      </c>
      <c r="R500" s="54"/>
      <c r="S500" s="54">
        <v>17.5</v>
      </c>
      <c r="T500" s="54">
        <v>109</v>
      </c>
      <c r="U500" s="54"/>
      <c r="V500" s="56">
        <f t="shared" si="121"/>
        <v>960.90000000000009</v>
      </c>
      <c r="W500" s="54">
        <v>348.6</v>
      </c>
      <c r="X500" s="54"/>
      <c r="Y500" s="56">
        <f t="shared" si="122"/>
        <v>348.6</v>
      </c>
      <c r="Z500" s="54">
        <v>21.53</v>
      </c>
      <c r="AA500" s="54">
        <v>3</v>
      </c>
      <c r="AB500" s="54">
        <v>18.559999999999999</v>
      </c>
      <c r="AC500" s="54"/>
      <c r="AD500" s="56">
        <f t="shared" si="126"/>
        <v>43.09</v>
      </c>
      <c r="AE500" s="54">
        <v>70.08</v>
      </c>
      <c r="AF500" s="56">
        <f t="shared" si="127"/>
        <v>70.08</v>
      </c>
      <c r="AG500" s="54"/>
      <c r="AH500" s="56">
        <f t="shared" si="125"/>
        <v>1593.67</v>
      </c>
    </row>
    <row r="501" spans="1:34" ht="16.5">
      <c r="A501" s="124"/>
      <c r="B501" s="49">
        <v>44489</v>
      </c>
      <c r="C501" s="54">
        <v>1079.98</v>
      </c>
      <c r="D501" s="54"/>
      <c r="E501" s="54">
        <v>3.43</v>
      </c>
      <c r="F501" s="54"/>
      <c r="G501" s="54"/>
      <c r="H501" s="56">
        <f t="shared" si="120"/>
        <v>1083.4100000000001</v>
      </c>
      <c r="I501" s="54">
        <v>46.5</v>
      </c>
      <c r="J501" s="54"/>
      <c r="K501" s="54">
        <v>1850.44</v>
      </c>
      <c r="L501" s="54">
        <v>6880.73</v>
      </c>
      <c r="M501" s="54">
        <v>20.98</v>
      </c>
      <c r="N501" s="54">
        <v>56</v>
      </c>
      <c r="O501" s="54">
        <v>567.44000000000005</v>
      </c>
      <c r="P501" s="54">
        <v>125.55</v>
      </c>
      <c r="Q501" s="54">
        <v>800.89</v>
      </c>
      <c r="R501" s="54"/>
      <c r="S501" s="54"/>
      <c r="T501" s="54">
        <v>75</v>
      </c>
      <c r="U501" s="54"/>
      <c r="V501" s="56">
        <f t="shared" si="121"/>
        <v>10423.529999999999</v>
      </c>
      <c r="W501" s="54">
        <v>445.05</v>
      </c>
      <c r="X501" s="54"/>
      <c r="Y501" s="56">
        <f t="shared" si="122"/>
        <v>445.05</v>
      </c>
      <c r="Z501" s="54">
        <v>40.229999999999997</v>
      </c>
      <c r="AA501" s="54"/>
      <c r="AB501" s="54">
        <v>29.82</v>
      </c>
      <c r="AC501" s="54"/>
      <c r="AD501" s="56">
        <f t="shared" si="126"/>
        <v>70.05</v>
      </c>
      <c r="AE501" s="54">
        <v>94.08</v>
      </c>
      <c r="AF501" s="56">
        <f t="shared" si="127"/>
        <v>94.08</v>
      </c>
      <c r="AG501" s="54"/>
      <c r="AH501" s="56">
        <f t="shared" si="125"/>
        <v>12116.119999999999</v>
      </c>
    </row>
    <row r="502" spans="1:34" ht="16.5">
      <c r="A502" s="124"/>
      <c r="B502" s="49">
        <v>44490</v>
      </c>
      <c r="C502" s="54">
        <v>1550.34</v>
      </c>
      <c r="D502" s="54"/>
      <c r="E502" s="54"/>
      <c r="F502" s="54"/>
      <c r="G502" s="54"/>
      <c r="H502" s="56">
        <f t="shared" si="120"/>
        <v>1550.34</v>
      </c>
      <c r="I502" s="54">
        <v>69</v>
      </c>
      <c r="J502" s="54">
        <v>1</v>
      </c>
      <c r="K502" s="54">
        <v>60.89</v>
      </c>
      <c r="L502" s="54">
        <v>89.03</v>
      </c>
      <c r="M502" s="54">
        <v>7.1</v>
      </c>
      <c r="N502" s="54">
        <v>6</v>
      </c>
      <c r="O502" s="54">
        <v>105.32</v>
      </c>
      <c r="P502" s="54">
        <v>242.68</v>
      </c>
      <c r="Q502" s="54">
        <v>29.65</v>
      </c>
      <c r="R502" s="54"/>
      <c r="S502" s="54">
        <v>5</v>
      </c>
      <c r="T502" s="54">
        <v>20</v>
      </c>
      <c r="U502" s="54"/>
      <c r="V502" s="56">
        <f t="shared" si="121"/>
        <v>635.66999999999996</v>
      </c>
      <c r="W502" s="54">
        <v>268.75</v>
      </c>
      <c r="X502" s="54"/>
      <c r="Y502" s="56">
        <f t="shared" si="122"/>
        <v>268.75</v>
      </c>
      <c r="Z502" s="54">
        <v>2.25</v>
      </c>
      <c r="AA502" s="54"/>
      <c r="AB502" s="54">
        <v>5.72</v>
      </c>
      <c r="AC502" s="54"/>
      <c r="AD502" s="56">
        <f t="shared" si="126"/>
        <v>7.97</v>
      </c>
      <c r="AE502" s="54"/>
      <c r="AF502" s="56">
        <f t="shared" si="127"/>
        <v>0</v>
      </c>
      <c r="AG502" s="54"/>
      <c r="AH502" s="56">
        <f t="shared" si="125"/>
        <v>2462.73</v>
      </c>
    </row>
    <row r="503" spans="1:34" ht="16.5">
      <c r="A503" s="124"/>
      <c r="B503" s="49">
        <v>44491</v>
      </c>
      <c r="C503" s="54">
        <v>1674.94</v>
      </c>
      <c r="D503" s="54">
        <v>1308.75</v>
      </c>
      <c r="E503" s="54"/>
      <c r="F503" s="54"/>
      <c r="G503" s="54"/>
      <c r="H503" s="56">
        <f t="shared" si="120"/>
        <v>2983.69</v>
      </c>
      <c r="I503" s="54">
        <v>75.5</v>
      </c>
      <c r="J503" s="54">
        <v>1</v>
      </c>
      <c r="K503" s="54">
        <v>73.13</v>
      </c>
      <c r="L503" s="54">
        <v>1250.83</v>
      </c>
      <c r="M503" s="54">
        <v>0.76</v>
      </c>
      <c r="N503" s="54">
        <v>12</v>
      </c>
      <c r="O503" s="54">
        <v>265.41000000000003</v>
      </c>
      <c r="P503" s="54">
        <v>161.75</v>
      </c>
      <c r="Q503" s="54">
        <v>50.4</v>
      </c>
      <c r="R503" s="54"/>
      <c r="S503" s="54"/>
      <c r="T503" s="54">
        <v>462.15</v>
      </c>
      <c r="U503" s="54"/>
      <c r="V503" s="56">
        <f t="shared" si="121"/>
        <v>2352.9300000000003</v>
      </c>
      <c r="W503" s="54">
        <v>238.9</v>
      </c>
      <c r="X503" s="54"/>
      <c r="Y503" s="56">
        <f t="shared" si="122"/>
        <v>238.9</v>
      </c>
      <c r="Z503" s="54">
        <v>22.45</v>
      </c>
      <c r="AA503" s="54"/>
      <c r="AB503" s="54">
        <v>18.5</v>
      </c>
      <c r="AC503" s="54"/>
      <c r="AD503" s="56">
        <f t="shared" si="126"/>
        <v>40.950000000000003</v>
      </c>
      <c r="AE503" s="54">
        <v>164.48</v>
      </c>
      <c r="AF503" s="56">
        <f t="shared" si="127"/>
        <v>164.48</v>
      </c>
      <c r="AG503" s="54"/>
      <c r="AH503" s="56">
        <f t="shared" si="125"/>
        <v>5780.9500000000007</v>
      </c>
    </row>
    <row r="504" spans="1:34" ht="16.5">
      <c r="A504" s="124"/>
      <c r="B504" s="49">
        <v>44494</v>
      </c>
      <c r="C504" s="54">
        <v>416</v>
      </c>
      <c r="D504" s="54"/>
      <c r="E504" s="54"/>
      <c r="F504" s="54"/>
      <c r="G504" s="54"/>
      <c r="H504" s="56">
        <f t="shared" si="120"/>
        <v>416</v>
      </c>
      <c r="I504" s="54">
        <v>75</v>
      </c>
      <c r="J504" s="54">
        <v>2</v>
      </c>
      <c r="K504" s="54">
        <v>98.65</v>
      </c>
      <c r="L504" s="54">
        <v>74</v>
      </c>
      <c r="M504" s="54">
        <v>3.2</v>
      </c>
      <c r="N504" s="54">
        <v>6</v>
      </c>
      <c r="O504" s="54">
        <v>189.63</v>
      </c>
      <c r="P504" s="54">
        <v>134.93</v>
      </c>
      <c r="Q504" s="54">
        <v>39</v>
      </c>
      <c r="R504" s="54"/>
      <c r="S504" s="54"/>
      <c r="T504" s="54">
        <v>2505.4</v>
      </c>
      <c r="U504" s="54"/>
      <c r="V504" s="56">
        <f t="shared" si="121"/>
        <v>3127.8100000000004</v>
      </c>
      <c r="W504" s="54">
        <v>357.35</v>
      </c>
      <c r="X504" s="54"/>
      <c r="Y504" s="56">
        <f t="shared" si="122"/>
        <v>357.35</v>
      </c>
      <c r="Z504" s="54">
        <v>52.18</v>
      </c>
      <c r="AA504" s="54"/>
      <c r="AB504" s="54">
        <v>133.36000000000001</v>
      </c>
      <c r="AC504" s="54"/>
      <c r="AD504" s="56">
        <f t="shared" si="126"/>
        <v>185.54000000000002</v>
      </c>
      <c r="AE504" s="54">
        <v>216.18</v>
      </c>
      <c r="AF504" s="56">
        <f t="shared" si="127"/>
        <v>216.18</v>
      </c>
      <c r="AG504" s="54"/>
      <c r="AH504" s="56">
        <f t="shared" si="125"/>
        <v>4302.880000000001</v>
      </c>
    </row>
    <row r="505" spans="1:34" ht="16.5">
      <c r="A505" s="124"/>
      <c r="B505" s="49">
        <v>44495</v>
      </c>
      <c r="C505" s="54">
        <v>129.5</v>
      </c>
      <c r="D505" s="54"/>
      <c r="E505" s="54"/>
      <c r="F505" s="54"/>
      <c r="G505" s="54"/>
      <c r="H505" s="56">
        <f t="shared" si="120"/>
        <v>129.5</v>
      </c>
      <c r="I505" s="54">
        <v>103.5</v>
      </c>
      <c r="J505" s="54">
        <v>1</v>
      </c>
      <c r="K505" s="54">
        <v>96.17</v>
      </c>
      <c r="L505" s="54">
        <v>187.56</v>
      </c>
      <c r="M505" s="54">
        <v>6.71</v>
      </c>
      <c r="N505" s="54"/>
      <c r="O505" s="54">
        <v>104.77</v>
      </c>
      <c r="P505" s="54">
        <v>451.35</v>
      </c>
      <c r="Q505" s="54">
        <v>59.18</v>
      </c>
      <c r="R505" s="54"/>
      <c r="S505" s="54">
        <v>2.5</v>
      </c>
      <c r="T505" s="54">
        <v>255.2</v>
      </c>
      <c r="U505" s="54"/>
      <c r="V505" s="56">
        <f t="shared" si="121"/>
        <v>1267.9399999999998</v>
      </c>
      <c r="W505" s="54">
        <v>423</v>
      </c>
      <c r="X505" s="54"/>
      <c r="Y505" s="56">
        <f t="shared" si="122"/>
        <v>423</v>
      </c>
      <c r="Z505" s="54">
        <v>90.91</v>
      </c>
      <c r="AA505" s="54"/>
      <c r="AB505" s="54">
        <v>54.27</v>
      </c>
      <c r="AC505" s="54"/>
      <c r="AD505" s="56">
        <f t="shared" si="126"/>
        <v>145.18</v>
      </c>
      <c r="AE505" s="54">
        <v>823.13</v>
      </c>
      <c r="AF505" s="56">
        <f t="shared" si="127"/>
        <v>823.13</v>
      </c>
      <c r="AG505" s="54"/>
      <c r="AH505" s="56">
        <f t="shared" si="125"/>
        <v>2788.75</v>
      </c>
    </row>
    <row r="506" spans="1:34" ht="16.5">
      <c r="A506" s="124"/>
      <c r="B506" s="49">
        <v>44496</v>
      </c>
      <c r="C506" s="54">
        <v>204.8</v>
      </c>
      <c r="D506" s="54"/>
      <c r="E506" s="54">
        <v>3.5</v>
      </c>
      <c r="F506" s="54"/>
      <c r="G506" s="54"/>
      <c r="H506" s="56">
        <f t="shared" si="120"/>
        <v>208.3</v>
      </c>
      <c r="I506" s="54">
        <v>87.6</v>
      </c>
      <c r="J506" s="54"/>
      <c r="K506" s="54">
        <v>93.14</v>
      </c>
      <c r="L506" s="54">
        <v>117.74</v>
      </c>
      <c r="M506" s="54">
        <v>2.95</v>
      </c>
      <c r="N506" s="54">
        <v>6</v>
      </c>
      <c r="O506" s="54">
        <v>73.739999999999995</v>
      </c>
      <c r="P506" s="54">
        <v>131.4</v>
      </c>
      <c r="Q506" s="54">
        <v>30.18</v>
      </c>
      <c r="R506" s="54"/>
      <c r="S506" s="54">
        <v>15</v>
      </c>
      <c r="T506" s="54">
        <v>456.8</v>
      </c>
      <c r="U506" s="54"/>
      <c r="V506" s="56">
        <f>T506+S506+Q506+P506+O506+N506+M506+L506+K506+I506</f>
        <v>1014.5500000000001</v>
      </c>
      <c r="W506" s="54">
        <v>386.5</v>
      </c>
      <c r="X506" s="54"/>
      <c r="Y506" s="56">
        <f t="shared" si="122"/>
        <v>386.5</v>
      </c>
      <c r="Z506" s="54">
        <v>20.079999999999998</v>
      </c>
      <c r="AA506" s="54"/>
      <c r="AB506" s="54">
        <v>15.11</v>
      </c>
      <c r="AC506" s="54"/>
      <c r="AD506" s="56">
        <f t="shared" si="126"/>
        <v>35.19</v>
      </c>
      <c r="AE506" s="54">
        <v>74.98</v>
      </c>
      <c r="AF506" s="56">
        <f t="shared" si="123"/>
        <v>74.98</v>
      </c>
      <c r="AG506" s="54"/>
      <c r="AH506" s="56">
        <f>AF506+AD506+Y506+V506+H506</f>
        <v>1719.52</v>
      </c>
    </row>
    <row r="507" spans="1:34" ht="16.5">
      <c r="A507" s="124"/>
      <c r="B507" s="49">
        <v>44497</v>
      </c>
      <c r="C507" s="54">
        <v>477</v>
      </c>
      <c r="D507" s="54"/>
      <c r="E507" s="54"/>
      <c r="F507" s="54"/>
      <c r="G507" s="54"/>
      <c r="H507" s="56">
        <f t="shared" si="120"/>
        <v>477</v>
      </c>
      <c r="I507" s="54">
        <v>65</v>
      </c>
      <c r="J507" s="54"/>
      <c r="K507" s="54">
        <v>291.76</v>
      </c>
      <c r="L507" s="54">
        <v>2243.96</v>
      </c>
      <c r="M507" s="54"/>
      <c r="N507" s="54"/>
      <c r="O507" s="54">
        <v>446.94</v>
      </c>
      <c r="P507" s="54">
        <v>200.12</v>
      </c>
      <c r="Q507" s="54">
        <v>224.28</v>
      </c>
      <c r="R507" s="54"/>
      <c r="S507" s="54"/>
      <c r="T507" s="54">
        <v>99</v>
      </c>
      <c r="U507" s="54"/>
      <c r="V507" s="56">
        <f t="shared" si="121"/>
        <v>3571.0600000000004</v>
      </c>
      <c r="W507" s="54">
        <v>271.2</v>
      </c>
      <c r="X507" s="54"/>
      <c r="Y507" s="56">
        <f t="shared" si="122"/>
        <v>271.2</v>
      </c>
      <c r="Z507" s="54">
        <v>2.66</v>
      </c>
      <c r="AA507" s="54"/>
      <c r="AB507" s="54">
        <v>20.02</v>
      </c>
      <c r="AC507" s="54"/>
      <c r="AD507" s="56">
        <f t="shared" si="126"/>
        <v>22.68</v>
      </c>
      <c r="AE507" s="54">
        <v>5268.9</v>
      </c>
      <c r="AF507" s="56">
        <f t="shared" si="123"/>
        <v>5268.9</v>
      </c>
      <c r="AG507" s="54"/>
      <c r="AH507" s="56">
        <f t="shared" si="125"/>
        <v>9610.84</v>
      </c>
    </row>
    <row r="508" spans="1:34" ht="16.5">
      <c r="A508" s="124"/>
      <c r="B508" s="49">
        <v>44498</v>
      </c>
      <c r="C508" s="54">
        <v>371.8</v>
      </c>
      <c r="D508" s="54"/>
      <c r="E508" s="54"/>
      <c r="F508" s="54"/>
      <c r="G508" s="54">
        <v>36</v>
      </c>
      <c r="H508" s="56">
        <f t="shared" si="120"/>
        <v>407.8</v>
      </c>
      <c r="I508" s="54">
        <v>72</v>
      </c>
      <c r="J508" s="54"/>
      <c r="K508" s="54">
        <v>358.39</v>
      </c>
      <c r="L508" s="54">
        <v>3769.1</v>
      </c>
      <c r="M508" s="54">
        <v>2.39</v>
      </c>
      <c r="N508" s="54"/>
      <c r="O508" s="54">
        <v>508.32</v>
      </c>
      <c r="P508" s="54">
        <v>133.75</v>
      </c>
      <c r="Q508" s="54">
        <v>483.73</v>
      </c>
      <c r="R508" s="54"/>
      <c r="S508" s="54"/>
      <c r="T508" s="54">
        <v>385.77</v>
      </c>
      <c r="U508" s="54"/>
      <c r="V508" s="56">
        <f t="shared" si="121"/>
        <v>5713.4500000000007</v>
      </c>
      <c r="W508" s="54">
        <v>541.85</v>
      </c>
      <c r="X508" s="54"/>
      <c r="Y508" s="56">
        <f t="shared" si="122"/>
        <v>541.85</v>
      </c>
      <c r="Z508" s="54">
        <v>665.63</v>
      </c>
      <c r="AA508" s="54"/>
      <c r="AB508" s="54">
        <v>348.61</v>
      </c>
      <c r="AC508" s="54"/>
      <c r="AD508" s="56">
        <f t="shared" si="126"/>
        <v>1014.24</v>
      </c>
      <c r="AE508" s="54">
        <v>3014.86</v>
      </c>
      <c r="AF508" s="56">
        <f t="shared" si="123"/>
        <v>3014.86</v>
      </c>
      <c r="AG508" s="54"/>
      <c r="AH508" s="56">
        <f t="shared" si="125"/>
        <v>10692.2</v>
      </c>
    </row>
    <row r="509" spans="1:34" ht="16.5">
      <c r="A509" s="124"/>
      <c r="B509" s="49">
        <v>44499</v>
      </c>
      <c r="C509" s="54">
        <v>9.06</v>
      </c>
      <c r="D509" s="54"/>
      <c r="E509" s="54"/>
      <c r="F509" s="54"/>
      <c r="G509" s="54">
        <v>63</v>
      </c>
      <c r="H509" s="56">
        <f t="shared" si="120"/>
        <v>72.06</v>
      </c>
      <c r="I509" s="54">
        <v>13.5</v>
      </c>
      <c r="J509" s="54"/>
      <c r="K509" s="54">
        <v>13</v>
      </c>
      <c r="L509" s="54">
        <v>9</v>
      </c>
      <c r="M509" s="54"/>
      <c r="N509" s="54"/>
      <c r="O509" s="54">
        <v>15.98</v>
      </c>
      <c r="P509" s="54">
        <v>122.17</v>
      </c>
      <c r="Q509" s="54"/>
      <c r="R509" s="54"/>
      <c r="S509" s="54"/>
      <c r="T509" s="54">
        <v>49</v>
      </c>
      <c r="U509" s="54"/>
      <c r="V509" s="56">
        <f t="shared" si="121"/>
        <v>222.65</v>
      </c>
      <c r="W509" s="54">
        <v>157.9</v>
      </c>
      <c r="X509" s="54"/>
      <c r="Y509" s="56">
        <f t="shared" si="122"/>
        <v>157.9</v>
      </c>
      <c r="Z509" s="54">
        <v>12.35</v>
      </c>
      <c r="AA509" s="54"/>
      <c r="AB509" s="54">
        <v>15.23</v>
      </c>
      <c r="AC509" s="54"/>
      <c r="AD509" s="56">
        <f t="shared" si="126"/>
        <v>27.58</v>
      </c>
      <c r="AE509" s="54">
        <v>6</v>
      </c>
      <c r="AF509" s="56">
        <f t="shared" si="123"/>
        <v>6</v>
      </c>
      <c r="AG509" s="54"/>
      <c r="AH509" s="56">
        <f t="shared" si="125"/>
        <v>486.19</v>
      </c>
    </row>
    <row r="510" spans="1:34" ht="16.5">
      <c r="A510" s="124"/>
      <c r="B510" s="49"/>
      <c r="C510" s="54"/>
      <c r="D510" s="54"/>
      <c r="E510" s="54"/>
      <c r="F510" s="54"/>
      <c r="G510" s="54"/>
      <c r="H510" s="56">
        <f t="shared" si="120"/>
        <v>0</v>
      </c>
      <c r="I510" s="54"/>
      <c r="J510" s="54"/>
      <c r="K510" s="54"/>
      <c r="L510" s="54"/>
      <c r="M510" s="54"/>
      <c r="N510" s="54"/>
      <c r="O510" s="54"/>
      <c r="P510" s="54"/>
      <c r="Q510" s="54"/>
      <c r="R510" s="54"/>
      <c r="S510" s="54"/>
      <c r="T510" s="54"/>
      <c r="U510" s="54"/>
      <c r="V510" s="56">
        <f t="shared" si="121"/>
        <v>0</v>
      </c>
      <c r="W510" s="54"/>
      <c r="X510" s="54"/>
      <c r="Y510" s="56">
        <f t="shared" ref="Y510" si="128">SUM(W510:X510)</f>
        <v>0</v>
      </c>
      <c r="Z510" s="54"/>
      <c r="AA510" s="54"/>
      <c r="AB510" s="54"/>
      <c r="AC510" s="54"/>
      <c r="AD510" s="56">
        <f t="shared" si="126"/>
        <v>0</v>
      </c>
      <c r="AE510" s="54"/>
      <c r="AF510" s="56">
        <f t="shared" ref="AF510" si="129">SUM(AE510)</f>
        <v>0</v>
      </c>
      <c r="AG510" s="54"/>
      <c r="AH510" s="56">
        <f t="shared" si="125"/>
        <v>0</v>
      </c>
    </row>
    <row r="511" spans="1:34" ht="16.5">
      <c r="A511" s="124"/>
      <c r="B511" s="49"/>
      <c r="C511" s="54"/>
      <c r="D511" s="54"/>
      <c r="E511" s="54"/>
      <c r="F511" s="54"/>
      <c r="G511" s="54"/>
      <c r="H511" s="56"/>
      <c r="I511" s="54"/>
      <c r="J511" s="54"/>
      <c r="K511" s="54"/>
      <c r="L511" s="54"/>
      <c r="M511" s="54"/>
      <c r="N511" s="54"/>
      <c r="O511" s="54"/>
      <c r="P511" s="54"/>
      <c r="Q511" s="54"/>
      <c r="R511" s="54"/>
      <c r="S511" s="54"/>
      <c r="T511" s="54"/>
      <c r="U511" s="54"/>
      <c r="V511" s="56"/>
      <c r="W511" s="54"/>
      <c r="X511" s="54"/>
      <c r="Y511" s="56"/>
      <c r="Z511" s="54"/>
      <c r="AA511" s="54"/>
      <c r="AB511" s="54"/>
      <c r="AC511" s="54"/>
      <c r="AD511" s="56"/>
      <c r="AE511" s="54"/>
      <c r="AF511" s="56"/>
      <c r="AG511" s="54"/>
      <c r="AH511" s="56"/>
    </row>
    <row r="512" spans="1:34" ht="16.5">
      <c r="A512" s="124"/>
      <c r="B512" s="49"/>
      <c r="C512" s="54">
        <f>SUM(C487:C510)</f>
        <v>10103.459999999999</v>
      </c>
      <c r="D512" s="54">
        <f t="shared" ref="D512:G512" si="130">SUM(D487:D510)</f>
        <v>1308.75</v>
      </c>
      <c r="E512" s="54">
        <f t="shared" si="130"/>
        <v>6.93</v>
      </c>
      <c r="F512" s="54">
        <f t="shared" si="130"/>
        <v>84</v>
      </c>
      <c r="G512" s="54">
        <f t="shared" si="130"/>
        <v>162</v>
      </c>
      <c r="H512" s="56">
        <f>SUM(H487:H510)</f>
        <v>11665.139999999998</v>
      </c>
      <c r="I512" s="54">
        <f>SUM(I487:I510)</f>
        <v>1422.1</v>
      </c>
      <c r="J512" s="54">
        <f t="shared" ref="J512:U512" si="131">SUM(J487:J510)</f>
        <v>14</v>
      </c>
      <c r="K512" s="54">
        <f t="shared" si="131"/>
        <v>4038.7999999999997</v>
      </c>
      <c r="L512" s="54">
        <f t="shared" si="131"/>
        <v>20632.719999999998</v>
      </c>
      <c r="M512" s="54">
        <f t="shared" si="131"/>
        <v>87.210000000000008</v>
      </c>
      <c r="N512" s="54">
        <f t="shared" si="131"/>
        <v>150</v>
      </c>
      <c r="O512" s="54">
        <f t="shared" si="131"/>
        <v>4722.5099999999993</v>
      </c>
      <c r="P512" s="54">
        <f t="shared" si="131"/>
        <v>4442.71</v>
      </c>
      <c r="Q512" s="54">
        <f t="shared" si="131"/>
        <v>2236.88</v>
      </c>
      <c r="R512" s="54">
        <f t="shared" si="131"/>
        <v>23320</v>
      </c>
      <c r="S512" s="54">
        <f t="shared" si="131"/>
        <v>85</v>
      </c>
      <c r="T512" s="54">
        <f t="shared" si="131"/>
        <v>11182.99</v>
      </c>
      <c r="U512" s="54">
        <f t="shared" si="131"/>
        <v>0</v>
      </c>
      <c r="V512" s="56">
        <f>SUM(V487:V510)</f>
        <v>72334.92</v>
      </c>
      <c r="W512" s="54">
        <f>SUM(W487:W510)</f>
        <v>6455.6</v>
      </c>
      <c r="X512" s="54">
        <f t="shared" ref="X512" si="132">SUM(X487:X510)</f>
        <v>0</v>
      </c>
      <c r="Y512" s="56">
        <f>SUM(Y487:Y510)</f>
        <v>6455.6</v>
      </c>
      <c r="Z512" s="54">
        <f>SUM(Z489:Z511)</f>
        <v>2468.7199999999998</v>
      </c>
      <c r="AA512" s="54">
        <f>SUM(AA490:AA511)</f>
        <v>19.71</v>
      </c>
      <c r="AB512" s="54">
        <f>SUM(AB489:AB511)</f>
        <v>1184.33</v>
      </c>
      <c r="AC512" s="54"/>
      <c r="AD512" s="56">
        <f>SUM(AD487:AD510)</f>
        <v>3672.7599999999993</v>
      </c>
      <c r="AE512" s="54">
        <f>SUM(AE487:AE510)</f>
        <v>11957.01</v>
      </c>
      <c r="AF512" s="56">
        <f>SUM(AF487:AF510)</f>
        <v>11957.01</v>
      </c>
      <c r="AG512" s="54"/>
      <c r="AH512" s="56">
        <f>SUM(AH487:AH510)</f>
        <v>106085.43</v>
      </c>
    </row>
    <row r="513" spans="1:34" ht="16.5">
      <c r="A513" s="124"/>
      <c r="B513" s="128"/>
      <c r="C513" s="128"/>
      <c r="D513" s="128"/>
      <c r="E513" s="128"/>
      <c r="F513" s="128"/>
      <c r="G513" s="128"/>
      <c r="H513" s="128"/>
      <c r="I513" s="128"/>
      <c r="J513" s="128"/>
      <c r="K513" s="128"/>
      <c r="L513" s="128"/>
      <c r="M513" s="128"/>
      <c r="N513" s="128"/>
      <c r="O513" s="128"/>
      <c r="P513" s="128"/>
      <c r="Q513" s="128"/>
      <c r="R513" s="128"/>
      <c r="S513" s="128"/>
      <c r="T513" s="128"/>
      <c r="U513" s="128"/>
      <c r="V513" s="128"/>
      <c r="W513" s="128"/>
      <c r="X513" s="128"/>
      <c r="Y513" s="128"/>
      <c r="Z513" s="128"/>
      <c r="AA513" s="128"/>
      <c r="AB513" s="128"/>
      <c r="AC513" s="128"/>
      <c r="AD513" s="128"/>
      <c r="AE513" s="128"/>
      <c r="AF513" s="110" t="s">
        <v>175</v>
      </c>
      <c r="AG513" s="111"/>
      <c r="AH513" s="133">
        <f ca="1">SUM(AH512:AH514)</f>
        <v>106085.43</v>
      </c>
    </row>
    <row r="514" spans="1:34" ht="16.5">
      <c r="A514" s="124"/>
      <c r="B514" s="128"/>
      <c r="C514" s="128"/>
      <c r="D514" s="128"/>
      <c r="E514" s="128"/>
      <c r="F514" s="128"/>
      <c r="G514" s="128"/>
      <c r="H514" s="128"/>
      <c r="I514" s="128"/>
      <c r="J514" s="128"/>
      <c r="K514" s="128"/>
      <c r="L514" s="128"/>
      <c r="M514" s="128"/>
      <c r="N514" s="128"/>
      <c r="O514" s="128"/>
      <c r="P514" s="128"/>
      <c r="Q514" s="128"/>
      <c r="R514" s="128"/>
      <c r="S514" s="128"/>
      <c r="T514" s="128"/>
      <c r="U514" s="128"/>
      <c r="V514" s="128"/>
      <c r="W514" s="128"/>
      <c r="X514" s="128"/>
      <c r="Y514" s="128"/>
      <c r="Z514" s="128"/>
      <c r="AA514" s="128"/>
      <c r="AB514" s="128"/>
      <c r="AC514" s="128"/>
      <c r="AD514" s="128"/>
      <c r="AE514" s="128"/>
      <c r="AF514" s="110" t="s">
        <v>139</v>
      </c>
      <c r="AG514" s="111"/>
      <c r="AH514" s="134"/>
    </row>
    <row r="515" spans="1:34" ht="22.5" customHeight="1">
      <c r="A515" s="124"/>
      <c r="B515" s="128"/>
      <c r="C515" s="128"/>
      <c r="D515" s="128"/>
      <c r="E515" s="128"/>
      <c r="F515" s="128"/>
      <c r="G515" s="128"/>
      <c r="H515" s="128"/>
      <c r="I515" s="128"/>
      <c r="J515" s="128"/>
      <c r="K515" s="128"/>
      <c r="L515" s="128"/>
      <c r="M515" s="128"/>
      <c r="N515" s="128"/>
      <c r="O515" s="128"/>
      <c r="P515" s="128"/>
      <c r="Q515" s="128"/>
      <c r="R515" s="128"/>
      <c r="S515" s="128"/>
      <c r="T515" s="128"/>
      <c r="U515" s="128"/>
      <c r="V515" s="128"/>
      <c r="W515" s="128"/>
      <c r="X515" s="128"/>
      <c r="Y515" s="128"/>
      <c r="Z515" s="128"/>
      <c r="AA515" s="128"/>
      <c r="AB515" s="128"/>
      <c r="AC515" s="128"/>
      <c r="AD515" s="128"/>
      <c r="AE515" s="128"/>
      <c r="AF515" s="110" t="s">
        <v>193</v>
      </c>
      <c r="AG515" s="111"/>
      <c r="AH515" s="135"/>
    </row>
    <row r="516" spans="1:34" ht="22.5" customHeight="1">
      <c r="A516" s="124"/>
      <c r="B516" s="128"/>
      <c r="C516" s="128"/>
      <c r="D516" s="128"/>
      <c r="E516" s="128"/>
      <c r="F516" s="128"/>
      <c r="G516" s="128"/>
      <c r="H516" s="128"/>
      <c r="I516" s="128"/>
      <c r="J516" s="128"/>
      <c r="K516" s="128"/>
      <c r="L516" s="128"/>
      <c r="M516" s="128"/>
      <c r="N516" s="128"/>
      <c r="O516" s="128"/>
      <c r="P516" s="128"/>
      <c r="Q516" s="128"/>
      <c r="R516" s="128"/>
      <c r="S516" s="128"/>
      <c r="T516" s="128"/>
      <c r="U516" s="128"/>
      <c r="V516" s="128"/>
      <c r="W516" s="128"/>
      <c r="X516" s="128"/>
      <c r="Y516" s="128"/>
      <c r="Z516" s="128"/>
      <c r="AA516" s="128"/>
      <c r="AB516" s="128"/>
      <c r="AC516" s="128"/>
      <c r="AD516" s="128"/>
      <c r="AE516" s="128"/>
      <c r="AF516" s="132"/>
      <c r="AG516" s="132"/>
      <c r="AH516" s="132"/>
    </row>
    <row r="517" spans="1:34" ht="22.5" customHeight="1">
      <c r="A517" s="124"/>
      <c r="B517" s="128"/>
      <c r="C517" s="128"/>
      <c r="D517" s="128"/>
      <c r="E517" s="128"/>
      <c r="F517" s="128"/>
      <c r="G517" s="128"/>
      <c r="H517" s="128"/>
      <c r="I517" s="128"/>
      <c r="J517" s="128"/>
      <c r="K517" s="128"/>
      <c r="L517" s="128"/>
      <c r="M517" s="128"/>
      <c r="N517" s="128"/>
      <c r="O517" s="128"/>
      <c r="P517" s="128"/>
      <c r="Q517" s="128"/>
      <c r="R517" s="128"/>
      <c r="S517" s="128"/>
      <c r="T517" s="128"/>
      <c r="U517" s="128"/>
      <c r="V517" s="128"/>
      <c r="W517" s="128"/>
      <c r="X517" s="128"/>
      <c r="Y517" s="128"/>
      <c r="Z517" s="128"/>
      <c r="AA517" s="128"/>
      <c r="AB517" s="128"/>
      <c r="AC517" s="128"/>
      <c r="AD517" s="128"/>
      <c r="AE517" s="128"/>
      <c r="AF517" s="132"/>
      <c r="AG517" s="132"/>
      <c r="AH517" s="132"/>
    </row>
    <row r="518" spans="1:34" ht="22.5" customHeight="1">
      <c r="A518" s="124"/>
      <c r="B518" s="129"/>
      <c r="C518" s="129"/>
      <c r="D518" s="129"/>
      <c r="E518" s="129"/>
      <c r="F518" s="129"/>
      <c r="G518" s="129"/>
      <c r="H518" s="129"/>
      <c r="I518" s="129"/>
      <c r="J518" s="129"/>
      <c r="K518" s="129"/>
      <c r="L518" s="129"/>
      <c r="M518" s="129"/>
      <c r="N518" s="129"/>
      <c r="O518" s="129"/>
      <c r="P518" s="129"/>
      <c r="Q518" s="129"/>
      <c r="R518" s="129"/>
      <c r="S518" s="129"/>
      <c r="T518" s="129"/>
      <c r="U518" s="129"/>
      <c r="V518" s="129"/>
      <c r="W518" s="129"/>
      <c r="X518" s="129"/>
      <c r="Y518" s="129"/>
      <c r="Z518" s="129"/>
      <c r="AA518" s="129"/>
      <c r="AB518" s="129"/>
      <c r="AC518" s="129"/>
      <c r="AD518" s="129"/>
      <c r="AE518" s="129"/>
      <c r="AF518" s="131"/>
      <c r="AG518" s="131"/>
      <c r="AH518" s="131"/>
    </row>
    <row r="519" spans="1:34" ht="22.5">
      <c r="A519" s="124"/>
      <c r="B519" s="86"/>
      <c r="C519" s="87"/>
      <c r="D519" s="87"/>
      <c r="E519" s="85"/>
      <c r="F519" s="85"/>
      <c r="G519" s="85"/>
      <c r="H519" s="127" t="s">
        <v>140</v>
      </c>
      <c r="I519" s="127"/>
      <c r="J519" s="127"/>
      <c r="K519" s="127"/>
      <c r="L519" s="127"/>
      <c r="M519" s="127"/>
      <c r="N519" s="127"/>
      <c r="O519" s="127"/>
      <c r="P519" s="127"/>
      <c r="Q519" s="87"/>
      <c r="R519" s="87"/>
      <c r="S519" s="87"/>
      <c r="T519" s="87"/>
      <c r="U519" s="87"/>
      <c r="V519" s="84"/>
      <c r="W519" s="87"/>
      <c r="X519" s="87"/>
      <c r="Y519" s="84"/>
      <c r="Z519" s="87"/>
      <c r="AA519" s="87"/>
      <c r="AB519" s="87"/>
      <c r="AC519" s="87"/>
      <c r="AD519" s="84"/>
      <c r="AE519" s="87"/>
      <c r="AF519" s="92"/>
      <c r="AG519" s="85"/>
      <c r="AH519" s="89"/>
    </row>
    <row r="520" spans="1:34" ht="22.5">
      <c r="A520" s="124"/>
      <c r="B520" s="86"/>
      <c r="C520" s="87"/>
      <c r="D520" s="87"/>
      <c r="E520" s="87"/>
      <c r="F520" s="87"/>
      <c r="G520" s="87"/>
      <c r="H520" s="140" t="s">
        <v>198</v>
      </c>
      <c r="I520" s="140"/>
      <c r="J520" s="140"/>
      <c r="K520" s="140"/>
      <c r="L520" s="140"/>
      <c r="M520" s="140"/>
      <c r="N520" s="140"/>
      <c r="O520" s="140"/>
      <c r="P520" s="140"/>
      <c r="Q520" s="87"/>
      <c r="R520" s="87"/>
      <c r="S520" s="87"/>
      <c r="T520" s="87"/>
      <c r="U520" s="87"/>
      <c r="V520" s="84"/>
      <c r="W520" s="87"/>
      <c r="X520" s="87"/>
      <c r="Y520" s="84"/>
      <c r="Z520" s="87"/>
      <c r="AA520" s="87"/>
      <c r="AB520" s="87"/>
      <c r="AC520" s="87"/>
      <c r="AD520" s="84"/>
      <c r="AE520" s="87"/>
      <c r="AF520" s="84"/>
      <c r="AG520" s="85"/>
      <c r="AH520" s="84"/>
    </row>
    <row r="521" spans="1:34" ht="16.5">
      <c r="A521" s="124"/>
      <c r="B521" s="93"/>
      <c r="C521" s="105">
        <v>11801</v>
      </c>
      <c r="D521" s="105">
        <v>11803</v>
      </c>
      <c r="E521" s="105">
        <v>11818</v>
      </c>
      <c r="F521" s="105">
        <v>11802</v>
      </c>
      <c r="G521" s="105">
        <v>11804</v>
      </c>
      <c r="H521" s="105">
        <v>21310001</v>
      </c>
      <c r="I521" s="105">
        <v>12105</v>
      </c>
      <c r="J521" s="105">
        <v>12106</v>
      </c>
      <c r="K521" s="105">
        <v>12108</v>
      </c>
      <c r="L521" s="105">
        <v>12109</v>
      </c>
      <c r="M521" s="105">
        <v>12199</v>
      </c>
      <c r="N521" s="105">
        <v>12111</v>
      </c>
      <c r="O521" s="105">
        <v>12114</v>
      </c>
      <c r="P521" s="105">
        <v>12115</v>
      </c>
      <c r="Q521" s="105">
        <v>12117</v>
      </c>
      <c r="R521" s="105">
        <v>12118</v>
      </c>
      <c r="S521" s="105">
        <v>12119</v>
      </c>
      <c r="T521" s="105">
        <v>12210</v>
      </c>
      <c r="U521" s="105"/>
      <c r="V521" s="105">
        <v>21312001</v>
      </c>
      <c r="W521" s="105">
        <v>14201</v>
      </c>
      <c r="X521" s="105"/>
      <c r="Y521" s="105">
        <v>21314001</v>
      </c>
      <c r="Z521" s="105">
        <v>15302</v>
      </c>
      <c r="AA521" s="105">
        <v>15312</v>
      </c>
      <c r="AB521" s="105">
        <v>15314</v>
      </c>
      <c r="AC521" s="105"/>
      <c r="AD521" s="105">
        <v>21315001</v>
      </c>
      <c r="AE521" s="105">
        <v>32299</v>
      </c>
      <c r="AF521" s="88"/>
      <c r="AG521" s="88"/>
      <c r="AH521" s="88"/>
    </row>
    <row r="522" spans="1:34" ht="64.5" customHeight="1">
      <c r="A522" s="124"/>
      <c r="B522" s="106" t="s">
        <v>199</v>
      </c>
      <c r="C522" s="107" t="s">
        <v>143</v>
      </c>
      <c r="D522" s="107" t="s">
        <v>144</v>
      </c>
      <c r="E522" s="107" t="s">
        <v>145</v>
      </c>
      <c r="F522" s="107" t="s">
        <v>146</v>
      </c>
      <c r="G522" s="107" t="s">
        <v>147</v>
      </c>
      <c r="H522" s="107" t="s">
        <v>149</v>
      </c>
      <c r="I522" s="107" t="s">
        <v>150</v>
      </c>
      <c r="J522" s="107" t="s">
        <v>151</v>
      </c>
      <c r="K522" s="107" t="s">
        <v>152</v>
      </c>
      <c r="L522" s="107" t="s">
        <v>153</v>
      </c>
      <c r="M522" s="107" t="s">
        <v>154</v>
      </c>
      <c r="N522" s="107" t="s">
        <v>155</v>
      </c>
      <c r="O522" s="107" t="s">
        <v>156</v>
      </c>
      <c r="P522" s="107" t="s">
        <v>157</v>
      </c>
      <c r="Q522" s="107" t="s">
        <v>158</v>
      </c>
      <c r="R522" s="107" t="s">
        <v>159</v>
      </c>
      <c r="S522" s="107" t="s">
        <v>160</v>
      </c>
      <c r="T522" s="107" t="s">
        <v>161</v>
      </c>
      <c r="U522" s="107" t="s">
        <v>162</v>
      </c>
      <c r="V522" s="107" t="s">
        <v>163</v>
      </c>
      <c r="W522" s="107" t="s">
        <v>164</v>
      </c>
      <c r="X522" s="107" t="s">
        <v>165</v>
      </c>
      <c r="Y522" s="107" t="s">
        <v>166</v>
      </c>
      <c r="Z522" s="107" t="s">
        <v>167</v>
      </c>
      <c r="AA522" s="107" t="s">
        <v>168</v>
      </c>
      <c r="AB522" s="107" t="s">
        <v>169</v>
      </c>
      <c r="AC522" s="107" t="s">
        <v>170</v>
      </c>
      <c r="AD522" s="107" t="s">
        <v>171</v>
      </c>
      <c r="AE522" s="107" t="s">
        <v>172</v>
      </c>
      <c r="AF522" s="107" t="s">
        <v>173</v>
      </c>
      <c r="AG522" s="108"/>
      <c r="AH522" s="107" t="s">
        <v>174</v>
      </c>
    </row>
    <row r="523" spans="1:34" ht="16.5">
      <c r="A523" s="124"/>
      <c r="B523" s="45"/>
      <c r="C523" s="46"/>
      <c r="D523" s="46"/>
      <c r="E523" s="46"/>
      <c r="F523" s="46"/>
      <c r="G523" s="46"/>
      <c r="H523" s="47"/>
      <c r="I523" s="46"/>
      <c r="J523" s="46"/>
      <c r="K523" s="46"/>
      <c r="L523" s="46"/>
      <c r="M523" s="46"/>
      <c r="N523" s="46"/>
      <c r="O523" s="46"/>
      <c r="P523" s="46"/>
      <c r="Q523" s="46"/>
      <c r="R523" s="46"/>
      <c r="S523" s="46"/>
      <c r="T523" s="46"/>
      <c r="U523" s="46"/>
      <c r="V523" s="47"/>
      <c r="W523" s="46"/>
      <c r="X523" s="46"/>
      <c r="Y523" s="47"/>
      <c r="Z523" s="46"/>
      <c r="AA523" s="46"/>
      <c r="AB523" s="46"/>
      <c r="AC523" s="46"/>
      <c r="AD523" s="47"/>
      <c r="AE523" s="46"/>
      <c r="AF523" s="47"/>
      <c r="AH523" s="47"/>
    </row>
    <row r="524" spans="1:34" ht="16.5">
      <c r="A524" s="124"/>
      <c r="B524" s="114">
        <v>44501</v>
      </c>
      <c r="C524" s="46"/>
      <c r="D524" s="46"/>
      <c r="E524" s="46"/>
      <c r="F524" s="46"/>
      <c r="G524" s="46"/>
      <c r="H524" s="47"/>
      <c r="I524" s="46"/>
      <c r="J524" s="46"/>
      <c r="K524" s="46"/>
      <c r="L524" s="46"/>
      <c r="M524" s="46"/>
      <c r="N524" s="46"/>
      <c r="O524" s="46"/>
      <c r="P524" s="46"/>
      <c r="Q524" s="46"/>
      <c r="R524" s="46"/>
      <c r="S524" s="46"/>
      <c r="T524" s="46"/>
      <c r="U524" s="46"/>
      <c r="V524" s="47"/>
      <c r="W524" s="46"/>
      <c r="X524" s="46"/>
      <c r="Y524" s="47"/>
      <c r="Z524" s="46"/>
      <c r="AA524" s="46"/>
      <c r="AB524" s="46"/>
      <c r="AC524" s="46"/>
      <c r="AD524" s="47"/>
      <c r="AE524" s="46"/>
      <c r="AF524" s="47"/>
      <c r="AH524" s="47"/>
    </row>
    <row r="525" spans="1:34" ht="16.5">
      <c r="A525" s="124"/>
      <c r="B525" s="114">
        <v>44502</v>
      </c>
      <c r="C525" s="141" t="s">
        <v>200</v>
      </c>
      <c r="D525" s="141"/>
      <c r="E525" s="141"/>
      <c r="F525" s="141"/>
      <c r="G525" s="141"/>
      <c r="H525" s="56">
        <f t="shared" ref="H525:H545" si="133">SUM(C525:G525)</f>
        <v>0</v>
      </c>
      <c r="I525" s="54"/>
      <c r="J525" s="54"/>
      <c r="K525" s="54"/>
      <c r="L525" s="54"/>
      <c r="M525" s="54"/>
      <c r="N525" s="54"/>
      <c r="O525" s="54"/>
      <c r="P525" s="54"/>
      <c r="Q525" s="54"/>
      <c r="R525" s="54"/>
      <c r="S525" s="54"/>
      <c r="T525" s="54"/>
      <c r="U525" s="54"/>
      <c r="V525" s="56">
        <f>SUM(I525:U525)</f>
        <v>0</v>
      </c>
      <c r="W525" s="54"/>
      <c r="X525" s="54"/>
      <c r="Y525" s="56">
        <f>SUM(W525:X525)</f>
        <v>0</v>
      </c>
      <c r="Z525" s="54"/>
      <c r="AA525" s="54"/>
      <c r="AB525" s="54"/>
      <c r="AC525" s="54"/>
      <c r="AD525" s="56">
        <f>SUM(Z525:AC525)</f>
        <v>0</v>
      </c>
      <c r="AE525" s="54"/>
      <c r="AF525" s="56">
        <f>SUM(AE525)</f>
        <v>0</v>
      </c>
      <c r="AG525" s="54"/>
      <c r="AH525" s="56">
        <f>AF525+AD525+Y525+V525+H525</f>
        <v>0</v>
      </c>
    </row>
    <row r="526" spans="1:34" ht="16.5">
      <c r="A526" s="124"/>
      <c r="B526" s="49">
        <v>44503</v>
      </c>
      <c r="C526" s="54">
        <v>566</v>
      </c>
      <c r="D526" s="54"/>
      <c r="E526" s="54"/>
      <c r="F526" s="54"/>
      <c r="G526" s="54"/>
      <c r="H526" s="56">
        <f t="shared" si="133"/>
        <v>566</v>
      </c>
      <c r="I526" s="54">
        <v>190.5</v>
      </c>
      <c r="J526" s="54">
        <v>1</v>
      </c>
      <c r="K526" s="54">
        <v>143.66</v>
      </c>
      <c r="L526" s="54">
        <v>291.60000000000002</v>
      </c>
      <c r="M526" s="54">
        <v>13.5</v>
      </c>
      <c r="N526" s="54">
        <v>6</v>
      </c>
      <c r="O526" s="54">
        <v>105.38</v>
      </c>
      <c r="P526" s="54">
        <v>179.05</v>
      </c>
      <c r="Q526" s="54">
        <v>46.36</v>
      </c>
      <c r="R526" s="54"/>
      <c r="S526" s="54">
        <v>5</v>
      </c>
      <c r="T526" s="54">
        <v>102</v>
      </c>
      <c r="U526" s="54"/>
      <c r="V526" s="56">
        <f t="shared" ref="V526:V527" si="134">SUM(I526:U526)</f>
        <v>1084.0500000000002</v>
      </c>
      <c r="W526" s="54">
        <v>426.05</v>
      </c>
      <c r="X526" s="54"/>
      <c r="Y526" s="56">
        <f t="shared" ref="Y526:Y545" si="135">SUM(W526:X526)</f>
        <v>426.05</v>
      </c>
      <c r="Z526" s="54">
        <v>148.68</v>
      </c>
      <c r="AA526" s="54">
        <v>3</v>
      </c>
      <c r="AB526" s="54">
        <v>86.54</v>
      </c>
      <c r="AC526" s="54"/>
      <c r="AD526" s="56">
        <f t="shared" ref="AD526:AD545" si="136">SUM(Z526:AC526)</f>
        <v>238.22000000000003</v>
      </c>
      <c r="AE526" s="54">
        <v>321.68</v>
      </c>
      <c r="AF526" s="56">
        <f t="shared" ref="AF526:AF545" si="137">SUM(AE526)</f>
        <v>321.68</v>
      </c>
      <c r="AG526" s="54"/>
      <c r="AH526" s="56">
        <f t="shared" ref="AH526:AH545" si="138">AF526+AD526+Y526+V526+H526</f>
        <v>2636</v>
      </c>
    </row>
    <row r="527" spans="1:34" ht="16.5">
      <c r="A527" s="124"/>
      <c r="B527" s="49">
        <v>44504</v>
      </c>
      <c r="C527" s="54">
        <v>363</v>
      </c>
      <c r="D527" s="54"/>
      <c r="E527" s="54"/>
      <c r="F527" s="54"/>
      <c r="G527" s="54"/>
      <c r="H527" s="56">
        <f t="shared" si="133"/>
        <v>363</v>
      </c>
      <c r="I527" s="54">
        <v>133.5</v>
      </c>
      <c r="J527" s="54">
        <v>1</v>
      </c>
      <c r="K527" s="54">
        <v>89.66</v>
      </c>
      <c r="L527" s="54">
        <v>134.22</v>
      </c>
      <c r="M527" s="54">
        <v>3.41</v>
      </c>
      <c r="N527" s="54">
        <v>12</v>
      </c>
      <c r="O527" s="54">
        <v>69.3</v>
      </c>
      <c r="P527" s="54">
        <v>643.58000000000004</v>
      </c>
      <c r="Q527" s="54">
        <v>19.11</v>
      </c>
      <c r="R527" s="54"/>
      <c r="S527" s="54">
        <v>10</v>
      </c>
      <c r="T527" s="54">
        <v>278</v>
      </c>
      <c r="U527" s="54"/>
      <c r="V527" s="56">
        <f t="shared" si="134"/>
        <v>1393.78</v>
      </c>
      <c r="W527" s="54">
        <v>263.5</v>
      </c>
      <c r="X527" s="54"/>
      <c r="Y527" s="56">
        <f t="shared" si="135"/>
        <v>263.5</v>
      </c>
      <c r="Z527" s="54">
        <v>34.950000000000003</v>
      </c>
      <c r="AA527" s="54"/>
      <c r="AB527" s="54">
        <v>41.51</v>
      </c>
      <c r="AC527" s="54"/>
      <c r="AD527" s="56">
        <f t="shared" si="136"/>
        <v>76.460000000000008</v>
      </c>
      <c r="AE527" s="54">
        <v>73.260000000000005</v>
      </c>
      <c r="AF527" s="56">
        <f t="shared" si="137"/>
        <v>73.260000000000005</v>
      </c>
      <c r="AG527" s="54"/>
      <c r="AH527" s="56">
        <f t="shared" si="138"/>
        <v>2170</v>
      </c>
    </row>
    <row r="528" spans="1:34" ht="16.5">
      <c r="A528" s="124"/>
      <c r="B528" s="49">
        <v>44505</v>
      </c>
      <c r="C528" s="54"/>
      <c r="D528" s="54"/>
      <c r="E528" s="54"/>
      <c r="F528" s="54"/>
      <c r="G528" s="54"/>
      <c r="H528" s="56">
        <f t="shared" si="133"/>
        <v>0</v>
      </c>
      <c r="I528" s="54">
        <v>120</v>
      </c>
      <c r="J528" s="54"/>
      <c r="K528" s="54">
        <v>67.95</v>
      </c>
      <c r="L528" s="54">
        <v>202.27</v>
      </c>
      <c r="M528" s="54">
        <v>7.83</v>
      </c>
      <c r="N528" s="54">
        <v>6</v>
      </c>
      <c r="O528" s="54">
        <v>43.03</v>
      </c>
      <c r="P528" s="54">
        <v>254.14</v>
      </c>
      <c r="Q528" s="54">
        <v>33.630000000000003</v>
      </c>
      <c r="R528" s="54"/>
      <c r="S528" s="54">
        <v>10</v>
      </c>
      <c r="T528" s="54">
        <v>97</v>
      </c>
      <c r="U528" s="54"/>
      <c r="V528" s="56">
        <f t="shared" ref="V528:V545" si="139">SUM(I528:U528)</f>
        <v>841.85</v>
      </c>
      <c r="W528" s="54">
        <v>59.65</v>
      </c>
      <c r="X528" s="54"/>
      <c r="Y528" s="56">
        <f t="shared" si="135"/>
        <v>59.65</v>
      </c>
      <c r="Z528" s="54">
        <v>72.8</v>
      </c>
      <c r="AA528" s="54">
        <v>3</v>
      </c>
      <c r="AB528" s="54">
        <v>38.630000000000003</v>
      </c>
      <c r="AC528" s="54"/>
      <c r="AD528" s="56">
        <f t="shared" si="136"/>
        <v>114.43</v>
      </c>
      <c r="AE528" s="54">
        <v>255.16</v>
      </c>
      <c r="AF528" s="56">
        <f t="shared" si="137"/>
        <v>255.16</v>
      </c>
      <c r="AG528" s="54"/>
      <c r="AH528" s="56">
        <f t="shared" si="138"/>
        <v>1271.0900000000001</v>
      </c>
    </row>
    <row r="529" spans="1:34" ht="16.5">
      <c r="A529" s="124"/>
      <c r="B529" s="49">
        <v>44508</v>
      </c>
      <c r="C529" s="54">
        <v>118.14</v>
      </c>
      <c r="D529" s="54"/>
      <c r="E529" s="54"/>
      <c r="F529" s="54"/>
      <c r="G529" s="54"/>
      <c r="H529" s="56">
        <f t="shared" si="133"/>
        <v>118.14</v>
      </c>
      <c r="I529" s="54">
        <v>176</v>
      </c>
      <c r="J529" s="54"/>
      <c r="K529" s="54">
        <v>41.68</v>
      </c>
      <c r="L529" s="54">
        <v>96</v>
      </c>
      <c r="M529" s="54">
        <v>0.2</v>
      </c>
      <c r="N529" s="54">
        <v>12</v>
      </c>
      <c r="O529" s="54">
        <v>106.24</v>
      </c>
      <c r="P529" s="54">
        <v>120.14</v>
      </c>
      <c r="Q529" s="54">
        <v>4.05</v>
      </c>
      <c r="R529" s="54"/>
      <c r="S529" s="54">
        <v>7.5</v>
      </c>
      <c r="T529" s="54">
        <v>301.33999999999997</v>
      </c>
      <c r="U529" s="54"/>
      <c r="V529" s="56">
        <f t="shared" si="139"/>
        <v>865.14999999999986</v>
      </c>
      <c r="W529" s="54">
        <v>299.39999999999998</v>
      </c>
      <c r="X529" s="54"/>
      <c r="Y529" s="56">
        <f t="shared" si="135"/>
        <v>299.39999999999998</v>
      </c>
      <c r="Z529" s="54">
        <v>241.06</v>
      </c>
      <c r="AA529" s="54"/>
      <c r="AB529" s="54">
        <v>117.42</v>
      </c>
      <c r="AC529" s="54"/>
      <c r="AD529" s="56">
        <f t="shared" si="136"/>
        <v>358.48</v>
      </c>
      <c r="AE529" s="54">
        <v>1078.27</v>
      </c>
      <c r="AF529" s="56">
        <f t="shared" si="137"/>
        <v>1078.27</v>
      </c>
      <c r="AG529" s="54"/>
      <c r="AH529" s="56">
        <f t="shared" si="138"/>
        <v>2719.44</v>
      </c>
    </row>
    <row r="530" spans="1:34" ht="16.5">
      <c r="A530" s="124"/>
      <c r="B530" s="49">
        <v>44509</v>
      </c>
      <c r="C530" s="54"/>
      <c r="D530" s="54"/>
      <c r="E530" s="54"/>
      <c r="F530" s="54"/>
      <c r="G530" s="54">
        <v>104.17</v>
      </c>
      <c r="H530" s="56">
        <f t="shared" si="133"/>
        <v>104.17</v>
      </c>
      <c r="I530" s="54">
        <v>122</v>
      </c>
      <c r="J530" s="54"/>
      <c r="K530" s="54">
        <v>63.52</v>
      </c>
      <c r="L530" s="54">
        <v>74.53</v>
      </c>
      <c r="M530" s="54">
        <v>2.1</v>
      </c>
      <c r="N530" s="54"/>
      <c r="O530" s="54">
        <v>133.28</v>
      </c>
      <c r="P530" s="54"/>
      <c r="Q530" s="54">
        <v>32.840000000000003</v>
      </c>
      <c r="R530" s="54"/>
      <c r="S530" s="54">
        <v>2.5</v>
      </c>
      <c r="T530" s="54">
        <v>2135.4499999999998</v>
      </c>
      <c r="U530" s="54"/>
      <c r="V530" s="56">
        <f t="shared" si="139"/>
        <v>2566.2199999999998</v>
      </c>
      <c r="W530" s="54">
        <v>92.7</v>
      </c>
      <c r="X530" s="54"/>
      <c r="Y530" s="56">
        <f t="shared" si="135"/>
        <v>92.7</v>
      </c>
      <c r="Z530" s="54">
        <v>29.22</v>
      </c>
      <c r="AA530" s="54"/>
      <c r="AB530" s="54">
        <v>13.79</v>
      </c>
      <c r="AC530" s="54"/>
      <c r="AD530" s="56">
        <f t="shared" si="136"/>
        <v>43.01</v>
      </c>
      <c r="AE530" s="54">
        <v>37.93</v>
      </c>
      <c r="AF530" s="56">
        <f t="shared" si="137"/>
        <v>37.93</v>
      </c>
      <c r="AG530" s="54"/>
      <c r="AH530" s="56">
        <f t="shared" si="138"/>
        <v>2844.0299999999997</v>
      </c>
    </row>
    <row r="531" spans="1:34" ht="16.5">
      <c r="A531" s="124"/>
      <c r="B531" s="49">
        <v>44510</v>
      </c>
      <c r="C531" s="54">
        <v>192.7</v>
      </c>
      <c r="D531" s="54"/>
      <c r="E531" s="54"/>
      <c r="F531" s="54"/>
      <c r="G531" s="54"/>
      <c r="H531" s="56">
        <f t="shared" si="133"/>
        <v>192.7</v>
      </c>
      <c r="I531" s="54">
        <v>136</v>
      </c>
      <c r="J531" s="54">
        <v>1</v>
      </c>
      <c r="K531" s="54">
        <v>95</v>
      </c>
      <c r="L531" s="54">
        <v>189.85</v>
      </c>
      <c r="M531" s="54"/>
      <c r="N531" s="54"/>
      <c r="O531" s="54">
        <v>191.18</v>
      </c>
      <c r="P531" s="54">
        <v>523.38</v>
      </c>
      <c r="Q531" s="54">
        <v>17.350000000000001</v>
      </c>
      <c r="R531" s="54"/>
      <c r="S531" s="54">
        <v>7.5</v>
      </c>
      <c r="T531" s="54">
        <v>2736.03</v>
      </c>
      <c r="U531" s="54"/>
      <c r="V531" s="56">
        <f t="shared" si="139"/>
        <v>3897.29</v>
      </c>
      <c r="W531" s="54">
        <v>348.65</v>
      </c>
      <c r="X531" s="54"/>
      <c r="Y531" s="56">
        <f t="shared" si="135"/>
        <v>348.65</v>
      </c>
      <c r="Z531" s="54">
        <v>58.3</v>
      </c>
      <c r="AA531" s="54"/>
      <c r="AB531" s="54">
        <v>38.89</v>
      </c>
      <c r="AC531" s="54"/>
      <c r="AD531" s="56">
        <f t="shared" si="136"/>
        <v>97.19</v>
      </c>
      <c r="AE531" s="54">
        <v>89.48</v>
      </c>
      <c r="AF531" s="56">
        <f t="shared" si="137"/>
        <v>89.48</v>
      </c>
      <c r="AG531" s="54"/>
      <c r="AH531" s="56">
        <f t="shared" si="138"/>
        <v>4625.3099999999995</v>
      </c>
    </row>
    <row r="532" spans="1:34" ht="16.5">
      <c r="A532" s="124"/>
      <c r="B532" s="49">
        <v>44511</v>
      </c>
      <c r="C532" s="54">
        <v>364</v>
      </c>
      <c r="D532" s="54"/>
      <c r="E532" s="54"/>
      <c r="F532" s="54"/>
      <c r="G532" s="54"/>
      <c r="H532" s="56">
        <f t="shared" si="133"/>
        <v>364</v>
      </c>
      <c r="I532" s="54">
        <v>92</v>
      </c>
      <c r="J532" s="54"/>
      <c r="K532" s="54">
        <v>81.3</v>
      </c>
      <c r="L532" s="54">
        <v>985.58</v>
      </c>
      <c r="M532" s="54">
        <v>0.74</v>
      </c>
      <c r="N532" s="54">
        <v>6</v>
      </c>
      <c r="O532" s="54">
        <v>146.18</v>
      </c>
      <c r="P532" s="54">
        <v>319.45999999999998</v>
      </c>
      <c r="Q532" s="54">
        <v>181.91</v>
      </c>
      <c r="R532" s="54"/>
      <c r="S532" s="54">
        <v>10</v>
      </c>
      <c r="T532" s="54">
        <v>1139.1199999999999</v>
      </c>
      <c r="U532" s="54"/>
      <c r="V532" s="56">
        <f t="shared" si="139"/>
        <v>2962.29</v>
      </c>
      <c r="W532" s="54">
        <v>63.4</v>
      </c>
      <c r="X532" s="54"/>
      <c r="Y532" s="56">
        <f t="shared" si="135"/>
        <v>63.4</v>
      </c>
      <c r="Z532" s="54">
        <v>63.29</v>
      </c>
      <c r="AA532" s="54"/>
      <c r="AB532" s="54">
        <v>27.46</v>
      </c>
      <c r="AC532" s="54"/>
      <c r="AD532" s="56">
        <f t="shared" si="136"/>
        <v>90.75</v>
      </c>
      <c r="AE532" s="54"/>
      <c r="AF532" s="56">
        <f t="shared" si="137"/>
        <v>0</v>
      </c>
      <c r="AG532" s="54"/>
      <c r="AH532" s="56">
        <f t="shared" si="138"/>
        <v>3480.44</v>
      </c>
    </row>
    <row r="533" spans="1:34" ht="16.5">
      <c r="A533" s="124"/>
      <c r="B533" s="49">
        <v>44512</v>
      </c>
      <c r="C533" s="54">
        <v>21</v>
      </c>
      <c r="D533" s="54"/>
      <c r="E533" s="54"/>
      <c r="F533" s="54"/>
      <c r="G533" s="54">
        <v>7</v>
      </c>
      <c r="H533" s="56">
        <f t="shared" si="133"/>
        <v>28</v>
      </c>
      <c r="I533" s="54">
        <v>87.5</v>
      </c>
      <c r="J533" s="54">
        <v>3</v>
      </c>
      <c r="K533" s="54">
        <v>108.9</v>
      </c>
      <c r="L533" s="54">
        <v>138.09</v>
      </c>
      <c r="M533" s="54">
        <v>8.48</v>
      </c>
      <c r="N533" s="54"/>
      <c r="O533" s="54">
        <v>116.44</v>
      </c>
      <c r="P533" s="54"/>
      <c r="Q533" s="54">
        <v>47.76</v>
      </c>
      <c r="R533" s="54"/>
      <c r="S533" s="54"/>
      <c r="T533" s="54">
        <v>1408.34</v>
      </c>
      <c r="U533" s="54"/>
      <c r="V533" s="56">
        <f t="shared" si="139"/>
        <v>1918.51</v>
      </c>
      <c r="W533" s="54">
        <v>477.1</v>
      </c>
      <c r="X533" s="54"/>
      <c r="Y533" s="56">
        <f t="shared" si="135"/>
        <v>477.1</v>
      </c>
      <c r="Z533" s="54">
        <v>24.39</v>
      </c>
      <c r="AA533" s="54">
        <v>3</v>
      </c>
      <c r="AB533" s="54">
        <v>19.32</v>
      </c>
      <c r="AC533" s="54"/>
      <c r="AD533" s="56">
        <f t="shared" si="136"/>
        <v>46.71</v>
      </c>
      <c r="AE533" s="54">
        <v>26</v>
      </c>
      <c r="AF533" s="56">
        <f t="shared" si="137"/>
        <v>26</v>
      </c>
      <c r="AG533" s="54"/>
      <c r="AH533" s="74">
        <f t="shared" si="138"/>
        <v>2496.3200000000002</v>
      </c>
    </row>
    <row r="534" spans="1:34" ht="16.5">
      <c r="A534" s="124"/>
      <c r="B534" s="49">
        <v>44515</v>
      </c>
      <c r="C534" s="54">
        <v>1942.62</v>
      </c>
      <c r="D534" s="54"/>
      <c r="E534" s="54"/>
      <c r="F534" s="54"/>
      <c r="G534" s="54"/>
      <c r="H534" s="56">
        <f t="shared" si="133"/>
        <v>1942.62</v>
      </c>
      <c r="I534" s="54">
        <v>147</v>
      </c>
      <c r="J534" s="54">
        <v>1</v>
      </c>
      <c r="K534" s="54">
        <v>236.1</v>
      </c>
      <c r="L534" s="54">
        <v>2312.77</v>
      </c>
      <c r="M534" s="54">
        <v>7.41</v>
      </c>
      <c r="N534" s="54"/>
      <c r="O534" s="54">
        <v>297.51</v>
      </c>
      <c r="P534" s="54">
        <v>131.51</v>
      </c>
      <c r="Q534" s="54">
        <v>110.4</v>
      </c>
      <c r="R534" s="54"/>
      <c r="S534" s="54">
        <v>2.5</v>
      </c>
      <c r="T534" s="54">
        <v>209</v>
      </c>
      <c r="U534" s="54"/>
      <c r="V534" s="56">
        <f t="shared" si="139"/>
        <v>3455.2000000000003</v>
      </c>
      <c r="W534" s="54">
        <v>944.55</v>
      </c>
      <c r="X534" s="54"/>
      <c r="Y534" s="56">
        <f t="shared" si="135"/>
        <v>944.55</v>
      </c>
      <c r="Z534" s="54">
        <v>408.56</v>
      </c>
      <c r="AA534" s="54">
        <v>3</v>
      </c>
      <c r="AB534" s="54">
        <v>141.91</v>
      </c>
      <c r="AC534" s="54"/>
      <c r="AD534" s="56">
        <f t="shared" si="136"/>
        <v>553.47</v>
      </c>
      <c r="AE534" s="54">
        <v>50.76</v>
      </c>
      <c r="AF534" s="56">
        <f t="shared" si="137"/>
        <v>50.76</v>
      </c>
      <c r="AG534" s="54"/>
      <c r="AH534" s="56">
        <f t="shared" si="138"/>
        <v>6946.6</v>
      </c>
    </row>
    <row r="535" spans="1:34" ht="16.5">
      <c r="A535" s="124"/>
      <c r="B535" s="49">
        <v>44516</v>
      </c>
      <c r="C535" s="54">
        <v>188</v>
      </c>
      <c r="D535" s="54"/>
      <c r="E535" s="54"/>
      <c r="F535" s="54"/>
      <c r="G535" s="54"/>
      <c r="H535" s="56">
        <f t="shared" si="133"/>
        <v>188</v>
      </c>
      <c r="I535" s="54">
        <v>119.5</v>
      </c>
      <c r="J535" s="54">
        <v>1</v>
      </c>
      <c r="K535" s="54">
        <v>145.13</v>
      </c>
      <c r="L535" s="54">
        <v>300.42</v>
      </c>
      <c r="M535" s="54">
        <v>15.62</v>
      </c>
      <c r="N535" s="54"/>
      <c r="O535" s="54">
        <v>76.819999999999993</v>
      </c>
      <c r="P535" s="54">
        <v>397.67</v>
      </c>
      <c r="Q535" s="54">
        <v>79.91</v>
      </c>
      <c r="R535" s="54"/>
      <c r="S535" s="54"/>
      <c r="T535" s="54">
        <v>32</v>
      </c>
      <c r="U535" s="54"/>
      <c r="V535" s="56">
        <f t="shared" si="139"/>
        <v>1168.0700000000002</v>
      </c>
      <c r="W535" s="54">
        <v>519.65</v>
      </c>
      <c r="X535" s="54"/>
      <c r="Y535" s="56">
        <f t="shared" si="135"/>
        <v>519.65</v>
      </c>
      <c r="Z535" s="54">
        <v>104.95</v>
      </c>
      <c r="AA535" s="54"/>
      <c r="AB535" s="54">
        <v>64.95</v>
      </c>
      <c r="AC535" s="54"/>
      <c r="AD535" s="56">
        <f t="shared" si="136"/>
        <v>169.9</v>
      </c>
      <c r="AE535" s="54">
        <v>132.51</v>
      </c>
      <c r="AF535" s="56">
        <f t="shared" si="137"/>
        <v>132.51</v>
      </c>
      <c r="AG535" s="54"/>
      <c r="AH535" s="74">
        <f t="shared" si="138"/>
        <v>2178.13</v>
      </c>
    </row>
    <row r="536" spans="1:34" ht="16.5">
      <c r="A536" s="124"/>
      <c r="B536" s="49">
        <v>44517</v>
      </c>
      <c r="C536" s="54">
        <v>355.3</v>
      </c>
      <c r="D536" s="54">
        <v>0</v>
      </c>
      <c r="E536" s="54">
        <v>3.43</v>
      </c>
      <c r="F536" s="54">
        <v>0</v>
      </c>
      <c r="G536" s="54">
        <v>10.5</v>
      </c>
      <c r="H536" s="56">
        <f t="shared" si="133"/>
        <v>369.23</v>
      </c>
      <c r="I536" s="54">
        <v>99.5</v>
      </c>
      <c r="J536" s="54">
        <v>0</v>
      </c>
      <c r="K536" s="54">
        <v>78.64</v>
      </c>
      <c r="L536" s="54">
        <v>221.88</v>
      </c>
      <c r="M536" s="54">
        <v>1.23</v>
      </c>
      <c r="N536" s="54">
        <v>0</v>
      </c>
      <c r="O536" s="54">
        <f>5.11+20.73+1386.02</f>
        <v>1411.86</v>
      </c>
      <c r="P536" s="54">
        <v>0</v>
      </c>
      <c r="Q536" s="54">
        <v>15.93</v>
      </c>
      <c r="R536" s="54">
        <f>19785+3630</f>
        <v>23415</v>
      </c>
      <c r="S536" s="54">
        <v>2.5</v>
      </c>
      <c r="T536" s="54">
        <v>3557.46</v>
      </c>
      <c r="U536" s="54">
        <v>0</v>
      </c>
      <c r="V536" s="56">
        <f t="shared" si="139"/>
        <v>28804</v>
      </c>
      <c r="W536" s="54">
        <v>416.3</v>
      </c>
      <c r="X536" s="54">
        <v>0</v>
      </c>
      <c r="Y536" s="56">
        <f t="shared" si="135"/>
        <v>416.3</v>
      </c>
      <c r="Z536" s="54">
        <f>32.28+0.77</f>
        <v>33.050000000000004</v>
      </c>
      <c r="AA536" s="54">
        <v>0</v>
      </c>
      <c r="AB536" s="54">
        <f>23.81+5.72</f>
        <v>29.529999999999998</v>
      </c>
      <c r="AC536" s="54">
        <v>0</v>
      </c>
      <c r="AD536" s="56">
        <f t="shared" si="136"/>
        <v>62.58</v>
      </c>
      <c r="AE536" s="54">
        <v>70.45</v>
      </c>
      <c r="AF536" s="56">
        <f t="shared" si="137"/>
        <v>70.45</v>
      </c>
      <c r="AG536" s="54"/>
      <c r="AH536" s="74">
        <f t="shared" si="138"/>
        <v>29722.560000000001</v>
      </c>
    </row>
    <row r="537" spans="1:34" ht="16.5">
      <c r="A537" s="124"/>
      <c r="B537" s="114">
        <v>44518</v>
      </c>
      <c r="C537" s="54">
        <v>213</v>
      </c>
      <c r="D537" s="54">
        <v>0</v>
      </c>
      <c r="E537" s="54">
        <v>75.459999999999994</v>
      </c>
      <c r="F537" s="54">
        <v>0</v>
      </c>
      <c r="G537" s="54">
        <v>0</v>
      </c>
      <c r="H537" s="56">
        <f t="shared" si="133"/>
        <v>288.45999999999998</v>
      </c>
      <c r="I537" s="54">
        <v>60</v>
      </c>
      <c r="J537" s="54">
        <v>1</v>
      </c>
      <c r="K537" s="54">
        <v>47.89</v>
      </c>
      <c r="L537" s="54">
        <v>190.12</v>
      </c>
      <c r="M537" s="54">
        <v>0</v>
      </c>
      <c r="N537" s="54">
        <v>0</v>
      </c>
      <c r="O537" s="54">
        <f>3.58+12.74+31.4</f>
        <v>47.72</v>
      </c>
      <c r="P537" s="54">
        <v>42</v>
      </c>
      <c r="Q537" s="54">
        <v>13.03</v>
      </c>
      <c r="R537" s="54">
        <v>0</v>
      </c>
      <c r="S537" s="54">
        <v>10</v>
      </c>
      <c r="T537" s="54">
        <v>122.35</v>
      </c>
      <c r="U537" s="54">
        <v>0</v>
      </c>
      <c r="V537" s="56">
        <f t="shared" si="139"/>
        <v>534.11</v>
      </c>
      <c r="W537" s="54">
        <v>256.39999999999998</v>
      </c>
      <c r="X537" s="54">
        <v>0</v>
      </c>
      <c r="Y537" s="56">
        <f t="shared" si="135"/>
        <v>256.39999999999998</v>
      </c>
      <c r="Z537" s="54">
        <f>5.43+0.77</f>
        <v>6.1999999999999993</v>
      </c>
      <c r="AA537" s="54">
        <v>3</v>
      </c>
      <c r="AB537" s="54">
        <f>11.44+2.86</f>
        <v>14.299999999999999</v>
      </c>
      <c r="AC537" s="54">
        <v>0</v>
      </c>
      <c r="AD537" s="56">
        <f t="shared" si="136"/>
        <v>23.5</v>
      </c>
      <c r="AE537" s="54">
        <v>0</v>
      </c>
      <c r="AF537" s="56">
        <f t="shared" si="137"/>
        <v>0</v>
      </c>
      <c r="AG537" s="54"/>
      <c r="AH537" s="74">
        <f t="shared" si="138"/>
        <v>1102.47</v>
      </c>
    </row>
    <row r="538" spans="1:34" ht="16.5">
      <c r="A538" s="124"/>
      <c r="B538" s="49">
        <v>44519</v>
      </c>
      <c r="C538" s="54">
        <v>530.4</v>
      </c>
      <c r="D538" s="54">
        <v>0</v>
      </c>
      <c r="E538" s="54">
        <v>0</v>
      </c>
      <c r="F538" s="54">
        <v>0</v>
      </c>
      <c r="G538" s="54">
        <v>0</v>
      </c>
      <c r="H538" s="56">
        <f t="shared" si="133"/>
        <v>530.4</v>
      </c>
      <c r="I538" s="54">
        <v>96</v>
      </c>
      <c r="J538" s="54">
        <v>0</v>
      </c>
      <c r="K538" s="54">
        <v>159.68</v>
      </c>
      <c r="L538" s="54">
        <v>652.65</v>
      </c>
      <c r="M538" s="54">
        <v>3.33</v>
      </c>
      <c r="N538" s="54">
        <v>0</v>
      </c>
      <c r="O538" s="54">
        <f>4.65+111.14+23.03</f>
        <v>138.82</v>
      </c>
      <c r="P538" s="54">
        <v>132.19999999999999</v>
      </c>
      <c r="Q538" s="54">
        <v>41.51</v>
      </c>
      <c r="R538" s="54">
        <v>0</v>
      </c>
      <c r="S538" s="54">
        <v>0</v>
      </c>
      <c r="T538" s="54">
        <v>246.88</v>
      </c>
      <c r="U538" s="54">
        <v>0</v>
      </c>
      <c r="V538" s="56">
        <f t="shared" si="139"/>
        <v>1471.0700000000002</v>
      </c>
      <c r="W538" s="54">
        <v>464.15</v>
      </c>
      <c r="X538" s="54">
        <v>0</v>
      </c>
      <c r="Y538" s="56">
        <f t="shared" si="135"/>
        <v>464.15</v>
      </c>
      <c r="Z538" s="54">
        <f>201.11+1.29</f>
        <v>202.4</v>
      </c>
      <c r="AA538" s="54">
        <v>0</v>
      </c>
      <c r="AB538" s="54">
        <f>98.48+8.94</f>
        <v>107.42</v>
      </c>
      <c r="AC538" s="54">
        <v>0</v>
      </c>
      <c r="AD538" s="56">
        <f t="shared" si="136"/>
        <v>309.82</v>
      </c>
      <c r="AE538" s="54">
        <v>584.33000000000004</v>
      </c>
      <c r="AF538" s="56">
        <f t="shared" si="137"/>
        <v>584.33000000000004</v>
      </c>
      <c r="AG538" s="54"/>
      <c r="AH538" s="74">
        <f t="shared" si="138"/>
        <v>3359.7700000000004</v>
      </c>
    </row>
    <row r="539" spans="1:34" ht="16.5">
      <c r="A539" s="124"/>
      <c r="B539" s="49">
        <v>44522</v>
      </c>
      <c r="C539" s="54">
        <v>352.4</v>
      </c>
      <c r="D539" s="54"/>
      <c r="E539" s="54"/>
      <c r="F539" s="54"/>
      <c r="G539" s="54"/>
      <c r="H539" s="56">
        <f t="shared" si="133"/>
        <v>352.4</v>
      </c>
      <c r="I539" s="54">
        <v>126.5</v>
      </c>
      <c r="J539" s="54"/>
      <c r="K539" s="54">
        <v>242.02</v>
      </c>
      <c r="L539" s="54">
        <v>1535.89</v>
      </c>
      <c r="M539" s="54">
        <v>2.56</v>
      </c>
      <c r="N539" s="54">
        <v>18</v>
      </c>
      <c r="O539" s="54">
        <v>182.39</v>
      </c>
      <c r="P539" s="54">
        <v>569.39</v>
      </c>
      <c r="Q539" s="54">
        <v>141.97</v>
      </c>
      <c r="R539" s="54"/>
      <c r="S539" s="54">
        <v>2.5</v>
      </c>
      <c r="T539" s="54">
        <v>749.7</v>
      </c>
      <c r="U539" s="54"/>
      <c r="V539" s="56">
        <f t="shared" si="139"/>
        <v>3570.92</v>
      </c>
      <c r="W539" s="54">
        <v>432.15</v>
      </c>
      <c r="X539" s="54"/>
      <c r="Y539" s="56">
        <f t="shared" si="135"/>
        <v>432.15</v>
      </c>
      <c r="Z539" s="54">
        <v>29.97</v>
      </c>
      <c r="AA539" s="54">
        <v>3</v>
      </c>
      <c r="AB539" s="54">
        <v>37.58</v>
      </c>
      <c r="AC539" s="54"/>
      <c r="AD539" s="56">
        <f t="shared" si="136"/>
        <v>70.55</v>
      </c>
      <c r="AE539" s="54">
        <v>63.75</v>
      </c>
      <c r="AF539" s="56">
        <f t="shared" si="137"/>
        <v>63.75</v>
      </c>
      <c r="AG539" s="54"/>
      <c r="AH539" s="74">
        <f t="shared" si="138"/>
        <v>4489.7699999999995</v>
      </c>
    </row>
    <row r="540" spans="1:34" ht="16.5">
      <c r="A540" s="124"/>
      <c r="B540" s="49">
        <v>44523</v>
      </c>
      <c r="C540" s="54">
        <v>1179.2</v>
      </c>
      <c r="D540" s="54"/>
      <c r="E540" s="54"/>
      <c r="F540" s="54"/>
      <c r="G540" s="54"/>
      <c r="H540" s="56">
        <f t="shared" si="133"/>
        <v>1179.2</v>
      </c>
      <c r="I540" s="54">
        <v>95.5</v>
      </c>
      <c r="J540" s="54">
        <v>3</v>
      </c>
      <c r="K540" s="54">
        <v>115.31</v>
      </c>
      <c r="L540" s="54">
        <v>597.1</v>
      </c>
      <c r="M540" s="54">
        <v>75.900000000000006</v>
      </c>
      <c r="N540" s="54">
        <v>12</v>
      </c>
      <c r="O540" s="54">
        <v>204.25</v>
      </c>
      <c r="P540" s="54">
        <v>612.52</v>
      </c>
      <c r="Q540" s="54">
        <v>35.64</v>
      </c>
      <c r="R540" s="54"/>
      <c r="S540" s="54"/>
      <c r="T540" s="54">
        <v>973.67</v>
      </c>
      <c r="U540" s="54"/>
      <c r="V540" s="56">
        <f t="shared" ref="V540:V544" si="140">SUM(I540:U540)</f>
        <v>2724.89</v>
      </c>
      <c r="W540" s="54">
        <v>283.75</v>
      </c>
      <c r="X540" s="54"/>
      <c r="Y540" s="56">
        <f t="shared" si="135"/>
        <v>283.75</v>
      </c>
      <c r="Z540" s="54">
        <v>56.88</v>
      </c>
      <c r="AA540" s="54"/>
      <c r="AB540" s="54">
        <v>22.37</v>
      </c>
      <c r="AC540" s="54"/>
      <c r="AD540" s="56">
        <f t="shared" si="136"/>
        <v>79.25</v>
      </c>
      <c r="AE540" s="54">
        <v>689.32</v>
      </c>
      <c r="AF540" s="56">
        <f t="shared" si="137"/>
        <v>689.32</v>
      </c>
      <c r="AG540" s="54"/>
      <c r="AH540" s="74">
        <f t="shared" si="138"/>
        <v>4956.41</v>
      </c>
    </row>
    <row r="541" spans="1:34" ht="16.5">
      <c r="A541" s="124"/>
      <c r="B541" s="49">
        <v>44524</v>
      </c>
      <c r="C541" s="54">
        <v>396</v>
      </c>
      <c r="D541" s="54"/>
      <c r="E541" s="54"/>
      <c r="F541" s="54"/>
      <c r="G541" s="54"/>
      <c r="H541" s="56">
        <f t="shared" si="133"/>
        <v>396</v>
      </c>
      <c r="I541" s="54">
        <v>82</v>
      </c>
      <c r="J541" s="54"/>
      <c r="K541" s="54">
        <v>110.1</v>
      </c>
      <c r="L541" s="54">
        <v>597.44000000000005</v>
      </c>
      <c r="M541" s="54">
        <v>7</v>
      </c>
      <c r="N541" s="54"/>
      <c r="O541" s="54">
        <v>110.2</v>
      </c>
      <c r="P541" s="54">
        <v>148.33000000000001</v>
      </c>
      <c r="Q541" s="54">
        <v>33.159999999999997</v>
      </c>
      <c r="R541" s="54"/>
      <c r="S541" s="54">
        <v>22.5</v>
      </c>
      <c r="T541" s="54">
        <v>222.15</v>
      </c>
      <c r="U541" s="54"/>
      <c r="V541" s="56">
        <f t="shared" si="140"/>
        <v>1332.8800000000003</v>
      </c>
      <c r="W541" s="54">
        <v>305.60000000000002</v>
      </c>
      <c r="X541" s="54"/>
      <c r="Y541" s="56">
        <f t="shared" si="135"/>
        <v>305.60000000000002</v>
      </c>
      <c r="Z541" s="54">
        <v>158.07</v>
      </c>
      <c r="AA541" s="54"/>
      <c r="AB541" s="54">
        <v>85.12</v>
      </c>
      <c r="AC541" s="54"/>
      <c r="AD541" s="56">
        <f t="shared" si="136"/>
        <v>243.19</v>
      </c>
      <c r="AE541" s="54">
        <v>416.51</v>
      </c>
      <c r="AF541" s="56">
        <f t="shared" si="137"/>
        <v>416.51</v>
      </c>
      <c r="AG541" s="54"/>
      <c r="AH541" s="56">
        <f t="shared" si="138"/>
        <v>2694.1800000000003</v>
      </c>
    </row>
    <row r="542" spans="1:34" ht="16.5">
      <c r="A542" s="124"/>
      <c r="B542" s="49">
        <v>44525</v>
      </c>
      <c r="C542" s="54"/>
      <c r="D542" s="54"/>
      <c r="E542" s="54"/>
      <c r="F542" s="54"/>
      <c r="G542" s="54"/>
      <c r="H542" s="56">
        <f t="shared" si="133"/>
        <v>0</v>
      </c>
      <c r="I542" s="54">
        <v>127.5</v>
      </c>
      <c r="J542" s="54"/>
      <c r="K542" s="54">
        <v>1675.94</v>
      </c>
      <c r="L542" s="54">
        <v>4767.26</v>
      </c>
      <c r="M542" s="54">
        <v>25.14</v>
      </c>
      <c r="N542" s="54">
        <v>6</v>
      </c>
      <c r="O542" s="54">
        <v>490.5</v>
      </c>
      <c r="P542" s="54">
        <v>203.46</v>
      </c>
      <c r="Q542" s="54">
        <v>691.85</v>
      </c>
      <c r="R542" s="54"/>
      <c r="S542" s="54"/>
      <c r="T542" s="54">
        <v>2148</v>
      </c>
      <c r="U542" s="54"/>
      <c r="V542" s="56">
        <f t="shared" si="140"/>
        <v>10135.650000000001</v>
      </c>
      <c r="W542" s="54">
        <v>348.35</v>
      </c>
      <c r="X542" s="54"/>
      <c r="Y542" s="56">
        <f t="shared" si="135"/>
        <v>348.35</v>
      </c>
      <c r="Z542" s="54">
        <v>2.08</v>
      </c>
      <c r="AA542" s="54">
        <v>11.42</v>
      </c>
      <c r="AB542" s="54">
        <v>5.72</v>
      </c>
      <c r="AC542" s="54"/>
      <c r="AD542" s="56">
        <f t="shared" si="136"/>
        <v>19.22</v>
      </c>
      <c r="AE542" s="54"/>
      <c r="AF542" s="56">
        <f t="shared" si="137"/>
        <v>0</v>
      </c>
      <c r="AG542" s="54"/>
      <c r="AH542" s="74">
        <f t="shared" si="138"/>
        <v>10503.220000000001</v>
      </c>
    </row>
    <row r="543" spans="1:34" ht="16.5">
      <c r="A543" s="124"/>
      <c r="B543" s="49">
        <v>44526</v>
      </c>
      <c r="C543" s="54">
        <v>228.81</v>
      </c>
      <c r="D543" s="54"/>
      <c r="E543" s="54"/>
      <c r="F543" s="54"/>
      <c r="G543" s="54"/>
      <c r="H543" s="56">
        <f t="shared" si="133"/>
        <v>228.81</v>
      </c>
      <c r="I543" s="54">
        <v>76</v>
      </c>
      <c r="J543" s="54"/>
      <c r="K543" s="54">
        <v>177.5</v>
      </c>
      <c r="L543" s="54">
        <v>2237.5100000000002</v>
      </c>
      <c r="M543" s="54">
        <v>227.27</v>
      </c>
      <c r="N543" s="54"/>
      <c r="O543" s="54">
        <v>960.77</v>
      </c>
      <c r="P543" s="54"/>
      <c r="Q543" s="54">
        <v>40.380000000000003</v>
      </c>
      <c r="R543" s="54">
        <v>765</v>
      </c>
      <c r="S543" s="54">
        <v>7.5</v>
      </c>
      <c r="T543" s="54">
        <v>14938.09</v>
      </c>
      <c r="U543" s="54"/>
      <c r="V543" s="56">
        <f t="shared" si="140"/>
        <v>19430.02</v>
      </c>
      <c r="W543" s="54">
        <v>266.95</v>
      </c>
      <c r="X543" s="54"/>
      <c r="Y543" s="56">
        <f t="shared" si="135"/>
        <v>266.95</v>
      </c>
      <c r="Z543" s="54">
        <v>106.43</v>
      </c>
      <c r="AA543" s="54"/>
      <c r="AB543" s="54">
        <v>58.86</v>
      </c>
      <c r="AC543" s="54"/>
      <c r="AD543" s="56">
        <f t="shared" si="136"/>
        <v>165.29000000000002</v>
      </c>
      <c r="AE543" s="54">
        <v>254.53</v>
      </c>
      <c r="AF543" s="56">
        <f t="shared" si="137"/>
        <v>254.53</v>
      </c>
      <c r="AG543" s="54"/>
      <c r="AH543" s="56">
        <f t="shared" si="138"/>
        <v>20345.600000000002</v>
      </c>
    </row>
    <row r="544" spans="1:34" ht="16.5">
      <c r="A544" s="124"/>
      <c r="B544" s="49">
        <v>44529</v>
      </c>
      <c r="C544" s="54">
        <v>197</v>
      </c>
      <c r="D544" s="54"/>
      <c r="E544" s="54"/>
      <c r="F544" s="54"/>
      <c r="G544" s="54">
        <v>4.5</v>
      </c>
      <c r="H544" s="56">
        <f t="shared" si="133"/>
        <v>201.5</v>
      </c>
      <c r="I544" s="54">
        <v>121.5</v>
      </c>
      <c r="J544" s="54">
        <v>2</v>
      </c>
      <c r="K544" s="54">
        <v>143.13999999999999</v>
      </c>
      <c r="L544" s="54">
        <v>238.23</v>
      </c>
      <c r="M544" s="54">
        <v>14.41</v>
      </c>
      <c r="N544" s="54">
        <v>18</v>
      </c>
      <c r="O544" s="54">
        <v>587.46</v>
      </c>
      <c r="P544" s="54">
        <v>122.63</v>
      </c>
      <c r="Q544" s="54">
        <v>34.1</v>
      </c>
      <c r="R544" s="54"/>
      <c r="S544" s="54"/>
      <c r="T544" s="54">
        <v>9808.27</v>
      </c>
      <c r="U544" s="54"/>
      <c r="V544" s="56">
        <f t="shared" si="140"/>
        <v>11089.74</v>
      </c>
      <c r="W544" s="54">
        <v>1000.5</v>
      </c>
      <c r="X544" s="54"/>
      <c r="Y544" s="56">
        <f t="shared" si="135"/>
        <v>1000.5</v>
      </c>
      <c r="Z544" s="54">
        <v>53.75</v>
      </c>
      <c r="AA544" s="54"/>
      <c r="AB544" s="54">
        <v>63.14</v>
      </c>
      <c r="AC544" s="54"/>
      <c r="AD544" s="56">
        <f t="shared" si="136"/>
        <v>116.89</v>
      </c>
      <c r="AE544" s="54">
        <v>129.05000000000001</v>
      </c>
      <c r="AF544" s="56">
        <f t="shared" si="137"/>
        <v>129.05000000000001</v>
      </c>
      <c r="AG544" s="54"/>
      <c r="AH544" s="56">
        <f t="shared" si="138"/>
        <v>12537.68</v>
      </c>
    </row>
    <row r="545" spans="1:34" ht="16.5">
      <c r="A545" s="124"/>
      <c r="B545" s="49">
        <v>44530</v>
      </c>
      <c r="C545" s="54">
        <v>1401.29</v>
      </c>
      <c r="D545" s="54">
        <v>0</v>
      </c>
      <c r="E545" s="54">
        <v>0</v>
      </c>
      <c r="F545" s="54">
        <v>0</v>
      </c>
      <c r="G545" s="54">
        <v>0</v>
      </c>
      <c r="H545" s="56">
        <f t="shared" si="133"/>
        <v>1401.29</v>
      </c>
      <c r="I545" s="54">
        <v>70</v>
      </c>
      <c r="J545" s="54">
        <v>0</v>
      </c>
      <c r="K545" s="54">
        <v>236.45</v>
      </c>
      <c r="L545" s="54">
        <v>2168.6799999999998</v>
      </c>
      <c r="M545" s="54">
        <v>31.22</v>
      </c>
      <c r="N545" s="54">
        <v>0</v>
      </c>
      <c r="O545" s="54">
        <f>3.51+36.5+628.49</f>
        <v>668.5</v>
      </c>
      <c r="P545" s="54">
        <v>491.97</v>
      </c>
      <c r="Q545" s="54">
        <v>104.16</v>
      </c>
      <c r="R545" s="54">
        <v>8280</v>
      </c>
      <c r="S545" s="54">
        <v>0</v>
      </c>
      <c r="T545" s="54">
        <v>240.91</v>
      </c>
      <c r="U545" s="54">
        <v>0</v>
      </c>
      <c r="V545" s="56">
        <f t="shared" si="139"/>
        <v>12291.89</v>
      </c>
      <c r="W545" s="54">
        <v>732.7</v>
      </c>
      <c r="X545" s="54">
        <v>0</v>
      </c>
      <c r="Y545" s="56">
        <f t="shared" si="135"/>
        <v>732.7</v>
      </c>
      <c r="Z545" s="54">
        <f>16.51+32.03</f>
        <v>48.540000000000006</v>
      </c>
      <c r="AA545" s="54">
        <v>0</v>
      </c>
      <c r="AB545" s="54">
        <f>9.36+35.15</f>
        <v>44.51</v>
      </c>
      <c r="AC545" s="54">
        <v>0</v>
      </c>
      <c r="AD545" s="56">
        <f t="shared" si="136"/>
        <v>93.050000000000011</v>
      </c>
      <c r="AE545" s="54">
        <v>97.4</v>
      </c>
      <c r="AF545" s="56">
        <f t="shared" si="137"/>
        <v>97.4</v>
      </c>
      <c r="AG545" s="54"/>
      <c r="AH545" s="56">
        <f t="shared" si="138"/>
        <v>14616.329999999998</v>
      </c>
    </row>
    <row r="546" spans="1:34" ht="16.5">
      <c r="A546" s="124"/>
      <c r="B546" s="49"/>
      <c r="C546" s="54"/>
      <c r="D546" s="54"/>
      <c r="E546" s="54"/>
      <c r="F546" s="54"/>
      <c r="G546" s="54"/>
      <c r="H546" s="56"/>
      <c r="I546" s="54"/>
      <c r="J546" s="54"/>
      <c r="K546" s="54"/>
      <c r="L546" s="54"/>
      <c r="M546" s="54"/>
      <c r="N546" s="54"/>
      <c r="O546" s="54"/>
      <c r="P546" s="54"/>
      <c r="Q546" s="54"/>
      <c r="R546" s="54"/>
      <c r="S546" s="54"/>
      <c r="T546" s="54"/>
      <c r="U546" s="54"/>
      <c r="V546" s="56"/>
      <c r="W546" s="54"/>
      <c r="X546" s="54"/>
      <c r="Y546" s="56"/>
      <c r="Z546" s="54"/>
      <c r="AA546" s="54"/>
      <c r="AB546" s="54"/>
      <c r="AC546" s="54"/>
      <c r="AD546" s="56"/>
      <c r="AE546" s="54"/>
      <c r="AF546" s="56"/>
      <c r="AG546" s="51"/>
      <c r="AH546" s="56"/>
    </row>
    <row r="547" spans="1:34" ht="16.5">
      <c r="A547" s="124"/>
      <c r="B547" s="49"/>
      <c r="C547" s="54">
        <f t="shared" ref="C547:P547" si="141">SUM(C525:C545)</f>
        <v>8608.86</v>
      </c>
      <c r="D547" s="54">
        <f t="shared" si="141"/>
        <v>0</v>
      </c>
      <c r="E547" s="54">
        <f t="shared" si="141"/>
        <v>78.89</v>
      </c>
      <c r="F547" s="54">
        <f t="shared" si="141"/>
        <v>0</v>
      </c>
      <c r="G547" s="54">
        <f t="shared" si="141"/>
        <v>126.17</v>
      </c>
      <c r="H547" s="56">
        <f t="shared" si="141"/>
        <v>8813.92</v>
      </c>
      <c r="I547" s="54">
        <f t="shared" si="141"/>
        <v>2278.5</v>
      </c>
      <c r="J547" s="54">
        <f t="shared" si="141"/>
        <v>14</v>
      </c>
      <c r="K547" s="54">
        <f t="shared" si="141"/>
        <v>4059.57</v>
      </c>
      <c r="L547" s="54">
        <f t="shared" si="141"/>
        <v>17932.09</v>
      </c>
      <c r="M547" s="54">
        <f>SUM(M525:M545)</f>
        <v>447.35</v>
      </c>
      <c r="N547" s="54">
        <f t="shared" si="141"/>
        <v>96</v>
      </c>
      <c r="O547" s="54">
        <f t="shared" si="141"/>
        <v>6087.83</v>
      </c>
      <c r="P547" s="54">
        <f t="shared" si="141"/>
        <v>4891.43</v>
      </c>
      <c r="Q547" s="54">
        <f t="shared" ref="Q547:AF547" si="142">SUM(Q523:Q545)</f>
        <v>1725.05</v>
      </c>
      <c r="R547" s="54">
        <f t="shared" si="142"/>
        <v>32460</v>
      </c>
      <c r="S547" s="54">
        <f t="shared" si="142"/>
        <v>100</v>
      </c>
      <c r="T547" s="54">
        <f t="shared" si="142"/>
        <v>41445.760000000002</v>
      </c>
      <c r="U547" s="54">
        <f t="shared" si="142"/>
        <v>0</v>
      </c>
      <c r="V547" s="56">
        <f t="shared" si="142"/>
        <v>111537.58</v>
      </c>
      <c r="W547" s="54">
        <f t="shared" si="142"/>
        <v>8001.5</v>
      </c>
      <c r="X547" s="54">
        <f t="shared" si="142"/>
        <v>0</v>
      </c>
      <c r="Y547" s="56">
        <f>SUM(Y523:Y545)</f>
        <v>8001.5</v>
      </c>
      <c r="Z547" s="54">
        <f t="shared" si="142"/>
        <v>1883.5700000000002</v>
      </c>
      <c r="AA547" s="54">
        <f t="shared" si="142"/>
        <v>29.42</v>
      </c>
      <c r="AB547" s="54">
        <f t="shared" si="142"/>
        <v>1058.97</v>
      </c>
      <c r="AC547" s="54">
        <f t="shared" si="142"/>
        <v>0</v>
      </c>
      <c r="AD547" s="56">
        <f>SUM(AD523:AD545)</f>
        <v>2971.9600000000005</v>
      </c>
      <c r="AE547" s="54">
        <f t="shared" si="142"/>
        <v>4370.3899999999994</v>
      </c>
      <c r="AF547" s="56">
        <f t="shared" si="142"/>
        <v>4370.3899999999994</v>
      </c>
      <c r="AG547" s="54"/>
      <c r="AH547" s="59">
        <f>SUM(AH523:AH545)</f>
        <v>135695.35</v>
      </c>
    </row>
    <row r="548" spans="1:34" ht="16.5">
      <c r="A548" s="124"/>
      <c r="B548" s="128"/>
      <c r="C548" s="128"/>
      <c r="D548" s="128"/>
      <c r="E548" s="128"/>
      <c r="F548" s="128"/>
      <c r="G548" s="128"/>
      <c r="H548" s="128"/>
      <c r="I548" s="128"/>
      <c r="J548" s="128"/>
      <c r="K548" s="128"/>
      <c r="L548" s="128"/>
      <c r="M548" s="128"/>
      <c r="N548" s="128"/>
      <c r="O548" s="128"/>
      <c r="P548" s="128"/>
      <c r="Q548" s="128"/>
      <c r="R548" s="128"/>
      <c r="S548" s="128"/>
      <c r="T548" s="128"/>
      <c r="U548" s="128"/>
      <c r="V548" s="128"/>
      <c r="W548" s="128"/>
      <c r="X548" s="128"/>
      <c r="Y548" s="128"/>
      <c r="Z548" s="128"/>
      <c r="AA548" s="128"/>
      <c r="AB548" s="128"/>
      <c r="AC548" s="128"/>
      <c r="AD548" s="128"/>
      <c r="AE548" s="128"/>
      <c r="AF548" s="110" t="s">
        <v>175</v>
      </c>
      <c r="AG548" s="111"/>
      <c r="AH548" s="133">
        <f ca="1">SUM(AH547:AH549)</f>
        <v>135695.35</v>
      </c>
    </row>
    <row r="549" spans="1:34" ht="16.5">
      <c r="A549" s="124"/>
      <c r="B549" s="128"/>
      <c r="C549" s="128"/>
      <c r="D549" s="128"/>
      <c r="E549" s="128"/>
      <c r="F549" s="128"/>
      <c r="G549" s="128"/>
      <c r="H549" s="128"/>
      <c r="I549" s="128"/>
      <c r="J549" s="128"/>
      <c r="K549" s="128"/>
      <c r="L549" s="128"/>
      <c r="M549" s="128"/>
      <c r="N549" s="128"/>
      <c r="O549" s="128"/>
      <c r="P549" s="128"/>
      <c r="Q549" s="128"/>
      <c r="R549" s="128"/>
      <c r="S549" s="128"/>
      <c r="T549" s="128"/>
      <c r="U549" s="128"/>
      <c r="V549" s="128"/>
      <c r="W549" s="128"/>
      <c r="X549" s="128"/>
      <c r="Y549" s="128"/>
      <c r="Z549" s="128"/>
      <c r="AA549" s="128"/>
      <c r="AB549" s="128"/>
      <c r="AC549" s="128"/>
      <c r="AD549" s="128"/>
      <c r="AE549" s="128"/>
      <c r="AF549" s="110" t="s">
        <v>139</v>
      </c>
      <c r="AG549" s="111"/>
      <c r="AH549" s="134"/>
    </row>
    <row r="550" spans="1:34" ht="16.5">
      <c r="A550" s="124"/>
      <c r="B550" s="128"/>
      <c r="C550" s="128"/>
      <c r="D550" s="128"/>
      <c r="E550" s="128"/>
      <c r="F550" s="128"/>
      <c r="G550" s="128"/>
      <c r="H550" s="128"/>
      <c r="I550" s="128"/>
      <c r="J550" s="128"/>
      <c r="K550" s="128"/>
      <c r="L550" s="128"/>
      <c r="M550" s="128"/>
      <c r="N550" s="128"/>
      <c r="O550" s="128"/>
      <c r="P550" s="128"/>
      <c r="Q550" s="128"/>
      <c r="R550" s="128"/>
      <c r="S550" s="128"/>
      <c r="T550" s="128"/>
      <c r="U550" s="128"/>
      <c r="V550" s="128"/>
      <c r="W550" s="128"/>
      <c r="X550" s="128"/>
      <c r="Y550" s="128"/>
      <c r="Z550" s="128"/>
      <c r="AA550" s="128"/>
      <c r="AB550" s="128"/>
      <c r="AC550" s="128"/>
      <c r="AD550" s="128"/>
      <c r="AE550" s="128"/>
      <c r="AF550" s="110"/>
      <c r="AG550" s="111"/>
      <c r="AH550" s="134"/>
    </row>
    <row r="551" spans="1:34" ht="16.5">
      <c r="A551" s="124"/>
      <c r="B551" s="128"/>
      <c r="C551" s="128"/>
      <c r="D551" s="128"/>
      <c r="E551" s="128"/>
      <c r="F551" s="128"/>
      <c r="G551" s="128"/>
      <c r="H551" s="128"/>
      <c r="I551" s="128"/>
      <c r="J551" s="128"/>
      <c r="K551" s="128"/>
      <c r="L551" s="128"/>
      <c r="M551" s="128"/>
      <c r="N551" s="128"/>
      <c r="O551" s="128"/>
      <c r="P551" s="128"/>
      <c r="Q551" s="128"/>
      <c r="R551" s="128"/>
      <c r="S551" s="128"/>
      <c r="T551" s="128"/>
      <c r="U551" s="128"/>
      <c r="V551" s="128"/>
      <c r="W551" s="128"/>
      <c r="X551" s="128"/>
      <c r="Y551" s="128"/>
      <c r="Z551" s="128"/>
      <c r="AA551" s="128"/>
      <c r="AB551" s="128"/>
      <c r="AC551" s="128"/>
      <c r="AD551" s="128"/>
      <c r="AE551" s="128"/>
      <c r="AF551" s="110" t="s">
        <v>193</v>
      </c>
      <c r="AG551" s="111"/>
      <c r="AH551" s="135"/>
    </row>
    <row r="552" spans="1:34" ht="16.5" customHeight="1">
      <c r="A552" s="124"/>
      <c r="B552" s="128"/>
      <c r="C552" s="128"/>
      <c r="D552" s="128"/>
      <c r="E552" s="128"/>
      <c r="F552" s="128"/>
      <c r="G552" s="128"/>
      <c r="H552" s="128"/>
      <c r="I552" s="128"/>
      <c r="J552" s="128"/>
      <c r="K552" s="128"/>
      <c r="L552" s="128"/>
      <c r="M552" s="128"/>
      <c r="N552" s="128"/>
      <c r="O552" s="128"/>
      <c r="P552" s="128"/>
      <c r="Q552" s="128"/>
      <c r="R552" s="128"/>
      <c r="S552" s="128"/>
      <c r="T552" s="128"/>
      <c r="U552" s="128"/>
      <c r="V552" s="128"/>
      <c r="W552" s="128"/>
      <c r="X552" s="128"/>
      <c r="Y552" s="128"/>
      <c r="Z552" s="128"/>
      <c r="AA552" s="128"/>
      <c r="AB552" s="128"/>
      <c r="AC552" s="128"/>
      <c r="AD552" s="128"/>
      <c r="AE552" s="128"/>
      <c r="AF552" s="130"/>
      <c r="AG552" s="130"/>
      <c r="AH552" s="130"/>
    </row>
    <row r="553" spans="1:34" ht="23.25" customHeight="1">
      <c r="A553" s="124"/>
      <c r="B553" s="129"/>
      <c r="C553" s="129"/>
      <c r="D553" s="129"/>
      <c r="E553" s="129"/>
      <c r="F553" s="129"/>
      <c r="G553" s="129"/>
      <c r="H553" s="129"/>
      <c r="I553" s="129"/>
      <c r="J553" s="129"/>
      <c r="K553" s="129"/>
      <c r="L553" s="129"/>
      <c r="M553" s="129"/>
      <c r="N553" s="129"/>
      <c r="O553" s="129"/>
      <c r="P553" s="129"/>
      <c r="Q553" s="129"/>
      <c r="R553" s="129"/>
      <c r="S553" s="129"/>
      <c r="T553" s="129"/>
      <c r="U553" s="129"/>
      <c r="V553" s="129"/>
      <c r="W553" s="129"/>
      <c r="X553" s="129"/>
      <c r="Y553" s="129"/>
      <c r="Z553" s="129"/>
      <c r="AA553" s="129"/>
      <c r="AB553" s="129"/>
      <c r="AC553" s="129"/>
      <c r="AD553" s="129"/>
      <c r="AE553" s="129"/>
      <c r="AF553" s="131"/>
      <c r="AG553" s="131"/>
      <c r="AH553" s="131"/>
    </row>
    <row r="554" spans="1:34" ht="22.5">
      <c r="A554" s="124"/>
      <c r="B554" s="86"/>
      <c r="C554" s="87"/>
      <c r="D554" s="87"/>
      <c r="E554" s="140" t="s">
        <v>140</v>
      </c>
      <c r="F554" s="140"/>
      <c r="G554" s="140"/>
      <c r="H554" s="140"/>
      <c r="I554" s="140"/>
      <c r="J554" s="140"/>
      <c r="K554" s="140"/>
      <c r="L554" s="140"/>
      <c r="M554" s="140"/>
      <c r="N554" s="97"/>
      <c r="O554" s="98"/>
      <c r="P554" s="85"/>
      <c r="Q554" s="87"/>
      <c r="R554" s="87"/>
      <c r="S554" s="87"/>
      <c r="T554" s="87"/>
      <c r="U554" s="87"/>
      <c r="V554" s="84"/>
      <c r="W554" s="87"/>
      <c r="X554" s="87"/>
      <c r="Y554" s="84"/>
      <c r="Z554" s="87"/>
      <c r="AA554" s="87"/>
      <c r="AB554" s="87"/>
      <c r="AC554" s="87"/>
      <c r="AD554" s="84"/>
      <c r="AE554" s="87"/>
      <c r="AF554" s="92"/>
      <c r="AG554" s="85"/>
      <c r="AH554" s="89"/>
    </row>
    <row r="555" spans="1:34" ht="22.5">
      <c r="A555" s="124"/>
      <c r="B555" s="86"/>
      <c r="C555" s="87"/>
      <c r="D555" s="87"/>
      <c r="E555" s="140" t="s">
        <v>201</v>
      </c>
      <c r="F555" s="140"/>
      <c r="G555" s="140"/>
      <c r="H555" s="140"/>
      <c r="I555" s="140"/>
      <c r="J555" s="140"/>
      <c r="K555" s="140"/>
      <c r="L555" s="140"/>
      <c r="M555" s="140"/>
      <c r="N555" s="97"/>
      <c r="O555" s="98"/>
      <c r="P555" s="85"/>
      <c r="Q555" s="87"/>
      <c r="R555" s="87"/>
      <c r="S555" s="87"/>
      <c r="T555" s="87"/>
      <c r="U555" s="87"/>
      <c r="V555" s="84"/>
      <c r="W555" s="87"/>
      <c r="X555" s="87"/>
      <c r="Y555" s="84"/>
      <c r="Z555" s="87"/>
      <c r="AA555" s="87"/>
      <c r="AB555" s="87"/>
      <c r="AC555" s="87"/>
      <c r="AD555" s="84"/>
      <c r="AE555" s="87"/>
      <c r="AF555" s="92"/>
      <c r="AG555" s="85"/>
      <c r="AH555" s="89"/>
    </row>
    <row r="556" spans="1:34" ht="16.5">
      <c r="A556" s="124"/>
      <c r="B556" s="86"/>
      <c r="C556" s="87"/>
      <c r="D556" s="87"/>
      <c r="E556" s="87"/>
      <c r="F556" s="87"/>
      <c r="G556" s="87"/>
      <c r="H556" s="84"/>
      <c r="I556" s="87"/>
      <c r="J556" s="87"/>
      <c r="K556" s="87"/>
      <c r="L556" s="87"/>
      <c r="M556" s="87"/>
      <c r="N556" s="87"/>
      <c r="O556" s="87"/>
      <c r="P556" s="87"/>
      <c r="Q556" s="87"/>
      <c r="R556" s="87"/>
      <c r="S556" s="87"/>
      <c r="T556" s="87"/>
      <c r="U556" s="87"/>
      <c r="V556" s="84"/>
      <c r="W556" s="87"/>
      <c r="X556" s="87"/>
      <c r="Y556" s="84"/>
      <c r="Z556" s="87"/>
      <c r="AA556" s="87"/>
      <c r="AB556" s="87"/>
      <c r="AC556" s="87"/>
      <c r="AD556" s="84"/>
      <c r="AE556" s="87"/>
      <c r="AF556" s="84"/>
      <c r="AG556" s="85"/>
      <c r="AH556" s="84"/>
    </row>
    <row r="557" spans="1:34" ht="16.5">
      <c r="A557" s="124"/>
      <c r="B557" s="93"/>
      <c r="C557" s="105">
        <v>11801</v>
      </c>
      <c r="D557" s="105">
        <v>11803</v>
      </c>
      <c r="E557" s="105">
        <v>11818</v>
      </c>
      <c r="F557" s="105">
        <v>11802</v>
      </c>
      <c r="G557" s="105">
        <v>11817</v>
      </c>
      <c r="H557" s="105">
        <v>21310001</v>
      </c>
      <c r="I557" s="105">
        <v>12105</v>
      </c>
      <c r="J557" s="105">
        <v>12106</v>
      </c>
      <c r="K557" s="105">
        <v>12108</v>
      </c>
      <c r="L557" s="105">
        <v>12109</v>
      </c>
      <c r="M557" s="105">
        <v>12199</v>
      </c>
      <c r="N557" s="105">
        <v>12111</v>
      </c>
      <c r="O557" s="105">
        <v>12114</v>
      </c>
      <c r="P557" s="105">
        <v>12115</v>
      </c>
      <c r="Q557" s="105">
        <v>12117</v>
      </c>
      <c r="R557" s="105">
        <v>12118</v>
      </c>
      <c r="S557" s="105">
        <v>12119</v>
      </c>
      <c r="T557" s="105">
        <v>12210</v>
      </c>
      <c r="U557" s="105"/>
      <c r="V557" s="105">
        <v>21312001</v>
      </c>
      <c r="W557" s="105">
        <v>14201</v>
      </c>
      <c r="X557" s="105"/>
      <c r="Y557" s="105">
        <v>21314001</v>
      </c>
      <c r="Z557" s="105">
        <v>15302</v>
      </c>
      <c r="AA557" s="105">
        <v>15312</v>
      </c>
      <c r="AB557" s="105">
        <v>15314</v>
      </c>
      <c r="AC557" s="105"/>
      <c r="AD557" s="105">
        <v>21315001</v>
      </c>
      <c r="AE557" s="105">
        <v>32299</v>
      </c>
      <c r="AF557" s="88"/>
      <c r="AG557" s="88"/>
      <c r="AH557" s="88"/>
    </row>
    <row r="558" spans="1:34" ht="67.5" customHeight="1">
      <c r="A558" s="124"/>
      <c r="B558" s="106" t="s">
        <v>202</v>
      </c>
      <c r="C558" s="107" t="s">
        <v>143</v>
      </c>
      <c r="D558" s="107" t="s">
        <v>144</v>
      </c>
      <c r="E558" s="107" t="s">
        <v>145</v>
      </c>
      <c r="F558" s="107" t="s">
        <v>146</v>
      </c>
      <c r="G558" s="107" t="s">
        <v>203</v>
      </c>
      <c r="H558" s="107" t="s">
        <v>149</v>
      </c>
      <c r="I558" s="107" t="s">
        <v>150</v>
      </c>
      <c r="J558" s="107" t="s">
        <v>151</v>
      </c>
      <c r="K558" s="107" t="s">
        <v>152</v>
      </c>
      <c r="L558" s="107" t="s">
        <v>153</v>
      </c>
      <c r="M558" s="107" t="s">
        <v>154</v>
      </c>
      <c r="N558" s="107" t="s">
        <v>155</v>
      </c>
      <c r="O558" s="107" t="s">
        <v>156</v>
      </c>
      <c r="P558" s="107" t="s">
        <v>157</v>
      </c>
      <c r="Q558" s="107" t="s">
        <v>158</v>
      </c>
      <c r="R558" s="107" t="s">
        <v>159</v>
      </c>
      <c r="S558" s="107" t="s">
        <v>160</v>
      </c>
      <c r="T558" s="107" t="s">
        <v>161</v>
      </c>
      <c r="U558" s="107" t="s">
        <v>162</v>
      </c>
      <c r="V558" s="107" t="s">
        <v>163</v>
      </c>
      <c r="W558" s="107" t="s">
        <v>164</v>
      </c>
      <c r="X558" s="107" t="s">
        <v>165</v>
      </c>
      <c r="Y558" s="107" t="s">
        <v>166</v>
      </c>
      <c r="Z558" s="107" t="s">
        <v>167</v>
      </c>
      <c r="AA558" s="107" t="s">
        <v>168</v>
      </c>
      <c r="AB558" s="107" t="s">
        <v>169</v>
      </c>
      <c r="AC558" s="107" t="s">
        <v>170</v>
      </c>
      <c r="AD558" s="107" t="s">
        <v>171</v>
      </c>
      <c r="AE558" s="107" t="s">
        <v>172</v>
      </c>
      <c r="AF558" s="107" t="s">
        <v>173</v>
      </c>
      <c r="AG558" s="108"/>
      <c r="AH558" s="107" t="s">
        <v>174</v>
      </c>
    </row>
    <row r="559" spans="1:34" ht="16.5">
      <c r="A559" s="124"/>
      <c r="B559" s="45"/>
      <c r="C559" s="46"/>
      <c r="D559" s="46"/>
      <c r="E559" s="46"/>
      <c r="F559" s="46"/>
      <c r="G559" s="46"/>
      <c r="H559" s="47"/>
      <c r="I559" s="46"/>
      <c r="J559" s="46"/>
      <c r="K559" s="46"/>
      <c r="L559" s="46"/>
      <c r="M559" s="46"/>
      <c r="N559" s="46"/>
      <c r="O559" s="46"/>
      <c r="P559" s="46"/>
      <c r="Q559" s="46"/>
      <c r="R559" s="46"/>
      <c r="S559" s="46"/>
      <c r="T559" s="46"/>
      <c r="U559" s="46"/>
      <c r="V559" s="47"/>
      <c r="W559" s="54"/>
      <c r="X559" s="54"/>
      <c r="Y559" s="47"/>
      <c r="Z559" s="46"/>
      <c r="AA559" s="46"/>
      <c r="AB559" s="46"/>
      <c r="AC559" s="46"/>
      <c r="AD559" s="47"/>
      <c r="AE559" s="46"/>
      <c r="AF559" s="47"/>
      <c r="AH559" s="47"/>
    </row>
    <row r="560" spans="1:34" ht="16.5">
      <c r="A560" s="124"/>
      <c r="B560" s="49">
        <v>44531</v>
      </c>
      <c r="C560" s="54">
        <v>1089.7</v>
      </c>
      <c r="D560" s="54">
        <v>0</v>
      </c>
      <c r="E560" s="54">
        <v>0</v>
      </c>
      <c r="F560" s="54">
        <v>0</v>
      </c>
      <c r="G560" s="54">
        <v>0</v>
      </c>
      <c r="H560" s="56">
        <f t="shared" ref="H560:H581" si="143">SUM(C560:G560)</f>
        <v>1089.7</v>
      </c>
      <c r="I560" s="54">
        <v>74.5</v>
      </c>
      <c r="J560" s="54">
        <v>1</v>
      </c>
      <c r="K560" s="54">
        <v>205.93</v>
      </c>
      <c r="L560" s="54">
        <v>829.94</v>
      </c>
      <c r="M560" s="54">
        <v>5.47</v>
      </c>
      <c r="N560" s="54">
        <v>0</v>
      </c>
      <c r="O560" s="54">
        <f>4.07+14.55+166.67</f>
        <v>185.29</v>
      </c>
      <c r="P560" s="54">
        <v>207.33</v>
      </c>
      <c r="Q560" s="54">
        <v>88.89</v>
      </c>
      <c r="R560" s="54">
        <v>0</v>
      </c>
      <c r="S560" s="54">
        <v>2.5</v>
      </c>
      <c r="T560" s="54">
        <f>1112.12+3</f>
        <v>1115.1199999999999</v>
      </c>
      <c r="U560" s="54">
        <v>0</v>
      </c>
      <c r="V560" s="56">
        <f>SUM(I560:U560)</f>
        <v>2715.9700000000003</v>
      </c>
      <c r="W560" s="54">
        <v>292.14999999999998</v>
      </c>
      <c r="X560" s="54">
        <v>0</v>
      </c>
      <c r="Y560" s="56">
        <f>SUM(W560:X560)</f>
        <v>292.14999999999998</v>
      </c>
      <c r="Z560" s="51">
        <f>68.17+4.65</f>
        <v>72.820000000000007</v>
      </c>
      <c r="AA560" s="51">
        <v>0</v>
      </c>
      <c r="AB560" s="51">
        <f>36.08+15.73</f>
        <v>51.81</v>
      </c>
      <c r="AC560" s="51">
        <v>0</v>
      </c>
      <c r="AD560" s="56">
        <f>SUM(Z560:AC560)</f>
        <v>124.63000000000001</v>
      </c>
      <c r="AE560" s="54">
        <v>0</v>
      </c>
      <c r="AF560" s="56">
        <f>SUM(AE560)</f>
        <v>0</v>
      </c>
      <c r="AG560" s="54"/>
      <c r="AH560" s="56">
        <f t="shared" ref="AH560:AH582" si="144">AF560+AD560+Y560+V560+H560</f>
        <v>4222.45</v>
      </c>
    </row>
    <row r="561" spans="1:34" ht="16.5">
      <c r="A561" s="124"/>
      <c r="B561" s="49">
        <v>44532</v>
      </c>
      <c r="C561" s="54">
        <v>756.8</v>
      </c>
      <c r="D561" s="54">
        <v>0</v>
      </c>
      <c r="E561" s="54">
        <v>0</v>
      </c>
      <c r="F561" s="54">
        <v>0</v>
      </c>
      <c r="G561" s="54">
        <v>0</v>
      </c>
      <c r="H561" s="56">
        <f t="shared" si="143"/>
        <v>756.8</v>
      </c>
      <c r="I561" s="54">
        <v>28</v>
      </c>
      <c r="J561" s="54">
        <v>0</v>
      </c>
      <c r="K561" s="54">
        <v>257.75</v>
      </c>
      <c r="L561" s="54">
        <v>2575.85</v>
      </c>
      <c r="M561" s="54">
        <v>3.14</v>
      </c>
      <c r="N561" s="54">
        <v>0</v>
      </c>
      <c r="O561" s="54">
        <f>2.05+7.18+302.53</f>
        <v>311.76</v>
      </c>
      <c r="P561" s="54">
        <v>0</v>
      </c>
      <c r="Q561" s="54">
        <v>118.84</v>
      </c>
      <c r="R561" s="54">
        <v>0</v>
      </c>
      <c r="S561" s="54">
        <v>12.5</v>
      </c>
      <c r="T561" s="54">
        <v>807.15</v>
      </c>
      <c r="U561" s="54">
        <v>0</v>
      </c>
      <c r="V561" s="56">
        <f t="shared" ref="V561:V582" si="145">SUM(I561:U561)</f>
        <v>4114.99</v>
      </c>
      <c r="W561" s="54">
        <v>144.55000000000001</v>
      </c>
      <c r="X561" s="54">
        <v>0</v>
      </c>
      <c r="Y561" s="56">
        <f t="shared" ref="Y561:Y582" si="146">SUM(W561:X561)</f>
        <v>144.55000000000001</v>
      </c>
      <c r="Z561" s="51">
        <f>96.03+2.61</f>
        <v>98.64</v>
      </c>
      <c r="AA561" s="51">
        <v>0</v>
      </c>
      <c r="AB561" s="51">
        <f>47.95+6.02</f>
        <v>53.97</v>
      </c>
      <c r="AC561" s="51">
        <v>0</v>
      </c>
      <c r="AD561" s="56">
        <f t="shared" ref="AD561:AD562" si="147">SUM(Z561:AC561)</f>
        <v>152.61000000000001</v>
      </c>
      <c r="AE561" s="54">
        <v>1462.46</v>
      </c>
      <c r="AF561" s="56">
        <f t="shared" ref="AF561:AF582" si="148">SUM(AE561)</f>
        <v>1462.46</v>
      </c>
      <c r="AG561" s="54"/>
      <c r="AH561" s="56">
        <f t="shared" si="144"/>
        <v>6631.41</v>
      </c>
    </row>
    <row r="562" spans="1:34" ht="16.5">
      <c r="A562" s="124"/>
      <c r="B562" s="49">
        <v>44533</v>
      </c>
      <c r="C562" s="54">
        <v>1042</v>
      </c>
      <c r="D562" s="54">
        <v>0</v>
      </c>
      <c r="E562" s="54">
        <v>0</v>
      </c>
      <c r="F562" s="54">
        <v>0</v>
      </c>
      <c r="G562" s="54">
        <v>0</v>
      </c>
      <c r="H562" s="56">
        <f t="shared" si="143"/>
        <v>1042</v>
      </c>
      <c r="I562" s="54">
        <v>53</v>
      </c>
      <c r="J562" s="54">
        <v>1</v>
      </c>
      <c r="K562" s="54">
        <v>67.599999999999994</v>
      </c>
      <c r="L562" s="54">
        <v>310.47000000000003</v>
      </c>
      <c r="M562" s="54">
        <v>1.33</v>
      </c>
      <c r="N562" s="54">
        <v>0</v>
      </c>
      <c r="O562" s="54">
        <f>2.7+2.16+184.94</f>
        <v>189.8</v>
      </c>
      <c r="P562" s="54">
        <f>594.62+48</f>
        <v>642.62</v>
      </c>
      <c r="Q562" s="54">
        <v>33.590000000000003</v>
      </c>
      <c r="R562" s="54">
        <v>0</v>
      </c>
      <c r="S562" s="54">
        <v>0</v>
      </c>
      <c r="T562" s="54">
        <v>1949.15</v>
      </c>
      <c r="U562" s="54">
        <v>0</v>
      </c>
      <c r="V562" s="56">
        <f t="shared" si="145"/>
        <v>3248.5600000000004</v>
      </c>
      <c r="W562" s="54">
        <v>43.55</v>
      </c>
      <c r="X562" s="54">
        <v>0</v>
      </c>
      <c r="Y562" s="56">
        <f t="shared" si="146"/>
        <v>43.55</v>
      </c>
      <c r="Z562" s="51">
        <v>184.43</v>
      </c>
      <c r="AA562" s="51">
        <v>0</v>
      </c>
      <c r="AB562" s="51">
        <v>74.87</v>
      </c>
      <c r="AC562" s="51">
        <v>0</v>
      </c>
      <c r="AD562" s="56">
        <f t="shared" si="147"/>
        <v>259.3</v>
      </c>
      <c r="AE562" s="54">
        <v>315.75</v>
      </c>
      <c r="AF562" s="56">
        <f t="shared" si="148"/>
        <v>315.75</v>
      </c>
      <c r="AG562" s="54"/>
      <c r="AH562" s="56">
        <f t="shared" si="144"/>
        <v>4909.16</v>
      </c>
    </row>
    <row r="563" spans="1:34" ht="16.5">
      <c r="A563" s="124"/>
      <c r="B563" s="49">
        <v>44536</v>
      </c>
      <c r="C563" s="54">
        <v>33</v>
      </c>
      <c r="D563" s="54">
        <v>0</v>
      </c>
      <c r="E563" s="54">
        <v>0</v>
      </c>
      <c r="F563" s="54">
        <v>0</v>
      </c>
      <c r="G563" s="54">
        <v>0</v>
      </c>
      <c r="H563" s="56">
        <f t="shared" si="143"/>
        <v>33</v>
      </c>
      <c r="I563" s="54">
        <v>93.5</v>
      </c>
      <c r="J563" s="54">
        <v>1</v>
      </c>
      <c r="K563" s="54">
        <v>171.27</v>
      </c>
      <c r="L563" s="54">
        <v>1927.59</v>
      </c>
      <c r="M563" s="54">
        <v>5.1100000000000003</v>
      </c>
      <c r="N563" s="54">
        <v>0</v>
      </c>
      <c r="O563" s="54">
        <f>5.68+11.01+147.26</f>
        <v>163.95</v>
      </c>
      <c r="P563" s="54">
        <v>159.47999999999999</v>
      </c>
      <c r="Q563" s="54">
        <v>52.92</v>
      </c>
      <c r="R563" s="54">
        <v>0</v>
      </c>
      <c r="S563" s="54">
        <v>15.5</v>
      </c>
      <c r="T563" s="54">
        <f>133.26+3</f>
        <v>136.26</v>
      </c>
      <c r="U563" s="54">
        <v>0</v>
      </c>
      <c r="V563" s="56">
        <f t="shared" si="145"/>
        <v>2726.58</v>
      </c>
      <c r="W563" s="54">
        <v>220.85</v>
      </c>
      <c r="X563" s="54">
        <v>0</v>
      </c>
      <c r="Y563" s="56">
        <f>SUM(W563:X563)</f>
        <v>220.85</v>
      </c>
      <c r="Z563" s="51">
        <f>243.09+1.2</f>
        <v>244.29</v>
      </c>
      <c r="AA563" s="51">
        <v>0</v>
      </c>
      <c r="AB563" s="51">
        <f>101.99+8.58</f>
        <v>110.57</v>
      </c>
      <c r="AC563" s="51">
        <v>0</v>
      </c>
      <c r="AD563" s="56">
        <f t="shared" ref="AD563:AD582" si="149">SUM(Z563:AC563)</f>
        <v>354.86</v>
      </c>
      <c r="AE563" s="54">
        <v>754.67</v>
      </c>
      <c r="AF563" s="56">
        <f t="shared" si="148"/>
        <v>754.67</v>
      </c>
      <c r="AG563" s="54"/>
      <c r="AH563" s="56">
        <f t="shared" si="144"/>
        <v>4089.96</v>
      </c>
    </row>
    <row r="564" spans="1:34" ht="16.5">
      <c r="A564" s="124"/>
      <c r="B564" s="114">
        <v>44537</v>
      </c>
      <c r="C564" s="54">
        <v>15</v>
      </c>
      <c r="D564" s="54">
        <v>0</v>
      </c>
      <c r="E564" s="54">
        <v>0</v>
      </c>
      <c r="F564" s="54">
        <v>0</v>
      </c>
      <c r="G564" s="54">
        <v>300</v>
      </c>
      <c r="H564" s="56">
        <f t="shared" si="143"/>
        <v>315</v>
      </c>
      <c r="I564" s="54">
        <v>49</v>
      </c>
      <c r="J564" s="54">
        <v>2</v>
      </c>
      <c r="K564" s="54">
        <v>256.2</v>
      </c>
      <c r="L564" s="54">
        <v>888.03</v>
      </c>
      <c r="M564" s="54">
        <v>17.84</v>
      </c>
      <c r="N564" s="54">
        <v>0</v>
      </c>
      <c r="O564" s="54">
        <f>2.69+4.23+381.63</f>
        <v>388.55</v>
      </c>
      <c r="P564" s="54">
        <f>510.04+54</f>
        <v>564.04</v>
      </c>
      <c r="Q564" s="54">
        <v>64.19</v>
      </c>
      <c r="R564" s="54">
        <v>0</v>
      </c>
      <c r="S564" s="54">
        <v>2.5</v>
      </c>
      <c r="T564" s="54">
        <v>574.04</v>
      </c>
      <c r="U564" s="54">
        <v>0</v>
      </c>
      <c r="V564" s="56">
        <f t="shared" si="145"/>
        <v>2806.39</v>
      </c>
      <c r="W564" s="54">
        <v>85.1</v>
      </c>
      <c r="X564" s="54">
        <v>0</v>
      </c>
      <c r="Y564" s="56">
        <f t="shared" si="146"/>
        <v>85.1</v>
      </c>
      <c r="Z564" s="51">
        <f>126.19+0.02</f>
        <v>126.21</v>
      </c>
      <c r="AA564" s="51">
        <v>0</v>
      </c>
      <c r="AB564" s="51">
        <v>52.56</v>
      </c>
      <c r="AC564" s="51">
        <v>0</v>
      </c>
      <c r="AD564" s="56">
        <f t="shared" si="149"/>
        <v>178.76999999999998</v>
      </c>
      <c r="AE564" s="54">
        <v>5398.45</v>
      </c>
      <c r="AF564" s="56">
        <f t="shared" si="148"/>
        <v>5398.45</v>
      </c>
      <c r="AG564" s="54"/>
      <c r="AH564" s="56">
        <f t="shared" si="144"/>
        <v>8783.7099999999991</v>
      </c>
    </row>
    <row r="565" spans="1:34" ht="16.5">
      <c r="A565" s="124"/>
      <c r="B565" s="114">
        <v>44538</v>
      </c>
      <c r="C565" s="54">
        <v>70.92</v>
      </c>
      <c r="D565" s="54">
        <v>0</v>
      </c>
      <c r="E565" s="54">
        <v>7</v>
      </c>
      <c r="F565" s="54">
        <v>0</v>
      </c>
      <c r="G565" s="54">
        <v>0</v>
      </c>
      <c r="H565" s="56">
        <f t="shared" si="143"/>
        <v>77.92</v>
      </c>
      <c r="I565" s="54">
        <v>51.5</v>
      </c>
      <c r="J565" s="54">
        <v>0</v>
      </c>
      <c r="K565" s="54">
        <v>70.099999999999994</v>
      </c>
      <c r="L565" s="54">
        <v>379.2</v>
      </c>
      <c r="M565" s="54">
        <v>5.52</v>
      </c>
      <c r="N565" s="54">
        <v>6</v>
      </c>
      <c r="O565" s="54">
        <f>3.29+10.37+29.98</f>
        <v>43.64</v>
      </c>
      <c r="P565" s="54">
        <v>161.69999999999999</v>
      </c>
      <c r="Q565" s="54">
        <v>24.33</v>
      </c>
      <c r="R565" s="54">
        <v>0</v>
      </c>
      <c r="S565" s="54">
        <v>5</v>
      </c>
      <c r="T565" s="54">
        <v>47</v>
      </c>
      <c r="U565" s="54">
        <v>0</v>
      </c>
      <c r="V565" s="56">
        <f t="shared" si="145"/>
        <v>793.9899999999999</v>
      </c>
      <c r="W565" s="54">
        <v>208.6</v>
      </c>
      <c r="X565" s="54">
        <v>0</v>
      </c>
      <c r="Y565" s="56">
        <f t="shared" si="146"/>
        <v>208.6</v>
      </c>
      <c r="Z565" s="51">
        <f>5.52+2.75</f>
        <v>8.27</v>
      </c>
      <c r="AA565" s="51">
        <v>8.7100000000000009</v>
      </c>
      <c r="AB565" s="51">
        <f>8.58+11.44</f>
        <v>20.02</v>
      </c>
      <c r="AC565" s="51">
        <v>0</v>
      </c>
      <c r="AD565" s="56">
        <f t="shared" si="149"/>
        <v>37</v>
      </c>
      <c r="AE565" s="54">
        <v>0</v>
      </c>
      <c r="AF565" s="56">
        <f t="shared" si="148"/>
        <v>0</v>
      </c>
      <c r="AG565" s="54"/>
      <c r="AH565" s="56">
        <f t="shared" si="144"/>
        <v>1117.51</v>
      </c>
    </row>
    <row r="566" spans="1:34" ht="16.5">
      <c r="A566" s="124"/>
      <c r="B566" s="114">
        <v>44539</v>
      </c>
      <c r="C566" s="54">
        <v>333.4</v>
      </c>
      <c r="D566" s="54">
        <v>0</v>
      </c>
      <c r="E566" s="54">
        <v>0</v>
      </c>
      <c r="F566" s="54">
        <v>0</v>
      </c>
      <c r="G566" s="54">
        <v>0</v>
      </c>
      <c r="H566" s="56">
        <f t="shared" si="143"/>
        <v>333.4</v>
      </c>
      <c r="I566" s="54">
        <v>52</v>
      </c>
      <c r="J566" s="54">
        <v>0</v>
      </c>
      <c r="K566" s="54">
        <v>213.06</v>
      </c>
      <c r="L566" s="54">
        <v>826.21</v>
      </c>
      <c r="M566" s="54">
        <v>11.57</v>
      </c>
      <c r="N566" s="54">
        <v>6</v>
      </c>
      <c r="O566" s="54">
        <f>3.16+8.96+93.92</f>
        <v>106.04</v>
      </c>
      <c r="P566" s="54">
        <v>0</v>
      </c>
      <c r="Q566" s="54">
        <v>51.34</v>
      </c>
      <c r="R566" s="54">
        <v>0</v>
      </c>
      <c r="S566" s="54">
        <v>5</v>
      </c>
      <c r="T566" s="54">
        <v>61</v>
      </c>
      <c r="U566" s="54">
        <v>0</v>
      </c>
      <c r="V566" s="56">
        <f t="shared" ref="V566" si="150">SUM(I566:U566)</f>
        <v>1332.2199999999998</v>
      </c>
      <c r="W566" s="54">
        <v>180.4</v>
      </c>
      <c r="X566" s="54">
        <v>0</v>
      </c>
      <c r="Y566" s="56">
        <f t="shared" si="146"/>
        <v>180.4</v>
      </c>
      <c r="Z566" s="51">
        <f>77.47+0.06</f>
        <v>77.53</v>
      </c>
      <c r="AA566" s="51">
        <v>0</v>
      </c>
      <c r="AB566" s="51">
        <f>50.17+2.86</f>
        <v>53.03</v>
      </c>
      <c r="AC566" s="51">
        <v>0</v>
      </c>
      <c r="AD566" s="56">
        <f t="shared" ref="AD566" si="151">SUM(Z566:AC566)</f>
        <v>130.56</v>
      </c>
      <c r="AE566" s="54">
        <v>360.87</v>
      </c>
      <c r="AF566" s="56">
        <f t="shared" si="148"/>
        <v>360.87</v>
      </c>
      <c r="AG566" s="54"/>
      <c r="AH566" s="56">
        <f t="shared" si="144"/>
        <v>2337.4499999999998</v>
      </c>
    </row>
    <row r="567" spans="1:34" ht="16.5">
      <c r="A567" s="124"/>
      <c r="B567" s="114">
        <v>44540</v>
      </c>
      <c r="C567" s="54">
        <v>0</v>
      </c>
      <c r="D567" s="54">
        <v>0</v>
      </c>
      <c r="E567" s="54">
        <v>0</v>
      </c>
      <c r="F567" s="54">
        <v>0</v>
      </c>
      <c r="G567" s="54">
        <v>0</v>
      </c>
      <c r="H567" s="56">
        <f t="shared" si="143"/>
        <v>0</v>
      </c>
      <c r="I567" s="54">
        <v>79</v>
      </c>
      <c r="J567" s="54">
        <v>4</v>
      </c>
      <c r="K567" s="54">
        <v>208.83</v>
      </c>
      <c r="L567" s="54">
        <v>665.79</v>
      </c>
      <c r="M567" s="54">
        <v>17.22</v>
      </c>
      <c r="N567" s="54">
        <v>0</v>
      </c>
      <c r="O567" s="54">
        <f>4.55+16.42+54.66</f>
        <v>75.63</v>
      </c>
      <c r="P567" s="54">
        <v>357.7</v>
      </c>
      <c r="Q567" s="54">
        <v>95.55</v>
      </c>
      <c r="R567" s="54">
        <v>0</v>
      </c>
      <c r="S567" s="54">
        <v>7.5</v>
      </c>
      <c r="T567" s="54">
        <v>15</v>
      </c>
      <c r="U567" s="54">
        <v>0</v>
      </c>
      <c r="V567" s="56">
        <f t="shared" si="145"/>
        <v>1526.22</v>
      </c>
      <c r="W567" s="54">
        <v>328.14</v>
      </c>
      <c r="X567" s="54">
        <v>0</v>
      </c>
      <c r="Y567" s="56">
        <f t="shared" si="146"/>
        <v>328.14</v>
      </c>
      <c r="Z567" s="51">
        <f>61.31+2.2</f>
        <v>63.510000000000005</v>
      </c>
      <c r="AA567" s="51">
        <v>0</v>
      </c>
      <c r="AB567" s="51">
        <f>21.32+8.28</f>
        <v>29.6</v>
      </c>
      <c r="AC567" s="51">
        <v>0</v>
      </c>
      <c r="AD567" s="56">
        <f t="shared" si="149"/>
        <v>93.110000000000014</v>
      </c>
      <c r="AE567" s="54">
        <v>75.599999999999994</v>
      </c>
      <c r="AF567" s="56">
        <f t="shared" si="148"/>
        <v>75.599999999999994</v>
      </c>
      <c r="AG567" s="54"/>
      <c r="AH567" s="56">
        <f t="shared" si="144"/>
        <v>2023.0700000000002</v>
      </c>
    </row>
    <row r="568" spans="1:34" ht="16.5">
      <c r="A568" s="124"/>
      <c r="B568" s="114">
        <v>44543</v>
      </c>
      <c r="C568" s="54">
        <v>0</v>
      </c>
      <c r="D568" s="54">
        <v>0</v>
      </c>
      <c r="E568" s="54">
        <v>0</v>
      </c>
      <c r="F568" s="54">
        <v>0</v>
      </c>
      <c r="G568" s="54">
        <v>0</v>
      </c>
      <c r="H568" s="56">
        <f t="shared" si="143"/>
        <v>0</v>
      </c>
      <c r="I568" s="54">
        <v>77</v>
      </c>
      <c r="J568" s="54">
        <v>1</v>
      </c>
      <c r="K568" s="54">
        <v>2725.11</v>
      </c>
      <c r="L568" s="54">
        <v>7827.56</v>
      </c>
      <c r="M568" s="54">
        <v>30.2</v>
      </c>
      <c r="N568" s="54">
        <v>12</v>
      </c>
      <c r="O568" s="54">
        <f>4.68+38.94+431.16</f>
        <v>474.78000000000003</v>
      </c>
      <c r="P568" s="54">
        <v>127.26</v>
      </c>
      <c r="Q568" s="54">
        <v>737.45</v>
      </c>
      <c r="R568" s="54">
        <v>0</v>
      </c>
      <c r="S568" s="54">
        <v>0</v>
      </c>
      <c r="T568" s="54">
        <f>206.87+3</f>
        <v>209.87</v>
      </c>
      <c r="U568" s="54">
        <v>0</v>
      </c>
      <c r="V568" s="56">
        <f t="shared" si="145"/>
        <v>12222.230000000003</v>
      </c>
      <c r="W568" s="54">
        <v>782.55</v>
      </c>
      <c r="X568" s="54">
        <v>0</v>
      </c>
      <c r="Y568" s="56">
        <f t="shared" si="146"/>
        <v>782.55</v>
      </c>
      <c r="Z568" s="51">
        <f>21.99+3.64</f>
        <v>25.63</v>
      </c>
      <c r="AA568" s="51">
        <v>0</v>
      </c>
      <c r="AB568" s="51">
        <f>14.43+13.17</f>
        <v>27.6</v>
      </c>
      <c r="AC568" s="51">
        <v>0</v>
      </c>
      <c r="AD568" s="56">
        <f t="shared" si="149"/>
        <v>53.230000000000004</v>
      </c>
      <c r="AE568" s="54">
        <v>20.74</v>
      </c>
      <c r="AF568" s="56">
        <f t="shared" si="148"/>
        <v>20.74</v>
      </c>
      <c r="AG568" s="54"/>
      <c r="AH568" s="56">
        <f t="shared" si="144"/>
        <v>13078.750000000004</v>
      </c>
    </row>
    <row r="569" spans="1:34" ht="16.5">
      <c r="A569" s="124"/>
      <c r="B569" s="114">
        <v>44544</v>
      </c>
      <c r="C569" s="54">
        <v>121.14</v>
      </c>
      <c r="D569" s="54">
        <v>0</v>
      </c>
      <c r="E569" s="54">
        <v>0</v>
      </c>
      <c r="F569" s="54">
        <v>0</v>
      </c>
      <c r="G569" s="54">
        <v>0</v>
      </c>
      <c r="H569" s="56">
        <f t="shared" si="143"/>
        <v>121.14</v>
      </c>
      <c r="I569" s="54">
        <v>60</v>
      </c>
      <c r="J569" s="54">
        <v>2</v>
      </c>
      <c r="K569" s="54">
        <v>299.32</v>
      </c>
      <c r="L569" s="54">
        <v>6476.48</v>
      </c>
      <c r="M569" s="54">
        <v>0.66</v>
      </c>
      <c r="N569" s="54">
        <v>20</v>
      </c>
      <c r="O569" s="54">
        <f>4.15+34.25+639.04</f>
        <v>677.43999999999994</v>
      </c>
      <c r="P569" s="54">
        <v>0</v>
      </c>
      <c r="Q569" s="54">
        <v>63.85</v>
      </c>
      <c r="R569" s="54">
        <v>0</v>
      </c>
      <c r="S569" s="54">
        <v>20</v>
      </c>
      <c r="T569" s="54">
        <v>651.05999999999995</v>
      </c>
      <c r="U569" s="54">
        <v>0</v>
      </c>
      <c r="V569" s="56">
        <f t="shared" si="145"/>
        <v>8270.81</v>
      </c>
      <c r="W569" s="54">
        <v>688.9</v>
      </c>
      <c r="X569" s="54">
        <v>0</v>
      </c>
      <c r="Y569" s="56">
        <f t="shared" si="146"/>
        <v>688.9</v>
      </c>
      <c r="Z569" s="51">
        <f>44.7+5.2</f>
        <v>49.900000000000006</v>
      </c>
      <c r="AA569" s="51">
        <v>0</v>
      </c>
      <c r="AB569" s="51">
        <f>24.12+12.45</f>
        <v>36.57</v>
      </c>
      <c r="AC569" s="51">
        <v>781.34</v>
      </c>
      <c r="AD569" s="56">
        <f t="shared" si="149"/>
        <v>867.81000000000006</v>
      </c>
      <c r="AE569" s="54">
        <v>5059.1000000000004</v>
      </c>
      <c r="AF569" s="56">
        <f t="shared" si="148"/>
        <v>5059.1000000000004</v>
      </c>
      <c r="AG569" s="54"/>
      <c r="AH569" s="56">
        <f t="shared" si="144"/>
        <v>15007.759999999998</v>
      </c>
    </row>
    <row r="570" spans="1:34" ht="16.5">
      <c r="A570" s="124"/>
      <c r="B570" s="114">
        <v>44545</v>
      </c>
      <c r="C570" s="54">
        <v>0</v>
      </c>
      <c r="D570" s="54">
        <v>0</v>
      </c>
      <c r="E570" s="54">
        <v>0</v>
      </c>
      <c r="F570" s="54">
        <v>0</v>
      </c>
      <c r="G570" s="54">
        <v>0</v>
      </c>
      <c r="H570" s="56">
        <f t="shared" si="143"/>
        <v>0</v>
      </c>
      <c r="I570" s="54">
        <v>43.5</v>
      </c>
      <c r="J570" s="54">
        <v>0</v>
      </c>
      <c r="K570" s="54">
        <v>210.48</v>
      </c>
      <c r="L570" s="54">
        <v>556.53</v>
      </c>
      <c r="M570" s="54">
        <v>9.57</v>
      </c>
      <c r="N570" s="54">
        <v>0</v>
      </c>
      <c r="O570" s="54">
        <f>2.18+20.99+96.22</f>
        <v>119.39</v>
      </c>
      <c r="P570" s="54">
        <v>0</v>
      </c>
      <c r="Q570" s="54">
        <v>65.52</v>
      </c>
      <c r="R570" s="54">
        <v>0</v>
      </c>
      <c r="S570" s="54">
        <v>0</v>
      </c>
      <c r="T570" s="54">
        <f>786.43+3</f>
        <v>789.43</v>
      </c>
      <c r="U570" s="54">
        <v>0</v>
      </c>
      <c r="V570" s="56">
        <f t="shared" si="145"/>
        <v>1794.42</v>
      </c>
      <c r="W570" s="54">
        <v>422.95</v>
      </c>
      <c r="X570" s="54">
        <v>0</v>
      </c>
      <c r="Y570" s="56">
        <f t="shared" si="146"/>
        <v>422.95</v>
      </c>
      <c r="Z570" s="51">
        <v>132.06</v>
      </c>
      <c r="AA570" s="51">
        <v>0</v>
      </c>
      <c r="AB570" s="51">
        <v>64.06</v>
      </c>
      <c r="AC570" s="51">
        <v>0</v>
      </c>
      <c r="AD570" s="56">
        <f t="shared" si="149"/>
        <v>196.12</v>
      </c>
      <c r="AE570" s="54">
        <v>292.70999999999998</v>
      </c>
      <c r="AF570" s="56">
        <f t="shared" si="148"/>
        <v>292.70999999999998</v>
      </c>
      <c r="AG570" s="54"/>
      <c r="AH570" s="56">
        <f t="shared" si="144"/>
        <v>2706.2</v>
      </c>
    </row>
    <row r="571" spans="1:34" ht="16.5">
      <c r="A571" s="124"/>
      <c r="B571" s="114">
        <v>44546</v>
      </c>
      <c r="C571" s="54">
        <v>27</v>
      </c>
      <c r="D571" s="54">
        <v>0</v>
      </c>
      <c r="E571" s="54">
        <v>0</v>
      </c>
      <c r="F571" s="54">
        <v>0</v>
      </c>
      <c r="G571" s="54">
        <v>0</v>
      </c>
      <c r="H571" s="56">
        <f t="shared" si="143"/>
        <v>27</v>
      </c>
      <c r="I571" s="54">
        <v>48.5</v>
      </c>
      <c r="J571" s="54">
        <v>0</v>
      </c>
      <c r="K571" s="54">
        <v>48.23</v>
      </c>
      <c r="L571" s="54">
        <v>154.56</v>
      </c>
      <c r="M571" s="54">
        <v>0.05</v>
      </c>
      <c r="N571" s="54">
        <v>0</v>
      </c>
      <c r="O571" s="54">
        <f>3.7+17.24+15.59</f>
        <v>36.53</v>
      </c>
      <c r="P571" s="54">
        <v>391.72</v>
      </c>
      <c r="Q571" s="54">
        <v>15.22</v>
      </c>
      <c r="R571" s="54">
        <v>0</v>
      </c>
      <c r="S571" s="54">
        <v>10</v>
      </c>
      <c r="T571" s="54">
        <f>51+15</f>
        <v>66</v>
      </c>
      <c r="U571" s="54">
        <v>0</v>
      </c>
      <c r="V571" s="56">
        <f t="shared" si="145"/>
        <v>770.81000000000006</v>
      </c>
      <c r="W571" s="54">
        <v>346.6</v>
      </c>
      <c r="X571" s="54">
        <v>0</v>
      </c>
      <c r="Y571" s="56">
        <f t="shared" si="146"/>
        <v>346.6</v>
      </c>
      <c r="Z571" s="51">
        <f>0.44+0.96</f>
        <v>1.4</v>
      </c>
      <c r="AA571" s="51">
        <v>0</v>
      </c>
      <c r="AB571" s="51">
        <f>2.86+8.58</f>
        <v>11.44</v>
      </c>
      <c r="AC571" s="51">
        <v>0</v>
      </c>
      <c r="AD571" s="56">
        <f t="shared" si="149"/>
        <v>12.84</v>
      </c>
      <c r="AE571" s="54">
        <v>0.84</v>
      </c>
      <c r="AF571" s="56">
        <f t="shared" si="148"/>
        <v>0.84</v>
      </c>
      <c r="AG571" s="54"/>
      <c r="AH571" s="56">
        <f t="shared" si="144"/>
        <v>1158.0900000000001</v>
      </c>
    </row>
    <row r="572" spans="1:34" ht="16.5">
      <c r="A572" s="124"/>
      <c r="B572" s="114">
        <v>44547</v>
      </c>
      <c r="C572" s="54">
        <v>2896.09</v>
      </c>
      <c r="D572" s="54">
        <v>0</v>
      </c>
      <c r="E572" s="54">
        <v>0</v>
      </c>
      <c r="F572" s="54">
        <v>0</v>
      </c>
      <c r="G572" s="54">
        <v>0</v>
      </c>
      <c r="H572" s="56">
        <f t="shared" si="143"/>
        <v>2896.09</v>
      </c>
      <c r="I572" s="54">
        <v>49</v>
      </c>
      <c r="J572" s="54">
        <v>0</v>
      </c>
      <c r="K572" s="54">
        <v>338.15</v>
      </c>
      <c r="L572" s="54">
        <v>1646.53</v>
      </c>
      <c r="M572" s="54">
        <v>36.04</v>
      </c>
      <c r="N572" s="54">
        <v>0</v>
      </c>
      <c r="O572" s="54">
        <f>2.46+22.3+321.96</f>
        <v>346.71999999999997</v>
      </c>
      <c r="P572" s="54">
        <v>665.95</v>
      </c>
      <c r="Q572" s="54">
        <v>259.20999999999998</v>
      </c>
      <c r="R572" s="54">
        <v>0</v>
      </c>
      <c r="S572" s="54">
        <v>0</v>
      </c>
      <c r="T572" s="54">
        <v>1214.1300000000001</v>
      </c>
      <c r="U572" s="54">
        <v>0</v>
      </c>
      <c r="V572" s="56">
        <f t="shared" si="145"/>
        <v>4555.7299999999996</v>
      </c>
      <c r="W572" s="54">
        <v>448.15</v>
      </c>
      <c r="X572" s="54">
        <v>0</v>
      </c>
      <c r="Y572" s="56">
        <f t="shared" si="146"/>
        <v>448.15</v>
      </c>
      <c r="Z572" s="51">
        <f>63.25+0.55</f>
        <v>63.8</v>
      </c>
      <c r="AA572" s="51">
        <v>0</v>
      </c>
      <c r="AB572" s="51">
        <f>29.29+2.86</f>
        <v>32.15</v>
      </c>
      <c r="AC572" s="51">
        <v>0</v>
      </c>
      <c r="AD572" s="56">
        <f t="shared" si="149"/>
        <v>95.949999999999989</v>
      </c>
      <c r="AE572" s="54">
        <v>30</v>
      </c>
      <c r="AF572" s="56">
        <f t="shared" si="148"/>
        <v>30</v>
      </c>
      <c r="AG572" s="54"/>
      <c r="AH572" s="56">
        <f t="shared" si="144"/>
        <v>8025.92</v>
      </c>
    </row>
    <row r="573" spans="1:34" ht="16.5">
      <c r="A573" s="124"/>
      <c r="B573" s="114">
        <v>20</v>
      </c>
      <c r="C573" s="54">
        <v>472.28</v>
      </c>
      <c r="D573" s="54">
        <v>0</v>
      </c>
      <c r="E573" s="54">
        <v>0</v>
      </c>
      <c r="F573" s="54">
        <v>0</v>
      </c>
      <c r="G573" s="54">
        <v>0</v>
      </c>
      <c r="H573" s="56">
        <f t="shared" si="143"/>
        <v>472.28</v>
      </c>
      <c r="I573" s="54">
        <v>79.5</v>
      </c>
      <c r="J573" s="54">
        <v>0</v>
      </c>
      <c r="K573" s="54">
        <v>367.01</v>
      </c>
      <c r="L573" s="54">
        <v>426.41</v>
      </c>
      <c r="M573" s="54">
        <v>0.14000000000000001</v>
      </c>
      <c r="N573" s="54">
        <v>10</v>
      </c>
      <c r="O573" s="54">
        <f>4.13+33.16+120.4</f>
        <v>157.69</v>
      </c>
      <c r="P573" s="54">
        <v>154.18</v>
      </c>
      <c r="Q573" s="54">
        <v>42.7</v>
      </c>
      <c r="R573" s="54">
        <v>0</v>
      </c>
      <c r="S573" s="54">
        <v>0</v>
      </c>
      <c r="T573" s="54">
        <f>268+3</f>
        <v>271</v>
      </c>
      <c r="U573" s="54">
        <v>0</v>
      </c>
      <c r="V573" s="56">
        <f t="shared" si="145"/>
        <v>1508.63</v>
      </c>
      <c r="W573" s="54">
        <v>666.65</v>
      </c>
      <c r="X573" s="54">
        <v>0</v>
      </c>
      <c r="Y573" s="56">
        <f t="shared" si="146"/>
        <v>666.65</v>
      </c>
      <c r="Z573" s="51">
        <f>50.59+2.45</f>
        <v>53.040000000000006</v>
      </c>
      <c r="AA573" s="51">
        <v>0</v>
      </c>
      <c r="AB573" s="51">
        <f>30.79+7.61</f>
        <v>38.4</v>
      </c>
      <c r="AC573" s="51">
        <v>0</v>
      </c>
      <c r="AD573" s="56">
        <f t="shared" si="149"/>
        <v>91.44</v>
      </c>
      <c r="AE573" s="54">
        <v>215.83</v>
      </c>
      <c r="AF573" s="56">
        <f t="shared" si="148"/>
        <v>215.83</v>
      </c>
      <c r="AG573" s="54"/>
      <c r="AH573" s="56">
        <f t="shared" si="144"/>
        <v>2954.83</v>
      </c>
    </row>
    <row r="574" spans="1:34" ht="16.5">
      <c r="A574" s="124"/>
      <c r="B574" s="114">
        <v>21</v>
      </c>
      <c r="C574" s="54">
        <v>213.18</v>
      </c>
      <c r="D574" s="54">
        <v>0</v>
      </c>
      <c r="E574" s="54">
        <v>0</v>
      </c>
      <c r="F574" s="54">
        <v>0</v>
      </c>
      <c r="G574" s="54">
        <v>0</v>
      </c>
      <c r="H574" s="56">
        <f t="shared" si="143"/>
        <v>213.18</v>
      </c>
      <c r="I574" s="54">
        <f>63.5+3</f>
        <v>66.5</v>
      </c>
      <c r="J574" s="54">
        <v>2</v>
      </c>
      <c r="K574" s="54">
        <v>407.99</v>
      </c>
      <c r="L574" s="54">
        <v>1135.75</v>
      </c>
      <c r="M574" s="54">
        <v>5.05</v>
      </c>
      <c r="N574" s="54">
        <f>24+10</f>
        <v>34</v>
      </c>
      <c r="O574" s="54">
        <f>5.84+26.2+166.34</f>
        <v>198.38</v>
      </c>
      <c r="P574" s="54">
        <v>103.47</v>
      </c>
      <c r="Q574" s="54">
        <v>0</v>
      </c>
      <c r="R574" s="54">
        <v>0</v>
      </c>
      <c r="S574" s="54">
        <v>20</v>
      </c>
      <c r="T574" s="54">
        <f>1183.28+6</f>
        <v>1189.28</v>
      </c>
      <c r="U574" s="54">
        <v>0</v>
      </c>
      <c r="V574" s="56">
        <f t="shared" si="145"/>
        <v>3162.42</v>
      </c>
      <c r="W574" s="54">
        <v>526.45000000000005</v>
      </c>
      <c r="X574" s="54">
        <v>0</v>
      </c>
      <c r="Y574" s="56">
        <f t="shared" si="146"/>
        <v>526.45000000000005</v>
      </c>
      <c r="Z574" s="51">
        <f>115.41+7.92</f>
        <v>123.33</v>
      </c>
      <c r="AA574" s="51">
        <v>9</v>
      </c>
      <c r="AB574" s="51">
        <f>65.46+17.38</f>
        <v>82.839999999999989</v>
      </c>
      <c r="AC574" s="51">
        <v>0</v>
      </c>
      <c r="AD574" s="56">
        <f t="shared" si="149"/>
        <v>215.16999999999996</v>
      </c>
      <c r="AE574" s="54">
        <v>257.42</v>
      </c>
      <c r="AF574" s="56">
        <f t="shared" si="148"/>
        <v>257.42</v>
      </c>
      <c r="AG574" s="54"/>
      <c r="AH574" s="56">
        <f t="shared" si="144"/>
        <v>4374.6400000000003</v>
      </c>
    </row>
    <row r="575" spans="1:34" ht="16.5">
      <c r="A575" s="124"/>
      <c r="B575" s="114">
        <v>22</v>
      </c>
      <c r="C575" s="54">
        <v>231.32</v>
      </c>
      <c r="D575" s="54">
        <v>0</v>
      </c>
      <c r="E575" s="54">
        <v>0</v>
      </c>
      <c r="F575" s="54">
        <v>0</v>
      </c>
      <c r="G575" s="54">
        <v>0</v>
      </c>
      <c r="H575" s="56">
        <f t="shared" si="143"/>
        <v>231.32</v>
      </c>
      <c r="I575" s="54">
        <v>47</v>
      </c>
      <c r="J575" s="54">
        <v>0</v>
      </c>
      <c r="K575" s="54">
        <v>235.72</v>
      </c>
      <c r="L575" s="54">
        <v>6342.04</v>
      </c>
      <c r="M575" s="54">
        <v>2.0299999999999998</v>
      </c>
      <c r="N575" s="54">
        <v>10</v>
      </c>
      <c r="O575" s="54">
        <f>2.36+18.09+381.07</f>
        <v>401.52</v>
      </c>
      <c r="P575" s="54">
        <f>822.71+21</f>
        <v>843.71</v>
      </c>
      <c r="Q575" s="54">
        <v>58.86</v>
      </c>
      <c r="R575" s="54">
        <v>0</v>
      </c>
      <c r="S575" s="54">
        <v>0</v>
      </c>
      <c r="T575" s="54">
        <v>836</v>
      </c>
      <c r="U575" s="54">
        <v>0</v>
      </c>
      <c r="V575" s="56">
        <f t="shared" si="145"/>
        <v>8776.8799999999992</v>
      </c>
      <c r="W575" s="54">
        <v>363.9</v>
      </c>
      <c r="X575" s="54">
        <v>0</v>
      </c>
      <c r="Y575" s="56">
        <f t="shared" si="146"/>
        <v>363.9</v>
      </c>
      <c r="Z575" s="51">
        <f>953.04+0.47</f>
        <v>953.51</v>
      </c>
      <c r="AA575" s="51">
        <v>0</v>
      </c>
      <c r="AB575" s="51">
        <f>423.4+11.44</f>
        <v>434.84</v>
      </c>
      <c r="AC575" s="51">
        <v>0</v>
      </c>
      <c r="AD575" s="56">
        <f t="shared" si="149"/>
        <v>1388.35</v>
      </c>
      <c r="AE575" s="54">
        <v>6</v>
      </c>
      <c r="AF575" s="56">
        <f t="shared" si="148"/>
        <v>6</v>
      </c>
      <c r="AG575" s="54"/>
      <c r="AH575" s="56">
        <f t="shared" si="144"/>
        <v>10766.449999999999</v>
      </c>
    </row>
    <row r="576" spans="1:34" ht="16.5">
      <c r="A576" s="124"/>
      <c r="B576" s="114">
        <v>23</v>
      </c>
      <c r="C576" s="54">
        <v>3037.68</v>
      </c>
      <c r="D576" s="54">
        <v>0</v>
      </c>
      <c r="E576" s="54">
        <v>0</v>
      </c>
      <c r="F576" s="54">
        <v>0</v>
      </c>
      <c r="G576" s="54">
        <v>0</v>
      </c>
      <c r="H576" s="56">
        <f t="shared" si="143"/>
        <v>3037.68</v>
      </c>
      <c r="I576" s="54">
        <v>16</v>
      </c>
      <c r="J576" s="54">
        <v>0</v>
      </c>
      <c r="K576" s="54">
        <v>5147.87</v>
      </c>
      <c r="L576" s="54">
        <v>26354.86</v>
      </c>
      <c r="M576" s="54">
        <v>4.34</v>
      </c>
      <c r="N576" s="54">
        <v>0</v>
      </c>
      <c r="O576" s="54">
        <f>0.8+13.27+1864.47</f>
        <v>1878.54</v>
      </c>
      <c r="P576" s="54">
        <v>344.08</v>
      </c>
      <c r="Q576" s="54">
        <v>136.9</v>
      </c>
      <c r="R576" s="54">
        <v>0</v>
      </c>
      <c r="S576" s="54">
        <v>0</v>
      </c>
      <c r="T576" s="54">
        <v>2761</v>
      </c>
      <c r="U576" s="54">
        <v>0</v>
      </c>
      <c r="V576" s="56">
        <f t="shared" si="145"/>
        <v>36643.590000000004</v>
      </c>
      <c r="W576" s="54">
        <v>266.8</v>
      </c>
      <c r="X576" s="54">
        <v>0</v>
      </c>
      <c r="Y576" s="56">
        <f t="shared" si="146"/>
        <v>266.8</v>
      </c>
      <c r="Z576" s="51">
        <f>5914.54+0.08</f>
        <v>5914.62</v>
      </c>
      <c r="AA576" s="51">
        <v>0</v>
      </c>
      <c r="AB576" s="51">
        <v>2698.68</v>
      </c>
      <c r="AC576" s="51">
        <v>0</v>
      </c>
      <c r="AD576" s="56">
        <f t="shared" si="149"/>
        <v>8613.2999999999993</v>
      </c>
      <c r="AE576" s="54">
        <v>0</v>
      </c>
      <c r="AF576" s="56">
        <f t="shared" si="148"/>
        <v>0</v>
      </c>
      <c r="AG576" s="54"/>
      <c r="AH576" s="56">
        <f>AF576+AD576+Y576+V576+H576</f>
        <v>48561.37</v>
      </c>
    </row>
    <row r="577" spans="1:34" ht="16.5">
      <c r="A577" s="124"/>
      <c r="B577" s="49"/>
      <c r="C577" s="54"/>
      <c r="D577" s="54"/>
      <c r="E577" s="54"/>
      <c r="F577" s="54"/>
      <c r="G577" s="54"/>
      <c r="H577" s="56">
        <f t="shared" si="143"/>
        <v>0</v>
      </c>
      <c r="I577" s="54"/>
      <c r="J577" s="54"/>
      <c r="K577" s="54"/>
      <c r="L577" s="54"/>
      <c r="M577" s="54"/>
      <c r="N577" s="54"/>
      <c r="O577" s="54"/>
      <c r="P577" s="54"/>
      <c r="Q577" s="54"/>
      <c r="R577" s="54"/>
      <c r="S577" s="54"/>
      <c r="T577" s="54"/>
      <c r="U577" s="54"/>
      <c r="V577" s="56">
        <f t="shared" si="145"/>
        <v>0</v>
      </c>
      <c r="W577" s="54"/>
      <c r="X577" s="54"/>
      <c r="Y577" s="56">
        <f t="shared" si="146"/>
        <v>0</v>
      </c>
      <c r="Z577" s="51"/>
      <c r="AA577" s="51"/>
      <c r="AB577" s="51"/>
      <c r="AC577" s="51"/>
      <c r="AD577" s="56">
        <f t="shared" si="149"/>
        <v>0</v>
      </c>
      <c r="AE577" s="54"/>
      <c r="AF577" s="56">
        <f t="shared" si="148"/>
        <v>0</v>
      </c>
      <c r="AG577" s="54"/>
      <c r="AH577" s="56">
        <f t="shared" si="144"/>
        <v>0</v>
      </c>
    </row>
    <row r="578" spans="1:34" ht="16.5">
      <c r="A578" s="124"/>
      <c r="B578" s="49"/>
      <c r="C578" s="54"/>
      <c r="D578" s="54"/>
      <c r="E578" s="54"/>
      <c r="F578" s="54"/>
      <c r="G578" s="54"/>
      <c r="H578" s="56">
        <f t="shared" si="143"/>
        <v>0</v>
      </c>
      <c r="I578" s="54"/>
      <c r="J578" s="54"/>
      <c r="K578" s="54"/>
      <c r="L578" s="54"/>
      <c r="M578" s="54"/>
      <c r="N578" s="54"/>
      <c r="O578" s="54"/>
      <c r="P578" s="54"/>
      <c r="Q578" s="54"/>
      <c r="R578" s="54"/>
      <c r="S578" s="54"/>
      <c r="T578" s="54"/>
      <c r="U578" s="54"/>
      <c r="V578" s="56">
        <f t="shared" si="145"/>
        <v>0</v>
      </c>
      <c r="W578" s="54"/>
      <c r="X578" s="54"/>
      <c r="Y578" s="56">
        <f t="shared" si="146"/>
        <v>0</v>
      </c>
      <c r="Z578" s="51"/>
      <c r="AA578" s="51"/>
      <c r="AB578" s="51"/>
      <c r="AC578" s="51"/>
      <c r="AD578" s="56">
        <f t="shared" si="149"/>
        <v>0</v>
      </c>
      <c r="AE578" s="54"/>
      <c r="AF578" s="56">
        <f t="shared" si="148"/>
        <v>0</v>
      </c>
      <c r="AG578" s="54"/>
      <c r="AH578" s="56">
        <f t="shared" si="144"/>
        <v>0</v>
      </c>
    </row>
    <row r="579" spans="1:34" ht="16.5">
      <c r="A579" s="124"/>
      <c r="B579" s="49"/>
      <c r="C579" s="54"/>
      <c r="D579" s="54"/>
      <c r="E579" s="54"/>
      <c r="F579" s="54"/>
      <c r="G579" s="54"/>
      <c r="H579" s="56">
        <f t="shared" si="143"/>
        <v>0</v>
      </c>
      <c r="I579" s="54"/>
      <c r="J579" s="54"/>
      <c r="K579" s="54"/>
      <c r="L579" s="54"/>
      <c r="M579" s="54"/>
      <c r="N579" s="54"/>
      <c r="O579" s="54"/>
      <c r="P579" s="54"/>
      <c r="Q579" s="54"/>
      <c r="R579" s="54"/>
      <c r="S579" s="54"/>
      <c r="T579" s="54"/>
      <c r="U579" s="54"/>
      <c r="V579" s="56">
        <f t="shared" ref="V579:V581" si="152">SUM(I579:U579)</f>
        <v>0</v>
      </c>
      <c r="W579" s="54"/>
      <c r="X579" s="54"/>
      <c r="Y579" s="56">
        <f t="shared" ref="Y579:Y581" si="153">SUM(W579:X579)</f>
        <v>0</v>
      </c>
      <c r="Z579" s="51"/>
      <c r="AA579" s="51"/>
      <c r="AB579" s="51"/>
      <c r="AC579" s="51"/>
      <c r="AD579" s="56">
        <f t="shared" ref="AD579:AD581" si="154">SUM(Z579:AC579)</f>
        <v>0</v>
      </c>
      <c r="AE579" s="54"/>
      <c r="AF579" s="56">
        <f t="shared" si="148"/>
        <v>0</v>
      </c>
      <c r="AG579" s="54"/>
      <c r="AH579" s="56">
        <f t="shared" si="144"/>
        <v>0</v>
      </c>
    </row>
    <row r="580" spans="1:34" ht="16.5">
      <c r="A580" s="124"/>
      <c r="B580" s="49"/>
      <c r="C580" s="54"/>
      <c r="D580" s="54"/>
      <c r="E580" s="54"/>
      <c r="F580" s="54"/>
      <c r="G580" s="54"/>
      <c r="H580" s="56">
        <f t="shared" si="143"/>
        <v>0</v>
      </c>
      <c r="I580" s="54"/>
      <c r="J580" s="54"/>
      <c r="K580" s="54"/>
      <c r="L580" s="54"/>
      <c r="M580" s="54"/>
      <c r="N580" s="54"/>
      <c r="O580" s="54"/>
      <c r="P580" s="54"/>
      <c r="Q580" s="54"/>
      <c r="R580" s="54"/>
      <c r="S580" s="54"/>
      <c r="T580" s="54"/>
      <c r="U580" s="54"/>
      <c r="V580" s="56">
        <f t="shared" si="152"/>
        <v>0</v>
      </c>
      <c r="W580" s="54"/>
      <c r="X580" s="54"/>
      <c r="Y580" s="56">
        <f t="shared" si="153"/>
        <v>0</v>
      </c>
      <c r="Z580" s="51"/>
      <c r="AA580" s="51"/>
      <c r="AB580" s="51"/>
      <c r="AC580" s="51"/>
      <c r="AD580" s="56">
        <f t="shared" si="154"/>
        <v>0</v>
      </c>
      <c r="AE580" s="54"/>
      <c r="AF580" s="56">
        <f t="shared" si="148"/>
        <v>0</v>
      </c>
      <c r="AG580" s="54"/>
      <c r="AH580" s="56">
        <f t="shared" si="144"/>
        <v>0</v>
      </c>
    </row>
    <row r="581" spans="1:34" ht="16.5">
      <c r="A581" s="124"/>
      <c r="B581" s="49"/>
      <c r="C581" s="54"/>
      <c r="D581" s="54"/>
      <c r="E581" s="54"/>
      <c r="F581" s="54"/>
      <c r="G581" s="54"/>
      <c r="H581" s="56">
        <f t="shared" si="143"/>
        <v>0</v>
      </c>
      <c r="I581" s="54"/>
      <c r="J581" s="54"/>
      <c r="K581" s="54"/>
      <c r="L581" s="54"/>
      <c r="M581" s="54"/>
      <c r="N581" s="54"/>
      <c r="O581" s="54"/>
      <c r="P581" s="54"/>
      <c r="Q581" s="54"/>
      <c r="R581" s="54"/>
      <c r="S581" s="54"/>
      <c r="T581" s="54"/>
      <c r="U581" s="54"/>
      <c r="V581" s="56">
        <f t="shared" si="152"/>
        <v>0</v>
      </c>
      <c r="W581" s="54"/>
      <c r="X581" s="54"/>
      <c r="Y581" s="56">
        <f t="shared" si="153"/>
        <v>0</v>
      </c>
      <c r="Z581" s="51"/>
      <c r="AA581" s="51"/>
      <c r="AB581" s="51"/>
      <c r="AC581" s="51"/>
      <c r="AD581" s="56">
        <f t="shared" si="154"/>
        <v>0</v>
      </c>
      <c r="AE581" s="54"/>
      <c r="AF581" s="56">
        <f t="shared" si="148"/>
        <v>0</v>
      </c>
      <c r="AG581" s="54"/>
      <c r="AH581" s="56">
        <f t="shared" si="144"/>
        <v>0</v>
      </c>
    </row>
    <row r="582" spans="1:34" ht="16.5">
      <c r="A582" s="124"/>
      <c r="B582" s="50"/>
      <c r="C582" s="54"/>
      <c r="D582" s="54"/>
      <c r="E582" s="54"/>
      <c r="F582" s="54"/>
      <c r="G582" s="54"/>
      <c r="H582" s="54"/>
      <c r="I582" s="51"/>
      <c r="J582" s="51"/>
      <c r="K582" s="51"/>
      <c r="L582" s="51"/>
      <c r="M582" s="51"/>
      <c r="N582" s="51"/>
      <c r="O582" s="51"/>
      <c r="P582" s="51"/>
      <c r="Q582" s="51"/>
      <c r="R582" s="51"/>
      <c r="S582" s="51"/>
      <c r="T582" s="51"/>
      <c r="U582" s="51"/>
      <c r="V582" s="56">
        <f t="shared" si="145"/>
        <v>0</v>
      </c>
      <c r="W582" s="51"/>
      <c r="X582" s="51"/>
      <c r="Y582" s="56">
        <f t="shared" si="146"/>
        <v>0</v>
      </c>
      <c r="Z582" s="51"/>
      <c r="AA582" s="51"/>
      <c r="AB582" s="51"/>
      <c r="AC582" s="51"/>
      <c r="AD582" s="56">
        <f t="shared" si="149"/>
        <v>0</v>
      </c>
      <c r="AE582" s="51"/>
      <c r="AF582" s="56">
        <f t="shared" si="148"/>
        <v>0</v>
      </c>
      <c r="AG582" s="51"/>
      <c r="AH582" s="56">
        <f t="shared" si="144"/>
        <v>0</v>
      </c>
    </row>
    <row r="583" spans="1:34" ht="16.5">
      <c r="A583" s="124"/>
      <c r="B583" s="45"/>
      <c r="C583" s="54"/>
      <c r="D583" s="54"/>
      <c r="E583" s="54"/>
      <c r="F583" s="54"/>
      <c r="G583" s="54"/>
      <c r="H583" s="56"/>
      <c r="I583" s="54"/>
      <c r="J583" s="54"/>
      <c r="K583" s="54"/>
      <c r="L583" s="54"/>
      <c r="M583" s="54"/>
      <c r="N583" s="54"/>
      <c r="O583" s="54"/>
      <c r="P583" s="54"/>
      <c r="Q583" s="54"/>
      <c r="R583" s="54"/>
      <c r="S583" s="54"/>
      <c r="T583" s="54"/>
      <c r="U583" s="54"/>
      <c r="V583" s="56"/>
      <c r="W583" s="54"/>
      <c r="X583" s="54"/>
      <c r="Y583" s="56"/>
      <c r="Z583" s="54"/>
      <c r="AA583" s="54"/>
      <c r="AB583" s="54"/>
      <c r="AC583" s="54"/>
      <c r="AD583" s="56"/>
      <c r="AE583" s="54"/>
      <c r="AF583" s="110"/>
      <c r="AG583" s="111"/>
      <c r="AH583" s="112"/>
    </row>
    <row r="584" spans="1:34" ht="16.5">
      <c r="A584" s="124"/>
      <c r="B584" s="49"/>
      <c r="C584" s="54">
        <f>SUM(C559:C582)</f>
        <v>10339.51</v>
      </c>
      <c r="D584" s="54">
        <f t="shared" ref="D584:AE584" si="155">SUM(D559:D582)</f>
        <v>0</v>
      </c>
      <c r="E584" s="54">
        <f t="shared" si="155"/>
        <v>7</v>
      </c>
      <c r="F584" s="54">
        <f t="shared" si="155"/>
        <v>0</v>
      </c>
      <c r="G584" s="54">
        <f t="shared" si="155"/>
        <v>300</v>
      </c>
      <c r="H584" s="56">
        <f t="shared" si="155"/>
        <v>10646.51</v>
      </c>
      <c r="I584" s="54">
        <f t="shared" si="155"/>
        <v>967.5</v>
      </c>
      <c r="J584" s="54">
        <f t="shared" si="155"/>
        <v>14</v>
      </c>
      <c r="K584" s="54">
        <f t="shared" si="155"/>
        <v>11230.619999999999</v>
      </c>
      <c r="L584" s="54">
        <f t="shared" si="155"/>
        <v>59323.799999999996</v>
      </c>
      <c r="M584" s="54">
        <f t="shared" si="155"/>
        <v>155.28</v>
      </c>
      <c r="N584" s="54">
        <f t="shared" si="155"/>
        <v>98</v>
      </c>
      <c r="O584" s="54">
        <f t="shared" si="155"/>
        <v>5755.65</v>
      </c>
      <c r="P584" s="54">
        <f t="shared" si="155"/>
        <v>4723.24</v>
      </c>
      <c r="Q584" s="54">
        <f t="shared" si="155"/>
        <v>1909.36</v>
      </c>
      <c r="R584" s="54">
        <f t="shared" si="155"/>
        <v>0</v>
      </c>
      <c r="S584" s="54">
        <f t="shared" si="155"/>
        <v>100.5</v>
      </c>
      <c r="T584" s="54">
        <f t="shared" si="155"/>
        <v>12692.49</v>
      </c>
      <c r="U584" s="54">
        <f t="shared" si="155"/>
        <v>0</v>
      </c>
      <c r="V584" s="56">
        <f t="shared" si="155"/>
        <v>96970.44</v>
      </c>
      <c r="W584" s="54">
        <f t="shared" si="155"/>
        <v>6016.2899999999991</v>
      </c>
      <c r="X584" s="54">
        <f t="shared" si="155"/>
        <v>0</v>
      </c>
      <c r="Y584" s="56">
        <f t="shared" si="155"/>
        <v>6016.2899999999991</v>
      </c>
      <c r="Z584" s="54">
        <f t="shared" si="155"/>
        <v>8192.99</v>
      </c>
      <c r="AA584" s="54">
        <f t="shared" si="155"/>
        <v>17.71</v>
      </c>
      <c r="AB584" s="54">
        <f t="shared" si="155"/>
        <v>3873.01</v>
      </c>
      <c r="AC584" s="54">
        <f t="shared" si="155"/>
        <v>781.34</v>
      </c>
      <c r="AD584" s="56">
        <f t="shared" si="155"/>
        <v>12865.05</v>
      </c>
      <c r="AE584" s="54">
        <f t="shared" si="155"/>
        <v>14250.44</v>
      </c>
      <c r="AF584" s="110">
        <f>SUM(AF559:AF582)</f>
        <v>14250.44</v>
      </c>
      <c r="AG584" s="111"/>
      <c r="AH584" s="112">
        <f>SUM(AH559:AH582)</f>
        <v>140748.72999999998</v>
      </c>
    </row>
    <row r="585" spans="1:34" ht="16.5">
      <c r="A585" s="124"/>
      <c r="B585" s="137"/>
      <c r="C585" s="137"/>
      <c r="D585" s="137"/>
      <c r="E585" s="137"/>
      <c r="F585" s="137"/>
      <c r="G585" s="137"/>
      <c r="H585" s="137"/>
      <c r="I585" s="137"/>
      <c r="J585" s="137"/>
      <c r="K585" s="137"/>
      <c r="L585" s="137"/>
      <c r="M585" s="137"/>
      <c r="N585" s="137"/>
      <c r="O585" s="137"/>
      <c r="P585" s="137"/>
      <c r="Q585" s="137"/>
      <c r="R585" s="137"/>
      <c r="S585" s="137"/>
      <c r="T585" s="137"/>
      <c r="U585" s="137"/>
      <c r="V585" s="137"/>
      <c r="W585" s="137"/>
      <c r="X585" s="137"/>
      <c r="Y585" s="137"/>
      <c r="Z585" s="137"/>
      <c r="AA585" s="137"/>
      <c r="AB585" s="137"/>
      <c r="AC585" s="137"/>
      <c r="AD585" s="137"/>
      <c r="AE585" s="138"/>
      <c r="AF585" s="110" t="s">
        <v>175</v>
      </c>
      <c r="AG585" s="113"/>
      <c r="AH585" s="136">
        <f ca="1">SUM(AH584:AH586)</f>
        <v>140748.72999999998</v>
      </c>
    </row>
    <row r="586" spans="1:34" ht="16.5">
      <c r="A586" s="124"/>
      <c r="B586" s="137"/>
      <c r="C586" s="137"/>
      <c r="D586" s="137"/>
      <c r="E586" s="137"/>
      <c r="F586" s="137"/>
      <c r="G586" s="137"/>
      <c r="H586" s="137"/>
      <c r="I586" s="137"/>
      <c r="J586" s="137"/>
      <c r="K586" s="137"/>
      <c r="L586" s="137"/>
      <c r="M586" s="137"/>
      <c r="N586" s="137"/>
      <c r="O586" s="137"/>
      <c r="P586" s="137"/>
      <c r="Q586" s="137"/>
      <c r="R586" s="137"/>
      <c r="S586" s="137"/>
      <c r="T586" s="137"/>
      <c r="U586" s="137"/>
      <c r="V586" s="137"/>
      <c r="W586" s="137"/>
      <c r="X586" s="137"/>
      <c r="Y586" s="137"/>
      <c r="Z586" s="137"/>
      <c r="AA586" s="137"/>
      <c r="AB586" s="137"/>
      <c r="AC586" s="137"/>
      <c r="AD586" s="137"/>
      <c r="AE586" s="138"/>
      <c r="AF586" s="110" t="s">
        <v>139</v>
      </c>
      <c r="AG586" s="113"/>
      <c r="AH586" s="136"/>
    </row>
    <row r="587" spans="1:34" ht="16.5">
      <c r="A587" s="124"/>
      <c r="B587" s="137"/>
      <c r="C587" s="137"/>
      <c r="D587" s="137"/>
      <c r="E587" s="137"/>
      <c r="F587" s="137"/>
      <c r="G587" s="137"/>
      <c r="H587" s="137"/>
      <c r="I587" s="137"/>
      <c r="J587" s="137"/>
      <c r="K587" s="137"/>
      <c r="L587" s="137"/>
      <c r="M587" s="137"/>
      <c r="N587" s="137"/>
      <c r="O587" s="137"/>
      <c r="P587" s="137"/>
      <c r="Q587" s="137"/>
      <c r="R587" s="137"/>
      <c r="S587" s="137"/>
      <c r="T587" s="137"/>
      <c r="U587" s="137"/>
      <c r="V587" s="137"/>
      <c r="W587" s="137"/>
      <c r="X587" s="137"/>
      <c r="Y587" s="137"/>
      <c r="Z587" s="137"/>
      <c r="AA587" s="137"/>
      <c r="AB587" s="137"/>
      <c r="AC587" s="137"/>
      <c r="AD587" s="137"/>
      <c r="AE587" s="138"/>
      <c r="AF587" s="110"/>
      <c r="AG587" s="113"/>
      <c r="AH587" s="136"/>
    </row>
    <row r="588" spans="1:34" ht="16.5">
      <c r="A588" s="124"/>
      <c r="B588" s="137"/>
      <c r="C588" s="137"/>
      <c r="D588" s="137"/>
      <c r="E588" s="137"/>
      <c r="F588" s="137"/>
      <c r="G588" s="137"/>
      <c r="H588" s="137"/>
      <c r="I588" s="137"/>
      <c r="J588" s="137"/>
      <c r="K588" s="137"/>
      <c r="L588" s="137"/>
      <c r="M588" s="137"/>
      <c r="N588" s="137"/>
      <c r="O588" s="137"/>
      <c r="P588" s="137"/>
      <c r="Q588" s="137"/>
      <c r="R588" s="137"/>
      <c r="S588" s="137"/>
      <c r="T588" s="137"/>
      <c r="U588" s="137"/>
      <c r="V588" s="137"/>
      <c r="W588" s="137"/>
      <c r="X588" s="137"/>
      <c r="Y588" s="137"/>
      <c r="Z588" s="137"/>
      <c r="AA588" s="137"/>
      <c r="AB588" s="137"/>
      <c r="AC588" s="137"/>
      <c r="AD588" s="137"/>
      <c r="AE588" s="138"/>
      <c r="AF588" s="111" t="s">
        <v>193</v>
      </c>
      <c r="AG588" s="113"/>
      <c r="AH588" s="136"/>
    </row>
    <row r="589" spans="1:34" ht="263.25" customHeight="1">
      <c r="A589" s="116"/>
      <c r="B589" s="116"/>
      <c r="C589" s="116"/>
      <c r="D589" s="116"/>
      <c r="E589" s="116"/>
      <c r="F589" s="116"/>
      <c r="G589" s="116"/>
      <c r="H589" s="116"/>
      <c r="I589" s="116"/>
      <c r="J589" s="116"/>
      <c r="K589" s="116"/>
      <c r="L589" s="116"/>
      <c r="M589" s="116"/>
      <c r="N589" s="116"/>
      <c r="O589" s="116"/>
      <c r="P589" s="116"/>
      <c r="Q589" s="116"/>
      <c r="R589" s="116"/>
      <c r="S589" s="116"/>
      <c r="T589" s="116"/>
      <c r="U589" s="116"/>
      <c r="V589" s="116"/>
      <c r="W589" s="116"/>
      <c r="X589" s="116"/>
      <c r="Y589" s="116"/>
      <c r="Z589" s="116"/>
      <c r="AA589" s="116"/>
      <c r="AB589" s="116"/>
      <c r="AC589" s="116"/>
      <c r="AD589" s="116"/>
      <c r="AE589" s="116"/>
      <c r="AF589" s="116"/>
      <c r="AG589" s="116"/>
      <c r="AH589" s="116"/>
    </row>
  </sheetData>
  <mergeCells count="74">
    <mergeCell ref="A5:A9"/>
    <mergeCell ref="C9:E9"/>
    <mergeCell ref="C5:H8"/>
    <mergeCell ref="B5:B7"/>
    <mergeCell ref="C13:H13"/>
    <mergeCell ref="F9:H9"/>
    <mergeCell ref="A35:A199"/>
    <mergeCell ref="B201:L201"/>
    <mergeCell ref="C202:G202"/>
    <mergeCell ref="J202:L202"/>
    <mergeCell ref="A10:H12"/>
    <mergeCell ref="A13:A15"/>
    <mergeCell ref="A19:A31"/>
    <mergeCell ref="C19:E19"/>
    <mergeCell ref="C35:E35"/>
    <mergeCell ref="C206:G206"/>
    <mergeCell ref="J206:L206"/>
    <mergeCell ref="A201:A206"/>
    <mergeCell ref="B210:P210"/>
    <mergeCell ref="B211:P211"/>
    <mergeCell ref="A207:AI208"/>
    <mergeCell ref="C203:G203"/>
    <mergeCell ref="J203:L203"/>
    <mergeCell ref="C204:G204"/>
    <mergeCell ref="J204:L204"/>
    <mergeCell ref="C205:G205"/>
    <mergeCell ref="J205:L205"/>
    <mergeCell ref="B339:AE342"/>
    <mergeCell ref="B306:AI308"/>
    <mergeCell ref="B212:B213"/>
    <mergeCell ref="B242:P242"/>
    <mergeCell ref="B243:P243"/>
    <mergeCell ref="B244:B245"/>
    <mergeCell ref="B275:P275"/>
    <mergeCell ref="B274:AI274"/>
    <mergeCell ref="C525:G525"/>
    <mergeCell ref="E554:M554"/>
    <mergeCell ref="E555:M555"/>
    <mergeCell ref="E446:L446"/>
    <mergeCell ref="E447:L447"/>
    <mergeCell ref="E482:L482"/>
    <mergeCell ref="E483:L483"/>
    <mergeCell ref="A589:AH589"/>
    <mergeCell ref="A209:A588"/>
    <mergeCell ref="B209:G209"/>
    <mergeCell ref="H519:P519"/>
    <mergeCell ref="B548:AE553"/>
    <mergeCell ref="AF552:AH553"/>
    <mergeCell ref="AF516:AH518"/>
    <mergeCell ref="AH513:AH515"/>
    <mergeCell ref="AH548:AH551"/>
    <mergeCell ref="AH585:AH588"/>
    <mergeCell ref="B513:AE518"/>
    <mergeCell ref="B585:AE588"/>
    <mergeCell ref="B478:AE481"/>
    <mergeCell ref="AH478:AH481"/>
    <mergeCell ref="AH442:AH445"/>
    <mergeCell ref="H520:P520"/>
    <mergeCell ref="A1:H4"/>
    <mergeCell ref="B442:AE445"/>
    <mergeCell ref="AH409:AH412"/>
    <mergeCell ref="B409:AE412"/>
    <mergeCell ref="B373:AE376"/>
    <mergeCell ref="AH373:AH376"/>
    <mergeCell ref="E344:K344"/>
    <mergeCell ref="E377:L377"/>
    <mergeCell ref="E378:L378"/>
    <mergeCell ref="E413:L413"/>
    <mergeCell ref="E414:L414"/>
    <mergeCell ref="B276:P276"/>
    <mergeCell ref="B277:B278"/>
    <mergeCell ref="E309:K309"/>
    <mergeCell ref="E310:K310"/>
    <mergeCell ref="E343:K343"/>
  </mergeCells>
  <pageMargins left="0.70866141732283472" right="0.70866141732283472" top="0.74803149606299213" bottom="0.74803149606299213" header="0.31496062992125984" footer="0.31496062992125984"/>
  <pageSetup scale="90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OFI_INFORMACION</dc:creator>
  <cp:lastModifiedBy>OFI_INFORMACION</cp:lastModifiedBy>
  <cp:lastPrinted>2022-09-07T17:42:20Z</cp:lastPrinted>
  <dcterms:created xsi:type="dcterms:W3CDTF">2021-10-08T16:29:41Z</dcterms:created>
  <dcterms:modified xsi:type="dcterms:W3CDTF">2023-02-10T20:57:31Z</dcterms:modified>
</cp:coreProperties>
</file>