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1" l="1"/>
  <c r="D93" i="1"/>
  <c r="D92" i="1"/>
  <c r="I85" i="1"/>
  <c r="D94" i="1" s="1"/>
  <c r="H85" i="1"/>
  <c r="G85" i="1"/>
  <c r="D91" i="1"/>
  <c r="J84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E65" i="1"/>
  <c r="E64" i="1"/>
  <c r="J64" i="1" s="1"/>
  <c r="J63" i="1"/>
  <c r="E63" i="1"/>
  <c r="E62" i="1"/>
  <c r="J62" i="1" s="1"/>
  <c r="J61" i="1"/>
  <c r="J60" i="1"/>
  <c r="E59" i="1"/>
  <c r="J59" i="1" s="1"/>
  <c r="J58" i="1"/>
  <c r="J57" i="1"/>
  <c r="E56" i="1"/>
  <c r="D56" i="1"/>
  <c r="J56" i="1" s="1"/>
  <c r="J55" i="1"/>
  <c r="E55" i="1"/>
  <c r="J54" i="1"/>
  <c r="E54" i="1"/>
  <c r="J53" i="1"/>
  <c r="E52" i="1"/>
  <c r="J52" i="1" s="1"/>
  <c r="J51" i="1"/>
  <c r="E51" i="1"/>
  <c r="E50" i="1"/>
  <c r="J50" i="1" s="1"/>
  <c r="J49" i="1"/>
  <c r="E49" i="1"/>
  <c r="D49" i="1"/>
  <c r="J48" i="1"/>
  <c r="E48" i="1"/>
  <c r="J47" i="1"/>
  <c r="E47" i="1"/>
  <c r="J46" i="1"/>
  <c r="E46" i="1"/>
  <c r="J45" i="1"/>
  <c r="E45" i="1"/>
  <c r="J44" i="1"/>
  <c r="E44" i="1"/>
  <c r="J43" i="1"/>
  <c r="E43" i="1"/>
  <c r="J42" i="1"/>
  <c r="E42" i="1"/>
  <c r="J41" i="1"/>
  <c r="E41" i="1"/>
  <c r="J40" i="1"/>
  <c r="E40" i="1"/>
  <c r="J39" i="1"/>
  <c r="E39" i="1"/>
  <c r="J38" i="1"/>
  <c r="E38" i="1"/>
  <c r="E37" i="1"/>
  <c r="D37" i="1"/>
  <c r="J37" i="1" s="1"/>
  <c r="E36" i="1"/>
  <c r="J36" i="1" s="1"/>
  <c r="E35" i="1"/>
  <c r="J35" i="1" s="1"/>
  <c r="E34" i="1"/>
  <c r="J34" i="1" s="1"/>
  <c r="D34" i="1"/>
  <c r="J33" i="1"/>
  <c r="D33" i="1"/>
  <c r="J32" i="1"/>
  <c r="E32" i="1"/>
  <c r="J31" i="1"/>
  <c r="E31" i="1"/>
  <c r="J30" i="1"/>
  <c r="E30" i="1"/>
  <c r="J29" i="1"/>
  <c r="E29" i="1"/>
  <c r="J28" i="1"/>
  <c r="E28" i="1"/>
  <c r="J27" i="1"/>
  <c r="D27" i="1"/>
  <c r="J26" i="1"/>
  <c r="E25" i="1"/>
  <c r="D25" i="1"/>
  <c r="J25" i="1" s="1"/>
  <c r="E24" i="1"/>
  <c r="J24" i="1" s="1"/>
  <c r="J23" i="1"/>
  <c r="E23" i="1"/>
  <c r="E22" i="1"/>
  <c r="J22" i="1" s="1"/>
  <c r="J21" i="1"/>
  <c r="E21" i="1"/>
  <c r="E20" i="1"/>
  <c r="J20" i="1" s="1"/>
  <c r="J19" i="1"/>
  <c r="E19" i="1"/>
  <c r="J18" i="1"/>
  <c r="E17" i="1"/>
  <c r="J17" i="1" s="1"/>
  <c r="E16" i="1"/>
  <c r="D16" i="1"/>
  <c r="J16" i="1" s="1"/>
  <c r="J15" i="1"/>
  <c r="E15" i="1"/>
  <c r="D15" i="1"/>
  <c r="E14" i="1"/>
  <c r="J14" i="1" s="1"/>
  <c r="D14" i="1"/>
  <c r="E13" i="1"/>
  <c r="J13" i="1" s="1"/>
  <c r="J12" i="1"/>
  <c r="E11" i="1"/>
  <c r="J11" i="1" s="1"/>
  <c r="E10" i="1"/>
  <c r="J10" i="1" s="1"/>
  <c r="E9" i="1"/>
  <c r="D9" i="1"/>
  <c r="J9" i="1" s="1"/>
  <c r="J8" i="1"/>
  <c r="E8" i="1"/>
  <c r="E85" i="1" s="1"/>
  <c r="D90" i="1" s="1"/>
  <c r="J85" i="1" l="1"/>
  <c r="D85" i="1"/>
  <c r="D89" i="1" s="1"/>
  <c r="D95" i="1" s="1"/>
</calcChain>
</file>

<file path=xl/sharedStrings.xml><?xml version="1.0" encoding="utf-8"?>
<sst xmlns="http://schemas.openxmlformats.org/spreadsheetml/2006/main" count="100" uniqueCount="100">
  <si>
    <t>ALCALDIA MUNICIPAL DE SAN JUAN NONUALCO</t>
  </si>
  <si>
    <t>FORMULACION DEL PRESUPUESTO MUNICIPAL DE EGRESOS, AÑO 2021.</t>
  </si>
  <si>
    <t>(En Dolares de los Estados Unidos de América)</t>
  </si>
  <si>
    <t>DETALLE CONSOLIDADO DE EGRESOS POR ESPECIFICO Y ESTRUCTURA PRESUPUESTARIA</t>
  </si>
  <si>
    <r>
      <t>OBJETO ESPEC</t>
    </r>
    <r>
      <rPr>
        <b/>
        <u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 xml:space="preserve">  FICO</t>
    </r>
  </si>
  <si>
    <t xml:space="preserve">DENOMINACION </t>
  </si>
  <si>
    <t xml:space="preserve"> 25%                        1-01-0101-1-110</t>
  </si>
  <si>
    <t>FDO. MPAL.             1-01-0101-2-000</t>
  </si>
  <si>
    <t xml:space="preserve"> 75%                          3-03-0302-1-111</t>
  </si>
  <si>
    <t>2% FODES INVERSION 75%                       3-03-0301-1-111</t>
  </si>
  <si>
    <t>INFR. DES. ECON                       4-04-0401-01-111</t>
  </si>
  <si>
    <t>ENDETTO.PUB. 75%                       5-05-0501-1-111</t>
  </si>
  <si>
    <t>TOTAL</t>
  </si>
  <si>
    <t>Remuneraciones Permanentes</t>
  </si>
  <si>
    <t>Aguinaldos</t>
  </si>
  <si>
    <t>Dietas</t>
  </si>
  <si>
    <t>Beneficios Adicionales</t>
  </si>
  <si>
    <t>Sueldos</t>
  </si>
  <si>
    <t>Salarios por jornal</t>
  </si>
  <si>
    <t>Horas Extraordinarias</t>
  </si>
  <si>
    <t>Aporte Patronal al ISSS</t>
  </si>
  <si>
    <t>Aporte Patronal AFP</t>
  </si>
  <si>
    <t>Gastos de Representación en el Interior del País</t>
  </si>
  <si>
    <t>Por prestación de Servicios en el exterior</t>
  </si>
  <si>
    <t>Indemnización al Personal Permanente</t>
  </si>
  <si>
    <t>Productos Alimenticios</t>
  </si>
  <si>
    <t>Productos Textiles y Vestuarios</t>
  </si>
  <si>
    <t>Productos de Papel Cartón</t>
  </si>
  <si>
    <t>Productos Químicos</t>
  </si>
  <si>
    <t>Llantas y Neumaticos</t>
  </si>
  <si>
    <t>Combustible y lubricantes</t>
  </si>
  <si>
    <t xml:space="preserve">Minerales no Metálicos y Productos Derivados </t>
  </si>
  <si>
    <t>Minerales Metálicos y Productos Derivados</t>
  </si>
  <si>
    <t>Materiales de Oficina</t>
  </si>
  <si>
    <t>Materiales Informaticos</t>
  </si>
  <si>
    <t>Materiales de Defensa y Seguridad Pública</t>
  </si>
  <si>
    <t>Herramientas, Repuestos y Accesorios</t>
  </si>
  <si>
    <t>Materiales Eléctricos</t>
  </si>
  <si>
    <t>Especies Municipales diversas</t>
  </si>
  <si>
    <t>Bienes de uso y consumo diversos</t>
  </si>
  <si>
    <t>Servicios de energia electrica</t>
  </si>
  <si>
    <t>Servicios de agua</t>
  </si>
  <si>
    <t>Servicios de telecomunicaciones</t>
  </si>
  <si>
    <t>Alumbrado Público</t>
  </si>
  <si>
    <t>Mantenimiento y reparacion de bienes muebles</t>
  </si>
  <si>
    <t>Mantenimiento y reparacion de vehículos</t>
  </si>
  <si>
    <t>Mantenimiento y Reparación de Bienes Inmuebles</t>
  </si>
  <si>
    <t>Transporte, fletes y almacenamientos</t>
  </si>
  <si>
    <t>Servicios de Publicidad</t>
  </si>
  <si>
    <t>Servicios educativos</t>
  </si>
  <si>
    <t>Impresiones, publicaciones y reproducciones</t>
  </si>
  <si>
    <t>Atenciones Oficiales</t>
  </si>
  <si>
    <t>Arrendamiento de bienes inmuebles</t>
  </si>
  <si>
    <t>Servicios generales y arrendamientos diversos</t>
  </si>
  <si>
    <t>Viáticos por Comisión interna</t>
  </si>
  <si>
    <t>Servicios Médicos</t>
  </si>
  <si>
    <t>Servicios Jurídicos</t>
  </si>
  <si>
    <t>Servicios de capacitación</t>
  </si>
  <si>
    <t>Depositos de Desechos</t>
  </si>
  <si>
    <t>Comisiones y Gastos Bancarios</t>
  </si>
  <si>
    <t>Multas y Costas Judiciales</t>
  </si>
  <si>
    <t>Gastos Diversos</t>
  </si>
  <si>
    <t>Transferencias corrientes al sector público (COMURES)</t>
  </si>
  <si>
    <t>Transferencias corrientes al sector público (Consejo Departamental de Alcaldes, CDA)</t>
  </si>
  <si>
    <t>Transferencias Corrientes al sector público (INSAFORP).</t>
  </si>
  <si>
    <t>A organismos sin fines de lucro (Asociación de Municipios los Nonualcos)</t>
  </si>
  <si>
    <t>A organismos sin fines de lucro</t>
  </si>
  <si>
    <t>A personas naturales</t>
  </si>
  <si>
    <t>De Personas Naturales (Intereses)</t>
  </si>
  <si>
    <t>Mobiliario</t>
  </si>
  <si>
    <t>Equipos Informáticos</t>
  </si>
  <si>
    <t>Proyectos y Programas de Inversión Diversas (Preinversión)</t>
  </si>
  <si>
    <t>Viales</t>
  </si>
  <si>
    <t>De Salud y Saneamiento Ambiental</t>
  </si>
  <si>
    <t xml:space="preserve">Obras de infraestructuras Diversas </t>
  </si>
  <si>
    <t>De Personas Naturales (Capital)</t>
  </si>
  <si>
    <t>Cuentas por pagar de años anteriores( 12.5 % Para gastos administrativos)</t>
  </si>
  <si>
    <t>Cuentas por pagar de años anteriores (12.5%Salarios)</t>
  </si>
  <si>
    <t>ENDEUDAMIENTO PUBLICO</t>
  </si>
  <si>
    <t>De Instituciones Descentralizadas no Empresariales</t>
  </si>
  <si>
    <t xml:space="preserve">De Empresas Privadas  Financieras (Intereses MI BANCO) </t>
  </si>
  <si>
    <t xml:space="preserve">De Empresas Privadas  Financieras (Capital MI BANCO) </t>
  </si>
  <si>
    <t xml:space="preserve">De Empresas Privadas  Financieras (Intereses Caja de credito de San Vicente) </t>
  </si>
  <si>
    <t xml:space="preserve">De Empresas Privadas  Financieras (Capital Caja San Vicente) </t>
  </si>
  <si>
    <t xml:space="preserve">De Empresas Privadas  Financieras (Intereses Caja de 
Crédito de Jucuapa) </t>
  </si>
  <si>
    <t xml:space="preserve">De Empresas Privadas  Financieras (Capital Caja
 Crédito San Pedro Nonualco) </t>
  </si>
  <si>
    <t>Cuentas por pagar de años anteriores (Cuotas pendien
tes FODES 75% INVERSIONES de junio a Noviembre 2020</t>
  </si>
  <si>
    <t>Cuentas por pagar de años anteriores (Cuotas pendien
tes FODES 2% PROYECTOS DE INVERSION de junio a Diciembre 2020</t>
  </si>
  <si>
    <t xml:space="preserve">REMANENTE RESTRUCTURACIÓN DE PASIVOS </t>
  </si>
  <si>
    <t>MINERALES NO METALICOS Y PRODUCTOS DERIVADOS</t>
  </si>
  <si>
    <t>TOTALES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</si>
  <si>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</si>
  <si>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RESUMEN DE EGRESOS PRESUPUESTO 2021</t>
  </si>
  <si>
    <t>25% FODES</t>
  </si>
  <si>
    <t>FONDOS PROPIOS</t>
  </si>
  <si>
    <t>DESARROLLO SOCIAL 302</t>
  </si>
  <si>
    <t>2% FODES PARA INVERSION</t>
  </si>
  <si>
    <t>REESTRUCTURACION DE PASIVOS</t>
  </si>
  <si>
    <t>DEUDA PUBLICA 0501</t>
  </si>
  <si>
    <t>GRAN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</si>
</sst>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_([$$-409]* #,##0.00_);_([$$-409]* \(#,##0.00\);_([$$-409]* &quot;-&quot;??_);_(@_)"/>
    <numFmt numFmtId="165" formatCode="_-[$$-409]* #,##0.00_ ;_-[$$-409]* \-#,##0.00\ ;_-[$$-409]* &quot;-&quot;??_ ;_-@_ "/>
    <numFmt numFmtId="166" formatCode="_([$$-440A]* #,##0.00_);_([$$-440A]* \(#,##0.00\);_([$$-440A]* &quot;-&quot;??_);_(@_)"/>
    <numFmt numFmtId="167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3" borderId="9" xfId="0" applyFill="1" applyBorder="1"/>
    <xf numFmtId="0" fontId="2" fillId="4" borderId="9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wrapText="1"/>
    </xf>
    <xf numFmtId="0" fontId="10" fillId="4" borderId="9" xfId="0" applyFont="1" applyFill="1" applyBorder="1" applyAlignment="1">
      <alignment horizontal="center" wrapText="1"/>
    </xf>
    <xf numFmtId="0" fontId="2" fillId="0" borderId="0" xfId="0" applyFont="1"/>
    <xf numFmtId="0" fontId="11" fillId="0" borderId="9" xfId="0" applyFont="1" applyFill="1" applyBorder="1" applyAlignment="1">
      <alignment horizontal="center"/>
    </xf>
    <xf numFmtId="0" fontId="11" fillId="0" borderId="9" xfId="0" applyFont="1" applyBorder="1" applyAlignment="1"/>
    <xf numFmtId="164" fontId="3" fillId="0" borderId="9" xfId="0" applyNumberFormat="1" applyFont="1" applyBorder="1"/>
    <xf numFmtId="164" fontId="3" fillId="0" borderId="9" xfId="0" applyNumberFormat="1" applyFont="1" applyBorder="1" applyAlignment="1"/>
    <xf numFmtId="165" fontId="3" fillId="0" borderId="9" xfId="0" applyNumberFormat="1" applyFont="1" applyBorder="1"/>
    <xf numFmtId="0" fontId="0" fillId="0" borderId="0" xfId="0" applyFont="1"/>
    <xf numFmtId="0" fontId="11" fillId="0" borderId="9" xfId="0" applyFont="1" applyBorder="1" applyAlignment="1">
      <alignment horizontal="center"/>
    </xf>
    <xf numFmtId="164" fontId="3" fillId="5" borderId="9" xfId="0" applyNumberFormat="1" applyFont="1" applyFill="1" applyBorder="1" applyAlignment="1"/>
    <xf numFmtId="164" fontId="3" fillId="5" borderId="9" xfId="0" applyNumberFormat="1" applyFont="1" applyFill="1" applyBorder="1"/>
    <xf numFmtId="164" fontId="3" fillId="0" borderId="10" xfId="0" applyNumberFormat="1" applyFont="1" applyFill="1" applyBorder="1"/>
    <xf numFmtId="0" fontId="11" fillId="0" borderId="9" xfId="0" applyFont="1" applyBorder="1"/>
    <xf numFmtId="0" fontId="12" fillId="0" borderId="9" xfId="0" applyFont="1" applyBorder="1" applyAlignment="1"/>
    <xf numFmtId="166" fontId="3" fillId="0" borderId="9" xfId="0" applyNumberFormat="1" applyFont="1" applyBorder="1"/>
    <xf numFmtId="164" fontId="3" fillId="0" borderId="11" xfId="0" applyNumberFormat="1" applyFont="1" applyBorder="1" applyAlignment="1"/>
    <xf numFmtId="164" fontId="3" fillId="0" borderId="11" xfId="0" applyNumberFormat="1" applyFont="1" applyBorder="1"/>
    <xf numFmtId="164" fontId="0" fillId="0" borderId="0" xfId="0" applyNumberFormat="1" applyFont="1"/>
    <xf numFmtId="0" fontId="11" fillId="5" borderId="9" xfId="0" applyFont="1" applyFill="1" applyBorder="1" applyAlignment="1">
      <alignment horizontal="center"/>
    </xf>
    <xf numFmtId="0" fontId="11" fillId="5" borderId="9" xfId="0" applyFont="1" applyFill="1" applyBorder="1" applyAlignment="1">
      <alignment wrapText="1"/>
    </xf>
    <xf numFmtId="164" fontId="3" fillId="0" borderId="9" xfId="0" applyNumberFormat="1" applyFont="1" applyFill="1" applyBorder="1" applyAlignment="1"/>
    <xf numFmtId="0" fontId="3" fillId="0" borderId="9" xfId="0" applyFont="1" applyBorder="1"/>
    <xf numFmtId="0" fontId="11" fillId="0" borderId="9" xfId="0" applyFont="1" applyBorder="1" applyAlignment="1">
      <alignment wrapText="1"/>
    </xf>
    <xf numFmtId="0" fontId="11" fillId="0" borderId="11" xfId="0" applyFont="1" applyBorder="1" applyAlignment="1">
      <alignment horizontal="center"/>
    </xf>
    <xf numFmtId="0" fontId="0" fillId="0" borderId="9" xfId="0" applyFill="1" applyBorder="1"/>
    <xf numFmtId="0" fontId="11" fillId="0" borderId="1" xfId="0" applyFont="1" applyBorder="1" applyAlignment="1">
      <alignment horizontal="center"/>
    </xf>
    <xf numFmtId="164" fontId="3" fillId="5" borderId="12" xfId="0" applyNumberFormat="1" applyFont="1" applyFill="1" applyBorder="1"/>
    <xf numFmtId="164" fontId="3" fillId="0" borderId="12" xfId="0" applyNumberFormat="1" applyFont="1" applyBorder="1"/>
    <xf numFmtId="166" fontId="3" fillId="0" borderId="12" xfId="0" applyNumberFormat="1" applyFont="1" applyBorder="1"/>
    <xf numFmtId="0" fontId="0" fillId="0" borderId="9" xfId="0" applyBorder="1" applyAlignment="1">
      <alignment wrapText="1"/>
    </xf>
    <xf numFmtId="0" fontId="0" fillId="0" borderId="13" xfId="0" applyBorder="1"/>
    <xf numFmtId="0" fontId="11" fillId="6" borderId="11" xfId="0" applyFont="1" applyFill="1" applyBorder="1" applyAlignment="1">
      <alignment horizontal="center"/>
    </xf>
    <xf numFmtId="0" fontId="13" fillId="6" borderId="9" xfId="0" applyFont="1" applyFill="1" applyBorder="1"/>
    <xf numFmtId="0" fontId="0" fillId="0" borderId="14" xfId="0" applyFill="1" applyBorder="1"/>
    <xf numFmtId="0" fontId="0" fillId="0" borderId="8" xfId="0" applyFont="1" applyFill="1" applyBorder="1"/>
    <xf numFmtId="164" fontId="3" fillId="5" borderId="14" xfId="0" applyNumberFormat="1" applyFont="1" applyFill="1" applyBorder="1"/>
    <xf numFmtId="164" fontId="3" fillId="0" borderId="14" xfId="0" applyNumberFormat="1" applyFont="1" applyBorder="1"/>
    <xf numFmtId="166" fontId="3" fillId="0" borderId="14" xfId="0" applyNumberFormat="1" applyFont="1" applyBorder="1"/>
    <xf numFmtId="0" fontId="0" fillId="0" borderId="9" xfId="0" applyFill="1" applyBorder="1" applyAlignment="1">
      <alignment wrapText="1"/>
    </xf>
    <xf numFmtId="164" fontId="3" fillId="0" borderId="9" xfId="0" applyNumberFormat="1" applyFont="1" applyFill="1" applyBorder="1"/>
    <xf numFmtId="0" fontId="0" fillId="0" borderId="13" xfId="0" applyFont="1" applyFill="1" applyBorder="1" applyAlignment="1">
      <alignment wrapText="1"/>
    </xf>
    <xf numFmtId="167" fontId="3" fillId="0" borderId="9" xfId="0" applyNumberFormat="1" applyFont="1" applyFill="1" applyBorder="1"/>
    <xf numFmtId="164" fontId="3" fillId="0" borderId="14" xfId="0" applyNumberFormat="1" applyFont="1" applyFill="1" applyBorder="1"/>
    <xf numFmtId="0" fontId="0" fillId="0" borderId="9" xfId="0" applyFont="1" applyFill="1" applyBorder="1" applyAlignment="1">
      <alignment wrapText="1"/>
    </xf>
    <xf numFmtId="0" fontId="14" fillId="0" borderId="15" xfId="0" applyFont="1" applyFill="1" applyBorder="1"/>
    <xf numFmtId="0" fontId="13" fillId="4" borderId="9" xfId="0" applyFont="1" applyFill="1" applyBorder="1" applyAlignment="1">
      <alignment horizontal="center"/>
    </xf>
    <xf numFmtId="164" fontId="15" fillId="4" borderId="9" xfId="0" applyNumberFormat="1" applyFont="1" applyFill="1" applyBorder="1"/>
    <xf numFmtId="165" fontId="15" fillId="4" borderId="9" xfId="0" applyNumberFormat="1" applyFont="1" applyFill="1" applyBorder="1"/>
    <xf numFmtId="165" fontId="13" fillId="0" borderId="0" xfId="0" applyNumberFormat="1" applyFont="1"/>
    <xf numFmtId="0" fontId="13" fillId="0" borderId="0" xfId="0" applyFont="1"/>
    <xf numFmtId="166" fontId="0" fillId="0" borderId="0" xfId="0" applyNumberFormat="1"/>
    <xf numFmtId="49" fontId="3" fillId="0" borderId="0" xfId="0" applyNumberFormat="1" applyFont="1"/>
    <xf numFmtId="166" fontId="0" fillId="0" borderId="0" xfId="1" applyNumberFormat="1" applyFont="1"/>
    <xf numFmtId="164" fontId="0" fillId="0" borderId="0" xfId="0" applyNumberFormat="1"/>
    <xf numFmtId="164" fontId="11" fillId="0" borderId="0" xfId="0" applyNumberFormat="1" applyFont="1"/>
    <xf numFmtId="0" fontId="8" fillId="6" borderId="16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0" fontId="13" fillId="2" borderId="18" xfId="0" applyFont="1" applyFill="1" applyBorder="1"/>
    <xf numFmtId="164" fontId="15" fillId="7" borderId="19" xfId="0" applyNumberFormat="1" applyFont="1" applyFill="1" applyBorder="1" applyAlignment="1"/>
    <xf numFmtId="164" fontId="15" fillId="0" borderId="0" xfId="0" applyNumberFormat="1" applyFont="1" applyAlignment="1"/>
    <xf numFmtId="164" fontId="13" fillId="0" borderId="0" xfId="0" applyNumberFormat="1" applyFont="1" applyAlignment="1"/>
    <xf numFmtId="0" fontId="13" fillId="2" borderId="20" xfId="0" applyFont="1" applyFill="1" applyBorder="1"/>
    <xf numFmtId="164" fontId="15" fillId="7" borderId="21" xfId="0" applyNumberFormat="1" applyFont="1" applyFill="1" applyBorder="1" applyAlignment="1"/>
    <xf numFmtId="0" fontId="13" fillId="2" borderId="22" xfId="0" applyFont="1" applyFill="1" applyBorder="1"/>
    <xf numFmtId="164" fontId="15" fillId="7" borderId="23" xfId="0" applyNumberFormat="1" applyFont="1" applyFill="1" applyBorder="1"/>
    <xf numFmtId="0" fontId="15" fillId="0" borderId="0" xfId="0" applyFont="1"/>
    <xf numFmtId="0" fontId="13" fillId="2" borderId="24" xfId="0" applyFont="1" applyFill="1" applyBorder="1"/>
    <xf numFmtId="0" fontId="11" fillId="0" borderId="0" xfId="0" applyFont="1"/>
    <xf numFmtId="0" fontId="13" fillId="8" borderId="25" xfId="0" applyFont="1" applyFill="1" applyBorder="1"/>
    <xf numFmtId="164" fontId="13" fillId="8" borderId="25" xfId="0" applyNumberFormat="1" applyFont="1" applyFill="1" applyBorder="1"/>
    <xf numFmtId="0" fontId="12" fillId="0" borderId="0" xfId="0" applyFont="1"/>
    <xf numFmtId="164" fontId="9" fillId="0" borderId="0" xfId="0" applyNumberFormat="1" applyFont="1"/>
    <xf numFmtId="164" fontId="2" fillId="0" borderId="0" xfId="0" applyNumberFormat="1" applyFont="1"/>
    <xf numFmtId="164" fontId="9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5"/>
  <sheetViews>
    <sheetView tabSelected="1" workbookViewId="0">
      <selection activeCell="G85" sqref="G85"/>
    </sheetView>
  </sheetViews>
  <sheetFormatPr baseColWidth="10" defaultRowHeight="15" x14ac:dyDescent="0.25"/>
  <cols>
    <col min="1" max="1" width="2" customWidth="1"/>
    <col min="2" max="2" width="7.85546875" customWidth="1"/>
    <col min="3" max="3" width="50.140625" customWidth="1"/>
    <col min="4" max="4" width="15.85546875" customWidth="1"/>
    <col min="5" max="5" width="17.28515625" style="1" customWidth="1"/>
    <col min="6" max="6" width="15.7109375" customWidth="1"/>
    <col min="7" max="7" width="15.28515625" customWidth="1"/>
    <col min="8" max="8" width="15.42578125" customWidth="1"/>
    <col min="9" max="9" width="14.42578125" customWidth="1"/>
    <col min="10" max="10" width="18" customWidth="1"/>
    <col min="11" max="11" width="15.7109375" customWidth="1"/>
  </cols>
  <sheetData>
    <row r="1" spans="2:10" ht="2.25" customHeight="1" x14ac:dyDescent="0.25"/>
    <row r="2" spans="2:10" ht="23.25" x14ac:dyDescent="0.35">
      <c r="B2" s="2" t="s">
        <v>0</v>
      </c>
      <c r="C2" s="3"/>
      <c r="D2" s="3"/>
      <c r="E2" s="3"/>
      <c r="F2" s="3"/>
      <c r="G2" s="3"/>
      <c r="H2" s="3"/>
      <c r="I2" s="3"/>
      <c r="J2" s="4"/>
    </row>
    <row r="3" spans="2:10" ht="23.25" x14ac:dyDescent="0.35">
      <c r="B3" s="5" t="s">
        <v>1</v>
      </c>
      <c r="C3" s="6"/>
      <c r="D3" s="6"/>
      <c r="E3" s="6"/>
      <c r="F3" s="6"/>
      <c r="G3" s="6"/>
      <c r="H3" s="6"/>
      <c r="I3" s="6"/>
      <c r="J3" s="7"/>
    </row>
    <row r="4" spans="2:10" ht="21" x14ac:dyDescent="0.35">
      <c r="B4" s="8" t="s">
        <v>2</v>
      </c>
      <c r="C4" s="9"/>
      <c r="D4" s="9"/>
      <c r="E4" s="9"/>
      <c r="F4" s="9"/>
      <c r="G4" s="9"/>
      <c r="H4" s="9"/>
      <c r="I4" s="9"/>
      <c r="J4" s="10"/>
    </row>
    <row r="5" spans="2:10" ht="2.25" customHeight="1" x14ac:dyDescent="0.25"/>
    <row r="6" spans="2:10" ht="18.75" x14ac:dyDescent="0.3">
      <c r="B6" s="11" t="s">
        <v>3</v>
      </c>
      <c r="C6" s="11"/>
      <c r="D6" s="11"/>
      <c r="E6" s="11"/>
      <c r="F6" s="11"/>
      <c r="G6" s="11"/>
      <c r="H6" s="11"/>
      <c r="I6" s="11"/>
      <c r="J6" s="12"/>
    </row>
    <row r="7" spans="2:10" s="17" customFormat="1" ht="43.5" customHeight="1" x14ac:dyDescent="0.25">
      <c r="B7" s="13" t="s">
        <v>4</v>
      </c>
      <c r="C7" s="14" t="s">
        <v>5</v>
      </c>
      <c r="D7" s="13" t="s">
        <v>6</v>
      </c>
      <c r="E7" s="15" t="s">
        <v>7</v>
      </c>
      <c r="F7" s="13" t="s">
        <v>8</v>
      </c>
      <c r="G7" s="13" t="s">
        <v>9</v>
      </c>
      <c r="H7" s="16" t="s">
        <v>10</v>
      </c>
      <c r="I7" s="13" t="s">
        <v>11</v>
      </c>
      <c r="J7" s="14" t="s">
        <v>12</v>
      </c>
    </row>
    <row r="8" spans="2:10" s="23" customFormat="1" ht="15.75" x14ac:dyDescent="0.25">
      <c r="B8" s="18">
        <v>51101</v>
      </c>
      <c r="C8" s="19" t="s">
        <v>13</v>
      </c>
      <c r="D8" s="20">
        <v>125127.22</v>
      </c>
      <c r="E8" s="21">
        <f>21000+6600+1700+6000+5720+4110+2850+3600+4200+4667+3600+4200+2400+4110+7980+9000+2400+2400+2280+6600+6000+8700+7200+14400+3150+4236+4200+2550+8700+1500+11400+3600+9780+24900+3870+4440+5550+4620+5334+4200+4200+31228.46+4200</f>
        <v>283375.46000000002</v>
      </c>
      <c r="F8" s="21"/>
      <c r="G8" s="21"/>
      <c r="H8" s="20"/>
      <c r="I8" s="20"/>
      <c r="J8" s="22">
        <f>SUM(D8:I8)</f>
        <v>408502.68000000005</v>
      </c>
    </row>
    <row r="9" spans="2:10" s="23" customFormat="1" ht="15.75" x14ac:dyDescent="0.25">
      <c r="B9" s="24">
        <v>51103</v>
      </c>
      <c r="C9" s="19" t="s">
        <v>14</v>
      </c>
      <c r="D9" s="25">
        <f>3500+1100+425+550+1430+685+475+600+1300+600+300+700+1100+685+1330+400+400+380+525+375+978+645+925</f>
        <v>19408</v>
      </c>
      <c r="E9" s="21">
        <f>600+700+750+400+725+400+550+600+600+1200+353+350+978+2007.22+2075+370+385+444.44+350+350+5825+350</f>
        <v>20362.66</v>
      </c>
      <c r="F9" s="21"/>
      <c r="G9" s="21"/>
      <c r="H9" s="20"/>
      <c r="I9" s="20"/>
      <c r="J9" s="22">
        <f>SUM(D9:I9)</f>
        <v>39770.660000000003</v>
      </c>
    </row>
    <row r="10" spans="2:10" s="23" customFormat="1" ht="15.75" x14ac:dyDescent="0.25">
      <c r="B10" s="24">
        <v>51105</v>
      </c>
      <c r="C10" s="19" t="s">
        <v>15</v>
      </c>
      <c r="D10" s="25"/>
      <c r="E10" s="21">
        <f>9360+9360+9360+9360+9360+9360+7872+7872+7872+7872+7304+18000+1500</f>
        <v>114452</v>
      </c>
      <c r="F10" s="21"/>
      <c r="G10" s="21"/>
      <c r="H10" s="20"/>
      <c r="I10" s="20"/>
      <c r="J10" s="22">
        <f t="shared" ref="J10:J73" si="0">SUM(D10,E10,F10,G10,H10,I10)</f>
        <v>114452</v>
      </c>
    </row>
    <row r="11" spans="2:10" s="23" customFormat="1" ht="15.75" x14ac:dyDescent="0.25">
      <c r="B11" s="24">
        <v>51107</v>
      </c>
      <c r="C11" s="19" t="s">
        <v>16</v>
      </c>
      <c r="D11" s="26"/>
      <c r="E11" s="20">
        <f>1800+0</f>
        <v>1800</v>
      </c>
      <c r="F11" s="20"/>
      <c r="G11" s="20"/>
      <c r="H11" s="20"/>
      <c r="I11" s="20"/>
      <c r="J11" s="22">
        <f t="shared" si="0"/>
        <v>1800</v>
      </c>
    </row>
    <row r="12" spans="2:10" s="23" customFormat="1" ht="15.75" x14ac:dyDescent="0.25">
      <c r="B12" s="24">
        <v>51201</v>
      </c>
      <c r="C12" s="19" t="s">
        <v>17</v>
      </c>
      <c r="D12" s="26"/>
      <c r="E12" s="20"/>
      <c r="F12" s="20"/>
      <c r="G12" s="20"/>
      <c r="H12" s="20"/>
      <c r="I12" s="20"/>
      <c r="J12" s="22">
        <f t="shared" si="0"/>
        <v>0</v>
      </c>
    </row>
    <row r="13" spans="2:10" s="23" customFormat="1" ht="15.75" x14ac:dyDescent="0.25">
      <c r="B13" s="24">
        <v>51202</v>
      </c>
      <c r="C13" s="19" t="s">
        <v>18</v>
      </c>
      <c r="D13" s="26"/>
      <c r="E13" s="20">
        <f>29878.88+7000+20486.64</f>
        <v>57365.520000000004</v>
      </c>
      <c r="F13" s="20">
        <v>40000</v>
      </c>
      <c r="G13" s="20">
        <v>47396.05</v>
      </c>
      <c r="H13" s="20"/>
      <c r="I13" s="20"/>
      <c r="J13" s="22">
        <f>SUM(D13:I13)</f>
        <v>144761.57</v>
      </c>
    </row>
    <row r="14" spans="2:10" s="23" customFormat="1" ht="15.75" x14ac:dyDescent="0.25">
      <c r="B14" s="24">
        <v>51301</v>
      </c>
      <c r="C14" s="19" t="s">
        <v>19</v>
      </c>
      <c r="D14" s="26">
        <f>1100</f>
        <v>1100</v>
      </c>
      <c r="E14" s="20">
        <f>4235+1000+3000+4000+2000</f>
        <v>14235</v>
      </c>
      <c r="F14" s="20"/>
      <c r="G14" s="20"/>
      <c r="H14" s="20"/>
      <c r="I14" s="20"/>
      <c r="J14" s="22">
        <f t="shared" si="0"/>
        <v>15335</v>
      </c>
    </row>
    <row r="15" spans="2:10" s="23" customFormat="1" ht="15.75" x14ac:dyDescent="0.25">
      <c r="B15" s="24">
        <v>51401</v>
      </c>
      <c r="C15" s="19" t="s">
        <v>20</v>
      </c>
      <c r="D15" s="26">
        <f>1575+495+495+255+495+858+309+214+270+315+270+135+315+180+309+600+315+180+180+171+171+2343+237+169+113+441+734+291+417</f>
        <v>12852</v>
      </c>
      <c r="E15" s="20">
        <f>6135.36+1575+495+495+128+450+429+309+214+270+315+270+315+180+309+600+675+180+180+171+171+495+450+450+1080+237+318+315+169+653+113+855+1588+270+734+1868+291+333+417+347+401+315+315+2343+315</f>
        <v>28538.36</v>
      </c>
      <c r="F15" s="20"/>
      <c r="G15" s="20"/>
      <c r="H15" s="20"/>
      <c r="I15" s="20"/>
      <c r="J15" s="22">
        <f>SUM(D15:I15)</f>
        <v>41390.36</v>
      </c>
    </row>
    <row r="16" spans="2:10" s="23" customFormat="1" ht="15.75" x14ac:dyDescent="0.25">
      <c r="B16" s="24">
        <v>51501</v>
      </c>
      <c r="C16" s="19" t="s">
        <v>21</v>
      </c>
      <c r="D16" s="26">
        <f>1523+264+512+887+319+221+270+558+279+140+326+186+319+579+326+186+186+2422+245+164+109+455+758+300+431</f>
        <v>11965</v>
      </c>
      <c r="E16" s="20">
        <f>6793+1523+131.75+435+444+319+221+270+558+279+326+186+319+579+653+186+186+512+465+665+1116+245+329+326+164+675+109+884+794+279+958+1930+300+345+431+335+387+305+305+2422+326</f>
        <v>28015.75</v>
      </c>
      <c r="F16" s="20"/>
      <c r="G16" s="20"/>
      <c r="H16" s="20"/>
      <c r="I16" s="20"/>
      <c r="J16" s="22">
        <f>SUM(D16:I16)</f>
        <v>39980.75</v>
      </c>
    </row>
    <row r="17" spans="2:10" s="23" customFormat="1" ht="15.75" x14ac:dyDescent="0.25">
      <c r="B17" s="24">
        <v>51601</v>
      </c>
      <c r="C17" s="19" t="s">
        <v>22</v>
      </c>
      <c r="D17" s="26"/>
      <c r="E17" s="20">
        <f>13333.32</f>
        <v>13333.32</v>
      </c>
      <c r="F17" s="20"/>
      <c r="G17" s="20"/>
      <c r="H17" s="20"/>
      <c r="I17" s="20"/>
      <c r="J17" s="22">
        <f t="shared" si="0"/>
        <v>13333.32</v>
      </c>
    </row>
    <row r="18" spans="2:10" s="23" customFormat="1" ht="15.75" x14ac:dyDescent="0.25">
      <c r="B18" s="24">
        <v>51602</v>
      </c>
      <c r="C18" s="19" t="s">
        <v>23</v>
      </c>
      <c r="D18" s="26"/>
      <c r="E18" s="20">
        <v>3000</v>
      </c>
      <c r="F18" s="20"/>
      <c r="G18" s="20"/>
      <c r="H18" s="20"/>
      <c r="I18" s="20"/>
      <c r="J18" s="22">
        <f t="shared" si="0"/>
        <v>3000</v>
      </c>
    </row>
    <row r="19" spans="2:10" s="23" customFormat="1" ht="15.75" x14ac:dyDescent="0.25">
      <c r="B19" s="24">
        <v>51701</v>
      </c>
      <c r="C19" s="19" t="s">
        <v>24</v>
      </c>
      <c r="D19" s="26"/>
      <c r="E19" s="20">
        <f>14205</f>
        <v>14205</v>
      </c>
      <c r="F19" s="20"/>
      <c r="G19" s="20"/>
      <c r="H19" s="20"/>
      <c r="I19" s="20"/>
      <c r="J19" s="22">
        <f t="shared" si="0"/>
        <v>14205</v>
      </c>
    </row>
    <row r="20" spans="2:10" s="23" customFormat="1" ht="15.75" x14ac:dyDescent="0.25">
      <c r="B20" s="24">
        <v>54101</v>
      </c>
      <c r="C20" s="19" t="s">
        <v>25</v>
      </c>
      <c r="D20" s="26"/>
      <c r="E20" s="20">
        <f>1000+3000+1000+200+500+200+400+400+400+400+400+400+400+400+400+400+100+100+100</f>
        <v>10200</v>
      </c>
      <c r="F20" s="20">
        <v>10000</v>
      </c>
      <c r="G20" s="20"/>
      <c r="H20" s="20"/>
      <c r="I20" s="20"/>
      <c r="J20" s="22">
        <f t="shared" si="0"/>
        <v>20200</v>
      </c>
    </row>
    <row r="21" spans="2:10" s="23" customFormat="1" ht="15.75" x14ac:dyDescent="0.25">
      <c r="B21" s="24">
        <v>54104</v>
      </c>
      <c r="C21" s="19" t="s">
        <v>26</v>
      </c>
      <c r="D21" s="26"/>
      <c r="E21" s="20">
        <f>2000+5000+1472.61</f>
        <v>8472.61</v>
      </c>
      <c r="F21" s="20"/>
      <c r="G21" s="20"/>
      <c r="H21" s="20"/>
      <c r="I21" s="20"/>
      <c r="J21" s="22">
        <f t="shared" si="0"/>
        <v>8472.61</v>
      </c>
    </row>
    <row r="22" spans="2:10" s="23" customFormat="1" ht="15.75" x14ac:dyDescent="0.25">
      <c r="B22" s="24">
        <v>54105</v>
      </c>
      <c r="C22" s="19" t="s">
        <v>27</v>
      </c>
      <c r="D22" s="26"/>
      <c r="E22" s="20">
        <f>2200+200+1500+500+500+1000+1500+1500+1500+1500+1500+1500</f>
        <v>14900</v>
      </c>
      <c r="F22" s="20"/>
      <c r="G22" s="20"/>
      <c r="H22" s="20"/>
      <c r="I22" s="20"/>
      <c r="J22" s="22">
        <f t="shared" si="0"/>
        <v>14900</v>
      </c>
    </row>
    <row r="23" spans="2:10" s="23" customFormat="1" ht="15.75" x14ac:dyDescent="0.25">
      <c r="B23" s="24">
        <v>54107</v>
      </c>
      <c r="C23" s="19" t="s">
        <v>28</v>
      </c>
      <c r="D23" s="26"/>
      <c r="E23" s="20">
        <f>800</f>
        <v>800</v>
      </c>
      <c r="F23" s="20"/>
      <c r="G23" s="20"/>
      <c r="H23" s="20"/>
      <c r="I23" s="20"/>
      <c r="J23" s="22">
        <f t="shared" si="0"/>
        <v>800</v>
      </c>
    </row>
    <row r="24" spans="2:10" s="23" customFormat="1" ht="15.75" x14ac:dyDescent="0.25">
      <c r="B24" s="24">
        <v>54109</v>
      </c>
      <c r="C24" s="19" t="s">
        <v>29</v>
      </c>
      <c r="D24" s="26"/>
      <c r="E24" s="20">
        <f>1500</f>
        <v>1500</v>
      </c>
      <c r="F24" s="20"/>
      <c r="G24" s="20"/>
      <c r="H24" s="20"/>
      <c r="I24" s="20"/>
      <c r="J24" s="22">
        <f t="shared" si="0"/>
        <v>1500</v>
      </c>
    </row>
    <row r="25" spans="2:10" s="23" customFormat="1" ht="15.75" x14ac:dyDescent="0.25">
      <c r="B25" s="24">
        <v>54110</v>
      </c>
      <c r="C25" s="19" t="s">
        <v>30</v>
      </c>
      <c r="D25" s="26">
        <f>19260.33</f>
        <v>19260.330000000002</v>
      </c>
      <c r="E25" s="20">
        <f>39000+1000+2000+250+1000+2500+2500+2500+2500+2500+1500+1000</f>
        <v>58250</v>
      </c>
      <c r="F25" s="20">
        <v>30579.84</v>
      </c>
      <c r="G25" s="20">
        <v>25000</v>
      </c>
      <c r="H25" s="20"/>
      <c r="I25" s="20"/>
      <c r="J25" s="22">
        <f>SUM(D25:I25)</f>
        <v>133090.16999999998</v>
      </c>
    </row>
    <row r="26" spans="2:10" s="23" customFormat="1" ht="15.75" x14ac:dyDescent="0.25">
      <c r="B26" s="24">
        <v>54111</v>
      </c>
      <c r="C26" s="19" t="s">
        <v>31</v>
      </c>
      <c r="D26" s="26">
        <v>16000</v>
      </c>
      <c r="E26" s="20">
        <v>22000</v>
      </c>
      <c r="F26" s="27">
        <v>35000</v>
      </c>
      <c r="G26" s="20">
        <v>80747.399999999994</v>
      </c>
      <c r="H26" s="20"/>
      <c r="I26" s="20"/>
      <c r="J26" s="22">
        <f>SUM(D26:I26)</f>
        <v>153747.4</v>
      </c>
    </row>
    <row r="27" spans="2:10" s="23" customFormat="1" ht="15.75" x14ac:dyDescent="0.25">
      <c r="B27" s="24">
        <v>54112</v>
      </c>
      <c r="C27" s="19" t="s">
        <v>32</v>
      </c>
      <c r="D27" s="26">
        <f>15500</f>
        <v>15500</v>
      </c>
      <c r="E27" s="20">
        <v>15000</v>
      </c>
      <c r="F27" s="20">
        <v>25000</v>
      </c>
      <c r="G27" s="20">
        <v>60000</v>
      </c>
      <c r="H27" s="20"/>
      <c r="I27" s="20"/>
      <c r="J27" s="22">
        <f>SUM(D27:I27)</f>
        <v>115500</v>
      </c>
    </row>
    <row r="28" spans="2:10" s="23" customFormat="1" ht="15.75" x14ac:dyDescent="0.25">
      <c r="B28" s="24">
        <v>54114</v>
      </c>
      <c r="C28" s="19" t="s">
        <v>33</v>
      </c>
      <c r="D28" s="26"/>
      <c r="E28" s="20">
        <f>325+500+1000+800+250+500+500+500+500+500+500+500</f>
        <v>6375</v>
      </c>
      <c r="F28" s="20"/>
      <c r="G28" s="20"/>
      <c r="H28" s="20"/>
      <c r="I28" s="20"/>
      <c r="J28" s="22">
        <f t="shared" si="0"/>
        <v>6375</v>
      </c>
    </row>
    <row r="29" spans="2:10" s="23" customFormat="1" ht="15.75" x14ac:dyDescent="0.25">
      <c r="B29" s="24">
        <v>54115</v>
      </c>
      <c r="C29" s="19" t="s">
        <v>34</v>
      </c>
      <c r="D29" s="26"/>
      <c r="E29" s="20">
        <f>3511.75+400+325+800+1000+500+250+600+600+600+600+600+400</f>
        <v>10186.75</v>
      </c>
      <c r="F29" s="20"/>
      <c r="G29" s="20"/>
      <c r="H29" s="20"/>
      <c r="I29" s="20"/>
      <c r="J29" s="22">
        <f t="shared" si="0"/>
        <v>10186.75</v>
      </c>
    </row>
    <row r="30" spans="2:10" s="23" customFormat="1" ht="15.75" x14ac:dyDescent="0.25">
      <c r="B30" s="24">
        <v>54117</v>
      </c>
      <c r="C30" s="19" t="s">
        <v>35</v>
      </c>
      <c r="D30" s="26"/>
      <c r="E30" s="20">
        <f>5000+5000</f>
        <v>10000</v>
      </c>
      <c r="F30" s="20"/>
      <c r="G30" s="20"/>
      <c r="H30" s="20"/>
      <c r="I30" s="20"/>
      <c r="J30" s="22">
        <f t="shared" si="0"/>
        <v>10000</v>
      </c>
    </row>
    <row r="31" spans="2:10" s="23" customFormat="1" ht="15.75" x14ac:dyDescent="0.25">
      <c r="B31" s="24">
        <v>54118</v>
      </c>
      <c r="C31" s="19" t="s">
        <v>36</v>
      </c>
      <c r="D31" s="26"/>
      <c r="E31" s="20">
        <f>2000</f>
        <v>2000</v>
      </c>
      <c r="F31" s="20"/>
      <c r="G31" s="20">
        <v>15000</v>
      </c>
      <c r="H31" s="20"/>
      <c r="I31" s="20"/>
      <c r="J31" s="22">
        <f t="shared" si="0"/>
        <v>17000</v>
      </c>
    </row>
    <row r="32" spans="2:10" s="23" customFormat="1" ht="15.75" x14ac:dyDescent="0.25">
      <c r="B32" s="24">
        <v>54119</v>
      </c>
      <c r="C32" s="28" t="s">
        <v>37</v>
      </c>
      <c r="D32" s="26"/>
      <c r="E32" s="20">
        <f>15000</f>
        <v>15000</v>
      </c>
      <c r="F32" s="20"/>
      <c r="G32" s="20"/>
      <c r="H32" s="20"/>
      <c r="I32" s="20"/>
      <c r="J32" s="22">
        <f t="shared" si="0"/>
        <v>15000</v>
      </c>
    </row>
    <row r="33" spans="2:10" s="23" customFormat="1" ht="15.75" x14ac:dyDescent="0.25">
      <c r="B33" s="24">
        <v>54121</v>
      </c>
      <c r="C33" s="28" t="s">
        <v>38</v>
      </c>
      <c r="D33" s="26">
        <f>2400</f>
        <v>2400</v>
      </c>
      <c r="E33" s="20"/>
      <c r="F33" s="20"/>
      <c r="G33" s="20"/>
      <c r="H33" s="20"/>
      <c r="I33" s="20"/>
      <c r="J33" s="22">
        <f t="shared" si="0"/>
        <v>2400</v>
      </c>
    </row>
    <row r="34" spans="2:10" s="23" customFormat="1" ht="15.75" x14ac:dyDescent="0.25">
      <c r="B34" s="24">
        <v>54199</v>
      </c>
      <c r="C34" s="28" t="s">
        <v>39</v>
      </c>
      <c r="D34" s="26">
        <f>18000</f>
        <v>18000</v>
      </c>
      <c r="E34" s="20">
        <f>8555.21+200+500+100+300+300+300+300+300+300+300+300+300+100+100+2000+2000</f>
        <v>16255.21</v>
      </c>
      <c r="F34" s="20"/>
      <c r="G34" s="20"/>
      <c r="H34" s="20"/>
      <c r="I34" s="20"/>
      <c r="J34" s="22">
        <f t="shared" si="0"/>
        <v>34255.21</v>
      </c>
    </row>
    <row r="35" spans="2:10" s="23" customFormat="1" ht="15.75" x14ac:dyDescent="0.25">
      <c r="B35" s="24">
        <v>54201</v>
      </c>
      <c r="C35" s="28" t="s">
        <v>40</v>
      </c>
      <c r="D35" s="26">
        <v>7357.84</v>
      </c>
      <c r="E35" s="20">
        <f>14900+800+1000+1000+400+600+1000+1000+1000+1000+600+400</f>
        <v>23700</v>
      </c>
      <c r="F35" s="20"/>
      <c r="G35" s="20"/>
      <c r="H35" s="20"/>
      <c r="I35" s="20"/>
      <c r="J35" s="22">
        <f>SUM(D35:I35)</f>
        <v>31057.84</v>
      </c>
    </row>
    <row r="36" spans="2:10" s="23" customFormat="1" ht="15.75" x14ac:dyDescent="0.25">
      <c r="B36" s="24">
        <v>54202</v>
      </c>
      <c r="C36" s="28" t="s">
        <v>41</v>
      </c>
      <c r="D36" s="26">
        <v>4847.51</v>
      </c>
      <c r="E36" s="20">
        <f>2900+500+600+150+250+250+250+250+250+250+250+250+250+250+50+50+200</f>
        <v>6950</v>
      </c>
      <c r="F36" s="20"/>
      <c r="G36" s="20"/>
      <c r="H36" s="20"/>
      <c r="I36" s="20"/>
      <c r="J36" s="22">
        <f>SUM(D36:I36)</f>
        <v>11797.51</v>
      </c>
    </row>
    <row r="37" spans="2:10" s="23" customFormat="1" ht="15.75" x14ac:dyDescent="0.25">
      <c r="B37" s="24">
        <v>54203</v>
      </c>
      <c r="C37" s="28" t="s">
        <v>42</v>
      </c>
      <c r="D37" s="26">
        <f>5000</f>
        <v>5000</v>
      </c>
      <c r="E37" s="20">
        <f>4900+500+1250+1250+1250+1250+1250+1250+1250+1000+500+500+500+100+100+100</f>
        <v>16950</v>
      </c>
      <c r="F37" s="20"/>
      <c r="G37" s="20"/>
      <c r="H37" s="20"/>
      <c r="I37" s="20"/>
      <c r="J37" s="22">
        <f t="shared" si="0"/>
        <v>21950</v>
      </c>
    </row>
    <row r="38" spans="2:10" s="23" customFormat="1" ht="15.75" x14ac:dyDescent="0.25">
      <c r="B38" s="24">
        <v>54205</v>
      </c>
      <c r="C38" s="28" t="s">
        <v>43</v>
      </c>
      <c r="D38" s="26"/>
      <c r="E38" s="20">
        <f>43000</f>
        <v>43000</v>
      </c>
      <c r="F38" s="20"/>
      <c r="G38" s="20"/>
      <c r="H38" s="20"/>
      <c r="I38" s="20"/>
      <c r="J38" s="22">
        <f t="shared" si="0"/>
        <v>43000</v>
      </c>
    </row>
    <row r="39" spans="2:10" s="23" customFormat="1" ht="15.75" x14ac:dyDescent="0.25">
      <c r="B39" s="18">
        <v>54301</v>
      </c>
      <c r="C39" s="19" t="s">
        <v>44</v>
      </c>
      <c r="D39" s="25">
        <v>16000</v>
      </c>
      <c r="E39" s="21">
        <f>2000+5000+500+500+600+100+600+1000</f>
        <v>10300</v>
      </c>
      <c r="F39" s="21"/>
      <c r="G39" s="21"/>
      <c r="H39" s="20"/>
      <c r="I39" s="20"/>
      <c r="J39" s="22">
        <f t="shared" si="0"/>
        <v>26300</v>
      </c>
    </row>
    <row r="40" spans="2:10" s="23" customFormat="1" ht="15.75" x14ac:dyDescent="0.25">
      <c r="B40" s="18">
        <v>54302</v>
      </c>
      <c r="C40" s="19" t="s">
        <v>45</v>
      </c>
      <c r="D40" s="25">
        <v>13647.23</v>
      </c>
      <c r="E40" s="21">
        <f>5000+2000+300+300+300+500</f>
        <v>8400</v>
      </c>
      <c r="F40" s="21"/>
      <c r="G40" s="21"/>
      <c r="H40" s="20"/>
      <c r="I40" s="20"/>
      <c r="J40" s="22">
        <f>SUM(D40:I40)</f>
        <v>22047.23</v>
      </c>
    </row>
    <row r="41" spans="2:10" s="23" customFormat="1" ht="15.75" x14ac:dyDescent="0.25">
      <c r="B41" s="18">
        <v>54303</v>
      </c>
      <c r="C41" s="19" t="s">
        <v>46</v>
      </c>
      <c r="D41" s="25"/>
      <c r="E41" s="21">
        <f>600+600+600+600+200+1000+500+500+500+200+500</f>
        <v>5800</v>
      </c>
      <c r="F41" s="21"/>
      <c r="G41" s="21">
        <v>10000</v>
      </c>
      <c r="H41" s="20"/>
      <c r="I41" s="20"/>
      <c r="J41" s="22">
        <f t="shared" si="0"/>
        <v>15800</v>
      </c>
    </row>
    <row r="42" spans="2:10" s="23" customFormat="1" ht="15.75" x14ac:dyDescent="0.25">
      <c r="B42" s="18">
        <v>54304</v>
      </c>
      <c r="C42" s="19" t="s">
        <v>47</v>
      </c>
      <c r="D42" s="25"/>
      <c r="E42" s="21">
        <f>500+800+250+500+1000+1000+1000+1000+300+2500+200+200+200+200+200</f>
        <v>9850</v>
      </c>
      <c r="F42" s="21"/>
      <c r="G42" s="21">
        <v>15000</v>
      </c>
      <c r="H42" s="20"/>
      <c r="I42" s="20"/>
      <c r="J42" s="22">
        <f>SUM(D42:I42)</f>
        <v>24850</v>
      </c>
    </row>
    <row r="43" spans="2:10" s="23" customFormat="1" ht="15.75" x14ac:dyDescent="0.25">
      <c r="B43" s="18">
        <v>54305</v>
      </c>
      <c r="C43" s="19" t="s">
        <v>48</v>
      </c>
      <c r="D43" s="25"/>
      <c r="E43" s="21">
        <f>4000</f>
        <v>4000</v>
      </c>
      <c r="F43" s="21"/>
      <c r="G43" s="21"/>
      <c r="H43" s="20"/>
      <c r="I43" s="20"/>
      <c r="J43" s="22">
        <f t="shared" si="0"/>
        <v>4000</v>
      </c>
    </row>
    <row r="44" spans="2:10" s="23" customFormat="1" ht="15.75" x14ac:dyDescent="0.25">
      <c r="B44" s="18">
        <v>54311</v>
      </c>
      <c r="C44" s="19" t="s">
        <v>49</v>
      </c>
      <c r="D44" s="25"/>
      <c r="E44" s="21">
        <f>500+500+100+200+200+200+200+200+200+200+200+200</f>
        <v>2900</v>
      </c>
      <c r="F44" s="21"/>
      <c r="G44" s="21"/>
      <c r="H44" s="20"/>
      <c r="I44" s="20"/>
      <c r="J44" s="22">
        <f t="shared" si="0"/>
        <v>2900</v>
      </c>
    </row>
    <row r="45" spans="2:10" s="23" customFormat="1" ht="15.75" x14ac:dyDescent="0.25">
      <c r="B45" s="18">
        <v>54313</v>
      </c>
      <c r="C45" s="29" t="s">
        <v>50</v>
      </c>
      <c r="D45" s="25"/>
      <c r="E45" s="21">
        <f>1000+200+300+100+200+200+200+200+200+200+200+200+200+50+50+500</f>
        <v>4000</v>
      </c>
      <c r="F45" s="21"/>
      <c r="G45" s="21"/>
      <c r="H45" s="20"/>
      <c r="I45" s="20"/>
      <c r="J45" s="22">
        <f t="shared" si="0"/>
        <v>4000</v>
      </c>
    </row>
    <row r="46" spans="2:10" s="23" customFormat="1" ht="15.75" x14ac:dyDescent="0.25">
      <c r="B46" s="18">
        <v>54314</v>
      </c>
      <c r="C46" s="19" t="s">
        <v>51</v>
      </c>
      <c r="D46" s="25">
        <v>16109</v>
      </c>
      <c r="E46" s="21">
        <f>16000+305+500+150+500+500+500+500+500+200+500+500+500+500+200+200+3000</f>
        <v>25055</v>
      </c>
      <c r="F46" s="21">
        <v>20000</v>
      </c>
      <c r="G46" s="21"/>
      <c r="H46" s="20"/>
      <c r="I46" s="20"/>
      <c r="J46" s="22">
        <f>SUM(D46:I46)</f>
        <v>61164</v>
      </c>
    </row>
    <row r="47" spans="2:10" s="23" customFormat="1" ht="15.75" x14ac:dyDescent="0.25">
      <c r="B47" s="18">
        <v>54317</v>
      </c>
      <c r="C47" s="19" t="s">
        <v>52</v>
      </c>
      <c r="D47" s="25"/>
      <c r="E47" s="21">
        <f>2000+0</f>
        <v>2000</v>
      </c>
      <c r="F47" s="21"/>
      <c r="G47" s="21"/>
      <c r="H47" s="20"/>
      <c r="I47" s="20"/>
      <c r="J47" s="22">
        <f t="shared" si="0"/>
        <v>2000</v>
      </c>
    </row>
    <row r="48" spans="2:10" s="23" customFormat="1" ht="15.75" x14ac:dyDescent="0.25">
      <c r="B48" s="18">
        <v>54399</v>
      </c>
      <c r="C48" s="19" t="s">
        <v>53</v>
      </c>
      <c r="D48" s="25">
        <v>10000</v>
      </c>
      <c r="E48" s="21">
        <f>3300+2500+500+500+500+100+100+200</f>
        <v>7700</v>
      </c>
      <c r="F48" s="21"/>
      <c r="G48" s="21"/>
      <c r="H48" s="20"/>
      <c r="I48" s="20"/>
      <c r="J48" s="22">
        <f t="shared" si="0"/>
        <v>17700</v>
      </c>
    </row>
    <row r="49" spans="2:11" s="23" customFormat="1" ht="15.75" x14ac:dyDescent="0.25">
      <c r="B49" s="18">
        <v>54403</v>
      </c>
      <c r="C49" s="19" t="s">
        <v>54</v>
      </c>
      <c r="D49" s="25">
        <f>400</f>
        <v>400</v>
      </c>
      <c r="E49" s="21">
        <f>2800+500+800+100+500+1000+1000+1000+300+200+600+500+100+100</f>
        <v>9500</v>
      </c>
      <c r="F49" s="21"/>
      <c r="G49" s="21"/>
      <c r="H49" s="20"/>
      <c r="I49" s="20"/>
      <c r="J49" s="22">
        <f>SUM(D49:I49)</f>
        <v>9900</v>
      </c>
    </row>
    <row r="50" spans="2:11" s="23" customFormat="1" ht="15.75" x14ac:dyDescent="0.25">
      <c r="B50" s="18">
        <v>54501</v>
      </c>
      <c r="C50" s="19" t="s">
        <v>55</v>
      </c>
      <c r="D50" s="25"/>
      <c r="E50" s="21">
        <f>1000+500+200+100+200</f>
        <v>2000</v>
      </c>
      <c r="F50" s="21"/>
      <c r="G50" s="21"/>
      <c r="H50" s="20"/>
      <c r="I50" s="20"/>
      <c r="J50" s="22">
        <f t="shared" si="0"/>
        <v>2000</v>
      </c>
    </row>
    <row r="51" spans="2:11" s="23" customFormat="1" ht="15.75" x14ac:dyDescent="0.25">
      <c r="B51" s="18">
        <v>54503</v>
      </c>
      <c r="C51" s="19" t="s">
        <v>56</v>
      </c>
      <c r="D51" s="25"/>
      <c r="E51" s="21">
        <f>5000</f>
        <v>5000</v>
      </c>
      <c r="F51" s="21"/>
      <c r="G51" s="21"/>
      <c r="H51" s="20"/>
      <c r="I51" s="20"/>
      <c r="J51" s="22">
        <f t="shared" si="0"/>
        <v>5000</v>
      </c>
    </row>
    <row r="52" spans="2:11" s="23" customFormat="1" ht="15.75" x14ac:dyDescent="0.25">
      <c r="B52" s="18">
        <v>54505</v>
      </c>
      <c r="C52" s="19" t="s">
        <v>57</v>
      </c>
      <c r="D52" s="25"/>
      <c r="E52" s="21">
        <f>500+500+100+300+300+300+300+500+300+300+300+300+300</f>
        <v>4300</v>
      </c>
      <c r="F52" s="21"/>
      <c r="G52" s="21"/>
      <c r="H52" s="20"/>
      <c r="I52" s="20"/>
      <c r="J52" s="22">
        <f t="shared" si="0"/>
        <v>4300</v>
      </c>
    </row>
    <row r="53" spans="2:11" s="23" customFormat="1" ht="15.75" x14ac:dyDescent="0.25">
      <c r="B53" s="18">
        <v>54602</v>
      </c>
      <c r="C53" s="19" t="s">
        <v>58</v>
      </c>
      <c r="D53" s="25"/>
      <c r="E53" s="21">
        <v>25000</v>
      </c>
      <c r="F53" s="21">
        <v>40000</v>
      </c>
      <c r="G53" s="21"/>
      <c r="H53" s="30"/>
      <c r="I53" s="20"/>
      <c r="J53" s="22">
        <f>SUM(D53:I53)</f>
        <v>65000</v>
      </c>
    </row>
    <row r="54" spans="2:11" s="23" customFormat="1" ht="15.75" x14ac:dyDescent="0.25">
      <c r="B54" s="24">
        <v>55603</v>
      </c>
      <c r="C54" s="19" t="s">
        <v>59</v>
      </c>
      <c r="D54" s="25">
        <v>600</v>
      </c>
      <c r="E54" s="21">
        <f>400+0</f>
        <v>400</v>
      </c>
      <c r="F54" s="31"/>
      <c r="G54" s="31">
        <v>500</v>
      </c>
      <c r="H54" s="32"/>
      <c r="I54" s="20"/>
      <c r="J54" s="22">
        <f t="shared" si="0"/>
        <v>1500</v>
      </c>
    </row>
    <row r="55" spans="2:11" s="23" customFormat="1" ht="15.75" x14ac:dyDescent="0.25">
      <c r="B55" s="24">
        <v>55703</v>
      </c>
      <c r="C55" s="19" t="s">
        <v>60</v>
      </c>
      <c r="D55" s="25">
        <v>1000</v>
      </c>
      <c r="E55" s="21">
        <f>3316.64</f>
        <v>3316.64</v>
      </c>
      <c r="F55" s="31"/>
      <c r="G55" s="31"/>
      <c r="H55" s="32"/>
      <c r="I55" s="20"/>
      <c r="J55" s="22">
        <f t="shared" si="0"/>
        <v>4316.6399999999994</v>
      </c>
    </row>
    <row r="56" spans="2:11" s="23" customFormat="1" ht="15.75" x14ac:dyDescent="0.25">
      <c r="B56" s="24">
        <v>55799</v>
      </c>
      <c r="C56" s="19" t="s">
        <v>61</v>
      </c>
      <c r="D56" s="25">
        <f>3661.19</f>
        <v>3661.19</v>
      </c>
      <c r="E56" s="21">
        <f>8500</f>
        <v>8500</v>
      </c>
      <c r="F56" s="21"/>
      <c r="G56" s="21"/>
      <c r="H56" s="20"/>
      <c r="I56" s="20"/>
      <c r="J56" s="22">
        <f>SUM(D56:I56)</f>
        <v>12161.19</v>
      </c>
      <c r="K56" s="33"/>
    </row>
    <row r="57" spans="2:11" s="23" customFormat="1" ht="31.5" x14ac:dyDescent="0.25">
      <c r="B57" s="34">
        <v>56201</v>
      </c>
      <c r="C57" s="35" t="s">
        <v>62</v>
      </c>
      <c r="D57" s="25">
        <v>16293.96</v>
      </c>
      <c r="E57" s="36"/>
      <c r="F57" s="37"/>
      <c r="G57" s="37"/>
      <c r="H57" s="32"/>
      <c r="I57" s="20"/>
      <c r="J57" s="22">
        <f t="shared" si="0"/>
        <v>16293.96</v>
      </c>
    </row>
    <row r="58" spans="2:11" s="23" customFormat="1" ht="31.5" x14ac:dyDescent="0.25">
      <c r="B58" s="34">
        <v>56201</v>
      </c>
      <c r="C58" s="35" t="s">
        <v>63</v>
      </c>
      <c r="D58" s="25">
        <v>1500</v>
      </c>
      <c r="E58" s="36"/>
      <c r="F58" s="37"/>
      <c r="G58" s="37"/>
      <c r="H58" s="32"/>
      <c r="I58" s="20"/>
      <c r="J58" s="22">
        <f t="shared" si="0"/>
        <v>1500</v>
      </c>
    </row>
    <row r="59" spans="2:11" s="23" customFormat="1" ht="31.5" x14ac:dyDescent="0.25">
      <c r="B59" s="34">
        <v>56201</v>
      </c>
      <c r="C59" s="35" t="s">
        <v>64</v>
      </c>
      <c r="D59" s="25"/>
      <c r="E59" s="25">
        <f>1500</f>
        <v>1500</v>
      </c>
      <c r="F59" s="25"/>
      <c r="G59" s="25"/>
      <c r="H59" s="20"/>
      <c r="I59" s="20"/>
      <c r="J59" s="22">
        <f t="shared" si="0"/>
        <v>1500</v>
      </c>
    </row>
    <row r="60" spans="2:11" s="23" customFormat="1" ht="31.5" x14ac:dyDescent="0.25">
      <c r="B60" s="34">
        <v>56303</v>
      </c>
      <c r="C60" s="38" t="s">
        <v>65</v>
      </c>
      <c r="D60" s="25">
        <v>3600</v>
      </c>
      <c r="E60" s="21"/>
      <c r="F60" s="21"/>
      <c r="G60" s="21"/>
      <c r="H60" s="20"/>
      <c r="I60" s="20"/>
      <c r="J60" s="22">
        <f t="shared" si="0"/>
        <v>3600</v>
      </c>
    </row>
    <row r="61" spans="2:11" s="23" customFormat="1" ht="15.75" x14ac:dyDescent="0.25">
      <c r="B61" s="34">
        <v>56303</v>
      </c>
      <c r="C61" s="19" t="s">
        <v>66</v>
      </c>
      <c r="D61" s="25">
        <v>13854.78</v>
      </c>
      <c r="E61" s="21">
        <v>30000</v>
      </c>
      <c r="F61" s="21">
        <v>20000</v>
      </c>
      <c r="G61" s="21"/>
      <c r="H61" s="20"/>
      <c r="I61" s="20"/>
      <c r="J61" s="22">
        <f t="shared" si="0"/>
        <v>63854.78</v>
      </c>
    </row>
    <row r="62" spans="2:11" s="23" customFormat="1" ht="15.75" x14ac:dyDescent="0.25">
      <c r="B62" s="24">
        <v>56304</v>
      </c>
      <c r="C62" s="19" t="s">
        <v>67</v>
      </c>
      <c r="D62" s="25">
        <v>12905.36</v>
      </c>
      <c r="E62" s="21">
        <f>37390.18+3000</f>
        <v>40390.18</v>
      </c>
      <c r="F62" s="21"/>
      <c r="G62" s="21"/>
      <c r="H62" s="20"/>
      <c r="I62" s="20"/>
      <c r="J62" s="22">
        <f>SUM(D62:I62)</f>
        <v>53295.54</v>
      </c>
      <c r="K62" s="33"/>
    </row>
    <row r="63" spans="2:11" s="23" customFormat="1" ht="15.75" x14ac:dyDescent="0.25">
      <c r="B63" s="24">
        <v>55310</v>
      </c>
      <c r="C63" s="19" t="s">
        <v>68</v>
      </c>
      <c r="D63" s="25"/>
      <c r="E63" s="21">
        <f>9900</f>
        <v>9900</v>
      </c>
      <c r="F63" s="31"/>
      <c r="G63" s="31"/>
      <c r="H63" s="32"/>
      <c r="I63" s="20"/>
      <c r="J63" s="22">
        <f t="shared" si="0"/>
        <v>9900</v>
      </c>
      <c r="K63" s="33"/>
    </row>
    <row r="64" spans="2:11" s="23" customFormat="1" ht="15.75" x14ac:dyDescent="0.25">
      <c r="B64" s="24">
        <v>61101</v>
      </c>
      <c r="C64" s="19" t="s">
        <v>69</v>
      </c>
      <c r="D64" s="25"/>
      <c r="E64" s="21">
        <f>7000+0</f>
        <v>7000</v>
      </c>
      <c r="F64" s="31"/>
      <c r="G64" s="31"/>
      <c r="H64" s="32"/>
      <c r="I64" s="20"/>
      <c r="J64" s="22">
        <f t="shared" si="0"/>
        <v>7000</v>
      </c>
      <c r="K64" s="33"/>
    </row>
    <row r="65" spans="2:11" s="23" customFormat="1" ht="15.75" x14ac:dyDescent="0.25">
      <c r="B65" s="24">
        <v>61104</v>
      </c>
      <c r="C65" s="28" t="s">
        <v>70</v>
      </c>
      <c r="D65" s="26"/>
      <c r="E65" s="20">
        <f>5000+1300</f>
        <v>6300</v>
      </c>
      <c r="F65" s="32"/>
      <c r="G65" s="32"/>
      <c r="H65" s="32"/>
      <c r="I65" s="20"/>
      <c r="J65" s="22">
        <f t="shared" si="0"/>
        <v>6300</v>
      </c>
    </row>
    <row r="66" spans="2:11" s="23" customFormat="1" ht="15.75" x14ac:dyDescent="0.25">
      <c r="B66" s="39">
        <v>61599</v>
      </c>
      <c r="C66" s="40" t="s">
        <v>71</v>
      </c>
      <c r="D66" s="26"/>
      <c r="E66" s="20"/>
      <c r="F66" s="20">
        <v>40000</v>
      </c>
      <c r="G66" s="20"/>
      <c r="H66" s="30"/>
      <c r="I66" s="20"/>
      <c r="J66" s="22">
        <f t="shared" si="0"/>
        <v>40000</v>
      </c>
    </row>
    <row r="67" spans="2:11" s="23" customFormat="1" ht="15.75" x14ac:dyDescent="0.25">
      <c r="B67" s="41">
        <v>61601</v>
      </c>
      <c r="C67" s="40" t="s">
        <v>72</v>
      </c>
      <c r="D67" s="42"/>
      <c r="E67" s="43"/>
      <c r="F67" s="43">
        <v>25000</v>
      </c>
      <c r="G67" s="43">
        <v>60000</v>
      </c>
      <c r="H67" s="44"/>
      <c r="I67" s="43"/>
      <c r="J67" s="22">
        <f t="shared" si="0"/>
        <v>85000</v>
      </c>
    </row>
    <row r="68" spans="2:11" s="23" customFormat="1" ht="15.75" x14ac:dyDescent="0.25">
      <c r="B68" s="41">
        <v>61602</v>
      </c>
      <c r="C68" s="40" t="s">
        <v>73</v>
      </c>
      <c r="D68" s="42"/>
      <c r="E68" s="43"/>
      <c r="F68" s="43">
        <v>11858.21</v>
      </c>
      <c r="G68" s="43">
        <v>54740.81</v>
      </c>
      <c r="H68" s="44"/>
      <c r="I68" s="43"/>
      <c r="J68" s="22">
        <f>SUM(D68:I68)</f>
        <v>66599.01999999999</v>
      </c>
    </row>
    <row r="69" spans="2:11" s="23" customFormat="1" ht="15.75" x14ac:dyDescent="0.25">
      <c r="B69" s="41">
        <v>61699</v>
      </c>
      <c r="C69" s="40" t="s">
        <v>74</v>
      </c>
      <c r="D69" s="42"/>
      <c r="E69" s="43"/>
      <c r="F69" s="43">
        <v>15255.21</v>
      </c>
      <c r="G69" s="43"/>
      <c r="H69" s="44"/>
      <c r="I69" s="43"/>
      <c r="J69" s="22">
        <f t="shared" si="0"/>
        <v>15255.21</v>
      </c>
    </row>
    <row r="70" spans="2:11" s="23" customFormat="1" ht="15.75" x14ac:dyDescent="0.25">
      <c r="B70" s="39">
        <v>71310</v>
      </c>
      <c r="C70" s="19" t="s">
        <v>75</v>
      </c>
      <c r="D70" s="25"/>
      <c r="E70" s="21">
        <v>30000</v>
      </c>
      <c r="F70" s="31"/>
      <c r="G70" s="31"/>
      <c r="H70" s="32"/>
      <c r="I70" s="20"/>
      <c r="J70" s="22">
        <f t="shared" si="0"/>
        <v>30000</v>
      </c>
      <c r="K70" s="33"/>
    </row>
    <row r="71" spans="2:11" s="23" customFormat="1" ht="30" x14ac:dyDescent="0.25">
      <c r="B71" s="41">
        <v>72101</v>
      </c>
      <c r="C71" s="45" t="s">
        <v>76</v>
      </c>
      <c r="D71" s="42">
        <v>95982.399999999994</v>
      </c>
      <c r="E71" s="43"/>
      <c r="F71" s="43"/>
      <c r="G71" s="43"/>
      <c r="H71" s="44"/>
      <c r="I71" s="43"/>
      <c r="J71" s="22">
        <f t="shared" si="0"/>
        <v>95982.399999999994</v>
      </c>
    </row>
    <row r="72" spans="2:11" s="23" customFormat="1" ht="15.75" x14ac:dyDescent="0.25">
      <c r="B72" s="24">
        <v>72101</v>
      </c>
      <c r="C72" s="46" t="s">
        <v>77</v>
      </c>
      <c r="D72" s="26">
        <v>95982.399999999994</v>
      </c>
      <c r="E72" s="20"/>
      <c r="F72" s="20"/>
      <c r="G72" s="20"/>
      <c r="H72" s="30"/>
      <c r="I72" s="20"/>
      <c r="J72" s="22">
        <f t="shared" si="0"/>
        <v>95982.399999999994</v>
      </c>
    </row>
    <row r="73" spans="2:11" s="23" customFormat="1" ht="15.75" x14ac:dyDescent="0.25">
      <c r="B73" s="47"/>
      <c r="C73" s="48" t="s">
        <v>78</v>
      </c>
      <c r="D73" s="26"/>
      <c r="E73" s="20"/>
      <c r="F73" s="20"/>
      <c r="G73" s="20"/>
      <c r="H73" s="30"/>
      <c r="I73" s="37"/>
      <c r="J73" s="22">
        <f t="shared" si="0"/>
        <v>0</v>
      </c>
      <c r="K73" s="33"/>
    </row>
    <row r="74" spans="2:11" s="23" customFormat="1" x14ac:dyDescent="0.25">
      <c r="B74" s="49">
        <v>55302</v>
      </c>
      <c r="C74" s="50" t="s">
        <v>79</v>
      </c>
      <c r="D74" s="51"/>
      <c r="E74" s="52"/>
      <c r="F74" s="52"/>
      <c r="G74" s="52"/>
      <c r="H74" s="53"/>
      <c r="I74" s="52">
        <v>2650</v>
      </c>
      <c r="J74" s="22">
        <f t="shared" ref="J74:J84" si="1">SUM(D74,E74,F74,G74,H74,I74)</f>
        <v>2650</v>
      </c>
    </row>
    <row r="75" spans="2:11" s="23" customFormat="1" ht="30" customHeight="1" x14ac:dyDescent="0.25">
      <c r="B75" s="40">
        <v>55308</v>
      </c>
      <c r="C75" s="54" t="s">
        <v>80</v>
      </c>
      <c r="D75" s="26"/>
      <c r="E75" s="20"/>
      <c r="F75" s="20"/>
      <c r="G75" s="20"/>
      <c r="H75" s="30"/>
      <c r="I75" s="55">
        <v>214000</v>
      </c>
      <c r="J75" s="22">
        <f>SUM(D75,E75,F75,G75,H75,I75)</f>
        <v>214000</v>
      </c>
    </row>
    <row r="76" spans="2:11" s="23" customFormat="1" ht="17.25" customHeight="1" x14ac:dyDescent="0.25">
      <c r="B76" s="40">
        <v>71308</v>
      </c>
      <c r="C76" s="40" t="s">
        <v>81</v>
      </c>
      <c r="D76" s="26"/>
      <c r="E76" s="20"/>
      <c r="F76" s="20"/>
      <c r="G76" s="20"/>
      <c r="H76" s="30"/>
      <c r="I76" s="55">
        <v>63000</v>
      </c>
      <c r="J76" s="22">
        <f>SUM(D76,E76,F76,G76,H76,I76)</f>
        <v>63000</v>
      </c>
    </row>
    <row r="77" spans="2:11" s="23" customFormat="1" ht="30" x14ac:dyDescent="0.25">
      <c r="B77" s="40">
        <v>55308</v>
      </c>
      <c r="C77" s="56" t="s">
        <v>82</v>
      </c>
      <c r="D77" s="26"/>
      <c r="E77" s="1"/>
      <c r="F77" s="20"/>
      <c r="G77" s="20"/>
      <c r="H77" s="30"/>
      <c r="I77" s="57">
        <v>64800</v>
      </c>
      <c r="J77" s="22">
        <f>SUM(D77,E77,F77,G77,H77,I77)</f>
        <v>64800</v>
      </c>
    </row>
    <row r="78" spans="2:11" s="23" customFormat="1" ht="30" x14ac:dyDescent="0.25">
      <c r="B78" s="40">
        <v>71308</v>
      </c>
      <c r="C78" s="56" t="s">
        <v>83</v>
      </c>
      <c r="D78" s="26"/>
      <c r="E78" s="20"/>
      <c r="F78" s="20"/>
      <c r="G78" s="20"/>
      <c r="H78" s="30"/>
      <c r="I78" s="55">
        <v>216000</v>
      </c>
      <c r="J78" s="22">
        <f>SUM(D78,E78,F78,G78,H78,I78)</f>
        <v>216000</v>
      </c>
    </row>
    <row r="79" spans="2:11" s="23" customFormat="1" ht="30" x14ac:dyDescent="0.25">
      <c r="B79" s="40">
        <v>55308</v>
      </c>
      <c r="C79" s="56" t="s">
        <v>84</v>
      </c>
      <c r="D79" s="26"/>
      <c r="E79" s="20"/>
      <c r="F79" s="20"/>
      <c r="G79" s="20"/>
      <c r="H79" s="53"/>
      <c r="I79" s="58">
        <v>21000</v>
      </c>
      <c r="J79" s="22">
        <f t="shared" si="1"/>
        <v>21000</v>
      </c>
    </row>
    <row r="80" spans="2:11" s="23" customFormat="1" ht="30" x14ac:dyDescent="0.25">
      <c r="B80" s="40">
        <v>71308</v>
      </c>
      <c r="C80" s="59" t="s">
        <v>85</v>
      </c>
      <c r="D80" s="26"/>
      <c r="E80" s="20"/>
      <c r="F80" s="20"/>
      <c r="G80" s="20"/>
      <c r="H80" s="30"/>
      <c r="I80" s="55">
        <v>211000</v>
      </c>
      <c r="J80" s="22">
        <f t="shared" si="1"/>
        <v>211000</v>
      </c>
    </row>
    <row r="81" spans="2:11" s="23" customFormat="1" ht="48" customHeight="1" x14ac:dyDescent="0.25">
      <c r="B81" s="40">
        <v>72101</v>
      </c>
      <c r="C81" s="54" t="s">
        <v>86</v>
      </c>
      <c r="D81" s="20"/>
      <c r="E81" s="20"/>
      <c r="F81" s="20">
        <v>113675.13</v>
      </c>
      <c r="G81" s="20"/>
      <c r="H81" s="53"/>
      <c r="I81" s="58"/>
      <c r="J81" s="22">
        <f t="shared" si="1"/>
        <v>113675.13</v>
      </c>
    </row>
    <row r="82" spans="2:11" s="23" customFormat="1" ht="48" customHeight="1" x14ac:dyDescent="0.25">
      <c r="B82" s="40">
        <v>72101</v>
      </c>
      <c r="C82" s="54" t="s">
        <v>87</v>
      </c>
      <c r="D82" s="20"/>
      <c r="E82" s="20"/>
      <c r="F82" s="37"/>
      <c r="G82" s="20">
        <v>193227.59</v>
      </c>
      <c r="H82" s="53"/>
      <c r="I82" s="58"/>
      <c r="J82" s="22">
        <f>SUM(G82)</f>
        <v>193227.59</v>
      </c>
    </row>
    <row r="83" spans="2:11" s="23" customFormat="1" ht="26.25" customHeight="1" x14ac:dyDescent="0.25">
      <c r="B83" s="40"/>
      <c r="C83" s="54" t="s">
        <v>88</v>
      </c>
      <c r="D83" s="20"/>
      <c r="E83" s="20"/>
      <c r="F83" s="37"/>
      <c r="G83" s="20"/>
      <c r="H83" s="53"/>
      <c r="I83" s="58"/>
      <c r="J83" s="22"/>
    </row>
    <row r="84" spans="2:11" s="23" customFormat="1" ht="26.25" customHeight="1" x14ac:dyDescent="0.25">
      <c r="B84" s="40">
        <v>54111</v>
      </c>
      <c r="C84" s="60" t="s">
        <v>89</v>
      </c>
      <c r="D84" s="20"/>
      <c r="E84" s="20"/>
      <c r="F84" s="37"/>
      <c r="G84" s="20"/>
      <c r="H84" s="53">
        <v>6.91</v>
      </c>
      <c r="I84" s="58"/>
      <c r="J84" s="22">
        <f>SUM(H84)</f>
        <v>6.91</v>
      </c>
    </row>
    <row r="85" spans="2:11" s="65" customFormat="1" ht="15.75" x14ac:dyDescent="0.25">
      <c r="B85" s="61" t="s">
        <v>90</v>
      </c>
      <c r="C85" s="61"/>
      <c r="D85" s="62">
        <f>SUM(D8:D84)</f>
        <v>560354.22000000009</v>
      </c>
      <c r="E85" s="62">
        <f>SUM(E8:E84)</f>
        <v>1123334.46</v>
      </c>
      <c r="F85" s="62">
        <f>SUM(F8:F84)</f>
        <v>426368.39</v>
      </c>
      <c r="G85" s="62">
        <f>SUM(G8:G84)</f>
        <v>561611.85</v>
      </c>
      <c r="H85" s="62">
        <f>SUM(H8:H84)</f>
        <v>6.91</v>
      </c>
      <c r="I85" s="62">
        <f>SUM(I8:I84)</f>
        <v>792450</v>
      </c>
      <c r="J85" s="63">
        <f>SUM(J8:J84)</f>
        <v>3464125.8299999996</v>
      </c>
      <c r="K85" s="64"/>
    </row>
    <row r="86" spans="2:11" x14ac:dyDescent="0.25">
      <c r="E86" s="1" t="s">
        <v>91</v>
      </c>
    </row>
    <row r="87" spans="2:11" ht="16.5" thickBot="1" x14ac:dyDescent="0.3">
      <c r="D87" s="66"/>
      <c r="E87" s="67"/>
      <c r="F87" s="66"/>
      <c r="G87" s="66"/>
      <c r="H87" s="68"/>
      <c r="J87" s="69"/>
      <c r="K87" s="70"/>
    </row>
    <row r="88" spans="2:11" ht="19.5" thickBot="1" x14ac:dyDescent="0.35">
      <c r="C88" s="71" t="s">
        <v>92</v>
      </c>
      <c r="D88" s="72"/>
      <c r="E88" s="67"/>
      <c r="F88" s="66"/>
      <c r="I88" s="69"/>
      <c r="J88" s="69"/>
    </row>
    <row r="89" spans="2:11" s="65" customFormat="1" ht="15.75" x14ac:dyDescent="0.25">
      <c r="C89" s="73" t="s">
        <v>93</v>
      </c>
      <c r="D89" s="74">
        <f>SUM(D85)</f>
        <v>560354.22000000009</v>
      </c>
      <c r="E89" s="75"/>
      <c r="F89" s="76"/>
      <c r="G89" s="76"/>
    </row>
    <row r="90" spans="2:11" s="65" customFormat="1" ht="15.75" x14ac:dyDescent="0.25">
      <c r="C90" s="77" t="s">
        <v>94</v>
      </c>
      <c r="D90" s="78">
        <f>SUM(E85)</f>
        <v>1123334.46</v>
      </c>
      <c r="E90" s="75"/>
      <c r="F90" s="76"/>
      <c r="G90" s="76"/>
    </row>
    <row r="91" spans="2:11" s="65" customFormat="1" ht="15.75" x14ac:dyDescent="0.25">
      <c r="C91" s="79" t="s">
        <v>95</v>
      </c>
      <c r="D91" s="80">
        <f>SUM(F85)</f>
        <v>426368.39</v>
      </c>
      <c r="E91" s="81"/>
    </row>
    <row r="92" spans="2:11" s="65" customFormat="1" ht="15.75" x14ac:dyDescent="0.25">
      <c r="C92" s="79" t="s">
        <v>96</v>
      </c>
      <c r="D92" s="80">
        <f>SUM(G85)</f>
        <v>561611.85</v>
      </c>
      <c r="E92" s="81"/>
    </row>
    <row r="93" spans="2:11" s="65" customFormat="1" ht="15.75" x14ac:dyDescent="0.25">
      <c r="C93" s="79" t="s">
        <v>97</v>
      </c>
      <c r="D93" s="80">
        <f>SUM(H84)</f>
        <v>6.91</v>
      </c>
      <c r="E93" s="81"/>
    </row>
    <row r="94" spans="2:11" s="65" customFormat="1" ht="16.5" thickBot="1" x14ac:dyDescent="0.3">
      <c r="C94" s="82" t="s">
        <v>98</v>
      </c>
      <c r="D94" s="80">
        <f>SUM(I85)</f>
        <v>792450</v>
      </c>
      <c r="E94" s="81"/>
    </row>
    <row r="95" spans="2:11" s="83" customFormat="1" ht="16.5" thickBot="1" x14ac:dyDescent="0.3">
      <c r="C95" s="84" t="s">
        <v>99</v>
      </c>
      <c r="D95" s="85">
        <f>SUM(D89:D94)</f>
        <v>3464125.8300000005</v>
      </c>
      <c r="E95" s="86"/>
    </row>
    <row r="122" spans="5:8" s="17" customFormat="1" x14ac:dyDescent="0.25">
      <c r="E122" s="87"/>
      <c r="F122" s="88"/>
      <c r="G122" s="88"/>
      <c r="H122" s="88"/>
    </row>
    <row r="123" spans="5:8" s="17" customFormat="1" x14ac:dyDescent="0.25">
      <c r="E123" s="87"/>
      <c r="F123" s="88"/>
      <c r="G123" s="88"/>
      <c r="H123" s="88"/>
    </row>
    <row r="124" spans="5:8" s="17" customFormat="1" x14ac:dyDescent="0.25">
      <c r="E124" s="87"/>
      <c r="F124" s="88"/>
      <c r="G124" s="88"/>
      <c r="H124" s="88"/>
    </row>
    <row r="125" spans="5:8" s="17" customFormat="1" x14ac:dyDescent="0.25">
      <c r="E125" s="89"/>
      <c r="F125" s="90"/>
      <c r="G125" s="90"/>
    </row>
  </sheetData>
  <mergeCells count="6">
    <mergeCell ref="B2:J2"/>
    <mergeCell ref="B3:J3"/>
    <mergeCell ref="B4:J4"/>
    <mergeCell ref="B6:I6"/>
    <mergeCell ref="B85:C85"/>
    <mergeCell ref="C88:D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2021-06-15T15:17:53Z</dcterms:created>
  <dcterms:modified xsi:type="dcterms:W3CDTF">2021-06-15T15:19:48Z</dcterms:modified>
</cp:coreProperties>
</file>