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entas Corrientes\Desktop\Acceso a la Informacion\Documentos No Trabajados\Presupuesto 2019- copia - copia - copia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J80" i="1"/>
  <c r="D87" i="1" s="1"/>
  <c r="I80" i="1"/>
  <c r="K79" i="1"/>
  <c r="K77" i="1"/>
  <c r="K76" i="1"/>
  <c r="K75" i="1"/>
  <c r="K74" i="1"/>
  <c r="K73" i="1"/>
  <c r="K72" i="1"/>
  <c r="K71" i="1"/>
  <c r="K70" i="1"/>
  <c r="K69" i="1"/>
  <c r="K68" i="1"/>
  <c r="K67" i="1"/>
  <c r="K66" i="1"/>
  <c r="K64" i="1"/>
  <c r="K63" i="1"/>
  <c r="K62" i="1"/>
  <c r="E62" i="1"/>
  <c r="K61" i="1"/>
  <c r="H60" i="1"/>
  <c r="K60" i="1" s="1"/>
  <c r="E60" i="1"/>
  <c r="H59" i="1"/>
  <c r="K59" i="1" s="1"/>
  <c r="K58" i="1"/>
  <c r="K57" i="1"/>
  <c r="K56" i="1"/>
  <c r="H55" i="1"/>
  <c r="K55" i="1" s="1"/>
  <c r="H54" i="1"/>
  <c r="K54" i="1" s="1"/>
  <c r="K53" i="1"/>
  <c r="K52" i="1"/>
  <c r="K51" i="1"/>
  <c r="H51" i="1"/>
  <c r="E50" i="1"/>
  <c r="K50" i="1" s="1"/>
  <c r="K49" i="1"/>
  <c r="E48" i="1"/>
  <c r="K48" i="1" s="1"/>
  <c r="K47" i="1"/>
  <c r="E47" i="1"/>
  <c r="D47" i="1"/>
  <c r="E46" i="1"/>
  <c r="K46" i="1" s="1"/>
  <c r="K45" i="1"/>
  <c r="H44" i="1"/>
  <c r="E44" i="1"/>
  <c r="K44" i="1" s="1"/>
  <c r="K43" i="1"/>
  <c r="E43" i="1"/>
  <c r="E42" i="1"/>
  <c r="K42" i="1" s="1"/>
  <c r="K41" i="1"/>
  <c r="H40" i="1"/>
  <c r="E40" i="1"/>
  <c r="K40" i="1" s="1"/>
  <c r="K39" i="1"/>
  <c r="H39" i="1"/>
  <c r="E39" i="1"/>
  <c r="K38" i="1"/>
  <c r="H38" i="1"/>
  <c r="E38" i="1"/>
  <c r="E37" i="1"/>
  <c r="K37" i="1" s="1"/>
  <c r="K36" i="1"/>
  <c r="E35" i="1"/>
  <c r="K35" i="1" s="1"/>
  <c r="K34" i="1"/>
  <c r="E34" i="1"/>
  <c r="E33" i="1"/>
  <c r="K33" i="1" s="1"/>
  <c r="K32" i="1"/>
  <c r="E32" i="1"/>
  <c r="K31" i="1"/>
  <c r="H30" i="1"/>
  <c r="K30" i="1" s="1"/>
  <c r="K29" i="1"/>
  <c r="E29" i="1"/>
  <c r="E28" i="1"/>
  <c r="K28" i="1" s="1"/>
  <c r="K27" i="1"/>
  <c r="E27" i="1"/>
  <c r="E26" i="1"/>
  <c r="K26" i="1" s="1"/>
  <c r="K25" i="1"/>
  <c r="K24" i="1"/>
  <c r="E23" i="1"/>
  <c r="K23" i="1" s="1"/>
  <c r="K22" i="1"/>
  <c r="E22" i="1"/>
  <c r="E21" i="1"/>
  <c r="K21" i="1" s="1"/>
  <c r="K20" i="1"/>
  <c r="E20" i="1"/>
  <c r="H19" i="1"/>
  <c r="E19" i="1"/>
  <c r="K19" i="1" s="1"/>
  <c r="H18" i="1"/>
  <c r="E18" i="1"/>
  <c r="K18" i="1" s="1"/>
  <c r="K17" i="1"/>
  <c r="K16" i="1"/>
  <c r="K15" i="1"/>
  <c r="K14" i="1"/>
  <c r="H14" i="1"/>
  <c r="E14" i="1"/>
  <c r="D14" i="1"/>
  <c r="K13" i="1"/>
  <c r="H13" i="1"/>
  <c r="E13" i="1"/>
  <c r="D13" i="1"/>
  <c r="K12" i="1"/>
  <c r="E12" i="1"/>
  <c r="H11" i="1"/>
  <c r="H80" i="1" s="1"/>
  <c r="D85" i="1" s="1"/>
  <c r="E11" i="1"/>
  <c r="K11" i="1" s="1"/>
  <c r="K10" i="1"/>
  <c r="E9" i="1"/>
  <c r="D9" i="1"/>
  <c r="K9" i="1" s="1"/>
  <c r="E8" i="1"/>
  <c r="E80" i="1" s="1"/>
  <c r="D88" i="1" s="1"/>
  <c r="D8" i="1"/>
  <c r="K8" i="1" s="1"/>
  <c r="D80" i="1" l="1"/>
  <c r="D84" i="1" l="1"/>
  <c r="D89" i="1" s="1"/>
  <c r="K80" i="1"/>
</calcChain>
</file>

<file path=xl/sharedStrings.xml><?xml version="1.0" encoding="utf-8"?>
<sst xmlns="http://schemas.openxmlformats.org/spreadsheetml/2006/main" count="95" uniqueCount="94">
  <si>
    <t>ALCALDIA MUNICIPAL DE SAN JUAN NONUALCO</t>
  </si>
  <si>
    <t>FORMULACION DEL PRESUPUESTO MUNICIPAL DE EGRESOS, AÑO 2019.</t>
  </si>
  <si>
    <t>(En Dolares de los Estados Unidos de América)</t>
  </si>
  <si>
    <t>DETALLE CONSOLIDADO DE EGRESOS POR ESPECIFICO Y ESTRUCTURA PRESUPUESTARIA</t>
  </si>
  <si>
    <r>
      <t>OBJETO ESPEC</t>
    </r>
    <r>
      <rPr>
        <b/>
        <u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 xml:space="preserve">  FICO</t>
    </r>
  </si>
  <si>
    <t xml:space="preserve">DENOMINACION </t>
  </si>
  <si>
    <t xml:space="preserve"> 25%                       1-01-0101-1-110</t>
  </si>
  <si>
    <t>FDO. MPAL.       1-01-0101-2-000</t>
  </si>
  <si>
    <t xml:space="preserve"> 25%                       1-02-0201-1-110</t>
  </si>
  <si>
    <t>FDO. MPAL.       01-0201-2-000</t>
  </si>
  <si>
    <t xml:space="preserve"> 75%                       3-03-0302-1-111</t>
  </si>
  <si>
    <t>INFR. DES. ECON                       4-04-0401-01-111</t>
  </si>
  <si>
    <t>ENDETTO.PUB. 75%                       5-05-0501-1-111</t>
  </si>
  <si>
    <t>TOTAL</t>
  </si>
  <si>
    <t>Sueldos</t>
  </si>
  <si>
    <t>Aguinaldos</t>
  </si>
  <si>
    <t>Beneficios Adicionales</t>
  </si>
  <si>
    <t>Salarios por jornal</t>
  </si>
  <si>
    <t>Horas Extraordinarias</t>
  </si>
  <si>
    <t>Aportacion Patronal al ISSS</t>
  </si>
  <si>
    <t>Aportacion Patronal a AFP</t>
  </si>
  <si>
    <t>Gastos de representación en el Interior</t>
  </si>
  <si>
    <t>Por prestacion de servicios en el exterior</t>
  </si>
  <si>
    <t>Imdenizacion a pers. Permanente</t>
  </si>
  <si>
    <t>Productos alimenticios para personas</t>
  </si>
  <si>
    <t>Productos Textiles y Vestuarios</t>
  </si>
  <si>
    <t>Productos de papel y cartón</t>
  </si>
  <si>
    <t>Productos Quimicos</t>
  </si>
  <si>
    <t>Llantas y Neumáticos</t>
  </si>
  <si>
    <t>Combustible y lubricantes</t>
  </si>
  <si>
    <t>Minerales no Metalicos y Productos Derivados</t>
  </si>
  <si>
    <t>Minerales Metalicos y Productos Derivados</t>
  </si>
  <si>
    <t>Materiales de Oficina</t>
  </si>
  <si>
    <t>Materiales Informaticos</t>
  </si>
  <si>
    <t>Materiales de Defensa y Seguridad Pública</t>
  </si>
  <si>
    <t>Herramientas Repuestos y Accesorios</t>
  </si>
  <si>
    <t>Materiales Eléctricos</t>
  </si>
  <si>
    <t>Especies Municipales diversas</t>
  </si>
  <si>
    <t>Bienes de uso y consumo diversos</t>
  </si>
  <si>
    <t>Servicios de energia electrica</t>
  </si>
  <si>
    <t>Servicios de agua</t>
  </si>
  <si>
    <t>Servicios de telecomunicaciones</t>
  </si>
  <si>
    <t>Alumbrado Público</t>
  </si>
  <si>
    <t>Mantenimiento y reparacion de bienes muebles</t>
  </si>
  <si>
    <t>Mantenimiento y reparacion de vehículos</t>
  </si>
  <si>
    <t>Mantenimiento y Reparación de Bienes Inmuebles</t>
  </si>
  <si>
    <t>Transporte, fletes y almacenamientos</t>
  </si>
  <si>
    <t>Servicios de Publicidad</t>
  </si>
  <si>
    <t>Servicios educativos</t>
  </si>
  <si>
    <t>Impresiones, publicaciones y reproducciones</t>
  </si>
  <si>
    <t>Atenciones Oficiales</t>
  </si>
  <si>
    <t>Arendamiento de bienes inmuebles</t>
  </si>
  <si>
    <t>Servicios generales y arrendamientos diversos</t>
  </si>
  <si>
    <t>Viáticos por Comisión interna</t>
  </si>
  <si>
    <t>Servicios Médicos</t>
  </si>
  <si>
    <t>Servicios Jurídicos</t>
  </si>
  <si>
    <t>Servicios de capacitación</t>
  </si>
  <si>
    <t>Depositos de Desechos</t>
  </si>
  <si>
    <t>De Personas Naturales (Intereses)</t>
  </si>
  <si>
    <t>De personas Naturales (Capital)</t>
  </si>
  <si>
    <t>Comisiones y Gastos Bancarios</t>
  </si>
  <si>
    <t>Multas y Costas Judiciales</t>
  </si>
  <si>
    <t>Gastos Diversos</t>
  </si>
  <si>
    <t>Transferencias corrientes al sector público (COMURES)</t>
  </si>
  <si>
    <t>Transferencias Corrientes al sector público (INSAFORP).</t>
  </si>
  <si>
    <t>A organismos sin fines de lucro</t>
  </si>
  <si>
    <t>A personas naturales</t>
  </si>
  <si>
    <t>Mobiliario</t>
  </si>
  <si>
    <t>Equipos Informáticos</t>
  </si>
  <si>
    <t>Proyectos y Programas de Inversión Diversas (Preinversión)</t>
  </si>
  <si>
    <t xml:space="preserve">Obras de infraestructuras Diversas </t>
  </si>
  <si>
    <t>ENDEUDAMIENTO PUBLICO</t>
  </si>
  <si>
    <t>De Instituciones Descentralizadas no Empresariales</t>
  </si>
  <si>
    <t xml:space="preserve">De Empresas Privadas  Financieras (Intereses Caja San Vicente) </t>
  </si>
  <si>
    <t xml:space="preserve">De Empresas Privadas  Financieras (Capital Caja San Vicente) </t>
  </si>
  <si>
    <t xml:space="preserve">De Empresas Privadas  Financieras (Intereses Caja 
Crédito San Pedro Nonualco) </t>
  </si>
  <si>
    <t xml:space="preserve">De Empresas Privadas  Financieras (Capital Caja
 Crédito San Pedro Nonualco) </t>
  </si>
  <si>
    <t>De Empresas Privadas  Financieras (Intereses Caja de Crédito San Ignacio)</t>
  </si>
  <si>
    <t>De Empresas Privadas Financieras (Capital Caja de Crédito San Ignacio</t>
  </si>
  <si>
    <t xml:space="preserve">De Empresas Privadas  Financieras (Intereses MI BANCO) </t>
  </si>
  <si>
    <t xml:space="preserve">De Empresas Privadas  Financieras (Capital MI BANCO) </t>
  </si>
  <si>
    <t xml:space="preserve">De Empresas Privadas  Financieras (Intereses Caja de Chalatenango) </t>
  </si>
  <si>
    <t>De Empresas Privadas  Financieras (Capital Caja de Crédito 
Chalatenango</t>
  </si>
  <si>
    <t>Cuentas por pagar de años anteriores</t>
  </si>
  <si>
    <t>PAVIMENTO HIDRAULICO 4a. CALLE PONIENTE BARRIO 
CONCEPCIÓN</t>
  </si>
  <si>
    <t>TOTALES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</si>
  <si>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</si>
  <si>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RESUMEN DE EGRESOS PRESUPUESTO 2018</t>
  </si>
  <si>
    <t>25% FODES</t>
  </si>
  <si>
    <t>DESARROLLO SOCIAL 302</t>
  </si>
  <si>
    <t>REESTRUCTURACION DE PASIVOS</t>
  </si>
  <si>
    <t>DEUDA PUBLICA 0501</t>
  </si>
  <si>
    <t>FONDO PROPIOS</t>
  </si>
  <si>
    <t>GRAN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</si>
</sst>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([$$-409]* #,##0.00_);_([$$-409]* \(#,##0.00\);_([$$-409]* &quot;-&quot;??_);_(@_)"/>
    <numFmt numFmtId="165" formatCode="_-[$$-409]* #,##0.00_ ;_-[$$-409]* \-#,##0.00\ ;_-[$$-409]* &quot;-&quot;??_ ;_-@_ "/>
    <numFmt numFmtId="166" formatCode="_([$$-440A]* #,##0.00_);_([$$-440A]* \(#,##0.00\);_([$$-440A]* &quot;-&quot;??_);_(@_)"/>
    <numFmt numFmtId="167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3" xfId="0" applyFill="1" applyBorder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5" xfId="0" applyFill="1" applyBorder="1"/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2" borderId="8" xfId="0" applyFill="1" applyBorder="1"/>
    <xf numFmtId="0" fontId="5" fillId="3" borderId="9" xfId="0" applyFont="1" applyFill="1" applyBorder="1" applyAlignment="1">
      <alignment horizontal="center"/>
    </xf>
    <xf numFmtId="0" fontId="0" fillId="3" borderId="9" xfId="0" applyFill="1" applyBorder="1"/>
    <xf numFmtId="0" fontId="2" fillId="4" borderId="9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0" xfId="0" applyFont="1"/>
    <xf numFmtId="0" fontId="9" fillId="0" borderId="9" xfId="0" applyFont="1" applyFill="1" applyBorder="1" applyAlignment="1">
      <alignment horizontal="center"/>
    </xf>
    <xf numFmtId="0" fontId="9" fillId="0" borderId="9" xfId="0" applyFont="1" applyBorder="1" applyAlignment="1"/>
    <xf numFmtId="164" fontId="0" fillId="0" borderId="9" xfId="0" applyNumberFormat="1" applyBorder="1"/>
    <xf numFmtId="164" fontId="10" fillId="0" borderId="9" xfId="0" applyNumberFormat="1" applyFont="1" applyBorder="1" applyAlignment="1"/>
    <xf numFmtId="164" fontId="10" fillId="0" borderId="9" xfId="0" applyNumberFormat="1" applyFont="1" applyBorder="1"/>
    <xf numFmtId="165" fontId="10" fillId="0" borderId="9" xfId="0" applyNumberFormat="1" applyFont="1" applyBorder="1"/>
    <xf numFmtId="0" fontId="0" fillId="0" borderId="0" xfId="0" applyFont="1"/>
    <xf numFmtId="0" fontId="9" fillId="0" borderId="9" xfId="0" applyFont="1" applyBorder="1" applyAlignment="1">
      <alignment horizontal="center"/>
    </xf>
    <xf numFmtId="164" fontId="10" fillId="5" borderId="9" xfId="0" applyNumberFormat="1" applyFont="1" applyFill="1" applyBorder="1" applyAlignment="1"/>
    <xf numFmtId="164" fontId="10" fillId="5" borderId="9" xfId="0" applyNumberFormat="1" applyFont="1" applyFill="1" applyBorder="1"/>
    <xf numFmtId="0" fontId="9" fillId="0" borderId="9" xfId="0" applyFont="1" applyBorder="1"/>
    <xf numFmtId="164" fontId="10" fillId="0" borderId="9" xfId="0" applyNumberFormat="1" applyFont="1" applyFill="1" applyBorder="1"/>
    <xf numFmtId="0" fontId="11" fillId="0" borderId="9" xfId="0" applyFont="1" applyBorder="1" applyAlignment="1"/>
    <xf numFmtId="166" fontId="10" fillId="0" borderId="9" xfId="0" applyNumberFormat="1" applyFont="1" applyBorder="1"/>
    <xf numFmtId="164" fontId="0" fillId="0" borderId="9" xfId="0" applyNumberFormat="1" applyFont="1" applyBorder="1"/>
    <xf numFmtId="0" fontId="0" fillId="0" borderId="0" xfId="0" applyFont="1" applyBorder="1"/>
    <xf numFmtId="164" fontId="10" fillId="0" borderId="10" xfId="0" applyNumberFormat="1" applyFont="1" applyBorder="1" applyAlignment="1"/>
    <xf numFmtId="164" fontId="10" fillId="0" borderId="10" xfId="0" applyNumberFormat="1" applyFont="1" applyBorder="1"/>
    <xf numFmtId="164" fontId="0" fillId="0" borderId="0" xfId="0" applyNumberFormat="1" applyFont="1"/>
    <xf numFmtId="0" fontId="9" fillId="5" borderId="9" xfId="0" applyFont="1" applyFill="1" applyBorder="1" applyAlignment="1">
      <alignment horizontal="center"/>
    </xf>
    <xf numFmtId="0" fontId="9" fillId="5" borderId="9" xfId="0" applyFont="1" applyFill="1" applyBorder="1" applyAlignment="1"/>
    <xf numFmtId="0" fontId="0" fillId="0" borderId="11" xfId="0" applyFill="1" applyBorder="1"/>
    <xf numFmtId="0" fontId="9" fillId="0" borderId="12" xfId="0" applyFont="1" applyBorder="1" applyAlignment="1">
      <alignment horizontal="center"/>
    </xf>
    <xf numFmtId="164" fontId="10" fillId="5" borderId="12" xfId="0" applyNumberFormat="1" applyFont="1" applyFill="1" applyBorder="1"/>
    <xf numFmtId="164" fontId="10" fillId="0" borderId="12" xfId="0" applyNumberFormat="1" applyFont="1" applyBorder="1"/>
    <xf numFmtId="166" fontId="10" fillId="0" borderId="12" xfId="0" applyNumberFormat="1" applyFont="1" applyBorder="1"/>
    <xf numFmtId="164" fontId="0" fillId="0" borderId="12" xfId="0" applyNumberFormat="1" applyFont="1" applyBorder="1"/>
    <xf numFmtId="0" fontId="9" fillId="6" borderId="10" xfId="0" applyFont="1" applyFill="1" applyBorder="1" applyAlignment="1">
      <alignment horizontal="center"/>
    </xf>
    <xf numFmtId="0" fontId="12" fillId="6" borderId="9" xfId="0" applyFont="1" applyFill="1" applyBorder="1"/>
    <xf numFmtId="166" fontId="0" fillId="0" borderId="9" xfId="0" applyNumberFormat="1" applyFont="1" applyBorder="1"/>
    <xf numFmtId="0" fontId="0" fillId="0" borderId="9" xfId="0" applyFont="1" applyBorder="1"/>
    <xf numFmtId="167" fontId="0" fillId="0" borderId="9" xfId="0" applyNumberFormat="1" applyFont="1" applyBorder="1"/>
    <xf numFmtId="0" fontId="0" fillId="0" borderId="13" xfId="0" applyFill="1" applyBorder="1"/>
    <xf numFmtId="0" fontId="0" fillId="0" borderId="8" xfId="0" applyFont="1" applyFill="1" applyBorder="1"/>
    <xf numFmtId="164" fontId="10" fillId="5" borderId="13" xfId="0" applyNumberFormat="1" applyFont="1" applyFill="1" applyBorder="1"/>
    <xf numFmtId="164" fontId="10" fillId="0" borderId="13" xfId="0" applyNumberFormat="1" applyFont="1" applyBorder="1"/>
    <xf numFmtId="166" fontId="10" fillId="0" borderId="13" xfId="0" applyNumberFormat="1" applyFont="1" applyBorder="1"/>
    <xf numFmtId="167" fontId="0" fillId="0" borderId="13" xfId="0" applyNumberFormat="1" applyFont="1" applyBorder="1"/>
    <xf numFmtId="0" fontId="0" fillId="0" borderId="9" xfId="0" applyFill="1" applyBorder="1"/>
    <xf numFmtId="0" fontId="0" fillId="0" borderId="14" xfId="0" applyFont="1" applyFill="1" applyBorder="1"/>
    <xf numFmtId="167" fontId="0" fillId="0" borderId="9" xfId="0" applyNumberFormat="1" applyFill="1" applyBorder="1"/>
    <xf numFmtId="164" fontId="0" fillId="0" borderId="9" xfId="0" applyNumberFormat="1" applyFill="1" applyBorder="1"/>
    <xf numFmtId="0" fontId="0" fillId="0" borderId="14" xfId="0" applyFont="1" applyFill="1" applyBorder="1" applyAlignment="1">
      <alignment wrapText="1"/>
    </xf>
    <xf numFmtId="164" fontId="0" fillId="0" borderId="13" xfId="0" applyNumberFormat="1" applyFill="1" applyBorder="1"/>
    <xf numFmtId="0" fontId="0" fillId="0" borderId="9" xfId="0" applyFont="1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0" fillId="0" borderId="12" xfId="0" applyFill="1" applyBorder="1"/>
    <xf numFmtId="0" fontId="0" fillId="0" borderId="12" xfId="0" applyFill="1" applyBorder="1" applyAlignment="1">
      <alignment wrapText="1"/>
    </xf>
    <xf numFmtId="164" fontId="0" fillId="0" borderId="12" xfId="0" applyNumberFormat="1" applyFill="1" applyBorder="1"/>
    <xf numFmtId="167" fontId="0" fillId="0" borderId="12" xfId="0" applyNumberFormat="1" applyFont="1" applyBorder="1"/>
    <xf numFmtId="0" fontId="0" fillId="0" borderId="14" xfId="0" applyFill="1" applyBorder="1"/>
    <xf numFmtId="0" fontId="0" fillId="0" borderId="14" xfId="0" applyFill="1" applyBorder="1" applyAlignment="1">
      <alignment wrapText="1"/>
    </xf>
    <xf numFmtId="0" fontId="0" fillId="0" borderId="9" xfId="0" applyFont="1" applyBorder="1" applyAlignment="1">
      <alignment horizontal="center"/>
    </xf>
    <xf numFmtId="0" fontId="12" fillId="0" borderId="9" xfId="0" applyFont="1" applyBorder="1" applyAlignment="1">
      <alignment wrapText="1"/>
    </xf>
    <xf numFmtId="0" fontId="0" fillId="0" borderId="12" xfId="0" applyFont="1" applyBorder="1" applyAlignment="1">
      <alignment horizontal="center"/>
    </xf>
    <xf numFmtId="0" fontId="9" fillId="0" borderId="12" xfId="0" applyFont="1" applyBorder="1"/>
    <xf numFmtId="165" fontId="10" fillId="0" borderId="12" xfId="0" applyNumberFormat="1" applyFont="1" applyBorder="1"/>
    <xf numFmtId="0" fontId="2" fillId="4" borderId="9" xfId="0" applyFont="1" applyFill="1" applyBorder="1" applyAlignment="1">
      <alignment horizontal="center"/>
    </xf>
    <xf numFmtId="164" fontId="13" fillId="4" borderId="9" xfId="0" applyNumberFormat="1" applyFont="1" applyFill="1" applyBorder="1"/>
    <xf numFmtId="165" fontId="13" fillId="4" borderId="9" xfId="0" applyNumberFormat="1" applyFont="1" applyFill="1" applyBorder="1"/>
    <xf numFmtId="165" fontId="2" fillId="0" borderId="0" xfId="0" applyNumberFormat="1" applyFont="1"/>
    <xf numFmtId="166" fontId="0" fillId="0" borderId="0" xfId="0" applyNumberFormat="1"/>
    <xf numFmtId="166" fontId="0" fillId="0" borderId="0" xfId="1" applyNumberFormat="1" applyFont="1"/>
    <xf numFmtId="164" fontId="9" fillId="0" borderId="0" xfId="0" applyNumberFormat="1" applyFont="1"/>
    <xf numFmtId="0" fontId="2" fillId="6" borderId="9" xfId="0" applyFont="1" applyFill="1" applyBorder="1"/>
    <xf numFmtId="164" fontId="0" fillId="0" borderId="0" xfId="0" applyNumberFormat="1"/>
    <xf numFmtId="0" fontId="9" fillId="2" borderId="15" xfId="0" applyFont="1" applyFill="1" applyBorder="1"/>
    <xf numFmtId="164" fontId="11" fillId="7" borderId="16" xfId="0" applyNumberFormat="1" applyFont="1" applyFill="1" applyBorder="1" applyAlignment="1"/>
    <xf numFmtId="164" fontId="12" fillId="0" borderId="0" xfId="0" applyNumberFormat="1" applyFont="1" applyAlignment="1"/>
    <xf numFmtId="0" fontId="9" fillId="0" borderId="0" xfId="0" applyFont="1"/>
    <xf numFmtId="0" fontId="9" fillId="2" borderId="17" xfId="0" applyFont="1" applyFill="1" applyBorder="1"/>
    <xf numFmtId="164" fontId="11" fillId="7" borderId="18" xfId="0" applyNumberFormat="1" applyFont="1" applyFill="1" applyBorder="1"/>
    <xf numFmtId="0" fontId="12" fillId="8" borderId="19" xfId="0" applyFont="1" applyFill="1" applyBorder="1"/>
    <xf numFmtId="164" fontId="12" fillId="8" borderId="19" xfId="0" applyNumberFormat="1" applyFont="1" applyFill="1" applyBorder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19"/>
  <sheetViews>
    <sheetView tabSelected="1" topLeftCell="A73" workbookViewId="0">
      <selection activeCell="G85" sqref="G85"/>
    </sheetView>
  </sheetViews>
  <sheetFormatPr baseColWidth="10" defaultRowHeight="15" x14ac:dyDescent="0.25"/>
  <cols>
    <col min="1" max="1" width="1.42578125" customWidth="1"/>
    <col min="2" max="2" width="7.85546875" customWidth="1"/>
    <col min="3" max="3" width="54.7109375" customWidth="1"/>
    <col min="4" max="4" width="15.85546875" customWidth="1"/>
    <col min="5" max="7" width="15.28515625" customWidth="1"/>
    <col min="8" max="10" width="12.7109375" customWidth="1"/>
    <col min="11" max="11" width="13.85546875" customWidth="1"/>
    <col min="12" max="12" width="15.7109375" customWidth="1"/>
  </cols>
  <sheetData>
    <row r="2" spans="2:11" ht="23.25" x14ac:dyDescent="0.35">
      <c r="B2" s="1" t="s">
        <v>0</v>
      </c>
      <c r="C2" s="2"/>
      <c r="D2" s="2"/>
      <c r="E2" s="2"/>
      <c r="F2" s="2"/>
      <c r="G2" s="2"/>
      <c r="H2" s="2"/>
      <c r="I2" s="2"/>
      <c r="J2" s="2"/>
      <c r="K2" s="3"/>
    </row>
    <row r="3" spans="2:11" ht="23.25" x14ac:dyDescent="0.35">
      <c r="B3" s="4" t="s">
        <v>1</v>
      </c>
      <c r="C3" s="5"/>
      <c r="D3" s="5"/>
      <c r="E3" s="5"/>
      <c r="F3" s="5"/>
      <c r="G3" s="5"/>
      <c r="H3" s="5"/>
      <c r="I3" s="5"/>
      <c r="J3" s="5"/>
      <c r="K3" s="6"/>
    </row>
    <row r="4" spans="2:11" ht="21" x14ac:dyDescent="0.35">
      <c r="B4" s="7" t="s">
        <v>2</v>
      </c>
      <c r="C4" s="8"/>
      <c r="D4" s="8"/>
      <c r="E4" s="8"/>
      <c r="F4" s="8"/>
      <c r="G4" s="8"/>
      <c r="H4" s="8"/>
      <c r="I4" s="8"/>
      <c r="J4" s="8"/>
      <c r="K4" s="9"/>
    </row>
    <row r="6" spans="2:11" ht="18.75" x14ac:dyDescent="0.3">
      <c r="B6" s="10" t="s">
        <v>3</v>
      </c>
      <c r="C6" s="10"/>
      <c r="D6" s="10"/>
      <c r="E6" s="10"/>
      <c r="F6" s="10"/>
      <c r="G6" s="10"/>
      <c r="H6" s="10"/>
      <c r="I6" s="10"/>
      <c r="J6" s="10"/>
      <c r="K6" s="11"/>
    </row>
    <row r="7" spans="2:11" s="16" customFormat="1" ht="60" x14ac:dyDescent="0.25">
      <c r="B7" s="12" t="s">
        <v>4</v>
      </c>
      <c r="C7" s="13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2" t="s">
        <v>12</v>
      </c>
      <c r="K7" s="15" t="s">
        <v>13</v>
      </c>
    </row>
    <row r="8" spans="2:11" s="23" customFormat="1" ht="15.75" x14ac:dyDescent="0.25">
      <c r="B8" s="17">
        <v>51101</v>
      </c>
      <c r="C8" s="18" t="s">
        <v>14</v>
      </c>
      <c r="D8" s="19">
        <f>18109.24+9439.3+3080+4000+10400+7620+3400+4400+5000+4400+2000+250+5200+2800+5080+4640+2800+3040+4000+4000+3840+2800+1600+5800+4800+6640</f>
        <v>129138.54000000001</v>
      </c>
      <c r="E8" s="20">
        <f>9360+9360+9360+9360+9360+9360+7872+7872+7872+7872+7304+35000+4100+1540+18000+1500+6000+2000+5200+1700+2200+2500+4667+2200+1000+2600+1400+2540+15000+8667+4200+2320+1400+1520+2000+2000+5400+6666.72+16800+11400+1920+8472+4200+1400+11736+800+7200+3600+11600+22366.68+2000+4200+3320+4200+4800+3600+3600+63000</f>
        <v>428487.39999999997</v>
      </c>
      <c r="F8" s="20"/>
      <c r="G8" s="20"/>
      <c r="H8" s="21"/>
      <c r="I8" s="21"/>
      <c r="J8" s="21"/>
      <c r="K8" s="22">
        <f t="shared" ref="K8:K39" si="0">SUM(D8:J8)</f>
        <v>557625.93999999994</v>
      </c>
    </row>
    <row r="9" spans="2:11" s="23" customFormat="1" ht="15.75" x14ac:dyDescent="0.25">
      <c r="B9" s="24">
        <v>51103</v>
      </c>
      <c r="C9" s="18" t="s">
        <v>15</v>
      </c>
      <c r="D9" s="25">
        <f>3500+1025+385+500+1300+425+635+550+625+500+650+350+635+1550+580+350+380+500+500+480+350+978+600+830</f>
        <v>18178</v>
      </c>
      <c r="E9" s="20">
        <f>722.22+450+555.56+4200+950+706+350+978+1156+300+1864+325+350+400+300+300</f>
        <v>13906.779999999999</v>
      </c>
      <c r="F9" s="20"/>
      <c r="G9" s="20"/>
      <c r="H9" s="21"/>
      <c r="I9" s="21"/>
      <c r="J9" s="21"/>
      <c r="K9" s="22">
        <f t="shared" si="0"/>
        <v>32084.78</v>
      </c>
    </row>
    <row r="10" spans="2:11" s="23" customFormat="1" ht="15.75" x14ac:dyDescent="0.25">
      <c r="B10" s="24">
        <v>51107</v>
      </c>
      <c r="C10" s="18" t="s">
        <v>16</v>
      </c>
      <c r="D10" s="26"/>
      <c r="E10" s="21">
        <v>1800</v>
      </c>
      <c r="F10" s="21"/>
      <c r="G10" s="21"/>
      <c r="H10" s="21"/>
      <c r="I10" s="21"/>
      <c r="J10" s="21"/>
      <c r="K10" s="22">
        <f t="shared" si="0"/>
        <v>1800</v>
      </c>
    </row>
    <row r="11" spans="2:11" s="23" customFormat="1" ht="15.75" x14ac:dyDescent="0.25">
      <c r="B11" s="24">
        <v>51202</v>
      </c>
      <c r="C11" s="18" t="s">
        <v>17</v>
      </c>
      <c r="D11" s="26"/>
      <c r="E11" s="21">
        <f>7000+13867+35481.53</f>
        <v>56348.53</v>
      </c>
      <c r="F11" s="21"/>
      <c r="G11" s="21"/>
      <c r="H11" s="21">
        <f>75000</f>
        <v>75000</v>
      </c>
      <c r="I11" s="21"/>
      <c r="J11" s="21"/>
      <c r="K11" s="22">
        <f t="shared" si="0"/>
        <v>131348.53</v>
      </c>
    </row>
    <row r="12" spans="2:11" s="23" customFormat="1" ht="15.75" x14ac:dyDescent="0.25">
      <c r="B12" s="24">
        <v>51301</v>
      </c>
      <c r="C12" s="18" t="s">
        <v>18</v>
      </c>
      <c r="D12" s="26"/>
      <c r="E12" s="21">
        <f>5000+1000+3000+4000+2000</f>
        <v>15000</v>
      </c>
      <c r="F12" s="21"/>
      <c r="G12" s="21"/>
      <c r="H12" s="21"/>
      <c r="I12" s="21"/>
      <c r="J12" s="21"/>
      <c r="K12" s="22">
        <f t="shared" si="0"/>
        <v>15000</v>
      </c>
    </row>
    <row r="13" spans="2:11" s="23" customFormat="1" ht="15.75" x14ac:dyDescent="0.25">
      <c r="B13" s="24">
        <v>51401</v>
      </c>
      <c r="C13" s="18" t="s">
        <v>19</v>
      </c>
      <c r="D13" s="26">
        <f>210+574+615+216+280+780+572+255+330+375+330+150+390+210+381+930+348+210+228+228+300+300+288+210+120+441+435+360+498</f>
        <v>10564</v>
      </c>
      <c r="E13" s="21">
        <f>6135.36+1050+287+108+450+150+390+128+165+188+165+75+195+105+191+1125+651+315+174+105+114+150+150+405+500+517+1260+855+144+636+315+105+881+60+540+1040+270+664+870+1678+664+150+315+249+315+360+270+270+4725</f>
        <v>30624.36</v>
      </c>
      <c r="F13" s="21"/>
      <c r="G13" s="21"/>
      <c r="H13" s="21">
        <f>12000</f>
        <v>12000</v>
      </c>
      <c r="I13" s="21"/>
      <c r="J13" s="21"/>
      <c r="K13" s="22">
        <f t="shared" si="0"/>
        <v>53188.36</v>
      </c>
    </row>
    <row r="14" spans="2:11" s="23" customFormat="1" ht="15.75" x14ac:dyDescent="0.25">
      <c r="B14" s="24">
        <v>51501</v>
      </c>
      <c r="C14" s="18" t="s">
        <v>20</v>
      </c>
      <c r="D14" s="26">
        <f>543+239+310+806+591+264+341+388+341+155+403+217+394+961+360+217+310+310+298+217+124+455+450+372+515</f>
        <v>9581</v>
      </c>
      <c r="E14" s="21">
        <f>6793+2713+308+120+465+155+403+132+171+194+171+78+202+109+197+1163+672+326+180+109+114+155+155+419+1302+884+149+657+326+109+910+62+558+1075+279+899+1734+155+304.5+258+326+372+279+279+4883</f>
        <v>31304.5</v>
      </c>
      <c r="F14" s="21"/>
      <c r="G14" s="21"/>
      <c r="H14" s="21">
        <f>12000</f>
        <v>12000</v>
      </c>
      <c r="I14" s="21"/>
      <c r="J14" s="21"/>
      <c r="K14" s="22">
        <f t="shared" si="0"/>
        <v>52885.5</v>
      </c>
    </row>
    <row r="15" spans="2:11" s="23" customFormat="1" ht="15.75" x14ac:dyDescent="0.25">
      <c r="B15" s="24">
        <v>51601</v>
      </c>
      <c r="C15" s="18" t="s">
        <v>21</v>
      </c>
      <c r="D15" s="26"/>
      <c r="E15" s="21">
        <v>13333.32</v>
      </c>
      <c r="F15" s="21"/>
      <c r="G15" s="21"/>
      <c r="H15" s="21"/>
      <c r="I15" s="21"/>
      <c r="J15" s="21"/>
      <c r="K15" s="22">
        <f t="shared" si="0"/>
        <v>13333.32</v>
      </c>
    </row>
    <row r="16" spans="2:11" s="23" customFormat="1" ht="15.75" x14ac:dyDescent="0.25">
      <c r="B16" s="24">
        <v>51602</v>
      </c>
      <c r="C16" s="18" t="s">
        <v>22</v>
      </c>
      <c r="D16" s="26"/>
      <c r="E16" s="21">
        <v>3000</v>
      </c>
      <c r="F16" s="21"/>
      <c r="G16" s="21"/>
      <c r="H16" s="21"/>
      <c r="I16" s="21"/>
      <c r="J16" s="21"/>
      <c r="K16" s="22">
        <f t="shared" si="0"/>
        <v>3000</v>
      </c>
    </row>
    <row r="17" spans="2:11" s="23" customFormat="1" ht="15.75" x14ac:dyDescent="0.25">
      <c r="B17" s="24">
        <v>51701</v>
      </c>
      <c r="C17" s="27" t="s">
        <v>23</v>
      </c>
      <c r="D17" s="26"/>
      <c r="E17" s="21">
        <v>3000</v>
      </c>
      <c r="F17" s="21"/>
      <c r="G17" s="21"/>
      <c r="H17" s="21"/>
      <c r="I17" s="21"/>
      <c r="J17" s="21"/>
      <c r="K17" s="22">
        <f t="shared" si="0"/>
        <v>3000</v>
      </c>
    </row>
    <row r="18" spans="2:11" s="23" customFormat="1" ht="15.75" x14ac:dyDescent="0.25">
      <c r="B18" s="24">
        <v>54101</v>
      </c>
      <c r="C18" s="27" t="s">
        <v>24</v>
      </c>
      <c r="D18" s="26"/>
      <c r="E18" s="21">
        <f>1000+3000+1000+200+200+500+200+400+400+400+400+400+400+400+400+400+400+400+100+100+100</f>
        <v>10800</v>
      </c>
      <c r="F18" s="21"/>
      <c r="G18" s="21"/>
      <c r="H18" s="21">
        <f>15000</f>
        <v>15000</v>
      </c>
      <c r="I18" s="21"/>
      <c r="J18" s="21"/>
      <c r="K18" s="22">
        <f t="shared" si="0"/>
        <v>25800</v>
      </c>
    </row>
    <row r="19" spans="2:11" s="23" customFormat="1" ht="15.75" x14ac:dyDescent="0.25">
      <c r="B19" s="24">
        <v>54104</v>
      </c>
      <c r="C19" s="27" t="s">
        <v>25</v>
      </c>
      <c r="D19" s="26">
        <v>5000</v>
      </c>
      <c r="E19" s="21">
        <f>2000+1461.17+11.44</f>
        <v>3472.61</v>
      </c>
      <c r="F19" s="21"/>
      <c r="G19" s="21"/>
      <c r="H19" s="21">
        <f>10000</f>
        <v>10000</v>
      </c>
      <c r="I19" s="21"/>
      <c r="J19" s="21"/>
      <c r="K19" s="22">
        <f t="shared" si="0"/>
        <v>18472.61</v>
      </c>
    </row>
    <row r="20" spans="2:11" s="23" customFormat="1" ht="15.75" x14ac:dyDescent="0.25">
      <c r="B20" s="24">
        <v>54105</v>
      </c>
      <c r="C20" s="27" t="s">
        <v>26</v>
      </c>
      <c r="D20" s="26"/>
      <c r="E20" s="21">
        <f>2200+200+1500+500+500+1000+1500+1500+1500+1500+1500+1500</f>
        <v>14900</v>
      </c>
      <c r="F20" s="21"/>
      <c r="G20" s="21"/>
      <c r="H20" s="21"/>
      <c r="I20" s="21"/>
      <c r="J20" s="21"/>
      <c r="K20" s="22">
        <f t="shared" si="0"/>
        <v>14900</v>
      </c>
    </row>
    <row r="21" spans="2:11" s="23" customFormat="1" ht="15.75" x14ac:dyDescent="0.25">
      <c r="B21" s="24">
        <v>54107</v>
      </c>
      <c r="C21" s="27" t="s">
        <v>27</v>
      </c>
      <c r="D21" s="26"/>
      <c r="E21" s="21">
        <f>800</f>
        <v>800</v>
      </c>
      <c r="F21" s="21"/>
      <c r="G21" s="21"/>
      <c r="H21" s="21"/>
      <c r="I21" s="21"/>
      <c r="J21" s="21"/>
      <c r="K21" s="22">
        <f t="shared" si="0"/>
        <v>800</v>
      </c>
    </row>
    <row r="22" spans="2:11" s="23" customFormat="1" ht="15.75" x14ac:dyDescent="0.25">
      <c r="B22" s="24">
        <v>54109</v>
      </c>
      <c r="C22" s="27" t="s">
        <v>28</v>
      </c>
      <c r="D22" s="26"/>
      <c r="E22" s="21">
        <f>1500</f>
        <v>1500</v>
      </c>
      <c r="F22" s="21"/>
      <c r="G22" s="21"/>
      <c r="H22" s="21"/>
      <c r="I22" s="21"/>
      <c r="J22" s="21"/>
      <c r="K22" s="22">
        <f t="shared" si="0"/>
        <v>1500</v>
      </c>
    </row>
    <row r="23" spans="2:11" s="23" customFormat="1" ht="15.75" x14ac:dyDescent="0.25">
      <c r="B23" s="24">
        <v>54110</v>
      </c>
      <c r="C23" s="27" t="s">
        <v>29</v>
      </c>
      <c r="D23" s="26">
        <v>10000</v>
      </c>
      <c r="E23" s="21">
        <f>29000+1000+2000+250+1000+2500+2500+2500+2500+2500+1500+1000</f>
        <v>48250</v>
      </c>
      <c r="F23" s="21"/>
      <c r="G23" s="21"/>
      <c r="H23" s="21"/>
      <c r="I23" s="21"/>
      <c r="J23" s="21"/>
      <c r="K23" s="22">
        <f t="shared" si="0"/>
        <v>58250</v>
      </c>
    </row>
    <row r="24" spans="2:11" s="23" customFormat="1" ht="15.75" x14ac:dyDescent="0.25">
      <c r="B24" s="24">
        <v>54111</v>
      </c>
      <c r="C24" s="27" t="s">
        <v>30</v>
      </c>
      <c r="D24" s="26">
        <v>15000</v>
      </c>
      <c r="E24" s="21">
        <v>30000</v>
      </c>
      <c r="F24" s="21"/>
      <c r="G24" s="21"/>
      <c r="H24" s="28">
        <v>42495.25</v>
      </c>
      <c r="I24" s="21"/>
      <c r="J24" s="21"/>
      <c r="K24" s="22">
        <f t="shared" si="0"/>
        <v>87495.25</v>
      </c>
    </row>
    <row r="25" spans="2:11" s="23" customFormat="1" ht="15.75" x14ac:dyDescent="0.25">
      <c r="B25" s="24">
        <v>54112</v>
      </c>
      <c r="C25" s="27" t="s">
        <v>31</v>
      </c>
      <c r="D25" s="26">
        <v>15000</v>
      </c>
      <c r="E25" s="21">
        <v>30000</v>
      </c>
      <c r="F25" s="21"/>
      <c r="G25" s="21"/>
      <c r="H25" s="21">
        <v>42495.26</v>
      </c>
      <c r="I25" s="21"/>
      <c r="J25" s="21"/>
      <c r="K25" s="22">
        <f t="shared" si="0"/>
        <v>87495.260000000009</v>
      </c>
    </row>
    <row r="26" spans="2:11" s="23" customFormat="1" ht="15.75" x14ac:dyDescent="0.25">
      <c r="B26" s="24">
        <v>54114</v>
      </c>
      <c r="C26" s="27" t="s">
        <v>32</v>
      </c>
      <c r="D26" s="26"/>
      <c r="E26" s="21">
        <f>325+500+1000+800+250+500+500+500+500+500+500+500+500</f>
        <v>6875</v>
      </c>
      <c r="F26" s="21"/>
      <c r="G26" s="21"/>
      <c r="H26" s="21"/>
      <c r="I26" s="21"/>
      <c r="J26" s="21"/>
      <c r="K26" s="22">
        <f t="shared" si="0"/>
        <v>6875</v>
      </c>
    </row>
    <row r="27" spans="2:11" s="23" customFormat="1" ht="15.75" x14ac:dyDescent="0.25">
      <c r="B27" s="24">
        <v>54115</v>
      </c>
      <c r="C27" s="27" t="s">
        <v>33</v>
      </c>
      <c r="D27" s="26"/>
      <c r="E27" s="21">
        <f>3511.75+400+325+800+1000+500+250+600+600+600+600+600+400</f>
        <v>10186.75</v>
      </c>
      <c r="F27" s="21"/>
      <c r="G27" s="21"/>
      <c r="H27" s="21"/>
      <c r="I27" s="21"/>
      <c r="J27" s="21"/>
      <c r="K27" s="22">
        <f t="shared" si="0"/>
        <v>10186.75</v>
      </c>
    </row>
    <row r="28" spans="2:11" s="23" customFormat="1" ht="15.75" x14ac:dyDescent="0.25">
      <c r="B28" s="24">
        <v>54117</v>
      </c>
      <c r="C28" s="27" t="s">
        <v>34</v>
      </c>
      <c r="D28" s="26"/>
      <c r="E28" s="21">
        <f>5000</f>
        <v>5000</v>
      </c>
      <c r="F28" s="21"/>
      <c r="G28" s="21"/>
      <c r="H28" s="21"/>
      <c r="I28" s="21"/>
      <c r="J28" s="21"/>
      <c r="K28" s="22">
        <f t="shared" si="0"/>
        <v>5000</v>
      </c>
    </row>
    <row r="29" spans="2:11" s="23" customFormat="1" ht="15.75" x14ac:dyDescent="0.25">
      <c r="B29" s="24">
        <v>54118</v>
      </c>
      <c r="C29" s="27" t="s">
        <v>35</v>
      </c>
      <c r="D29" s="26"/>
      <c r="E29" s="21">
        <f>2000</f>
        <v>2000</v>
      </c>
      <c r="F29" s="21"/>
      <c r="G29" s="21"/>
      <c r="H29" s="21"/>
      <c r="I29" s="21"/>
      <c r="J29" s="21"/>
      <c r="K29" s="22">
        <f t="shared" si="0"/>
        <v>2000</v>
      </c>
    </row>
    <row r="30" spans="2:11" s="23" customFormat="1" ht="15.75" x14ac:dyDescent="0.25">
      <c r="B30" s="24">
        <v>54119</v>
      </c>
      <c r="C30" s="27" t="s">
        <v>36</v>
      </c>
      <c r="D30" s="26"/>
      <c r="E30" s="21">
        <v>40000</v>
      </c>
      <c r="F30" s="21"/>
      <c r="G30" s="21"/>
      <c r="H30" s="21">
        <f>50000</f>
        <v>50000</v>
      </c>
      <c r="I30" s="21"/>
      <c r="J30" s="21"/>
      <c r="K30" s="22">
        <f t="shared" si="0"/>
        <v>90000</v>
      </c>
    </row>
    <row r="31" spans="2:11" s="23" customFormat="1" ht="15.75" x14ac:dyDescent="0.25">
      <c r="B31" s="24">
        <v>54121</v>
      </c>
      <c r="C31" s="27" t="s">
        <v>37</v>
      </c>
      <c r="D31" s="26">
        <v>2400</v>
      </c>
      <c r="E31" s="21"/>
      <c r="F31" s="21"/>
      <c r="G31" s="21"/>
      <c r="H31" s="21"/>
      <c r="I31" s="21"/>
      <c r="J31" s="21"/>
      <c r="K31" s="22">
        <f t="shared" si="0"/>
        <v>2400</v>
      </c>
    </row>
    <row r="32" spans="2:11" s="23" customFormat="1" ht="15.75" x14ac:dyDescent="0.25">
      <c r="B32" s="24">
        <v>54199</v>
      </c>
      <c r="C32" s="27" t="s">
        <v>38</v>
      </c>
      <c r="D32" s="26">
        <v>20000</v>
      </c>
      <c r="E32" s="21">
        <f>3200+200+500+100+300+300+300+300+300+300+300+300+300+100+100+2000</f>
        <v>8900</v>
      </c>
      <c r="F32" s="21"/>
      <c r="G32" s="21"/>
      <c r="H32" s="21"/>
      <c r="I32" s="21"/>
      <c r="J32" s="21"/>
      <c r="K32" s="22">
        <f t="shared" si="0"/>
        <v>28900</v>
      </c>
    </row>
    <row r="33" spans="2:11" s="23" customFormat="1" ht="15.75" x14ac:dyDescent="0.25">
      <c r="B33" s="24">
        <v>54201</v>
      </c>
      <c r="C33" s="27" t="s">
        <v>39</v>
      </c>
      <c r="D33" s="26">
        <v>5000</v>
      </c>
      <c r="E33" s="21">
        <f>14900+600+1000+4822.32+1000+400+600+1000+1000+1000+1000+600</f>
        <v>27922.32</v>
      </c>
      <c r="F33" s="21"/>
      <c r="G33" s="21"/>
      <c r="H33" s="21"/>
      <c r="I33" s="21"/>
      <c r="J33" s="21"/>
      <c r="K33" s="22">
        <f t="shared" si="0"/>
        <v>32922.32</v>
      </c>
    </row>
    <row r="34" spans="2:11" s="23" customFormat="1" ht="15.75" x14ac:dyDescent="0.25">
      <c r="B34" s="24">
        <v>54202</v>
      </c>
      <c r="C34" s="27" t="s">
        <v>40</v>
      </c>
      <c r="D34" s="26"/>
      <c r="E34" s="21">
        <f>2900+500+100+600+150+250+250+250+250+250+250+250+250+250+250+50+50+200</f>
        <v>7050</v>
      </c>
      <c r="F34" s="21"/>
      <c r="G34" s="21"/>
      <c r="H34" s="21"/>
      <c r="I34" s="21"/>
      <c r="J34" s="21"/>
      <c r="K34" s="22">
        <f t="shared" si="0"/>
        <v>7050</v>
      </c>
    </row>
    <row r="35" spans="2:11" s="23" customFormat="1" ht="15.75" x14ac:dyDescent="0.25">
      <c r="B35" s="24">
        <v>54203</v>
      </c>
      <c r="C35" s="27" t="s">
        <v>41</v>
      </c>
      <c r="D35" s="26">
        <v>5000</v>
      </c>
      <c r="E35" s="21">
        <f>4900+500+1250+100+1250+1250+1250+1250+1250+1250+1000+500+500+500+100+100+100</f>
        <v>17050</v>
      </c>
      <c r="F35" s="21"/>
      <c r="G35" s="21"/>
      <c r="H35" s="21"/>
      <c r="I35" s="21"/>
      <c r="J35" s="21"/>
      <c r="K35" s="22">
        <f t="shared" si="0"/>
        <v>22050</v>
      </c>
    </row>
    <row r="36" spans="2:11" s="23" customFormat="1" ht="15.75" x14ac:dyDescent="0.25">
      <c r="B36" s="24">
        <v>54205</v>
      </c>
      <c r="C36" s="27" t="s">
        <v>42</v>
      </c>
      <c r="D36" s="26"/>
      <c r="E36" s="21">
        <v>43000</v>
      </c>
      <c r="F36" s="21"/>
      <c r="G36" s="21"/>
      <c r="H36" s="21"/>
      <c r="I36" s="21"/>
      <c r="J36" s="21"/>
      <c r="K36" s="22">
        <f t="shared" si="0"/>
        <v>43000</v>
      </c>
    </row>
    <row r="37" spans="2:11" s="23" customFormat="1" ht="15.75" x14ac:dyDescent="0.25">
      <c r="B37" s="17">
        <v>54301</v>
      </c>
      <c r="C37" s="18" t="s">
        <v>43</v>
      </c>
      <c r="D37" s="25"/>
      <c r="E37" s="20">
        <f>2000+5000+500+500+600+100+600+1000</f>
        <v>10300</v>
      </c>
      <c r="F37" s="20"/>
      <c r="G37" s="20"/>
      <c r="H37" s="21"/>
      <c r="I37" s="21"/>
      <c r="J37" s="21"/>
      <c r="K37" s="22">
        <f t="shared" si="0"/>
        <v>10300</v>
      </c>
    </row>
    <row r="38" spans="2:11" s="23" customFormat="1" ht="15.75" x14ac:dyDescent="0.25">
      <c r="B38" s="17">
        <v>54302</v>
      </c>
      <c r="C38" s="18" t="s">
        <v>44</v>
      </c>
      <c r="D38" s="25"/>
      <c r="E38" s="20">
        <f>5000+2000+300+300+300+500</f>
        <v>8400</v>
      </c>
      <c r="F38" s="20"/>
      <c r="G38" s="20"/>
      <c r="H38" s="21">
        <f>20000</f>
        <v>20000</v>
      </c>
      <c r="I38" s="21"/>
      <c r="J38" s="21"/>
      <c r="K38" s="22">
        <f t="shared" si="0"/>
        <v>28400</v>
      </c>
    </row>
    <row r="39" spans="2:11" s="23" customFormat="1" ht="15.75" x14ac:dyDescent="0.25">
      <c r="B39" s="17">
        <v>54303</v>
      </c>
      <c r="C39" s="18" t="s">
        <v>45</v>
      </c>
      <c r="D39" s="25"/>
      <c r="E39" s="20">
        <f>600+600+600+600+200+1000+500+500+500+200+500</f>
        <v>5800</v>
      </c>
      <c r="F39" s="20"/>
      <c r="G39" s="20"/>
      <c r="H39" s="21">
        <f>5000</f>
        <v>5000</v>
      </c>
      <c r="I39" s="21"/>
      <c r="J39" s="21"/>
      <c r="K39" s="22">
        <f t="shared" si="0"/>
        <v>10800</v>
      </c>
    </row>
    <row r="40" spans="2:11" s="23" customFormat="1" ht="15.75" x14ac:dyDescent="0.25">
      <c r="B40" s="17">
        <v>54304</v>
      </c>
      <c r="C40" s="18" t="s">
        <v>46</v>
      </c>
      <c r="D40" s="25"/>
      <c r="E40" s="20">
        <f>500+800+250+500+1000+1000+1000+1000+300+2500+200+200+200+200+200</f>
        <v>9850</v>
      </c>
      <c r="F40" s="20"/>
      <c r="G40" s="20"/>
      <c r="H40" s="21">
        <f>20000</f>
        <v>20000</v>
      </c>
      <c r="I40" s="21"/>
      <c r="J40" s="21"/>
      <c r="K40" s="22">
        <f>SUM(E40:J40)</f>
        <v>29850</v>
      </c>
    </row>
    <row r="41" spans="2:11" s="23" customFormat="1" ht="15.75" x14ac:dyDescent="0.25">
      <c r="B41" s="17">
        <v>54305</v>
      </c>
      <c r="C41" s="18" t="s">
        <v>47</v>
      </c>
      <c r="D41" s="25"/>
      <c r="E41" s="20">
        <v>4000</v>
      </c>
      <c r="F41" s="20"/>
      <c r="G41" s="20"/>
      <c r="H41" s="21"/>
      <c r="I41" s="21"/>
      <c r="J41" s="21"/>
      <c r="K41" s="22">
        <f>SUM(D41:J41)</f>
        <v>4000</v>
      </c>
    </row>
    <row r="42" spans="2:11" s="23" customFormat="1" ht="15.75" x14ac:dyDescent="0.25">
      <c r="B42" s="17">
        <v>54311</v>
      </c>
      <c r="C42" s="18" t="s">
        <v>48</v>
      </c>
      <c r="D42" s="25"/>
      <c r="E42" s="20">
        <f>500+500+100+200+200+200+200+200+200+200+200</f>
        <v>2700</v>
      </c>
      <c r="F42" s="20"/>
      <c r="G42" s="20"/>
      <c r="H42" s="21"/>
      <c r="I42" s="21"/>
      <c r="J42" s="21"/>
      <c r="K42" s="22">
        <f>SUM(D42:J42)</f>
        <v>2700</v>
      </c>
    </row>
    <row r="43" spans="2:11" s="23" customFormat="1" ht="15.75" x14ac:dyDescent="0.25">
      <c r="B43" s="17">
        <v>54313</v>
      </c>
      <c r="C43" s="29" t="s">
        <v>49</v>
      </c>
      <c r="D43" s="25"/>
      <c r="E43" s="20">
        <f>1000+200+300+100+200+200+200+200+200+200+200+200+200+200+50+50+500</f>
        <v>4200</v>
      </c>
      <c r="F43" s="20"/>
      <c r="G43" s="20"/>
      <c r="H43" s="21"/>
      <c r="I43" s="21"/>
      <c r="J43" s="21"/>
      <c r="K43" s="22">
        <f>SUM(D43:J43)</f>
        <v>4200</v>
      </c>
    </row>
    <row r="44" spans="2:11" s="23" customFormat="1" ht="15.75" x14ac:dyDescent="0.25">
      <c r="B44" s="17">
        <v>54314</v>
      </c>
      <c r="C44" s="18" t="s">
        <v>50</v>
      </c>
      <c r="D44" s="25">
        <v>11109.24</v>
      </c>
      <c r="E44" s="20">
        <f>6000+305+500+150+500+500+500+500+500+200+500+500+500+500+200+200</f>
        <v>12055</v>
      </c>
      <c r="F44" s="20"/>
      <c r="G44" s="20"/>
      <c r="H44" s="21">
        <f>56276.28</f>
        <v>56276.28</v>
      </c>
      <c r="I44" s="21"/>
      <c r="J44" s="21"/>
      <c r="K44" s="22">
        <f>SUM(D44:J44)</f>
        <v>79440.51999999999</v>
      </c>
    </row>
    <row r="45" spans="2:11" s="23" customFormat="1" ht="15.75" x14ac:dyDescent="0.25">
      <c r="B45" s="17">
        <v>54317</v>
      </c>
      <c r="C45" s="18" t="s">
        <v>51</v>
      </c>
      <c r="D45" s="25"/>
      <c r="E45" s="20">
        <v>2000</v>
      </c>
      <c r="F45" s="20"/>
      <c r="G45" s="20"/>
      <c r="H45" s="21"/>
      <c r="I45" s="21"/>
      <c r="J45" s="21"/>
      <c r="K45" s="22">
        <f t="shared" ref="K45:K51" si="1">SUM(D45:J45)</f>
        <v>2000</v>
      </c>
    </row>
    <row r="46" spans="2:11" s="23" customFormat="1" ht="15.75" x14ac:dyDescent="0.25">
      <c r="B46" s="17">
        <v>54399</v>
      </c>
      <c r="C46" s="18" t="s">
        <v>52</v>
      </c>
      <c r="D46" s="25">
        <v>15000</v>
      </c>
      <c r="E46" s="20">
        <f>3300+2500+500+500+500+100+100+200</f>
        <v>7700</v>
      </c>
      <c r="F46" s="20"/>
      <c r="G46" s="20"/>
      <c r="H46" s="21"/>
      <c r="I46" s="21"/>
      <c r="J46" s="21"/>
      <c r="K46" s="22">
        <f t="shared" si="1"/>
        <v>22700</v>
      </c>
    </row>
    <row r="47" spans="2:11" s="23" customFormat="1" ht="15.75" x14ac:dyDescent="0.25">
      <c r="B47" s="17">
        <v>54403</v>
      </c>
      <c r="C47" s="18" t="s">
        <v>53</v>
      </c>
      <c r="D47" s="25">
        <f>400</f>
        <v>400</v>
      </c>
      <c r="E47" s="20">
        <f>2800+500+800+100+500+1000+1000+1000+300+200+600+500+100+100</f>
        <v>9500</v>
      </c>
      <c r="F47" s="20"/>
      <c r="G47" s="20"/>
      <c r="H47" s="21"/>
      <c r="I47" s="21"/>
      <c r="J47" s="21"/>
      <c r="K47" s="22">
        <f t="shared" si="1"/>
        <v>9900</v>
      </c>
    </row>
    <row r="48" spans="2:11" s="23" customFormat="1" ht="15.75" x14ac:dyDescent="0.25">
      <c r="B48" s="17">
        <v>54501</v>
      </c>
      <c r="C48" s="18" t="s">
        <v>54</v>
      </c>
      <c r="D48" s="25"/>
      <c r="E48" s="20">
        <f>1000+500+200+100+200</f>
        <v>2000</v>
      </c>
      <c r="F48" s="20"/>
      <c r="G48" s="20"/>
      <c r="H48" s="21"/>
      <c r="I48" s="21"/>
      <c r="J48" s="21"/>
      <c r="K48" s="22">
        <f t="shared" si="1"/>
        <v>2000</v>
      </c>
    </row>
    <row r="49" spans="2:12" s="23" customFormat="1" ht="15.75" x14ac:dyDescent="0.25">
      <c r="B49" s="17">
        <v>54503</v>
      </c>
      <c r="C49" s="18" t="s">
        <v>55</v>
      </c>
      <c r="D49" s="25"/>
      <c r="E49" s="20">
        <v>5000</v>
      </c>
      <c r="F49" s="20"/>
      <c r="G49" s="20"/>
      <c r="H49" s="21"/>
      <c r="I49" s="21"/>
      <c r="J49" s="21"/>
      <c r="K49" s="22">
        <f t="shared" si="1"/>
        <v>5000</v>
      </c>
    </row>
    <row r="50" spans="2:12" s="23" customFormat="1" ht="15.75" x14ac:dyDescent="0.25">
      <c r="B50" s="17">
        <v>54505</v>
      </c>
      <c r="C50" s="18" t="s">
        <v>56</v>
      </c>
      <c r="D50" s="25"/>
      <c r="E50" s="20">
        <f>500+500+100+300+300+300+300+500+300+300+300+300+300</f>
        <v>4300</v>
      </c>
      <c r="F50" s="20"/>
      <c r="G50" s="20"/>
      <c r="H50" s="21"/>
      <c r="I50" s="21"/>
      <c r="J50" s="21"/>
      <c r="K50" s="22">
        <f t="shared" si="1"/>
        <v>4300</v>
      </c>
    </row>
    <row r="51" spans="2:12" s="23" customFormat="1" ht="15.75" x14ac:dyDescent="0.25">
      <c r="B51" s="17">
        <v>54602</v>
      </c>
      <c r="C51" s="18" t="s">
        <v>57</v>
      </c>
      <c r="D51" s="25"/>
      <c r="E51" s="20">
        <v>30200</v>
      </c>
      <c r="F51" s="20"/>
      <c r="G51" s="20"/>
      <c r="H51" s="30">
        <f>43241.19</f>
        <v>43241.19</v>
      </c>
      <c r="I51" s="30"/>
      <c r="J51" s="21"/>
      <c r="K51" s="22">
        <f t="shared" si="1"/>
        <v>73441.19</v>
      </c>
    </row>
    <row r="52" spans="2:12" s="23" customFormat="1" ht="15.75" x14ac:dyDescent="0.25">
      <c r="B52" s="24">
        <v>55310</v>
      </c>
      <c r="C52" s="18" t="s">
        <v>58</v>
      </c>
      <c r="D52" s="25"/>
      <c r="E52" s="20">
        <v>4300</v>
      </c>
      <c r="F52" s="20"/>
      <c r="G52" s="20"/>
      <c r="H52" s="21"/>
      <c r="I52" s="21"/>
      <c r="J52" s="21"/>
      <c r="K52" s="31">
        <f t="shared" ref="K52:K57" si="2">SUM(D52:J52)</f>
        <v>4300</v>
      </c>
    </row>
    <row r="53" spans="2:12" s="32" customFormat="1" ht="15.75" x14ac:dyDescent="0.25">
      <c r="B53" s="24">
        <v>71310</v>
      </c>
      <c r="C53" s="18" t="s">
        <v>59</v>
      </c>
      <c r="D53" s="25"/>
      <c r="E53" s="20">
        <v>2500</v>
      </c>
      <c r="F53" s="20"/>
      <c r="G53" s="20"/>
      <c r="H53" s="21"/>
      <c r="I53" s="21"/>
      <c r="J53" s="21"/>
      <c r="K53" s="31">
        <f t="shared" si="2"/>
        <v>2500</v>
      </c>
    </row>
    <row r="54" spans="2:12" s="23" customFormat="1" ht="15.75" x14ac:dyDescent="0.25">
      <c r="B54" s="24">
        <v>55603</v>
      </c>
      <c r="C54" s="18" t="s">
        <v>60</v>
      </c>
      <c r="D54" s="25">
        <v>600</v>
      </c>
      <c r="E54" s="20">
        <v>400</v>
      </c>
      <c r="F54" s="33"/>
      <c r="G54" s="33"/>
      <c r="H54" s="34">
        <f>500</f>
        <v>500</v>
      </c>
      <c r="I54" s="34"/>
      <c r="J54" s="21"/>
      <c r="K54" s="31">
        <f t="shared" si="2"/>
        <v>1500</v>
      </c>
    </row>
    <row r="55" spans="2:12" s="23" customFormat="1" ht="15.75" x14ac:dyDescent="0.25">
      <c r="B55" s="24">
        <v>55703</v>
      </c>
      <c r="C55" s="18" t="s">
        <v>61</v>
      </c>
      <c r="D55" s="25">
        <v>1000</v>
      </c>
      <c r="E55" s="20">
        <v>3316.64</v>
      </c>
      <c r="F55" s="33"/>
      <c r="G55" s="33"/>
      <c r="H55" s="34">
        <f>5000</f>
        <v>5000</v>
      </c>
      <c r="I55" s="34"/>
      <c r="J55" s="21"/>
      <c r="K55" s="31">
        <f t="shared" si="2"/>
        <v>9316.64</v>
      </c>
    </row>
    <row r="56" spans="2:12" s="23" customFormat="1" ht="15.75" x14ac:dyDescent="0.25">
      <c r="B56" s="24">
        <v>55799</v>
      </c>
      <c r="C56" s="18" t="s">
        <v>62</v>
      </c>
      <c r="D56" s="25">
        <v>3661.19</v>
      </c>
      <c r="E56" s="20">
        <v>8500</v>
      </c>
      <c r="F56" s="20"/>
      <c r="G56" s="20"/>
      <c r="H56" s="21"/>
      <c r="I56" s="21"/>
      <c r="J56" s="21"/>
      <c r="K56" s="31">
        <f t="shared" si="2"/>
        <v>12161.19</v>
      </c>
      <c r="L56" s="35"/>
    </row>
    <row r="57" spans="2:12" s="23" customFormat="1" ht="15.75" x14ac:dyDescent="0.25">
      <c r="B57" s="36">
        <v>56201</v>
      </c>
      <c r="C57" s="37" t="s">
        <v>63</v>
      </c>
      <c r="D57" s="25">
        <v>11530.98</v>
      </c>
      <c r="H57" s="34"/>
      <c r="I57" s="34"/>
      <c r="J57" s="21"/>
      <c r="K57" s="31">
        <f t="shared" si="2"/>
        <v>11530.98</v>
      </c>
    </row>
    <row r="58" spans="2:12" s="23" customFormat="1" ht="15.75" x14ac:dyDescent="0.25">
      <c r="B58" s="36">
        <v>56201</v>
      </c>
      <c r="C58" s="37" t="s">
        <v>64</v>
      </c>
      <c r="D58" s="25"/>
      <c r="E58" s="25">
        <v>1500</v>
      </c>
      <c r="F58" s="25"/>
      <c r="G58" s="25"/>
      <c r="H58" s="21"/>
      <c r="I58" s="21"/>
      <c r="J58" s="21"/>
      <c r="K58" s="31">
        <f t="shared" ref="K58:K63" si="3">SUM(D58:J58)</f>
        <v>1500</v>
      </c>
    </row>
    <row r="59" spans="2:12" s="23" customFormat="1" ht="15.75" x14ac:dyDescent="0.25">
      <c r="B59" s="36">
        <v>56303</v>
      </c>
      <c r="C59" s="18" t="s">
        <v>65</v>
      </c>
      <c r="D59" s="25">
        <v>23854.78</v>
      </c>
      <c r="E59" s="20">
        <v>20000</v>
      </c>
      <c r="F59" s="20"/>
      <c r="G59" s="20"/>
      <c r="H59" s="21">
        <f>25000</f>
        <v>25000</v>
      </c>
      <c r="I59" s="21"/>
      <c r="J59" s="21"/>
      <c r="K59" s="31">
        <f t="shared" si="3"/>
        <v>68854.78</v>
      </c>
    </row>
    <row r="60" spans="2:12" s="23" customFormat="1" ht="15.75" x14ac:dyDescent="0.25">
      <c r="B60" s="24">
        <v>56304</v>
      </c>
      <c r="C60" s="18" t="s">
        <v>66</v>
      </c>
      <c r="D60" s="25">
        <v>22905.360000000001</v>
      </c>
      <c r="E60" s="20">
        <f>24000+3000</f>
        <v>27000</v>
      </c>
      <c r="F60" s="20"/>
      <c r="G60" s="20"/>
      <c r="H60" s="21">
        <f>20000</f>
        <v>20000</v>
      </c>
      <c r="I60" s="21"/>
      <c r="J60" s="21"/>
      <c r="K60" s="31">
        <f t="shared" si="3"/>
        <v>69905.36</v>
      </c>
      <c r="L60" s="35"/>
    </row>
    <row r="61" spans="2:12" s="23" customFormat="1" ht="15.75" x14ac:dyDescent="0.25">
      <c r="B61" s="24">
        <v>61101</v>
      </c>
      <c r="C61" s="18" t="s">
        <v>67</v>
      </c>
      <c r="D61" s="25"/>
      <c r="E61" s="20">
        <v>7000</v>
      </c>
      <c r="F61" s="33"/>
      <c r="G61" s="33"/>
      <c r="H61" s="34"/>
      <c r="I61" s="34"/>
      <c r="J61" s="21"/>
      <c r="K61" s="31">
        <f t="shared" si="3"/>
        <v>7000</v>
      </c>
      <c r="L61" s="35"/>
    </row>
    <row r="62" spans="2:12" s="23" customFormat="1" ht="15.75" x14ac:dyDescent="0.25">
      <c r="B62" s="24">
        <v>61104</v>
      </c>
      <c r="C62" s="27" t="s">
        <v>68</v>
      </c>
      <c r="D62" s="26"/>
      <c r="E62" s="21">
        <f>5000+1300</f>
        <v>6300</v>
      </c>
      <c r="F62" s="34"/>
      <c r="G62" s="34"/>
      <c r="H62" s="34"/>
      <c r="I62" s="34"/>
      <c r="J62" s="21"/>
      <c r="K62" s="31">
        <f t="shared" si="3"/>
        <v>6300</v>
      </c>
    </row>
    <row r="63" spans="2:12" s="23" customFormat="1" ht="15.75" x14ac:dyDescent="0.25">
      <c r="B63" s="24">
        <v>61599</v>
      </c>
      <c r="C63" s="38" t="s">
        <v>69</v>
      </c>
      <c r="D63" s="26"/>
      <c r="E63" s="21"/>
      <c r="F63" s="21"/>
      <c r="G63" s="21"/>
      <c r="H63" s="30">
        <v>46619.75</v>
      </c>
      <c r="I63" s="30"/>
      <c r="J63" s="21"/>
      <c r="K63" s="31">
        <f t="shared" si="3"/>
        <v>46619.75</v>
      </c>
    </row>
    <row r="64" spans="2:12" s="23" customFormat="1" ht="15.75" x14ac:dyDescent="0.25">
      <c r="B64" s="39">
        <v>61699</v>
      </c>
      <c r="C64" s="38" t="s">
        <v>70</v>
      </c>
      <c r="D64" s="40"/>
      <c r="E64" s="41"/>
      <c r="F64" s="41"/>
      <c r="G64" s="41"/>
      <c r="H64" s="42">
        <v>10500</v>
      </c>
      <c r="I64" s="42"/>
      <c r="J64" s="41"/>
      <c r="K64" s="43">
        <f>SUM(H64)</f>
        <v>10500</v>
      </c>
    </row>
    <row r="65" spans="2:12" s="23" customFormat="1" ht="15.75" x14ac:dyDescent="0.25">
      <c r="B65" s="44"/>
      <c r="C65" s="45" t="s">
        <v>71</v>
      </c>
      <c r="D65" s="26"/>
      <c r="E65" s="21"/>
      <c r="F65" s="21"/>
      <c r="G65" s="21"/>
      <c r="H65" s="46"/>
      <c r="I65" s="46"/>
      <c r="J65" s="47"/>
      <c r="K65" s="48"/>
      <c r="L65" s="35"/>
    </row>
    <row r="66" spans="2:12" s="23" customFormat="1" x14ac:dyDescent="0.25">
      <c r="B66" s="49">
        <v>55302</v>
      </c>
      <c r="C66" s="50" t="s">
        <v>72</v>
      </c>
      <c r="D66" s="51"/>
      <c r="E66" s="52"/>
      <c r="F66" s="52"/>
      <c r="G66" s="52"/>
      <c r="H66" s="53"/>
      <c r="I66" s="53"/>
      <c r="J66" s="52">
        <v>2650</v>
      </c>
      <c r="K66" s="54">
        <f t="shared" ref="K66:K77" si="4">SUM(D66:J66)</f>
        <v>2650</v>
      </c>
    </row>
    <row r="67" spans="2:12" s="23" customFormat="1" x14ac:dyDescent="0.25">
      <c r="B67" s="55">
        <v>55308</v>
      </c>
      <c r="C67" s="56" t="s">
        <v>73</v>
      </c>
      <c r="D67" s="26"/>
      <c r="E67" s="21"/>
      <c r="F67" s="21"/>
      <c r="G67" s="21"/>
      <c r="H67" s="30"/>
      <c r="I67" s="30"/>
      <c r="J67" s="57">
        <v>220000</v>
      </c>
      <c r="K67" s="48">
        <f t="shared" si="4"/>
        <v>220000</v>
      </c>
    </row>
    <row r="68" spans="2:12" s="23" customFormat="1" x14ac:dyDescent="0.25">
      <c r="B68" s="55">
        <v>71308</v>
      </c>
      <c r="C68" s="56" t="s">
        <v>74</v>
      </c>
      <c r="D68" s="26"/>
      <c r="E68" s="21"/>
      <c r="F68" s="21"/>
      <c r="G68" s="21"/>
      <c r="H68" s="30"/>
      <c r="I68" s="30"/>
      <c r="J68" s="58">
        <v>40000</v>
      </c>
      <c r="K68" s="48">
        <f t="shared" si="4"/>
        <v>40000</v>
      </c>
    </row>
    <row r="69" spans="2:12" s="23" customFormat="1" ht="30" x14ac:dyDescent="0.25">
      <c r="B69" s="55">
        <v>55308</v>
      </c>
      <c r="C69" s="59" t="s">
        <v>75</v>
      </c>
      <c r="D69" s="26"/>
      <c r="E69" s="21"/>
      <c r="F69" s="21"/>
      <c r="G69" s="21"/>
      <c r="H69" s="30"/>
      <c r="I69" s="53"/>
      <c r="J69" s="60">
        <v>31986</v>
      </c>
      <c r="K69" s="48">
        <f t="shared" si="4"/>
        <v>31986</v>
      </c>
    </row>
    <row r="70" spans="2:12" s="23" customFormat="1" ht="30" x14ac:dyDescent="0.25">
      <c r="B70" s="55">
        <v>71308</v>
      </c>
      <c r="C70" s="61" t="s">
        <v>76</v>
      </c>
      <c r="D70" s="26"/>
      <c r="E70" s="21"/>
      <c r="F70" s="21"/>
      <c r="G70" s="21"/>
      <c r="H70" s="30"/>
      <c r="I70" s="30"/>
      <c r="J70" s="58">
        <v>6859</v>
      </c>
      <c r="K70" s="48">
        <f t="shared" si="4"/>
        <v>6859</v>
      </c>
    </row>
    <row r="71" spans="2:12" s="23" customFormat="1" ht="30" x14ac:dyDescent="0.25">
      <c r="B71" s="55">
        <v>55308</v>
      </c>
      <c r="C71" s="62" t="s">
        <v>77</v>
      </c>
      <c r="D71" s="26"/>
      <c r="E71" s="21"/>
      <c r="F71" s="21"/>
      <c r="G71" s="21"/>
      <c r="H71" s="30"/>
      <c r="I71" s="53"/>
      <c r="J71" s="60">
        <v>33162</v>
      </c>
      <c r="K71" s="48">
        <f t="shared" si="4"/>
        <v>33162</v>
      </c>
    </row>
    <row r="72" spans="2:12" s="23" customFormat="1" ht="31.5" customHeight="1" x14ac:dyDescent="0.25">
      <c r="B72" s="63">
        <v>71308</v>
      </c>
      <c r="C72" s="64" t="s">
        <v>78</v>
      </c>
      <c r="D72" s="40"/>
      <c r="E72" s="41"/>
      <c r="F72" s="41"/>
      <c r="G72" s="41"/>
      <c r="H72" s="42"/>
      <c r="I72" s="42"/>
      <c r="J72" s="65">
        <v>6894</v>
      </c>
      <c r="K72" s="66">
        <f t="shared" si="4"/>
        <v>6894</v>
      </c>
    </row>
    <row r="73" spans="2:12" s="23" customFormat="1" ht="15" customHeight="1" x14ac:dyDescent="0.25">
      <c r="B73" s="49">
        <v>55308</v>
      </c>
      <c r="C73" s="49" t="s">
        <v>79</v>
      </c>
      <c r="D73" s="51"/>
      <c r="E73" s="52"/>
      <c r="F73" s="52"/>
      <c r="G73" s="52"/>
      <c r="H73" s="53"/>
      <c r="I73" s="53"/>
      <c r="J73" s="60">
        <v>33350</v>
      </c>
      <c r="K73" s="54">
        <f t="shared" si="4"/>
        <v>33350</v>
      </c>
    </row>
    <row r="74" spans="2:12" s="23" customFormat="1" ht="17.25" customHeight="1" x14ac:dyDescent="0.25">
      <c r="B74" s="55">
        <v>71308</v>
      </c>
      <c r="C74" s="55" t="s">
        <v>80</v>
      </c>
      <c r="D74" s="26"/>
      <c r="E74" s="21"/>
      <c r="F74" s="21"/>
      <c r="G74" s="21"/>
      <c r="H74" s="30"/>
      <c r="I74" s="30"/>
      <c r="J74" s="58">
        <v>18285.2</v>
      </c>
      <c r="K74" s="48">
        <f t="shared" si="4"/>
        <v>18285.2</v>
      </c>
    </row>
    <row r="75" spans="2:12" s="23" customFormat="1" x14ac:dyDescent="0.25">
      <c r="B75" s="55">
        <v>55308</v>
      </c>
      <c r="C75" s="67" t="s">
        <v>81</v>
      </c>
      <c r="D75" s="26"/>
      <c r="E75" s="21"/>
      <c r="F75" s="21"/>
      <c r="G75" s="21"/>
      <c r="H75" s="30"/>
      <c r="I75" s="53"/>
      <c r="J75" s="60">
        <v>60178</v>
      </c>
      <c r="K75" s="48">
        <f t="shared" si="4"/>
        <v>60178</v>
      </c>
    </row>
    <row r="76" spans="2:12" s="23" customFormat="1" ht="30" x14ac:dyDescent="0.25">
      <c r="B76" s="55">
        <v>71308</v>
      </c>
      <c r="C76" s="68" t="s">
        <v>82</v>
      </c>
      <c r="D76" s="26"/>
      <c r="E76" s="21"/>
      <c r="F76" s="21"/>
      <c r="G76" s="21"/>
      <c r="H76" s="30"/>
      <c r="I76" s="53"/>
      <c r="J76" s="60">
        <v>16291</v>
      </c>
      <c r="K76" s="48">
        <f t="shared" si="4"/>
        <v>16291</v>
      </c>
    </row>
    <row r="77" spans="2:12" s="23" customFormat="1" x14ac:dyDescent="0.25">
      <c r="B77" s="55">
        <v>72101</v>
      </c>
      <c r="C77" s="55" t="s">
        <v>83</v>
      </c>
      <c r="D77" s="21"/>
      <c r="E77" s="21"/>
      <c r="F77" s="21"/>
      <c r="G77" s="21"/>
      <c r="H77" s="30">
        <v>31956.93</v>
      </c>
      <c r="I77" s="53"/>
      <c r="J77" s="60"/>
      <c r="K77" s="48">
        <f t="shared" si="4"/>
        <v>31956.93</v>
      </c>
    </row>
    <row r="78" spans="2:12" s="23" customFormat="1" ht="33" customHeight="1" x14ac:dyDescent="0.25">
      <c r="B78" s="69"/>
      <c r="C78" s="70" t="s">
        <v>84</v>
      </c>
      <c r="D78" s="26"/>
      <c r="E78" s="21"/>
      <c r="F78" s="21"/>
      <c r="G78" s="21"/>
      <c r="H78" s="21"/>
      <c r="I78" s="21"/>
      <c r="J78" s="21"/>
      <c r="K78" s="22"/>
    </row>
    <row r="79" spans="2:12" s="23" customFormat="1" ht="15.75" x14ac:dyDescent="0.25">
      <c r="B79" s="71">
        <v>54111</v>
      </c>
      <c r="C79" s="72" t="s">
        <v>30</v>
      </c>
      <c r="D79" s="40"/>
      <c r="E79" s="41"/>
      <c r="F79" s="41"/>
      <c r="G79" s="41"/>
      <c r="H79" s="41"/>
      <c r="I79" s="41">
        <v>392.58</v>
      </c>
      <c r="J79" s="41"/>
      <c r="K79" s="73">
        <f>SUM(E79:J79)</f>
        <v>392.58</v>
      </c>
    </row>
    <row r="80" spans="2:12" s="16" customFormat="1" x14ac:dyDescent="0.25">
      <c r="B80" s="74" t="s">
        <v>85</v>
      </c>
      <c r="C80" s="74"/>
      <c r="D80" s="75">
        <f>SUM(D8:D79)</f>
        <v>334923.08999999997</v>
      </c>
      <c r="E80" s="75">
        <f>SUM(E8:E79)</f>
        <v>1103333.21</v>
      </c>
      <c r="F80" s="75"/>
      <c r="G80" s="75"/>
      <c r="H80" s="75">
        <f>SUM(H8:H79)</f>
        <v>543084.66</v>
      </c>
      <c r="I80" s="75">
        <f>SUM(I79)</f>
        <v>392.58</v>
      </c>
      <c r="J80" s="75">
        <f>SUM(J8:J79)</f>
        <v>469655.2</v>
      </c>
      <c r="K80" s="76">
        <f>SUM(D80:J80)</f>
        <v>2451388.7400000002</v>
      </c>
      <c r="L80" s="77"/>
    </row>
    <row r="81" spans="3:12" x14ac:dyDescent="0.25">
      <c r="E81" t="s">
        <v>86</v>
      </c>
    </row>
    <row r="82" spans="3:12" ht="15.75" x14ac:dyDescent="0.25">
      <c r="D82" s="78"/>
      <c r="E82" s="78"/>
      <c r="F82" s="78"/>
      <c r="G82" s="78"/>
      <c r="H82" s="79"/>
      <c r="I82" s="79"/>
      <c r="L82" s="80"/>
    </row>
    <row r="83" spans="3:12" ht="15.75" thickBot="1" x14ac:dyDescent="0.3">
      <c r="C83" s="81" t="s">
        <v>87</v>
      </c>
      <c r="J83" s="82"/>
    </row>
    <row r="84" spans="3:12" s="86" customFormat="1" ht="15.75" x14ac:dyDescent="0.25">
      <c r="C84" s="83" t="s">
        <v>88</v>
      </c>
      <c r="D84" s="84">
        <f>SUM(D80)</f>
        <v>334923.08999999997</v>
      </c>
      <c r="E84" s="85"/>
      <c r="F84" s="85"/>
      <c r="G84" s="85"/>
    </row>
    <row r="85" spans="3:12" s="86" customFormat="1" ht="15.75" x14ac:dyDescent="0.25">
      <c r="C85" s="87" t="s">
        <v>89</v>
      </c>
      <c r="D85" s="88">
        <f>SUM(H80)</f>
        <v>543084.66</v>
      </c>
    </row>
    <row r="86" spans="3:12" s="86" customFormat="1" ht="15.75" x14ac:dyDescent="0.25">
      <c r="C86" s="87" t="s">
        <v>90</v>
      </c>
      <c r="D86" s="88">
        <f>SUM(I80)</f>
        <v>392.58</v>
      </c>
    </row>
    <row r="87" spans="3:12" s="86" customFormat="1" ht="15.75" x14ac:dyDescent="0.25">
      <c r="C87" s="87" t="s">
        <v>91</v>
      </c>
      <c r="D87" s="88">
        <f>SUM(J80)</f>
        <v>469655.2</v>
      </c>
    </row>
    <row r="88" spans="3:12" s="86" customFormat="1" ht="16.5" thickBot="1" x14ac:dyDescent="0.3">
      <c r="C88" s="87" t="s">
        <v>92</v>
      </c>
      <c r="D88" s="88">
        <f>SUM(E80)</f>
        <v>1103333.21</v>
      </c>
    </row>
    <row r="89" spans="3:12" s="86" customFormat="1" ht="16.5" thickBot="1" x14ac:dyDescent="0.3">
      <c r="C89" s="89" t="s">
        <v>93</v>
      </c>
      <c r="D89" s="90">
        <f>SUM(D84:D88)</f>
        <v>2451388.7400000002</v>
      </c>
    </row>
    <row r="116" spans="5:9" s="16" customFormat="1" x14ac:dyDescent="0.25">
      <c r="E116" s="91"/>
      <c r="F116" s="91"/>
      <c r="G116" s="91"/>
      <c r="H116" s="91"/>
      <c r="I116" s="91"/>
    </row>
    <row r="117" spans="5:9" s="16" customFormat="1" x14ac:dyDescent="0.25">
      <c r="E117" s="91"/>
      <c r="F117" s="91"/>
      <c r="G117" s="91"/>
      <c r="H117" s="91"/>
      <c r="I117" s="91"/>
    </row>
    <row r="118" spans="5:9" s="16" customFormat="1" x14ac:dyDescent="0.25">
      <c r="E118" s="91"/>
      <c r="F118" s="91"/>
      <c r="G118" s="91"/>
      <c r="H118" s="91"/>
      <c r="I118" s="91"/>
    </row>
    <row r="119" spans="5:9" s="16" customFormat="1" x14ac:dyDescent="0.25">
      <c r="E119" s="92"/>
      <c r="F119" s="92"/>
      <c r="G119" s="92"/>
    </row>
  </sheetData>
  <mergeCells count="5">
    <mergeCell ref="B2:J2"/>
    <mergeCell ref="B3:J3"/>
    <mergeCell ref="B4:J4"/>
    <mergeCell ref="B6:J6"/>
    <mergeCell ref="B80:C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Cuentas Corrientes</dc:creator>
  <cp:lastModifiedBy>Cuentas Corrientes</cp:lastModifiedBy>
  <dcterms:created xsi:type="dcterms:W3CDTF">2019-11-19T17:18:48Z</dcterms:created>
  <dcterms:modified xsi:type="dcterms:W3CDTF">2019-11-19T17:19:59Z</dcterms:modified>
</cp:coreProperties>
</file>